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80AA0C6-955A-47EB-AA12-8FF6E21196B3}" xr6:coauthVersionLast="47" xr6:coauthVersionMax="47" xr10:uidLastSave="{00000000-0000-0000-0000-000000000000}"/>
  <bookViews>
    <workbookView xWindow="1785" yWindow="1875" windowWidth="24915" windowHeight="13485" activeTab="1" xr2:uid="{00000000-000D-0000-FFFF-FFFF00000000}"/>
  </bookViews>
  <sheets>
    <sheet name="1889th" sheetId="2" r:id="rId1"/>
    <sheet name="1889th (2)" sheetId="3" r:id="rId2"/>
  </sheets>
  <definedNames>
    <definedName name="_xlnm._FilterDatabase" localSheetId="1" hidden="1">'1889th (2)'!$A$1:$I$1</definedName>
  </definedNames>
  <calcPr calcId="191029"/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" i="2"/>
</calcChain>
</file>

<file path=xl/sharedStrings.xml><?xml version="1.0" encoding="utf-8"?>
<sst xmlns="http://schemas.openxmlformats.org/spreadsheetml/2006/main" count="34651" uniqueCount="11146">
  <si>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</si>
  <si>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</si>
  <si>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</si>
  <si>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</si>
  <si>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</si>
  <si>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</si>
  <si>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</si>
  <si>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</si>
  <si>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</si>
  <si>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</si>
  <si>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</si>
  <si>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r>
      <t>华</t>
    </r>
    <r>
      <rPr>
        <sz val="11"/>
        <color theme="1"/>
        <rFont val="ＭＳ Ｐゴシック"/>
        <family val="3"/>
        <charset val="128"/>
        <scheme val="minor"/>
      </rPr>
      <t>仔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</si>
  <si>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</si>
  <si>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</si>
  <si>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汪加豪</t>
  </si>
  <si>
    <t>李鑫</t>
  </si>
  <si>
    <t>法国梦幻之酒康帝公司</t>
  </si>
  <si>
    <t>王法壮</t>
  </si>
  <si>
    <t>王悦</t>
  </si>
  <si>
    <t>李秀枝</t>
  </si>
  <si>
    <t>浙江云圣照明科技有限公司</t>
  </si>
  <si>
    <t>衡昌樽品</t>
  </si>
  <si>
    <t>刘玲玲</t>
  </si>
  <si>
    <t>彭小江</t>
  </si>
  <si>
    <t>阳明来</t>
  </si>
  <si>
    <t>万孝睿</t>
  </si>
  <si>
    <t>孔祥安</t>
  </si>
  <si>
    <t>叶育广</t>
  </si>
  <si>
    <t>黄潮</t>
  </si>
  <si>
    <t>周建明</t>
  </si>
  <si>
    <t>key</t>
  </si>
  <si>
    <t>公告期号</t>
  </si>
  <si>
    <t>公告日期</t>
  </si>
  <si>
    <t>注册号</t>
  </si>
  <si>
    <t>申请人</t>
  </si>
  <si>
    <t>商标名称</t>
  </si>
  <si>
    <t>商品/服务</t>
  </si>
  <si>
    <t>申请日期</t>
  </si>
  <si>
    <t>303</t>
  </si>
  <si>
    <t>4</t>
  </si>
  <si>
    <t>1891</t>
  </si>
  <si>
    <t>2024/6/13</t>
  </si>
  <si>
    <t>77122794</t>
  </si>
  <si>
    <t>福布斯控股（维多利亚）有限责任公司</t>
  </si>
  <si>
    <t>FORBESESTATES</t>
  </si>
  <si>
    <t>⽩兰地;利⼝酒;⽶酒;苹果酒;烈酒（饮料）;蒸馏饮料;薄荷酒;果酒（含酒精）;含酒精的饮料（啤酒除外）;葡萄酒</t>
  </si>
  <si>
    <t>2024年03月05日</t>
  </si>
  <si>
    <t>10</t>
  </si>
  <si>
    <t>304</t>
  </si>
  <si>
    <t>5</t>
  </si>
  <si>
    <t>77127102</t>
  </si>
  <si>
    <t>韶关乳源瑶族自治县瑶盛商贸有限公司</t>
  </si>
  <si>
    <t>图形</t>
  </si>
  <si>
    <t>⽩酒;⽶酒;⻩酒;五加⽪酒（中国混合烈酒）;蒸馏饮料;果酒（含酒精）;葡萄酒;开胃酒;烧酒;蒸煮提取物（利⼝酒和烈酒）</t>
  </si>
  <si>
    <t>2024年03月06日</t>
  </si>
  <si>
    <t>305</t>
  </si>
  <si>
    <t>6</t>
  </si>
  <si>
    <t>77127955</t>
  </si>
  <si>
    <t>广州超莉海酒业有限公司</t>
  </si>
  <si>
    <t>VVUYUT 雾忧</t>
  </si>
  <si>
    <t>⻩酒;酒精饮料（啤酒除外）;果酒（含酒精）;葡萄酒;⽩酒;⻘稞酒;汽酒;烈酒;烧酒;⽶酒</t>
  </si>
  <si>
    <t>306</t>
  </si>
  <si>
    <t>7</t>
  </si>
  <si>
    <t>77128509</t>
  </si>
  <si>
    <t>贵州名流酒业有限公司</t>
  </si>
  <si>
    <t>思李酱酒</t>
  </si>
  <si>
    <t>⽩酒（酱⾹型）</t>
  </si>
  <si>
    <t>1</t>
  </si>
  <si>
    <t>307</t>
  </si>
  <si>
    <t>8</t>
  </si>
  <si>
    <t>77130601</t>
  </si>
  <si>
    <t>苏州佰然基因科技有限公司</t>
  </si>
  <si>
    <t>蒸馏饮料;果酒（含酒精）;葡萄酒;⽩酒;烈酒（饮料）;酒精饮料（啤酒除外）;含⽔果酒精饮料;苹果酒;酒精饮料浓缩汁;⽶酒</t>
  </si>
  <si>
    <t>308</t>
  </si>
  <si>
    <t>9</t>
  </si>
  <si>
    <t>77135464</t>
  </si>
  <si>
    <t>四川锋盛餐饮管理有限公司</t>
  </si>
  <si>
    <t>蓉小旦</t>
  </si>
  <si>
    <t>⽩酒;烈酒（饮料）;⽩兰地;⽶酒;烧酒;薄荷酒;果酒（含酒精）;鸡尾酒;葡萄酒;⻩酒</t>
  </si>
  <si>
    <t>309</t>
  </si>
  <si>
    <t>77138006</t>
  </si>
  <si>
    <t>周欢</t>
  </si>
  <si>
    <t>忆白 ELE BLAN</t>
  </si>
  <si>
    <t>烈酒（饮料）;果酒（含酒精）;酒精饮料（啤酒除外）;酒精饮料原汁;⻩酒;⽶酒;葡萄酒;开胃酒;烧酒;⽩酒</t>
  </si>
  <si>
    <t>310</t>
  </si>
  <si>
    <t>11</t>
  </si>
  <si>
    <t>77138300</t>
  </si>
  <si>
    <t>黑龙江省仁仁想你酒业有限公司</t>
  </si>
  <si>
    <t>仁仁想你老酒库</t>
  </si>
  <si>
    <t>威⼠忌;汽酒;⽶酒;蒸馏饮料;⽩兰地;⻩酒;果酒（含酒精）;开胃酒;蜂蜜酒;⽩酒</t>
  </si>
  <si>
    <t>311</t>
  </si>
  <si>
    <t>12</t>
  </si>
  <si>
    <t>77140103</t>
  </si>
  <si>
    <t>杨倩倩</t>
  </si>
  <si>
    <t>锦川醉</t>
  </si>
  <si>
    <t>威⼠忌;酒精饮料（啤酒除外）;含⽔果酒精饮料;⽶酒;⽩酒;鸡尾酒;葡萄酒;⽩兰地;⻩酒;预先混合的酒精饮料（以啤酒为主的除外）</t>
  </si>
  <si>
    <t>312</t>
  </si>
  <si>
    <t>13</t>
  </si>
  <si>
    <t>77148180</t>
  </si>
  <si>
    <t>沈阳三叁山文化传媒有限公司</t>
  </si>
  <si>
    <t>衿宵醉</t>
  </si>
  <si>
    <t>⽩酒;烧酒;红葡萄酒;朗姆酒;伏特加酒;⽩兰地;威⼠忌;⾼粱酒;鸡尾酒;葡萄酒</t>
  </si>
  <si>
    <t>313</t>
  </si>
  <si>
    <t>14</t>
  </si>
  <si>
    <t>77148337</t>
  </si>
  <si>
    <t>济南琼宇商贸有限公司</t>
  </si>
  <si>
    <t>祥醇瑞露</t>
  </si>
  <si>
    <t>果酒（含酒精）;⾷⽤酒精;烧酒;烈酒（饮料）;⽶酒;⽩酒;葡萄酒;酒精饮料（啤酒除外）;⽼酒（中国蒸馏烈酒）;清酒</t>
  </si>
  <si>
    <t>314</t>
  </si>
  <si>
    <t>15</t>
  </si>
  <si>
    <t>77148872</t>
  </si>
  <si>
    <t>路易斯-玛利亚·西莲·德·卡斯泰尔巴雅克</t>
  </si>
  <si>
    <t>ARTOLAN</t>
  </si>
  <si>
    <t>鸡尾酒;烈酒（饮料）;⽩酒;餐后酒（利⼝酒和烈酒）;含⽔果酒精饮料;酒精饮料（啤酒除外）;果酒（含酒精）;伏特加酒;威⼠忌;烧酒</t>
  </si>
  <si>
    <t>2024年03月07日</t>
  </si>
  <si>
    <t>315</t>
  </si>
  <si>
    <t>16</t>
  </si>
  <si>
    <t>77151296</t>
  </si>
  <si>
    <t>惠超</t>
  </si>
  <si>
    <t>谷町</t>
  </si>
  <si>
    <t>烈酒（饮料）;⻩酒;⾷⽤酒精;鸡尾酒;酒精饮料（啤酒除外）;⽶酒;⽩兰地;⽩酒;葡萄酒;威⼠忌</t>
  </si>
  <si>
    <t>316</t>
  </si>
  <si>
    <t>17</t>
  </si>
  <si>
    <t>77151384</t>
  </si>
  <si>
    <t>南通博球润滑油制品有限公司</t>
  </si>
  <si>
    <t>博球 NSM</t>
  </si>
  <si>
    <t>汽酒;薄荷酒;葡萄酒;以葡萄酒为主的饮料;⻩酒;⽩酒;苹果酒;酒精饮料原汁;烧酒;⾷⽤酒精</t>
  </si>
  <si>
    <t>317</t>
  </si>
  <si>
    <t>18</t>
  </si>
  <si>
    <t>77152663</t>
  </si>
  <si>
    <t>聂凤茹</t>
  </si>
  <si>
    <t>留度</t>
  </si>
  <si>
    <t>开胃酒;梨酒;清酒（⽇本⽶酒）;烧酒;⽶酒;⻘稞酒;葡萄酒;⻩酒;利⼝酒;⽩酒</t>
  </si>
  <si>
    <t>318</t>
  </si>
  <si>
    <t>19</t>
  </si>
  <si>
    <t>77152998</t>
  </si>
  <si>
    <t>山西杏花汾瓷酒厂股份有限公司</t>
  </si>
  <si>
    <t>花清青花坊</t>
  </si>
  <si>
    <t>烧酒;烧酒（烈酒）;⾼粱酒;⽼酒（中国蒸馏烈酒）;露酒;⽩⼲酒（中国⽩酒）;由⾕物蒸馏的⽩酒;⾷⽤酒精;⽩酒;烈酒</t>
  </si>
  <si>
    <t>319</t>
  </si>
  <si>
    <t>20</t>
  </si>
  <si>
    <t>77153102</t>
  </si>
  <si>
    <t>湖南酷旅传媒有限公司</t>
  </si>
  <si>
    <t>翻浪家族</t>
  </si>
  <si>
    <t>果酒（含酒精）;清酒（⽇本⽶酒）;酒精饮料原汁;烧酒;⽩酒;开胃酒;葡萄酒;⽶酒;鸡尾酒;烈酒（饮料）</t>
  </si>
  <si>
    <t>320</t>
  </si>
  <si>
    <t>77154299</t>
  </si>
  <si>
    <t>应立斌</t>
  </si>
  <si>
    <t>省池</t>
  </si>
  <si>
    <t>⽶酒;⽩酒;⽇本梅⼦酒;威⼠忌;烈酒（饮料）;⽩兰地;烧酒;含酒精的饮料(啤酒除外);葡萄酒;⾼粱酒</t>
  </si>
  <si>
    <t>321</t>
  </si>
  <si>
    <t>2</t>
  </si>
  <si>
    <t>77156252</t>
  </si>
  <si>
    <t>北京航威国创科技有限公司</t>
  </si>
  <si>
    <t>金龙惯蜑</t>
  </si>
  <si>
    <t>⽩酒;果酒（含酒精）;⽶酒;葡萄酒;烧酒;⻘稞酒;⾷⽤酒精;伏特加酒;鸡尾酒;⻩酒</t>
  </si>
  <si>
    <t>322</t>
  </si>
  <si>
    <t>3</t>
  </si>
  <si>
    <t>77157764</t>
  </si>
  <si>
    <t>安徽水木云山文化传播有限公司</t>
  </si>
  <si>
    <t>YIZHUANGBAO</t>
  </si>
  <si>
    <t>薄荷酒;⽶酒;果酒（含酒精）;鸡尾酒;烧酒;⻩酒;⽩兰地;⽩酒;葡萄酒;开胃酒</t>
  </si>
  <si>
    <t>323</t>
  </si>
  <si>
    <t>77160162</t>
  </si>
  <si>
    <t>李友丽</t>
  </si>
  <si>
    <t>团城七十二</t>
  </si>
  <si>
    <t>果酒（含酒精）;清酒（⽇本⽶酒）;烧酒;葡萄酒;⻩酒;⽶酒;⽩酒;鸡尾酒;酒精饮料（啤酒除外）;烈酒（饮料）</t>
  </si>
  <si>
    <t>324</t>
  </si>
  <si>
    <t>77162821</t>
  </si>
  <si>
    <t>衡水孟状元酿酒厂</t>
  </si>
  <si>
    <t>M 孟状元郎</t>
  </si>
  <si>
    <t>含⽔果酒精饮料;⽩酒;利⼝酒;烈酒（饮料）;⾷⽤酒精;果酒（含酒精）;柑⾹酒;烧酒;酒精饮料（啤酒除外）;⽶酒</t>
  </si>
  <si>
    <t>325</t>
  </si>
  <si>
    <t>77163406</t>
  </si>
  <si>
    <t>北京玉泉酒厂（个人独资）</t>
  </si>
  <si>
    <t>玉汆山</t>
  </si>
  <si>
    <t>由⾕物蒸馏的⽩酒;⽩⼲酒（中国⽩酒）;⽩酒</t>
  </si>
  <si>
    <t>326</t>
  </si>
  <si>
    <t>77166476</t>
  </si>
  <si>
    <t>田虎军</t>
  </si>
  <si>
    <t>霸坛春</t>
  </si>
  <si>
    <t>果酒（含酒精）;葡萄酒;清酒（⽇本⽶酒）;威⼠忌;⻩酒;开胃酒;酒精饮料（啤酒除外）;烈酒;鸡尾酒;⽩酒</t>
  </si>
  <si>
    <t>327</t>
  </si>
  <si>
    <t>77169904</t>
  </si>
  <si>
    <t>陕西镇安云岭生态产业发展有限公司</t>
  </si>
  <si>
    <t>金瑮酒</t>
  </si>
  <si>
    <t>果酒（含酒精）;烧酒;⽶酒;烈酒（饮料）;⻩酒;⽩酒;威⼠忌;酒精饮料（啤酒除外）;葡萄酒;开胃酒</t>
  </si>
  <si>
    <t>328</t>
  </si>
  <si>
    <t>77173860</t>
  </si>
  <si>
    <t>梁万锵</t>
  </si>
  <si>
    <t>恒舆</t>
  </si>
  <si>
    <t>⽩酒;⾼粱酒;含酒精的饮料（啤酒除外）;⽼酒（中国蒸馏烈酒）;烧酒（烈酒）;烧酒;烈酒;由⾕物蒸馏的⽩酒;已调味的蒸馏酒;⽩⼲酒（中国⽩酒）</t>
  </si>
  <si>
    <t>329</t>
  </si>
  <si>
    <t>77175924</t>
  </si>
  <si>
    <t>贵州云锦酒庄有限公司</t>
  </si>
  <si>
    <t>洞天古国</t>
  </si>
  <si>
    <t>⽶酒;烧酒;⽩酒;开胃酒;蒸煮提取物（利⼝酒和烈酒）;⻩酒;葡萄酒;烈酒（饮料）;酒精饮料（啤酒除外）;果酒（含酒精）</t>
  </si>
  <si>
    <t>2024年03月08日</t>
  </si>
  <si>
    <t>330</t>
  </si>
  <si>
    <t>77176247</t>
  </si>
  <si>
    <t>贵州京谭酒业有限责任公司</t>
  </si>
  <si>
    <t>娃攸佳</t>
  </si>
  <si>
    <t>烧酒;蒸馏饮料;⾷⽤酒精;⻘稞酒;葡萄酒;⽩酒;酒精饮料（啤酒除外）;⽶酒;果酒（含酒精）;⻩酒</t>
  </si>
  <si>
    <t>331</t>
  </si>
  <si>
    <t>77176716</t>
  </si>
  <si>
    <t>内蒙古醉老宁珹酒业有限公司</t>
  </si>
  <si>
    <t>罕川源</t>
  </si>
  <si>
    <t>鸡尾酒;⻘稞酒;开胃酒;酒精饮料（啤酒除外）;⽩酒;⻩酒;蜂蜜酒;预先混合的酒精饮料（以啤酒为主的除外）;⽶酒;果酒（含酒精）</t>
  </si>
  <si>
    <t>332</t>
  </si>
  <si>
    <t>77176881</t>
  </si>
  <si>
    <t>湖南湘窖酒业有限公司</t>
  </si>
  <si>
    <t>湘窖臻酿9号</t>
  </si>
  <si>
    <t>⽩酒;威⼠忌;预先混合的酒精饮料（以啤酒为主的除外）;葡萄酒;利⼝酒;⽶酒;酒精饮料（啤酒除外）;⻩酒;果酒（含酒精）;烈酒（饮料）</t>
  </si>
  <si>
    <t>333</t>
  </si>
  <si>
    <t>77177082</t>
  </si>
  <si>
    <t>贵州典藏原沙酱酒品牌运营有限公司</t>
  </si>
  <si>
    <t>拼少侠</t>
  </si>
  <si>
    <t>含酒精的饮料（啤酒除外）;预调甜酒;⽩酒;烧酒;含酒精的鸡尾酒混合饮品;烈酒;已调味的蒸馏酒;调制好的葡萄酒鸡尾酒;预先混合的酒精饮料（以啤酒为主的除外）;果酒</t>
  </si>
  <si>
    <t>334</t>
  </si>
  <si>
    <t>77177821</t>
  </si>
  <si>
    <t>湖北稻花香酒业股份有限公司</t>
  </si>
  <si>
    <t>稻花香星耀</t>
  </si>
  <si>
    <t>开胃酒; 葡萄酒; 酒精饮料原汁; 酒精饮料（啤酒除外）; 烈酒; 白酒; 烧酒; 果酒（含酒精）; 米酒; 黄酒</t>
  </si>
  <si>
    <t/>
  </si>
  <si>
    <t>335</t>
  </si>
  <si>
    <t>77179672</t>
  </si>
  <si>
    <t>袁氏屯邸</t>
  </si>
  <si>
    <t>开胃酒;酒精饮料（啤酒除外）;烈酒（饮料）;⻩酒;葡萄酒;⾷⽤酒精;鸡尾酒;果酒（含酒精）;清酒;酒精饮料原汁</t>
  </si>
  <si>
    <t>336</t>
  </si>
  <si>
    <t>77181596</t>
  </si>
  <si>
    <t>贵州省仁怀市中翔御尊酒业有限公司</t>
  </si>
  <si>
    <t>娘家御尊酒</t>
  </si>
  <si>
    <t>混合威⼠忌酒;酒精饮料（啤酒除外）;⽩酒;以葡萄酒为主的开胃酒;酸酒（低等葡萄酒）;含酒精的饮料（啤酒除外）;果酒;鸡尾酒;烧酒;⾼粱酒</t>
  </si>
  <si>
    <t>337</t>
  </si>
  <si>
    <t>77182757</t>
  </si>
  <si>
    <t>任正满</t>
  </si>
  <si>
    <t>窖粟金樽</t>
  </si>
  <si>
    <t>⽩⼲酒（中国⽩酒）;⽩酒;⾷⽤酒精;烈酒;薄荷酒;⽩葡萄酒;⽩兰地;⽶酒;⾼粱酒;利⼝酒</t>
  </si>
  <si>
    <t>338</t>
  </si>
  <si>
    <t>77183800</t>
  </si>
  <si>
    <t>瓦酕</t>
  </si>
  <si>
    <t>⾷⽤酒精;酒精饮料（啤酒除外）;⻘稞酒;⽶酒;⻩酒;⽩酒;烧酒;果酒（含酒精）;葡萄酒;蒸馏饮料</t>
  </si>
  <si>
    <t>339</t>
  </si>
  <si>
    <t>77190905</t>
  </si>
  <si>
    <t>陈永琴</t>
  </si>
  <si>
    <t>豫中粮匠</t>
  </si>
  <si>
    <t>⽩酒;⽶酒;杨梅酒;⽩⼲酒（中国⽩酒）;葡萄酒;果酒;⽩葡萄酒;烧酒;⾼粱酒;利⼝酒</t>
  </si>
  <si>
    <t>340</t>
  </si>
  <si>
    <t>77191382</t>
  </si>
  <si>
    <t>湘窖龙匠天禧佳缘</t>
  </si>
  <si>
    <t>⽩酒;⽶酒;利⼝酒;预先混合的酒精饮料（以啤酒为主的除外）;⻩酒;果酒（含酒精）;葡萄酒;烈酒（饮料）;酒精饮料（啤酒除外）;威⼠忌</t>
  </si>
  <si>
    <t>341</t>
  </si>
  <si>
    <t>77191537</t>
  </si>
  <si>
    <t>贵州鸿之郎酒业销售有限公司</t>
  </si>
  <si>
    <t>鸿兰坊</t>
  </si>
  <si>
    <t>以葡萄酒为主的饮料;鸡尾酒;⻩酒;⽩酒;⾷⽤酒精;烧酒;⽶酒;葡萄酒;樱桃酒;⻘稞酒</t>
  </si>
  <si>
    <t>342</t>
  </si>
  <si>
    <t>77192093</t>
  </si>
  <si>
    <t>陈雪梅</t>
  </si>
  <si>
    <t>简印</t>
  </si>
  <si>
    <t>烈酒（饮料）;开胃酒;葡萄酒;汽酒;烧酒;⽼酒（中国蒸馏烈酒）;⽶酒;⽩酒;酒精饮料原汁;⾷⽤酒精</t>
  </si>
  <si>
    <t>343</t>
  </si>
  <si>
    <t>77192431</t>
  </si>
  <si>
    <t>陕西蚂蚁互动文化传媒有限公司</t>
  </si>
  <si>
    <t>庭赫</t>
  </si>
  <si>
    <t>汽酒;⻩酒;⽩兰地;⽩酒;果酒;烧酒;薄荷酒;红葡萄酒;杨梅酒;以葡萄酒为主的饮料</t>
  </si>
  <si>
    <t>344</t>
  </si>
  <si>
    <t>77195146</t>
  </si>
  <si>
    <t>青岛俐昊实业发展有限公司</t>
  </si>
  <si>
    <t>瑞释燃情</t>
  </si>
  <si>
    <t>葡萄酒;清酒（⽇本⽶酒）;⾕物制蒸馏酒精饮料;⽩酒;餐后酒（利⼝酒和烈酒）;伏特加酒;鸡尾酒;威⼠忌;果酒（含酒精）;开胃酒</t>
  </si>
  <si>
    <t>661</t>
  </si>
  <si>
    <t>77407146</t>
  </si>
  <si>
    <t>孙育盟</t>
  </si>
  <si>
    <t>关刀传</t>
  </si>
  <si>
    <t>清酒（⽇本⽶酒）;烈酒;⻩酒;⽩酒;果酒（含酒精）;酒精饮料（啤酒除外）;鸡尾酒;葡萄酒;威⼠忌;开胃酒</t>
  </si>
  <si>
    <t>2024年03月19日</t>
  </si>
  <si>
    <t>662</t>
  </si>
  <si>
    <t>77407323</t>
  </si>
  <si>
    <t>贵州省仁怀市赤度液酒业销售有限公司</t>
  </si>
  <si>
    <t>金窖特航</t>
  </si>
  <si>
    <t>鸡尾酒;甜酒;⽩酒;梨酒;葡萄酒;烧酒;果酒（含酒精）;⽶酒;⾼粱酒;⻩酒</t>
  </si>
  <si>
    <t>663</t>
  </si>
  <si>
    <t>77407352</t>
  </si>
  <si>
    <t>烟台水晶文化传媒有限公司</t>
  </si>
  <si>
    <t>寻烟记</t>
  </si>
  <si>
    <t>葡萄酒;威⼠忌;⻩酒;⽩酒;⽶酒;苹果酒;含⽔果酒精饮料;鸡尾酒;预先混合的酒精饮料（以啤酒为主的除外）;果酒（含酒精）</t>
  </si>
  <si>
    <t>664</t>
  </si>
  <si>
    <t>77407824</t>
  </si>
  <si>
    <t>敦煌市喜婆婆醋业有限责任公司</t>
  </si>
  <si>
    <t>西域汫窑</t>
  </si>
  <si>
    <t>果酒（含酒精）;⻩酒;烧酒;鸡尾酒;朗姆酒;蒸馏饮料;⽩酒;葡萄酒;⽩兰地;威⼠忌</t>
  </si>
  <si>
    <t>665</t>
  </si>
  <si>
    <t>77407923</t>
  </si>
  <si>
    <t>贵州茅台酒厂（集团）昌黎葡萄酒业有限公司</t>
  </si>
  <si>
    <t>瑞凤鸣春</t>
  </si>
  <si>
    <t>果酒;薄荷酒;⽩葡萄酒;以葡萄酒为主的开胃酒;含⽔果酒精饮料;红葡萄酒;以葡萄酒为主的饮料;葡萄酒;加⾹料的热葡萄酒;⽶酒</t>
  </si>
  <si>
    <t>666</t>
  </si>
  <si>
    <t>77407951</t>
  </si>
  <si>
    <t>杭州太瑞贸易有限公司</t>
  </si>
  <si>
    <t>葡萄酒;⽶酒;⻩酒;果酒;鸡尾酒;伏特加酒;⽩酒;⽩兰地;威⼠忌;杜松⼦酒</t>
  </si>
  <si>
    <t>667</t>
  </si>
  <si>
    <t>77407965</t>
  </si>
  <si>
    <t>昆明远博生物科技有限公司</t>
  </si>
  <si>
    <t>宝元丹</t>
  </si>
  <si>
    <t>⾷⽤酒精;含⽔果酒精饮料;蒸煮提取物（利⼝酒和烈酒）;蒸馏饮料;酒精饮料原汁;果酒（含酒精）;⽩酒;葡萄酒;鸡尾酒;酒精饮料（啤酒除外）</t>
  </si>
  <si>
    <t>668</t>
  </si>
  <si>
    <t>77408277</t>
  </si>
  <si>
    <t>黄九生</t>
  </si>
  <si>
    <t>西亚长青</t>
  </si>
  <si>
    <t>鸡尾酒;利⼝酒;⽩酒;酒精饮料（啤酒除外）;⻩酒;餐后酒（利⼝酒和烈酒）;果酒（含酒精）;苹果酒;⽶酒;葡萄酒</t>
  </si>
  <si>
    <t>669</t>
  </si>
  <si>
    <t>77408586</t>
  </si>
  <si>
    <t>唐卫华</t>
  </si>
  <si>
    <t>桦谷春</t>
  </si>
  <si>
    <t>⽶酒;⽩酒;烧酒（烈酒）;清酒;蜂蜜酒;⾼粱酒;葡萄酒;⻩酒;果酒;烈酒</t>
  </si>
  <si>
    <t>670</t>
  </si>
  <si>
    <t>77408634</t>
  </si>
  <si>
    <t>饶扬民</t>
  </si>
  <si>
    <t>竞池</t>
  </si>
  <si>
    <t>果酒（含酒精）;⽶酒;酒精饮料原汁;酒精饮料（啤酒除外）;⽩酒;烈酒（饮料）;烧酒;葡萄酒;⻩酒;蒸煮提取物（利⼝酒和烈酒）</t>
  </si>
  <si>
    <t>671</t>
  </si>
  <si>
    <t>77408641</t>
  </si>
  <si>
    <t>六安市天润现代农业科技有限公司</t>
  </si>
  <si>
    <t>哆咪润</t>
  </si>
  <si>
    <t>⽶酒;甜酒;鸡尾酒;利⼝酒;烧酒;果酒;酒精饮料（啤酒除外）;⻩酒;⽩酒;蜂蜜酒</t>
  </si>
  <si>
    <t>672</t>
  </si>
  <si>
    <t>77409256</t>
  </si>
  <si>
    <t>北京宝幸生物科技有限公司</t>
  </si>
  <si>
    <t>IMPOSSIBLE BODY</t>
  </si>
  <si>
    <t>⾷⽤酒精;⽩酒;清酒（⽇本⽶酒）;烧酒;⽩兰地;葡萄酒;开胃酒;果酒（含酒精）;汽酒;酒精饮料（啤酒除外）</t>
  </si>
  <si>
    <t>673</t>
  </si>
  <si>
    <t>77409372</t>
  </si>
  <si>
    <t>北海富宝商贸有限公司</t>
  </si>
  <si>
    <t>朝露晶莹</t>
  </si>
  <si>
    <t>起泡红葡萄酒;⽩酒;果酒;⽔果汽酒;鸡尾酒;⽩兰地;起泡⽩葡萄酒;威⼠忌;葡萄酒;含酒精的⽓泡⽔</t>
  </si>
  <si>
    <t>674</t>
  </si>
  <si>
    <t>77409406</t>
  </si>
  <si>
    <t>宋世真</t>
  </si>
  <si>
    <t>兰博蒂娅</t>
  </si>
  <si>
    <t>⽩酒;酒精饮料（啤酒除外）;葡萄酒;鸡尾酒;含⽔果酒精饮料;酒精饮料原汁;⽶酒;蒸煮提取物（利⼝酒和烈酒）;果酒（含酒精）;⽩兰地</t>
  </si>
  <si>
    <t>1456</t>
  </si>
  <si>
    <t>77568219</t>
  </si>
  <si>
    <t>央广优选供应链有限公司</t>
  </si>
  <si>
    <t>月先圆</t>
  </si>
  <si>
    <t>⽩酒;⻩酒;葡萄酒;烈酒（饮料）;酒精饮料（啤酒除外）;鸡尾酒;果酒（含酒精）;⻘稞酒;⽶酒;烧酒</t>
  </si>
  <si>
    <t>2024年03月27日</t>
  </si>
  <si>
    <t>1457</t>
  </si>
  <si>
    <t>77568238</t>
  </si>
  <si>
    <t>吴浩男</t>
  </si>
  <si>
    <t>冀滔</t>
  </si>
  <si>
    <t>⽩酒;威⼠忌;烈酒;鸡尾酒;果酒（含酒精）;清酒（⽇本⽶酒）;酒精饮料（啤酒除外）;葡萄酒;⻩酒;开胃酒</t>
  </si>
  <si>
    <t>1458</t>
  </si>
  <si>
    <t>77568320</t>
  </si>
  <si>
    <t>侯艳琳</t>
  </si>
  <si>
    <t>大汉御笔</t>
  </si>
  <si>
    <t>酒精饮料（啤酒除外）;⽶酒;果酒（含酒精）;蜂蜜酒;⽩酒;烧酒;葡萄酒;清酒（⽇本⽶酒）;鸡尾酒;⻩酒</t>
  </si>
  <si>
    <t>1459</t>
  </si>
  <si>
    <t>77568799</t>
  </si>
  <si>
    <t>上海淘兔兔文化娱乐有限公司</t>
  </si>
  <si>
    <t>听古京</t>
  </si>
  <si>
    <t>⽩酒;⻩酒;⽶酒;果酒;葡萄酒;清酒（⽇本⽶酒）;烧酒;威⼠忌;⽩兰地;烈酒（饮料）</t>
  </si>
  <si>
    <t>1460</t>
  </si>
  <si>
    <t>77569017</t>
  </si>
  <si>
    <t>广东省大富龙农业有限公司</t>
  </si>
  <si>
    <t>小钱堆</t>
  </si>
  <si>
    <t>果酒（含酒精）;⽩酒;鸡尾酒;汽酒;威⼠忌;⽶酒;烧酒;⽩兰地;葡萄酒;清酒（⽇本⽶酒）</t>
  </si>
  <si>
    <t>1461</t>
  </si>
  <si>
    <t>77569182</t>
  </si>
  <si>
    <t>陈彩贤</t>
  </si>
  <si>
    <t>映山海</t>
  </si>
  <si>
    <t>烈酒（饮料）;开胃酒;⽶酒;⻩酒;⻘稞酒;酒精饮料（啤酒除外）;果酒（含酒精）;烧酒;汽酒;⽩酒</t>
  </si>
  <si>
    <t>1462</t>
  </si>
  <si>
    <t>77569216</t>
  </si>
  <si>
    <t>洛阳井泉酒业有限公司</t>
  </si>
  <si>
    <t>井梁轩</t>
  </si>
  <si>
    <t>烈酒（饮料）;蒸馏饮料;⽶酒;⾕物制蒸馏酒精饮料;含酒精的⽓泡⽔;酒精饮料原汁;烧酒;果酒（含酒精）;开胃酒;利⼝酒</t>
  </si>
  <si>
    <t>1463</t>
  </si>
  <si>
    <t>77569360</t>
  </si>
  <si>
    <t>田雪</t>
  </si>
  <si>
    <t>草盖</t>
  </si>
  <si>
    <t>⽶酒;酒精饮料（啤酒除外）;烧酒;⽩酒;果酒（含酒精）;烈酒（饮料）;葡萄酒;⻩酒;⽩⼲酒（中国⽩酒）;鸡尾酒</t>
  </si>
  <si>
    <t>1464</t>
  </si>
  <si>
    <t>77569437</t>
  </si>
  <si>
    <t>徐立伟</t>
  </si>
  <si>
    <t>庆回味</t>
  </si>
  <si>
    <t>⽩酒;清酒;葡萄汽酒;含酒精⽔果饮料;鸡尾酒;葡萄酒;⽶酒;开胃酒;⻩酒;含酒精蛋奶酒</t>
  </si>
  <si>
    <t>1465</t>
  </si>
  <si>
    <t>77569865</t>
  </si>
  <si>
    <t>徐州金亚仓储有限公司</t>
  </si>
  <si>
    <t>和尔</t>
  </si>
  <si>
    <t>苦味酒;葡萄酒;⽩⼲酒（中国⽩酒）;烧酒（烈酒）;⽩酒;烧酒;含⽔果酒精饮料;鸡尾酒;果酒;开胃酒</t>
  </si>
  <si>
    <t>1466</t>
  </si>
  <si>
    <t>77569985</t>
  </si>
  <si>
    <t>祖宏胜</t>
  </si>
  <si>
    <t>精武龙腾</t>
  </si>
  <si>
    <t>果酒（含酒精）;⽶酒;酒精饮料（啤酒除外）;蒸馏饮料;⻩酒;清酒（⽇本⽶酒）;⾷⽤酒精;⻘稞酒;⽩酒;葡萄酒</t>
  </si>
  <si>
    <t>1467</t>
  </si>
  <si>
    <t>77570111</t>
  </si>
  <si>
    <t>武汉市裹拾电子商务有限公司</t>
  </si>
  <si>
    <t>喧嚣江湖</t>
  </si>
  <si>
    <t>⽶酒;⻩酒;葡萄酒;朗姆酒;⽩酒;⾷⽤酒精;果酒（含酒精）;鸡尾酒;烈酒（饮料）;威⼠忌</t>
  </si>
  <si>
    <t>1468</t>
  </si>
  <si>
    <t>77570261</t>
  </si>
  <si>
    <t>上海元气医疗科技集团有限公司</t>
  </si>
  <si>
    <t>葡萄酒;⽶酒;果酒（含酒精）;清酒（⽇本⽶酒）;⻩酒;伏特加酒;鸡尾酒;烈酒（饮料）;威⼠忌;蒸馏饮料</t>
  </si>
  <si>
    <t>1469</t>
  </si>
  <si>
    <t>77570461</t>
  </si>
  <si>
    <t>何格妮</t>
  </si>
  <si>
    <t>超季</t>
  </si>
  <si>
    <t>⽩酒;清酒;汽酒;开胃酒;甜酒;⽶酒;果酒;⻩酒;⾷⽤酒精;葡萄酒</t>
  </si>
  <si>
    <t>1828</t>
  </si>
  <si>
    <t>77625462</t>
  </si>
  <si>
    <t>十二音阶(成都)文化传媒有限公司</t>
  </si>
  <si>
    <t>阿蓬姑娘</t>
  </si>
  <si>
    <t>威⼠忌;⾼粱酒;⽩酒;红葡萄酒;含酒精的⽔果鸡尾酒饮料;果酒（含酒精）;鸡尾酒;⽩兰地;⽶酒;樱桃酒</t>
  </si>
  <si>
    <t>2024年03月28日</t>
  </si>
  <si>
    <t>49</t>
  </si>
  <si>
    <t>72631629</t>
  </si>
  <si>
    <t>徐玉新</t>
  </si>
  <si>
    <t>湘陶坊</t>
  </si>
  <si>
    <t>烧酒;利⼝酒;⽩兰地;酒精饮料（啤酒除外）;果酒;烈酒（饮料）;⾷⽤酒精;伏特加酒;葡萄酒;⽩酒</t>
  </si>
  <si>
    <t>2023年07月04日</t>
  </si>
  <si>
    <t>50</t>
  </si>
  <si>
    <t>72653552</t>
  </si>
  <si>
    <t>贵酒集团有限公司</t>
  </si>
  <si>
    <t>墨迹</t>
  </si>
  <si>
    <t>葡萄酒;⽶酒;⽩酒;鸡尾酒;⻩酒;清酒（⽇本⽶酒）;⻘稞酒;果酒（含酒精）;烈酒（饮料）;利⼝酒</t>
  </si>
  <si>
    <t>2023年07月05日</t>
  </si>
  <si>
    <t>51</t>
  </si>
  <si>
    <t>72665001</t>
  </si>
  <si>
    <t>海南风起云涌旅游开发有限公司</t>
  </si>
  <si>
    <t>燕子洞</t>
  </si>
  <si>
    <t>含⽔果酒精饮料;葡萄酒;果酒（含酒精）;⽶酒;利⼝酒;烈酒（饮料）;⽩兰地;鸡尾酒;⻩酒;酸酒（低等葡萄酒）</t>
  </si>
  <si>
    <t>2023年07月06日</t>
  </si>
  <si>
    <t>52</t>
  </si>
  <si>
    <t>72669877</t>
  </si>
  <si>
    <t>山钦湾</t>
  </si>
  <si>
    <t>果酒（含酒精）;白兰地;米酒;利口酒;含水果酒精饮料;葡萄酒;酸酒（低等葡萄酒）;鸡尾酒;黄酒;烈酒（饮料）</t>
  </si>
  <si>
    <t>53</t>
  </si>
  <si>
    <t>72783994</t>
  </si>
  <si>
    <t>许家珍</t>
  </si>
  <si>
    <t>乐见</t>
  </si>
  <si>
    <t>烈酒（饮料）;葡萄酒;⽩酒;⻩酒;酒精饮料（啤酒除外）;果酒（含酒精）;烧酒;⽶酒;⽼酒（中国蒸馏烈酒）;⾷⽤酒精</t>
  </si>
  <si>
    <t>2023年07月12日</t>
  </si>
  <si>
    <t>54</t>
  </si>
  <si>
    <t>72804931</t>
  </si>
  <si>
    <t>普朗姆酒庄</t>
  </si>
  <si>
    <t>JOH. JOS. PRUM</t>
  </si>
  <si>
    <t>威⼠忌;果酒（含酒精）;朗姆酒;葡萄酒;鸡尾酒;伏特加酒;酒精饮料（啤酒除外）;利⼝酒;烈酒（饮料）;⽩兰地</t>
  </si>
  <si>
    <t>55</t>
  </si>
  <si>
    <t>72820881</t>
  </si>
  <si>
    <t>鲍晓辉</t>
  </si>
  <si>
    <t>魏曹王·吟</t>
  </si>
  <si>
    <t>酒精饮料原汁;葡萄酒;酒精饮料（啤酒除外）;⾷⽤酒精;蒸煮提取物（利⼝酒和烈酒）;果酒（含酒精）;烧酒;烈酒（饮料）;⽩酒;预先混合的酒精饮料（以啤酒为主的除外）</t>
  </si>
  <si>
    <t>2023年07月13日</t>
  </si>
  <si>
    <t>56</t>
  </si>
  <si>
    <t>72844978</t>
  </si>
  <si>
    <t>绍兴三新信息科技有限公司</t>
  </si>
  <si>
    <t>元宝枫</t>
  </si>
  <si>
    <t>蒸馏饮料;伏特加酒;酒精饮料浓缩汁;⽶酒;葡萄酒;鸡尾酒;⽩兰地;威⼠忌;含⽔果酒精饮料;果酒（含酒精）</t>
  </si>
  <si>
    <t>2023年07月14日</t>
  </si>
  <si>
    <t>57</t>
  </si>
  <si>
    <t>72918984</t>
  </si>
  <si>
    <t>日本盛株式会社</t>
  </si>
  <si>
    <t>惣花</t>
  </si>
  <si>
    <t>⾷⽤酒精;⻩酒;汽酒;果酒（含酒精）;烧酒;清酒（⽇本⽶酒）;⽶酒;烈酒（饮料）;利⼝酒;酒精饮料（啤酒除外）</t>
  </si>
  <si>
    <t>2023年07月18日</t>
  </si>
  <si>
    <t>58</t>
  </si>
  <si>
    <t>72931288</t>
  </si>
  <si>
    <t>郭艳彬</t>
  </si>
  <si>
    <t>温庄大曲</t>
  </si>
  <si>
    <t>利⼝酒;⾷⽤酒精;开胃酒;⽩酒;烧酒;果酒（含酒精）;蒸馏饮料;酒精饮料（啤酒除外）;⽶酒;烈酒（饮料）</t>
  </si>
  <si>
    <t>2023年07月19日</t>
  </si>
  <si>
    <t>59</t>
  </si>
  <si>
    <t>72965643</t>
  </si>
  <si>
    <t>景墨电子商务（深圳）有限公司</t>
  </si>
  <si>
    <t>京鉴福</t>
  </si>
  <si>
    <t>开胃酒;鸡尾酒;葡萄酒;⽩酒;清酒（⽇本⽶酒）;威⼠忌;烧酒;伏特加酒;⻩酒;果酒（含酒精）</t>
  </si>
  <si>
    <t>2023年07月20日</t>
  </si>
  <si>
    <t>60</t>
  </si>
  <si>
    <t>72995843</t>
  </si>
  <si>
    <t>赵晓帆</t>
  </si>
  <si>
    <t>同学时光</t>
  </si>
  <si>
    <t>烧酒;葡萄酒;⻩酒;⽶酒;⽩酒;苹果酒;酒精饮料原汁;果酒（含酒精）;鸡尾酒;酒精饮料（啤酒除外）</t>
  </si>
  <si>
    <t>2023年07月21日</t>
  </si>
  <si>
    <t>61</t>
  </si>
  <si>
    <t>73034696</t>
  </si>
  <si>
    <t>四川水井坊股份有限公司</t>
  </si>
  <si>
    <t>金水坊</t>
  </si>
  <si>
    <t>含⽔果酒精饮料;⽶酒;葡萄酒;由⾕物蒸馏的⽩酒;⽩⼲酒（中国⽩酒）;蒸馏饮料;酒精饮料（啤酒除外）;⽩酒;⾷⽤酒精;果酒（含酒精）</t>
  </si>
  <si>
    <t>2023年07月24日</t>
  </si>
  <si>
    <t>62</t>
  </si>
  <si>
    <t>73225933</t>
  </si>
  <si>
    <t>浙江农客农业科技有限公司</t>
  </si>
  <si>
    <t>农客农场</t>
  </si>
  <si>
    <t>⽶酒;烧酒;⽩酒;⻩酒;酒精饮料原汁;蒸馏饮料;烈酒（饮料）;⾕物制蒸馏酒精饮料;清酒（⽇本⽶酒）;果酒（含酒精）</t>
  </si>
  <si>
    <t>2023年08月02日</t>
  </si>
  <si>
    <t>63</t>
  </si>
  <si>
    <t>73237406</t>
  </si>
  <si>
    <t>四川秦汉酒业有限责任公司</t>
  </si>
  <si>
    <t>光雾山</t>
  </si>
  <si>
    <t>⽩⼲酒（中国⽩酒）;果酒;⽼酒（中国蒸馏烈酒）;⽩酒;葡萄酒;⽶酒;烧酒;酒精饮料（啤酒除外）;⻩酒;利⼝酒</t>
  </si>
  <si>
    <t>93</t>
  </si>
  <si>
    <t>76209304</t>
  </si>
  <si>
    <t>亳州魏贡酒业有限公司</t>
  </si>
  <si>
    <t>百丯糟坊</t>
  </si>
  <si>
    <t>烧酒;葡萄酒;酒精饮料（啤酒除外）;⽶酒;⾷⽤酒精;利⼝酒;⽩酒;果酒（含酒精）;开胃酒;⻩酒</t>
  </si>
  <si>
    <t>2024年01月05日</t>
  </si>
  <si>
    <t>94</t>
  </si>
  <si>
    <t>76220914</t>
  </si>
  <si>
    <t>开胃酒;⽶酒;⽩酒;果酒（含酒精）;⾷⽤酒精;⻩酒;烧酒;葡萄酒;酒精饮料（啤酒除外）;利⼝酒</t>
  </si>
  <si>
    <t>95</t>
  </si>
  <si>
    <t>76228991</t>
  </si>
  <si>
    <t>南充铭涌健康管理有限公司</t>
  </si>
  <si>
    <t>坊爱</t>
  </si>
  <si>
    <t>⻩酒;鸡尾酒;蒸馏饮料;蜂蜜酒;预先混合的酒精饮料（以啤酒为主的除外）;果酒（含酒精）;⽩酒;开胃酒;葡萄酒;⽩兰地</t>
  </si>
  <si>
    <t>96</t>
  </si>
  <si>
    <t>76242440</t>
  </si>
  <si>
    <t>黑龙江东北醇粮酒业有限公司</t>
  </si>
  <si>
    <t>纯哈老白</t>
  </si>
  <si>
    <t>鸡尾酒;⻩酒;烧酒;⽩酒;⾕物制蒸馏酒精饮料;⽶酒;清酒（⽇本⽶酒）;汽酒;葡萄酒;杜松⼦酒</t>
  </si>
  <si>
    <t>2024年01月08日</t>
  </si>
  <si>
    <t>97</t>
  </si>
  <si>
    <t>76263878</t>
  </si>
  <si>
    <t>深圳市道商五福科技发展有限公司</t>
  </si>
  <si>
    <t>果酒（含酒精）;葡萄酒;烧酒;⻩酒;清酒（⽇本⽶酒）;威⼠忌;⾼粱酒;酒精饮料原汁;烈酒（饮料）;⽩酒</t>
  </si>
  <si>
    <t>98</t>
  </si>
  <si>
    <t>76271026</t>
  </si>
  <si>
    <t>刘志伟</t>
  </si>
  <si>
    <t>小媳妇</t>
  </si>
  <si>
    <t>蜂蜜酒;鸡尾酒;果酒;葡萄酒;⽩酒;⻩酒;伏特加酒;⽶酒;露酒;⽩兰地</t>
  </si>
  <si>
    <t>2024年01月09日</t>
  </si>
  <si>
    <t>99</t>
  </si>
  <si>
    <t>76275737</t>
  </si>
  <si>
    <t>⽶酒;⽩酒;⻩酒;鸡尾酒;⽩兰地;果酒;露酒;葡萄酒;伏特加酒;蜂蜜酒</t>
  </si>
  <si>
    <t>100</t>
  </si>
  <si>
    <t>76314316</t>
  </si>
  <si>
    <t>华兴和企业管理发展（北京）有限公司</t>
  </si>
  <si>
    <t>华兴和</t>
  </si>
  <si>
    <t>鸡尾酒;含酒精的饮料（啤酒除外）;果酒（含酒精）;⻩酒;烈酒（饮料）;⽼酒（中国蒸馏烈酒）;葡萄酒;⽶酒;清酒;⽩酒</t>
  </si>
  <si>
    <t>2024年01月10日</t>
  </si>
  <si>
    <t>101</t>
  </si>
  <si>
    <t>76326078</t>
  </si>
  <si>
    <t>苏虎</t>
  </si>
  <si>
    <t>敖谷神州</t>
  </si>
  <si>
    <t>烧酒;⾼粱酒;⻘稞酒;开胃酒;⻩酒;烈酒（饮料）;⽩酒;⾷⽤酒精;⽶酒;蒸馏饮料</t>
  </si>
  <si>
    <t>2024年01月11日</t>
  </si>
  <si>
    <t>102</t>
  </si>
  <si>
    <t>76376086</t>
  </si>
  <si>
    <t>程阳</t>
  </si>
  <si>
    <t>悟品道</t>
  </si>
  <si>
    <t>⾼粱酒;蒸馏⽶酒（泡盛酒）;果酒（含酒精）;⽩酒;烧酒;以蒸馏酒为主的开胃酒;葡萄酒;已调味的蒸馏酒;⻩酒;由⾕物蒸馏的⽩酒</t>
  </si>
  <si>
    <t>2024年01月14日</t>
  </si>
  <si>
    <t>103</t>
  </si>
  <si>
    <t>76378747</t>
  </si>
  <si>
    <t>赵波</t>
  </si>
  <si>
    <t>半边桥</t>
  </si>
  <si>
    <t>清酒（⽇本⽶酒）;⽶酒;烧酒;利⼝酒;葡萄酒;⽩⼲酒（中国⽩酒）;开胃酒;酒精饮料（啤酒除外）;果酒（含酒精）;⽩酒</t>
  </si>
  <si>
    <t>2024年01月15日</t>
  </si>
  <si>
    <t>104</t>
  </si>
  <si>
    <t>76390911</t>
  </si>
  <si>
    <t>郑勇</t>
  </si>
  <si>
    <t>古今长</t>
  </si>
  <si>
    <t>⾼粱酒;⽩酒;⻘稞酒;露酒;⽼酒（中国蒸馏烈酒）;烧酒;⻩酒;⽩⼲酒（中国⽩酒）;烈酒;清酒</t>
  </si>
  <si>
    <t>105</t>
  </si>
  <si>
    <t>76407346</t>
  </si>
  <si>
    <t>索达斌</t>
  </si>
  <si>
    <t>雨喜白酒</t>
  </si>
  <si>
    <t>⻩酒;烧酒;⽶酒;清酒;⽼酒（中国蒸馏烈酒）;⻘梅酒;⾼粱酒;⽩酒</t>
  </si>
  <si>
    <t>2024年01月16日</t>
  </si>
  <si>
    <t>106</t>
  </si>
  <si>
    <t>76423050</t>
  </si>
  <si>
    <t>吉珀可莱集团</t>
  </si>
  <si>
    <t>肌司研</t>
  </si>
  <si>
    <t>苹果酒;⽩兰地;酒精饮料（啤酒除外）;汽酒;果酒（含酒精）;威⼠忌;含⽔果酒精饮料;葡萄酒;⽩酒;清酒（⽇本⽶酒）</t>
  </si>
  <si>
    <t>107</t>
  </si>
  <si>
    <t>76439562</t>
  </si>
  <si>
    <t>上官青龙</t>
  </si>
  <si>
    <t>品仪天下</t>
  </si>
  <si>
    <t>⻩酒;烧酒;葡萄酒;果酒;清酒;⽶酒;蒸馏饮料;⽩酒;烈酒;利⼝酒</t>
  </si>
  <si>
    <t>2024年01月17日</t>
  </si>
  <si>
    <t>108</t>
  </si>
  <si>
    <t>76446853</t>
  </si>
  <si>
    <t>引路青春（广东）人才发展有限公司</t>
  </si>
  <si>
    <t>引路青春</t>
  </si>
  <si>
    <t>烈酒（饮料）;酒精饮料（啤酒除外）;果酒（含酒精）;蒸馏饮料;汽酒;鸡尾酒;蒸煮提取物（利⼝酒和烈酒）;⽩酒;清酒（⽇本⽶酒）;葡萄酒</t>
  </si>
  <si>
    <t>109</t>
  </si>
  <si>
    <t>76447737</t>
  </si>
  <si>
    <t>一修猴控股(深圳)有限公司</t>
  </si>
  <si>
    <t>酒铺鹿</t>
  </si>
  <si>
    <t>含酒精的⽓泡⽔;由⾕物蒸馏的⽩酒;⽩酒;起泡红葡萄酒;⾕物制蒸馏酒精饮料;烧酒（烈酒）;红葡萄酒;甜酒;⽇式甜⽶酒;餐后酒（利⼝酒和烈酒）</t>
  </si>
  <si>
    <t>110</t>
  </si>
  <si>
    <t>76448585</t>
  </si>
  <si>
    <t>河北永建堂药业连锁有限公司</t>
  </si>
  <si>
    <t>药师凯特</t>
  </si>
  <si>
    <t>蝮蛇酒;酒精饮料原汁;鸡尾酒;开胃酒;葡萄酒;起泡⽩葡萄酒;⽩酒;⽶酒;果酒;含酒精⽔果饮料</t>
  </si>
  <si>
    <t>111</t>
  </si>
  <si>
    <t>76451843</t>
  </si>
  <si>
    <t>李国锋</t>
  </si>
  <si>
    <t>马毛七彩</t>
  </si>
  <si>
    <t>果酒（含酒精）;威⼠忌;⽩酒;葡萄酒;鸡尾酒;烧酒;苹果酒;红葡萄酒;⽶酒;酒精饮料原汁</t>
  </si>
  <si>
    <t>112</t>
  </si>
  <si>
    <t>76451866</t>
  </si>
  <si>
    <t>成都洛布文化传播有限公司</t>
  </si>
  <si>
    <t>善见成</t>
  </si>
  <si>
    <t>果酒（含酒精）;⽶酒;苦荞酒;含酒精的潘趣酒;⽩酒;开胃酒;果酒;梅酒;葡萄酒;⾼粱酒</t>
  </si>
  <si>
    <t>113</t>
  </si>
  <si>
    <t>76452497</t>
  </si>
  <si>
    <t>济南鑫润达建材有限公司</t>
  </si>
  <si>
    <t>双舍老白</t>
  </si>
  <si>
    <t>烈酒（饮料）; 白酒; 黄酒; 高粱酒; 果酒（含酒精）; 烧酒; 青稞酒; 鸡尾酒; 米酒; 白干酒（中国白酒）</t>
  </si>
  <si>
    <t>114</t>
  </si>
  <si>
    <t>76476915</t>
  </si>
  <si>
    <t>赵莲花</t>
  </si>
  <si>
    <t>香山伟信</t>
  </si>
  <si>
    <t>蒸馏饮料;鸡尾酒;葡萄酒;烈酒（饮料）;⻩酒;⽶酒;⽩酒;烧酒;酒精饮料（啤酒除外）</t>
  </si>
  <si>
    <t>2024年01月18日</t>
  </si>
  <si>
    <t>115</t>
  </si>
  <si>
    <t>76528186</t>
  </si>
  <si>
    <t>丽江古城博物院</t>
  </si>
  <si>
    <t>木 木府</t>
  </si>
  <si>
    <t>烈酒;⽩葡萄酒;红葡萄酒;⻘稞酒;威⼠忌;⽩酒;葡萄酒;果酒;酒精饮料（啤酒除外）;朗姆酒</t>
  </si>
  <si>
    <t>2024年01月22日</t>
  </si>
  <si>
    <t>116</t>
  </si>
  <si>
    <t>76549735</t>
  </si>
  <si>
    <t>浙江酒道云仓品牌管理有限公司</t>
  </si>
  <si>
    <t>沽苏黃</t>
  </si>
  <si>
    <t>果酒（含酒精）;蒸馏饮料;鸡尾酒;葡萄酒;⽩酒;威⼠忌;⽶酒;烧酒;⻩酒;⽩兰地</t>
  </si>
  <si>
    <t>2024年01月23日</t>
  </si>
  <si>
    <t>117</t>
  </si>
  <si>
    <t>76568305</t>
  </si>
  <si>
    <t>李源根</t>
  </si>
  <si>
    <t>匠指独韵</t>
  </si>
  <si>
    <t>⽩酒;果酒（含酒精）;葡萄酒;⻘稞酒;酒精饮料（啤酒除外）;杜松⼦酒;⽶酒;薄荷酒;樱桃酒;梨酒</t>
  </si>
  <si>
    <t>118</t>
  </si>
  <si>
    <t>76570906</t>
  </si>
  <si>
    <t>王树林</t>
  </si>
  <si>
    <t>北教</t>
  </si>
  <si>
    <t>⽩酒;薄荷酒;葡萄酒;⽶酒;果酒;清酒（⽇本⽶酒）;⾷⽤酒精;苹果酒;梨酒;酒精饮料（啤酒除外）</t>
  </si>
  <si>
    <t>2024年01月24日</t>
  </si>
  <si>
    <t>119</t>
  </si>
  <si>
    <t>76576250</t>
  </si>
  <si>
    <t>厦门七尚酒店管理集团有限公司</t>
  </si>
  <si>
    <t>七栩</t>
  </si>
  <si>
    <t>果酒（含酒精）;葡萄酒;清酒（⽇本⽶酒）;鸡尾酒;烧酒;⽩兰地;威⼠忌;⻩酒;⽩酒;酒精饮料（啤酒除外）</t>
  </si>
  <si>
    <t>120</t>
  </si>
  <si>
    <t>76629851</t>
  </si>
  <si>
    <t>郑焕楷</t>
  </si>
  <si>
    <t>鉴友福</t>
  </si>
  <si>
    <t>⽩酒;葡萄酒;果酒（含酒精）;⻩酒;烈酒（饮料）;酒精饮料（啤酒除外）;⽶酒;⻘稞酒;威⼠忌;烧酒</t>
  </si>
  <si>
    <t>2024年01月26日</t>
  </si>
  <si>
    <t>121</t>
  </si>
  <si>
    <t>76635635</t>
  </si>
  <si>
    <t>安徽玄都坊酒业有限公司</t>
  </si>
  <si>
    <t>桃花善水</t>
  </si>
  <si>
    <t>⽩酒;威⼠忌;⻩酒;伏特加酒;果酒（含酒精）;果酒;红葡萄酒;烧酒;酒精饮料原汁;⽩兰地</t>
  </si>
  <si>
    <t>122</t>
  </si>
  <si>
    <t>76659826</t>
  </si>
  <si>
    <t>李玲萍</t>
  </si>
  <si>
    <t>乘龙彩凤</t>
  </si>
  <si>
    <t>威⼠忌;酒精饮料浓缩汁;⾷⽤酒精;⽩兰地;葡萄酒;酒精饮料（啤酒除外）;清酒（⽇本⽶酒）;烈酒（饮料）;⽩酒;果酒（含酒精）</t>
  </si>
  <si>
    <t>2024年01月29日</t>
  </si>
  <si>
    <t>123</t>
  </si>
  <si>
    <t>76673360</t>
  </si>
  <si>
    <t>安丽红</t>
  </si>
  <si>
    <t>琼味功坊</t>
  </si>
  <si>
    <t>开胃酒;果酒;汽酒;清酒;⻩酒;⽩酒;⽶酒;葡萄酒;⾷⽤酒精;甜酒</t>
  </si>
  <si>
    <t>124</t>
  </si>
  <si>
    <t>76681729</t>
  </si>
  <si>
    <t>贵州禅道酒业有限公司</t>
  </si>
  <si>
    <t>九煮荞</t>
  </si>
  <si>
    <t>烈酒（饮料）;果酒;葡萄酒;白酒;黄酒;烧酒;开胃酒;苦荞酒;酒精饮料（啤酒除外）;苦味酒</t>
  </si>
  <si>
    <t>2024年01月30日</t>
  </si>
  <si>
    <t>125</t>
  </si>
  <si>
    <t>76685221</t>
  </si>
  <si>
    <t>甘肃润泽餐饮食品管理有限公司</t>
  </si>
  <si>
    <t>九粮祁连魂</t>
  </si>
  <si>
    <t>白酒; 葡萄酒; 清酒; 薄荷酒; 果酒（含酒精）; 白兰地; 蜂蜜酒; 米酒; 高粱酒; 威士忌</t>
  </si>
  <si>
    <t>126</t>
  </si>
  <si>
    <t>76709792</t>
  </si>
  <si>
    <t>青海老醉客青稞酒业有限公司</t>
  </si>
  <si>
    <t>涛财 老醉客</t>
  </si>
  <si>
    <t>白酒; 烧酒; 果酒（含酒精）; 鸡尾酒; 米酒; 黄酒; 蒸馏饮料; 白兰地; 威士忌; 葡萄酒</t>
  </si>
  <si>
    <t>2024年01月31日</t>
  </si>
  <si>
    <t>127</t>
  </si>
  <si>
    <t>76711304</t>
  </si>
  <si>
    <t>广州鹰狮龙食品有限公司</t>
  </si>
  <si>
    <t>谆记</t>
  </si>
  <si>
    <t>⽩兰地;⽶酒;烧酒;⻩酒;烧酒（烈酒）;露酒;果酒;甜酒;⽼酒（中国蒸馏烈酒）;⽩酒</t>
  </si>
  <si>
    <t>128</t>
  </si>
  <si>
    <t>76724732</t>
  </si>
  <si>
    <t>山西五台山红崖湾矿泉水有限公司</t>
  </si>
  <si>
    <t>水咦岛</t>
  </si>
  <si>
    <t>⽶酒;烧酒;⻩酒;⽩酒;酒精饮料（啤酒除外）;果酒;苦荞酒;梅酒;葡萄酒;⾼粱酒</t>
  </si>
  <si>
    <t>2024年02月01日</t>
  </si>
  <si>
    <t>129</t>
  </si>
  <si>
    <t>76740339</t>
  </si>
  <si>
    <t>海南宝鸿景贸易有限公司</t>
  </si>
  <si>
    <t>BHJING</t>
  </si>
  <si>
    <t>果酒（含酒精）;含酒精⽔果饮料;⽶酒</t>
  </si>
  <si>
    <t>130</t>
  </si>
  <si>
    <t>76765603</t>
  </si>
  <si>
    <t>德州德公酒业有限公司</t>
  </si>
  <si>
    <t>彩陶河 彩陶牡丹</t>
  </si>
  <si>
    <t>葡萄酒;烈酒（饮料）;⽩兰地;清酒（⽇本⽶酒）;果酒（含酒精）;酒精饮料（啤酒除外）;烧酒;⾷⽤酒精;⽩酒;威⼠忌</t>
  </si>
  <si>
    <t>2024年02月03日</t>
  </si>
  <si>
    <t>131</t>
  </si>
  <si>
    <t>76767616</t>
  </si>
  <si>
    <t>海南紫客科技有限公司</t>
  </si>
  <si>
    <t>红衣少年</t>
  </si>
  <si>
    <t>烈酒（饮料）;⽶酒;伏特加酒;烧酒;⽩酒;红葡萄酒;⽩⼲酒（中国⽩酒）;烧酒（烈酒）;由⾕物蒸馏的⽩酒;甜酒</t>
  </si>
  <si>
    <t>132</t>
  </si>
  <si>
    <t>76785970</t>
  </si>
  <si>
    <t>长沙盛捷酒业有限公司</t>
  </si>
  <si>
    <t>CHALIJINZUN</t>
  </si>
  <si>
    <t>威⼠忌;烧酒;含⽔果酒精饮料;酒精饮料（啤酒除外）;果酒（含酒精）;⻩酒;⽩兰地;伏特加酒;葡萄酒;⽩酒</t>
  </si>
  <si>
    <t>2024年02月05日</t>
  </si>
  <si>
    <t>133</t>
  </si>
  <si>
    <t>76786106</t>
  </si>
  <si>
    <t>BAEHANY LUENX</t>
  </si>
  <si>
    <t>⽩兰地;⽩酒;⾷⽤酒精;烧酒;葡萄酒;伏特加酒;酒精饮料（啤酒除外）;朗姆酒;威⼠忌;果酒（含酒精）</t>
  </si>
  <si>
    <t>134</t>
  </si>
  <si>
    <t>76786112</t>
  </si>
  <si>
    <t>PAGASHAN</t>
  </si>
  <si>
    <t>⽩兰地;果酒（含酒精）;威⼠忌;⽩酒;⻩酒;伏特加酒;朗姆酒;酒精饮料（啤酒除外）;葡萄酒;烧酒</t>
  </si>
  <si>
    <t>135</t>
  </si>
  <si>
    <t>76786125</t>
  </si>
  <si>
    <t>CAEAUNRD</t>
  </si>
  <si>
    <t>起泡红葡萄酒;果酒（含酒精）;葡萄酒;利⼝酒;酒精饮料（啤酒除外）;朗姆酒;威⼠忌;伏特加酒;⾷⽤酒精;⽩兰地</t>
  </si>
  <si>
    <t>136</t>
  </si>
  <si>
    <t>76786222</t>
  </si>
  <si>
    <t>VICOTEPACAD</t>
  </si>
  <si>
    <t>烈酒（饮料）;⽶酒;⾷⽤酒精;酒精饮料（啤酒除外）;葡萄酒;果酒（含酒精）;烧酒;鸡尾酒;茴芹酒（利⼝酒）;⽩酒</t>
  </si>
  <si>
    <t>64</t>
  </si>
  <si>
    <t>73459197</t>
  </si>
  <si>
    <t>鄂伦春自治旗大杨树荣盛商贸有限责任公司</t>
  </si>
  <si>
    <t>贝尔情</t>
  </si>
  <si>
    <t>含⽔果酒精饮料;烈酒（饮料）;梅酒;蜂蜜酒;预先混合的酒精饮料（以啤酒为主的除外）;蒸煮提取物（利⼝酒和烈酒）;⽩酒;⾕物制蒸馏酒精饮料;果酒（含酒精）;⽶酒</t>
  </si>
  <si>
    <t>2023年08月14日</t>
  </si>
  <si>
    <t>65</t>
  </si>
  <si>
    <t>73566875</t>
  </si>
  <si>
    <t>棠记商贸（成都）有限公司</t>
  </si>
  <si>
    <t>宁堡</t>
  </si>
  <si>
    <t>果酒（含酒精）;利⼝酒;烈酒（饮料）;酒精饮料（啤酒除外）;由⾕物蒸馏的⽩酒;⽶酒;⻩酒;⽩酒;葡萄酒;⾕物制蒸馏酒精饮料</t>
  </si>
  <si>
    <t>2023年08月18日</t>
  </si>
  <si>
    <t>66</t>
  </si>
  <si>
    <t>73615420</t>
  </si>
  <si>
    <t>江洪涛</t>
  </si>
  <si>
    <t>乾龙门</t>
  </si>
  <si>
    <t>⽩⼲酒（中国⽩酒）;清酒;甜酒;鸡尾酒;烈酒;果酒;⻩酒;葡萄酒;⽩酒;⽶酒</t>
  </si>
  <si>
    <t>2023年08月22日</t>
  </si>
  <si>
    <t>67</t>
  </si>
  <si>
    <t>73730913</t>
  </si>
  <si>
    <t>杭州和坤医疗科技有限公司</t>
  </si>
  <si>
    <t>永火</t>
  </si>
  <si>
    <t>葡萄酒;烧酒;⽔果汽酒;⽩酒;⾕物制蒸馏酒精饮料;甜果酒;烈性⼲酒;薄荷酒;⽶酒;以葡萄酒为主的开胃酒</t>
  </si>
  <si>
    <t>2023年08月28日</t>
  </si>
  <si>
    <t>68</t>
  </si>
  <si>
    <t>73744477</t>
  </si>
  <si>
    <t>杭州西湖十景食品饮料有限公司</t>
  </si>
  <si>
    <t>雷峰夕照</t>
  </si>
  <si>
    <t>含⽔果酒精饮料;以葡萄酒为主的饮料;汽酒;⽩⼲酒（中国⽩酒）;葡萄酒;⽩酒;⽶酒;果酒（含酒精）</t>
  </si>
  <si>
    <t>69</t>
  </si>
  <si>
    <t>73828915</t>
  </si>
  <si>
    <t>贵州省仁怀市茅浆液酒业有限公司</t>
  </si>
  <si>
    <t>祥天下</t>
  </si>
  <si>
    <t>烧酒;⻘稞酒;果酒（含酒精）;⻩酒;⽶酒;葡萄酒;鸡尾酒;含⽔果酒精饮料;⽩酒;威⼠忌</t>
  </si>
  <si>
    <t>2023年09月01日</t>
  </si>
  <si>
    <t>70</t>
  </si>
  <si>
    <t>73868716</t>
  </si>
  <si>
    <t>西藏聂荣嘎确生态畜牧业发展有限责任公司</t>
  </si>
  <si>
    <t>嘎确</t>
  </si>
  <si>
    <t>烈酒（饮料）;烧酒;⽩兰地;⻘稞酒;⽶酒;果酒（含酒精）;⽩酒;含⽔果酒精饮料;葡萄酒;苹果酒</t>
  </si>
  <si>
    <t>2023年09月04日</t>
  </si>
  <si>
    <t>71</t>
  </si>
  <si>
    <t>74001075</t>
  </si>
  <si>
    <t>肇庆野象电子商务有限公司</t>
  </si>
  <si>
    <t>威森保</t>
  </si>
  <si>
    <t>葡萄酒;利⼝酒;威⼠忌;开胃酒;⽩酒;⽩兰地;酒精饮料（啤酒除外）;⽶酒;鸡尾酒;烈酒（饮料）</t>
  </si>
  <si>
    <t>2023年09月11日</t>
  </si>
  <si>
    <t>72</t>
  </si>
  <si>
    <t>74595514</t>
  </si>
  <si>
    <t>舍得酒业股份有限公司</t>
  </si>
  <si>
    <t>沱牌 TUO PAI YEAH</t>
  </si>
  <si>
    <t>蒸煮提取物（利⼝酒和烈酒）;果酒（含酒精）;烧酒;利⼝酒;酒精饮料原汁;⾷⽤酒精;酒精饮料（啤酒除外）;开胃酒;葡萄酒;⽩酒</t>
  </si>
  <si>
    <t>2023年10月16日</t>
  </si>
  <si>
    <t>73</t>
  </si>
  <si>
    <t>74636352</t>
  </si>
  <si>
    <t>重庆市李遇酒业有限责任公司</t>
  </si>
  <si>
    <t>巫山李遇</t>
  </si>
  <si>
    <t>果酒（含酒精）;⽩兰地</t>
  </si>
  <si>
    <t>2023年10月18日</t>
  </si>
  <si>
    <t>74</t>
  </si>
  <si>
    <t>74831216</t>
  </si>
  <si>
    <t>重庆市城市建设土地发展有限责任公司</t>
  </si>
  <si>
    <t>城投乡里</t>
  </si>
  <si>
    <t xml:space="preserve">	果酒（含酒精）; 鸡尾酒; 米酒; 葡萄酒; 威士忌; 白酒; 食用酒精; 蜂蜜酒; 白兰地; 利口酒</t>
  </si>
  <si>
    <t>2023年10月27日</t>
  </si>
  <si>
    <t>75</t>
  </si>
  <si>
    <t>75452210</t>
  </si>
  <si>
    <t>财酒有限公司</t>
  </si>
  <si>
    <t>财酒庄园</t>
  </si>
  <si>
    <t>葡萄酒;⻩酒;⽩酒;烈酒;清酒;伏特加酒;⾷⽤酒精;酒精饮料（啤酒除外）;烧酒;⽩兰地</t>
  </si>
  <si>
    <t>2023年11月28日</t>
  </si>
  <si>
    <t>76</t>
  </si>
  <si>
    <t>75625382</t>
  </si>
  <si>
    <t>潘神（上海）应用科技有限公司</t>
  </si>
  <si>
    <t>PAIRSO</t>
  </si>
  <si>
    <t>果酒</t>
  </si>
  <si>
    <t>2023年12月06日</t>
  </si>
  <si>
    <t>77</t>
  </si>
  <si>
    <t>75630172</t>
  </si>
  <si>
    <t>多特瑞控股有限责任公司</t>
  </si>
  <si>
    <t>多特瑞</t>
  </si>
  <si>
    <t>果酒（含酒精）;酒精饮料（啤酒除外）;鸡尾酒;朗姆酒;含⽔果酒精饮料;葡萄酒;伏特加酒;以葡萄酒为主的饮料;以葡萄酒为主的开胃酒;含酒精⽔果饮料</t>
  </si>
  <si>
    <t>78</t>
  </si>
  <si>
    <t>75646327</t>
  </si>
  <si>
    <t>DOTERRA</t>
  </si>
  <si>
    <t>果酒（含酒精）; 葡萄酒; 朗姆酒; 伏特加酒; 鸡尾酒; 以葡萄酒为主的开胃酒; 含酒精水果饮料; 含水果酒精饮料; 酒精饮料（啤酒除外）; 以葡萄酒为主的饮料</t>
  </si>
  <si>
    <t>2023年12月07日</t>
  </si>
  <si>
    <t>79</t>
  </si>
  <si>
    <t>75804161</t>
  </si>
  <si>
    <t>联趣科技发展股份有限公司</t>
  </si>
  <si>
    <t>来交</t>
  </si>
  <si>
    <t>威⼠忌;葡萄酒;果酒（含酒精）;清酒（⽇本⽶酒）;朗姆酒;⽩兰地;⽩酒;伏特加酒;⻩酒;⽶酒</t>
  </si>
  <si>
    <t>2023年12月14日</t>
  </si>
  <si>
    <t>80</t>
  </si>
  <si>
    <t>75815182</t>
  </si>
  <si>
    <t>新疆不忘初心酒业有限公司</t>
  </si>
  <si>
    <t>高昌公主</t>
  </si>
  <si>
    <t>含酒精的充⽓饮料（啤酒除外）;威⼠忌;⽶酒;⾷⽤酒精;甜酒;葡萄酒;⽩兰地;⻩酒;⽩酒;果酒（含酒精）</t>
  </si>
  <si>
    <t>2023年12月15日</t>
  </si>
  <si>
    <t>81</t>
  </si>
  <si>
    <t>75832870</t>
  </si>
  <si>
    <t>徐学亮</t>
  </si>
  <si>
    <t>金酉坊</t>
  </si>
  <si>
    <t>⽶酒;烧酒;鸡尾酒;葡萄酒;酒精饮料（啤酒除外）;清酒（⽇本⽶酒）;⽩酒;⻩酒;⻘稞酒;烈酒（饮料）</t>
  </si>
  <si>
    <t>82</t>
  </si>
  <si>
    <t>75932432</t>
  </si>
  <si>
    <t>营口湛蓝种养殖专业合作社</t>
  </si>
  <si>
    <t>轿顶顶</t>
  </si>
  <si>
    <t>汽酒;⾷⽤酒精;烧酒;预先混合的酒精饮料（以啤酒为主的除外）;酒精饮料（啤酒除外）;⽩酒;⾕物制蒸馏酒精饮料;餐后酒（利⼝酒和烈酒）;⻩酒;果酒（含酒精）</t>
  </si>
  <si>
    <t>2023年12月21日</t>
  </si>
  <si>
    <t>83</t>
  </si>
  <si>
    <t>75964569</t>
  </si>
  <si>
    <t>南昌市野生动植物保护中心</t>
  </si>
  <si>
    <t>果酒（含酒精）;⽩酒;鸡尾酒;葡萄酒;蒸馏饮料;酒精饮料浓缩汁;苹果酒;烧酒;⾷⽤酒精;酒精饮料原汁</t>
  </si>
  <si>
    <t>2023年12月22日</t>
  </si>
  <si>
    <t>84</t>
  </si>
  <si>
    <t>75975332</t>
  </si>
  <si>
    <t>⽶酒;鸡尾酒;⻩酒;蜂蜜酒;果酒;葡萄酒;⽩酒;⽩兰地;⽼酒（中国蒸馏烈酒）;威⼠忌</t>
  </si>
  <si>
    <t>2023年12月23日</t>
  </si>
  <si>
    <t>85</t>
  </si>
  <si>
    <t>75978587</t>
  </si>
  <si>
    <t>威⼠忌;⽼酒（中国蒸馏烈酒）;鸡尾酒;⽩酒;⽶酒;葡萄酒;果酒;蜂蜜酒;⽩兰地;⻩酒</t>
  </si>
  <si>
    <t>86</t>
  </si>
  <si>
    <t>75987735</t>
  </si>
  <si>
    <t>与辉同行（北京）科技有限公司</t>
  </si>
  <si>
    <t>宇辉同行</t>
  </si>
  <si>
    <t>⽩酒;果酒（含酒精）;开胃酒;蒸馏饮料;葡萄酒;⽶酒;烈酒（饮料）;烧酒;⻩酒;酒精饮料（啤酒除外）</t>
  </si>
  <si>
    <t>2023年12月25日</t>
  </si>
  <si>
    <t>87</t>
  </si>
  <si>
    <t>75998822</t>
  </si>
  <si>
    <t>峨眉山市峨眉仙酒业有限公司</t>
  </si>
  <si>
    <t>彝梅</t>
  </si>
  <si>
    <t>⻩酒;⽔果汽酒;⻘梅酒;烈酒;⽩酒;清酒;梅酒;杨梅酒;果酒（含酒精）;⽶酒</t>
  </si>
  <si>
    <t>88</t>
  </si>
  <si>
    <t>76001116</t>
  </si>
  <si>
    <t>河北大朝国电子商务有限责任公司</t>
  </si>
  <si>
    <t>我涞爱源</t>
  </si>
  <si>
    <t>葡萄酒;⽩兰地;开胃酒;烈酒（饮料）;烧酒;威⼠忌;果酒（含酒精）;酒精饮料（啤酒除外）;⽶酒;⽩酒</t>
  </si>
  <si>
    <t>89</t>
  </si>
  <si>
    <t>76065589</t>
  </si>
  <si>
    <t>武汉福润酒店管理有限公司</t>
  </si>
  <si>
    <t>湖滨烧酒</t>
  </si>
  <si>
    <t>⽶酒;伏特加酒;烧酒;汽酒;威⼠忌;⻩酒;⽩酒;⽩兰地;葡萄酒;⻘稞酒</t>
  </si>
  <si>
    <t>2023年12月28日</t>
  </si>
  <si>
    <t>90</t>
  </si>
  <si>
    <t>76109190</t>
  </si>
  <si>
    <t>上海莲芙蓉酒业有限公司</t>
  </si>
  <si>
    <t>莲芙蓉</t>
  </si>
  <si>
    <t>鸡尾酒;利⼝酒;烧酒;⻩酒;⽩酒;清酒（⽇本⽶酒）;开胃酒;⽩兰地;威⼠忌;薄荷酒</t>
  </si>
  <si>
    <t>2023年12月29日</t>
  </si>
  <si>
    <t>91</t>
  </si>
  <si>
    <t>76147870</t>
  </si>
  <si>
    <t>兴企（广东）商务咨询服务有限公司</t>
  </si>
  <si>
    <t>梅子俊</t>
  </si>
  <si>
    <t>⽶酒;葡萄酒;鸡尾酒;开胃酒;清酒;蜂蜜酒;果酒（含酒精）;⻩酒;⽩酒;酒精饮料（啤酒除外）</t>
  </si>
  <si>
    <t>2024年01月02日</t>
  </si>
  <si>
    <t>92</t>
  </si>
  <si>
    <t>76189152</t>
  </si>
  <si>
    <t>威海海藏科技有限公司</t>
  </si>
  <si>
    <t>威葡</t>
  </si>
  <si>
    <t>⽩葡萄酒;红葡萄酒;果酒（含酒精）;以葡萄酒为主的开胃酒;⽩酒;鸡尾酒;⽶酒;⽩兰地;苦荞酒;葡萄酒</t>
  </si>
  <si>
    <t>2024年01月04日</t>
  </si>
  <si>
    <t>137</t>
  </si>
  <si>
    <t>76786422</t>
  </si>
  <si>
    <t>SANG Y VAS</t>
  </si>
  <si>
    <t>酒精饮料（啤酒除外）;葡萄酒;⽩兰地;⽩酒;起泡红葡萄酒;果酒（含酒精）;朗姆酒;伏特加酒;⾷⽤酒精;威⼠忌</t>
  </si>
  <si>
    <t>138</t>
  </si>
  <si>
    <t>76787560</t>
  </si>
  <si>
    <t>BASIEMUR</t>
  </si>
  <si>
    <t>伏特加酒;葡萄酒;⽩兰地;烧酒;⽩酒;⾷⽤酒精;朗姆酒;酒精饮料（啤酒除外）;果酒（含酒精）;威⼠忌</t>
  </si>
  <si>
    <t>139</t>
  </si>
  <si>
    <t>76787729</t>
  </si>
  <si>
    <t>FORTSINAE</t>
  </si>
  <si>
    <t>⻩酒;鸡尾酒;威⼠忌;果酒（含酒精）;烈酒（饮料）;酒精饮料（啤酒除外）;含⽔果酒精饮料;⽩酒;葡萄酒;利⼝酒</t>
  </si>
  <si>
    <t>140</t>
  </si>
  <si>
    <t>76787746</t>
  </si>
  <si>
    <t>FAGASIEN</t>
  </si>
  <si>
    <t>果酒（含酒精）;⾷⽤酒精;⽩酒;⽩兰地;朗姆酒;威⼠忌;烧酒;酒精饮料（啤酒除外）;葡萄酒;伏特加酒</t>
  </si>
  <si>
    <t>141</t>
  </si>
  <si>
    <t>76789029</t>
  </si>
  <si>
    <t>LUCERTNE</t>
  </si>
  <si>
    <t>⽩兰地;⾷⽤酒精;烧酒;⽩酒;葡萄酒;朗姆酒;酒精饮料（啤酒除外）;伏特加酒;果酒（含酒精）;威⼠忌</t>
  </si>
  <si>
    <t>142</t>
  </si>
  <si>
    <t>76789281</t>
  </si>
  <si>
    <t>CAHTSNVR</t>
  </si>
  <si>
    <t>⽩兰地;果酒（含酒精）;含⽔果酒精饮料;葡萄酒;威⼠忌;利⼝酒;起泡红葡萄酒;起泡⽩葡萄酒;酒精饮料（啤酒除外）;伏特加酒</t>
  </si>
  <si>
    <t>143</t>
  </si>
  <si>
    <t>76790508</t>
  </si>
  <si>
    <t>ROYAL STICED</t>
  </si>
  <si>
    <t>威⼠忌;酒精饮料（啤酒除外）;⾷⽤酒精;⽩兰地;葡萄酒;⽩酒;烧酒;含⽔果酒精饮料;果酒（含酒精）;伏特加酒</t>
  </si>
  <si>
    <t>144</t>
  </si>
  <si>
    <t>76790566</t>
  </si>
  <si>
    <t>LERIEAUD</t>
  </si>
  <si>
    <t>葡萄酒;烧酒;⽩兰地;果酒（含酒精）;酒精饮料（啤酒除外）;伏特加酒;朗姆酒;威⼠忌;⾷⽤酒精;⽩酒</t>
  </si>
  <si>
    <t>145</t>
  </si>
  <si>
    <t>76790583</t>
  </si>
  <si>
    <t>CHARLEVADE</t>
  </si>
  <si>
    <t>酒精饮料（啤酒除外）;含⽔果酒精饮料;葡萄酒;威⼠忌;⽩酒;果酒（含酒精）;伏特加酒;⽩兰地;烧酒;⾷⽤酒精</t>
  </si>
  <si>
    <t>146</t>
  </si>
  <si>
    <t>76790673</t>
  </si>
  <si>
    <t>SANG Z VAE</t>
  </si>
  <si>
    <t>酒精饮料（啤酒除外）;起泡红葡萄酒;朗姆酒;葡萄酒;伏特加酒;果酒（含酒精）;⽩酒;⽶酒;威⼠忌;⽩兰地</t>
  </si>
  <si>
    <t>147</t>
  </si>
  <si>
    <t>76791242</t>
  </si>
  <si>
    <t>LATUCOLINA</t>
  </si>
  <si>
    <t>⾷⽤酒精;烈酒（饮料）;果酒（含酒精）;茴⾹酒（利⼝酒）;鸡尾酒;烧酒;酒精饮料（啤酒除外）;⽩酒;葡萄酒;⽶酒</t>
  </si>
  <si>
    <t>148</t>
  </si>
  <si>
    <t>76791286</t>
  </si>
  <si>
    <t>SHUIZHIWEN</t>
  </si>
  <si>
    <t>⽩兰地;含⽔果酒精饮料;以葡萄酒为主的饮料;起泡⽩葡萄酒;苹果酒;酒精饮料浓缩汁;葡萄酒;起泡红葡萄酒;酒精饮料（啤酒除外）;果酒（含酒精）</t>
  </si>
  <si>
    <t>149</t>
  </si>
  <si>
    <t>76791292</t>
  </si>
  <si>
    <t>CVAESLAN</t>
  </si>
  <si>
    <t>果酒（含酒精）;酒精饮料（啤酒除外）;葡萄酒;起泡红葡萄酒;含⽔果酒精饮料;⽩兰地;朗姆酒;利⼝酒;起泡⽩葡萄酒;清酒（⽇本⽶酒）</t>
  </si>
  <si>
    <t>150</t>
  </si>
  <si>
    <t>76791297</t>
  </si>
  <si>
    <t>LAPLOSRHE</t>
  </si>
  <si>
    <t>⽩酒;酒精饮料（啤酒除外）;伏特加酒;鸡尾酒;利⼝酒;威⼠忌;葡萄酒;⽩兰地;朗姆酒;果酒（含酒精）</t>
  </si>
  <si>
    <t>151</t>
  </si>
  <si>
    <t>76792357</t>
  </si>
  <si>
    <t>VAITREHT</t>
  </si>
  <si>
    <t>果酒（含酒精）;葡萄酒;酒精饮料（啤酒除外）;⽩酒;含⽔果酒精饮料;威⼠忌;伏特加酒;⽩兰地;朗姆酒;利⼝酒</t>
  </si>
  <si>
    <t>152</t>
  </si>
  <si>
    <t>76792782</t>
  </si>
  <si>
    <t>ORDEMUJIN</t>
  </si>
  <si>
    <t>朗姆酒;⽩酒;果酒（含酒精）;酒精饮料（啤酒除外）;⾷⽤酒精;烧酒;威⼠忌;伏特加酒;⽩兰地;葡萄酒</t>
  </si>
  <si>
    <t>153</t>
  </si>
  <si>
    <t>76793240</t>
  </si>
  <si>
    <t>CASEYMA</t>
  </si>
  <si>
    <t>果酒（含酒精）;朗姆酒;烧酒;⽩兰地;⾷⽤酒精;威⼠忌;葡萄酒;鸡尾酒;酒精饮料（啤酒除外）;伏特加酒</t>
  </si>
  <si>
    <t>154</t>
  </si>
  <si>
    <t>76793293</t>
  </si>
  <si>
    <t>BAUGHONST</t>
  </si>
  <si>
    <t>伏特加酒;果酒（含酒精）;⽩酒;威⼠忌;朗姆酒;⽩兰地;利⼝酒;酒精饮料（啤酒除外）;含⽔果酒精饮料;葡萄酒</t>
  </si>
  <si>
    <t>155</t>
  </si>
  <si>
    <t>76793308</t>
  </si>
  <si>
    <t>SAITEGRN</t>
  </si>
  <si>
    <t>酒精饮料（啤酒除外）;葡萄酒;伏特加酒;果酒（含酒精）;⾷⽤酒精;利⼝酒;⽩兰地;威⼠忌;朗姆酒;⽩酒</t>
  </si>
  <si>
    <t>156</t>
  </si>
  <si>
    <t>76793675</t>
  </si>
  <si>
    <t>HANVRER</t>
  </si>
  <si>
    <t>起泡红葡萄酒;含⽔果酒精饮料;威⼠忌;利⼝酒;酒精饮料（啤酒除外）;葡萄酒;⽩兰地;朗姆酒;果酒（含酒精）;伏特加酒</t>
  </si>
  <si>
    <t>157</t>
  </si>
  <si>
    <t>76794086</t>
  </si>
  <si>
    <t>XUAN M ZENY</t>
  </si>
  <si>
    <t>⽩兰地;果酒（含酒精）;⾷⽤酒精;葡萄酒;威⼠忌;朗姆酒;伏特加酒;⽩酒;酒精饮料（啤酒除外）;烧酒</t>
  </si>
  <si>
    <t>158</t>
  </si>
  <si>
    <t>76794106</t>
  </si>
  <si>
    <t>LEMUKASR</t>
  </si>
  <si>
    <t>伏特加酒;利⼝酒;果酒（含酒精）;⾷⽤酒精;酒精饮料（啤酒除外）;葡萄酒;⽩兰地;朗姆酒;烧酒;威⼠忌</t>
  </si>
  <si>
    <t>159</t>
  </si>
  <si>
    <t>76794240</t>
  </si>
  <si>
    <t>ROYAL CRWNIE</t>
  </si>
  <si>
    <t>烧酒;⽩兰地;伏特加酒;酒精饮料（啤酒除外）;果酒（含酒精）;⽩酒;威⼠忌;⾷⽤酒精;含⽔果酒精饮料;葡萄酒</t>
  </si>
  <si>
    <t>160</t>
  </si>
  <si>
    <t>76794324</t>
  </si>
  <si>
    <t>FLYNEAD</t>
  </si>
  <si>
    <t>利⼝酒;含⽔果酒精饮料;威⼠忌;葡萄酒;朗姆酒;起泡⽩葡萄酒;清酒（⽇本⽶酒）;⽩兰地;果酒（含酒精）;酒精饮料（啤酒除外）</t>
  </si>
  <si>
    <t>161</t>
  </si>
  <si>
    <t>76794380</t>
  </si>
  <si>
    <t>CHANTRUN</t>
  </si>
  <si>
    <t>⽩兰地;伏特加酒;葡萄酒;⽩酒;酒精饮料（啤酒除外）;果酒（含酒精）;烧酒;利⼝酒;朗姆酒;威⼠忌</t>
  </si>
  <si>
    <t>162</t>
  </si>
  <si>
    <t>76794439</t>
  </si>
  <si>
    <t>BATEAU DRAGON DUCRE</t>
  </si>
  <si>
    <t>葡萄酒;酒精饮料（啤酒除外）;鸡尾酒;烈酒（饮料）;⽶酒;烧酒;⾷⽤酒精;开胃酒;⽩酒;果酒（含酒精）</t>
  </si>
  <si>
    <t>163</t>
  </si>
  <si>
    <t>76794884</t>
  </si>
  <si>
    <t>单红杰</t>
  </si>
  <si>
    <t>古镇礼拜年</t>
  </si>
  <si>
    <t>鸡尾酒;⽶酒;烧酒;葡萄酒;果酒（含酒精）;⻩酒;⽼酒（中国蒸馏烈酒）;⽩兰地;酒精饮料原汁;⽩酒</t>
  </si>
  <si>
    <t>164</t>
  </si>
  <si>
    <t>76795030</t>
  </si>
  <si>
    <t>曲阜鲁粮原浆酒业有限公司</t>
  </si>
  <si>
    <t>鲁粮金波</t>
  </si>
  <si>
    <t>⾼粱酒;烧酒（烈酒）;⽼酒（中国蒸馏烈酒）;餐后酒（利⼝酒和烈酒）;酒精饮料（啤酒除外）;开胃酒;⽩酒;柑⾹酒;烈酒（饮料）;蒸馏⽶酒（泡盛酒）</t>
  </si>
  <si>
    <t>165</t>
  </si>
  <si>
    <t>76795183</t>
  </si>
  <si>
    <t>SANG Y VAS X</t>
  </si>
  <si>
    <t>⾷⽤酒精;朗姆酒;威⼠忌;伏特加酒;果酒（含酒精）;酒精饮料（啤酒除外）;葡萄酒;⽩兰地;⽩酒;烧酒</t>
  </si>
  <si>
    <t>166</t>
  </si>
  <si>
    <t>76795186</t>
  </si>
  <si>
    <t>BNAVEUMA</t>
  </si>
  <si>
    <t>⽩酒;伏特加酒;⻩酒;果酒（含酒精）;葡萄酒;⽩兰地;烧酒;朗姆酒;威⼠忌;酒精饮料（啤酒除外）</t>
  </si>
  <si>
    <t>167</t>
  </si>
  <si>
    <t>76795571</t>
  </si>
  <si>
    <t>CENRLAND</t>
  </si>
  <si>
    <t>天然汽酒;烈酒（饮料）;朗姆酒;起泡红葡萄酒;威⼠忌;⽩兰地;酒精饮料（啤酒除外）;利⼝酒;伏特加酒;起泡⽩葡萄酒</t>
  </si>
  <si>
    <t>168</t>
  </si>
  <si>
    <t>76795574</t>
  </si>
  <si>
    <t>RILYNHIO</t>
  </si>
  <si>
    <t>利⼝酒;烧酒;威⼠忌;伏特加酒;酒精饮料（啤酒除外）;葡萄酒;⽩兰地;⾷⽤酒精;朗姆酒;果酒（含酒精）</t>
  </si>
  <si>
    <t>169</t>
  </si>
  <si>
    <t>76795653</t>
  </si>
  <si>
    <t>BSHAVRDA</t>
  </si>
  <si>
    <t>⽩兰地;果酒（含酒精）;朗姆酒;葡萄酒;伏特加酒;烧酒;酒精饮料（啤酒除外）;⾷⽤酒精;威⼠忌;⽩酒</t>
  </si>
  <si>
    <t>170</t>
  </si>
  <si>
    <t>76795815</t>
  </si>
  <si>
    <t>JINTXHUAG</t>
  </si>
  <si>
    <t>果酒（含酒精）;⾷⽤酒精;葡萄酒;朗姆酒;威⼠忌;伏特加酒;⽩兰地;烧酒;⽩酒;酒精饮料（啤酒除外）</t>
  </si>
  <si>
    <t>171</t>
  </si>
  <si>
    <t>76795832</t>
  </si>
  <si>
    <t>BAEHANYLVEN</t>
  </si>
  <si>
    <t>伏特加酒;酒精饮料（啤酒除外）;⽩兰地;威⼠忌;烧酒;果酒（含酒精）;朗姆酒;⾷⽤酒精;葡萄酒;⽩酒</t>
  </si>
  <si>
    <t>172</t>
  </si>
  <si>
    <t>76795854</t>
  </si>
  <si>
    <t>ORDEMUXI</t>
  </si>
  <si>
    <t>⽩兰地;朗姆酒;酒精饮料（啤酒除外）;威⼠忌;⽩酒;果酒（含酒精）;⾷⽤酒精;葡萄酒;烧酒;伏特加酒</t>
  </si>
  <si>
    <t>173</t>
  </si>
  <si>
    <t>76795871</t>
  </si>
  <si>
    <t>CHARLESNG</t>
  </si>
  <si>
    <t>伏特加酒;葡萄酒;果酒（含酒精）;⽩兰地;含⽔果酒精饮料;⾷⽤酒精;⽩酒;威⼠忌;酒精饮料（啤酒除外）;烧酒</t>
  </si>
  <si>
    <t>174</t>
  </si>
  <si>
    <t>76795916</t>
  </si>
  <si>
    <t>SANG QL CEY.X</t>
  </si>
  <si>
    <t>烧酒;葡萄酒;伏特加酒;⽶酒;朗姆酒;⽩兰地;威⼠忌;酒精饮料（啤酒除外）;果酒（含酒精）;⽩酒</t>
  </si>
  <si>
    <t>175</t>
  </si>
  <si>
    <t>76795917</t>
  </si>
  <si>
    <t>SANG QL CEY</t>
  </si>
  <si>
    <t>朗姆酒;果酒（含酒精）;伏特加酒;威⼠忌;葡萄酒;酒精饮料（啤酒除外）;⽩兰地;⽩酒;⽶酒;烧酒</t>
  </si>
  <si>
    <t>176</t>
  </si>
  <si>
    <t>76797295</t>
  </si>
  <si>
    <t>黄鹤楼酒业有限公司</t>
  </si>
  <si>
    <t>楼万里</t>
  </si>
  <si>
    <t>⻩酒;烧酒;⽶酒;⽩酒;⾷⽤酒精;蒸煮提取物（利⼝酒和烈酒）;清酒（⽇本⽶酒）;果酒（含酒精）;开胃酒;烈酒（饮料）</t>
  </si>
  <si>
    <t>177</t>
  </si>
  <si>
    <t>76798256</t>
  </si>
  <si>
    <t>沱</t>
  </si>
  <si>
    <t>果酒（含酒精）;酒精饮料（啤酒除外）;酒精饮料原汁;蒸煮提取物（利⼝酒和烈酒）;⽩酒;葡萄酒;利⼝酒;⾷⽤酒精;开胃酒;烧酒</t>
  </si>
  <si>
    <t>178</t>
  </si>
  <si>
    <t>76798848</t>
  </si>
  <si>
    <t>DUCRERTENIG</t>
  </si>
  <si>
    <t>烈酒（饮料）;烧酒;茴⾹酒（利⼝酒）;果酒（含酒精）;葡萄酒;⽶酒;⾷⽤酒精;酒精饮料（啤酒除外）;鸡尾酒;⽩酒</t>
  </si>
  <si>
    <t>179</t>
  </si>
  <si>
    <t>76799663</t>
  </si>
  <si>
    <t>BALNUGAH</t>
  </si>
  <si>
    <t>烧酒;酒精饮料（啤酒除外）;威⼠忌;朗姆酒;⾷⽤酒精;利⼝酒;葡萄酒;⽩兰地;果酒（含酒精）;伏特加酒</t>
  </si>
  <si>
    <t>180</t>
  </si>
  <si>
    <t>76812334</t>
  </si>
  <si>
    <t>陕西龙窝村酒业有限公司</t>
  </si>
  <si>
    <t>费记龙窝酒</t>
  </si>
  <si>
    <t>⽶酒;果酒（含酒精）;开胃酒;葡萄酒;烈酒（饮料）;⾼粱酒;烧酒;⻩酒;⽩⼲酒（中国⽩酒）;⽩酒</t>
  </si>
  <si>
    <t>2024年02月06日</t>
  </si>
  <si>
    <t>181</t>
  </si>
  <si>
    <t>76816695</t>
  </si>
  <si>
    <t>西双版纳现代农业发展集团有限公司</t>
  </si>
  <si>
    <t>雨林生活</t>
  </si>
  <si>
    <t>⽢蔗制酒精饮料;葡萄酒;蜂蜜酒;含⽔果酒精饮料;餐后酒（利⼝酒和烈酒）;⽩酒;果酒（含酒精）;苦味酒;开胃酒;⾕物制蒸馏酒精饮料</t>
  </si>
  <si>
    <t>2024年02月07日</t>
  </si>
  <si>
    <t>182</t>
  </si>
  <si>
    <t>76839095</t>
  </si>
  <si>
    <t>西乌珠穆沁旗聚利方达餐饮有限公司</t>
  </si>
  <si>
    <t>JULIFANGDA</t>
  </si>
  <si>
    <t>⻘稞酒;⽩酒;⾼粱酒;清酒;烈酒;葡萄酒;⻩酒;果酒;⽶酒;果酒（含酒精）</t>
  </si>
  <si>
    <t>2024年02月18日</t>
  </si>
  <si>
    <t>183</t>
  </si>
  <si>
    <t>76840161</t>
  </si>
  <si>
    <t>赵志强</t>
  </si>
  <si>
    <t>遵百亿</t>
  </si>
  <si>
    <t xml:space="preserve">	高粱酒; 米酒; 烈酒（饮料）; 老酒（中国蒸馏烈酒）; 马格利酒（朝鲜传统米酒）; 含酒精的充气饮料（啤酒除外）; 白酒; 白干酒（中国白酒）; 含酒精的鸡尾酒混合饮品; 清酒</t>
  </si>
  <si>
    <t>184</t>
  </si>
  <si>
    <t>76845892</t>
  </si>
  <si>
    <t>肖宜红</t>
  </si>
  <si>
    <t>怀王御</t>
  </si>
  <si>
    <t>烧酒;果酒（含酒精）;⽩酒;葡萄酒;烈酒（饮料）;酒精饮料（啤酒除外）;⻩酒;⽶酒;鸡尾酒;清酒</t>
  </si>
  <si>
    <t>2024年02月19日</t>
  </si>
  <si>
    <t>185</t>
  </si>
  <si>
    <t>76858283</t>
  </si>
  <si>
    <t>成都菜小二农业有限公司</t>
  </si>
  <si>
    <t>盛鑫烧坊</t>
  </si>
  <si>
    <t>伏特加酒;烈酒;⽩兰地;葡萄酒;鸡尾酒;蒸馏饮料;⽩酒;果酒;朗姆酒;清酒</t>
  </si>
  <si>
    <t>186</t>
  </si>
  <si>
    <t>76861764</t>
  </si>
  <si>
    <t>重庆刘氏文化传媒有限公司</t>
  </si>
  <si>
    <t>欢乐之液</t>
  </si>
  <si>
    <t>梨酒;烈酒（饮料）;餐后酒（利⼝酒和烈酒）;蒸馏饮料;⽩兰地;柑⾹酒;苹果酒;⽶酒;鸡尾酒;葡萄酒</t>
  </si>
  <si>
    <t>187</t>
  </si>
  <si>
    <t>76863754</t>
  </si>
  <si>
    <t>甘肃岷洲酒业有限公司</t>
  </si>
  <si>
    <t>岷州骄子</t>
  </si>
  <si>
    <t>果酒（含酒精）;苹果酒;鸡尾酒;清酒（⽇本⽶酒）;⽩酒;⻩酒;开胃酒;酒精饮料（啤酒除外）;含⽔果酒精饮料;⽶酒</t>
  </si>
  <si>
    <t>2024年02月20日</t>
  </si>
  <si>
    <t>188</t>
  </si>
  <si>
    <t>76867277</t>
  </si>
  <si>
    <t>颜杰</t>
  </si>
  <si>
    <t>倾国芙蓉</t>
  </si>
  <si>
    <t>果酒（含酒精）;清酒（⽇本⽶酒）;葡萄酒;酒精饮料（啤酒除外）;⽩酒;⻩酒;烧酒;鸡尾酒;烈酒（饮料）;⽶酒</t>
  </si>
  <si>
    <t>189</t>
  </si>
  <si>
    <t>76868678</t>
  </si>
  <si>
    <t>福建辣木客餐饮管理有限公司</t>
  </si>
  <si>
    <t>⽩酒;⾼粱酒;甜果酒;樱桃酒;⻩酒;黑覆盆⼦酒;开胃酒;草莓酒;蒸馏饮料;杨梅酒</t>
  </si>
  <si>
    <t>190</t>
  </si>
  <si>
    <t>76871322</t>
  </si>
  <si>
    <t>顶坤（上海）品牌管理有限公司</t>
  </si>
  <si>
    <t>牛三好</t>
  </si>
  <si>
    <t>⽩兰地;开胃酒;清酒;酒精饮料（啤酒除外）;⽩酒;⻩酒;果酒;葡萄酒;鸡尾酒;威⼠忌</t>
  </si>
  <si>
    <t>191</t>
  </si>
  <si>
    <t>76875433</t>
  </si>
  <si>
    <t>山西紫塞长城贸易有限公司</t>
  </si>
  <si>
    <t>芦芽星</t>
  </si>
  <si>
    <t>果酒;鸡尾酒;伏特加酒;烈酒（饮料）;酒精饮料（啤酒除外）;开胃酒;葡萄酒;⽩酒;烧酒;⻩酒</t>
  </si>
  <si>
    <t>192</t>
  </si>
  <si>
    <t>76877742</t>
  </si>
  <si>
    <t>郓城县金桥贸易有限公司</t>
  </si>
  <si>
    <t>水浒一百零八将</t>
  </si>
  <si>
    <t>烧酒;⽩酒;含酒精⽔果饮料;果酒（含酒精）;烈酒;苹果酒;葡萄酒;⾕物制蒸馏酒精饮料;酒精饮料（啤酒除外）;⾷⽤酒精</t>
  </si>
  <si>
    <t>193</t>
  </si>
  <si>
    <t>76884289</t>
  </si>
  <si>
    <t>⽩兰地;葡萄酒;⾷⽤酒精;果酒（含酒精）;利⼝酒;朗姆酒;酒精饮料（啤酒除外）;烈酒（饮料）;威⼠忌;伏特加酒</t>
  </si>
  <si>
    <t>2024年02月21日</t>
  </si>
  <si>
    <t>194</t>
  </si>
  <si>
    <t>76884437</t>
  </si>
  <si>
    <t>内蒙古云飞酒业有限公司</t>
  </si>
  <si>
    <t>云飞</t>
  </si>
  <si>
    <t>⽩兰地;⽩酒;开胃酒;清酒;烧酒;葡萄酒;酒精饮料（啤酒除外）;利⼝酒;果酒（含酒精）;⾷⽤酒精</t>
  </si>
  <si>
    <t>195</t>
  </si>
  <si>
    <t>76892589</t>
  </si>
  <si>
    <t>遵义市亚投行商贸有限公司</t>
  </si>
  <si>
    <t>藏宾宗师</t>
  </si>
  <si>
    <t>烧酒（烈酒）;⽼酒（中国蒸馏酒）;餐后酒（利⼝酒和烈酒）;⾼粱酒;⽩酒;⽩⼲酒（中国⽩酒）;苹果酒;葡萄酒;利⼝酒;果酒（含酒精）</t>
  </si>
  <si>
    <t>196</t>
  </si>
  <si>
    <t>76894643</t>
  </si>
  <si>
    <t>贵州良益酒业有限公司</t>
  </si>
  <si>
    <t>良益天下</t>
  </si>
  <si>
    <t>⽩酒;烧酒（烈酒）;⽩⼲酒（中国⽩酒）;由⾕物蒸馏的⽩酒;蒸煮提取物（利⼝酒和烈酒）;⽼酒（中国蒸馏烈酒）;五加⽪酒（中国混合烈酒）;烈性⼲酒;烧酒;烈酒</t>
  </si>
  <si>
    <t>197</t>
  </si>
  <si>
    <t>76898889</t>
  </si>
  <si>
    <t>贵州省仁怀市蓝香酒业销售有限公司</t>
  </si>
  <si>
    <t>葡萄酒;⽶酒;果酒;⽩酒;露酒;酒精饮料原汁;烧酒;⾼粱酒;烈酒;⾷⽤酒精</t>
  </si>
  <si>
    <t>198</t>
  </si>
  <si>
    <t>76902758</t>
  </si>
  <si>
    <t>海藏壹号（长岛）酒庄有限公司</t>
  </si>
  <si>
    <t>海藏六号</t>
  </si>
  <si>
    <t>含⽔果酒精饮料;酒精饮料（啤酒除外）;酒精饮料原汁;开胃酒;⾷⽤酒精;烈酒（饮料）;威⼠忌;果酒（含酒精）;葡萄酒;⽩兰地</t>
  </si>
  <si>
    <t>2024年02月22日</t>
  </si>
  <si>
    <t>199</t>
  </si>
  <si>
    <t>76905994</t>
  </si>
  <si>
    <t>海藏九号</t>
  </si>
  <si>
    <t>含⽔果酒精饮料;烈酒（饮料）;葡萄酒;酒精饮料（啤酒除外）;⽩兰地;⾷⽤酒精;开胃酒;威⼠忌;果酒（含酒精）;酒精饮料原汁</t>
  </si>
  <si>
    <t>200</t>
  </si>
  <si>
    <t>76908783</t>
  </si>
  <si>
    <t>海藏三号</t>
  </si>
  <si>
    <t>威⼠忌;酒精饮料原汁;葡萄酒;开胃酒;⾷⽤酒精;⽩兰地;含⽔果酒精饮料;果酒（含酒精）;烈酒（饮料）;酒精饮料（啤酒除外）</t>
  </si>
  <si>
    <t>201</t>
  </si>
  <si>
    <t>76909169</t>
  </si>
  <si>
    <t>杭州蜜罐私焙餐饮有限公司</t>
  </si>
  <si>
    <t>葡萄酒;烧酒;利⼝酒;鸡尾酒;伏特加酒;⽶酒;果酒（含酒精）;朗姆酒;清酒（⽇本⽶酒）;酒精饮料（啤酒除外）</t>
  </si>
  <si>
    <t>202</t>
  </si>
  <si>
    <t>76911997</t>
  </si>
  <si>
    <t>内蒙古世纪呼白酒业有限责任公司</t>
  </si>
  <si>
    <t>王中腰酒</t>
  </si>
  <si>
    <t>⽶酒;⻘稞酒;烧酒;⻩酒;果酒（含酒精）;蒸馏饮料;烈酒（饮料）;⽩酒;酒精饮料（啤酒除外）;开胃酒</t>
  </si>
  <si>
    <t>203</t>
  </si>
  <si>
    <t>76912885</t>
  </si>
  <si>
    <t>舍得酡牌</t>
  </si>
  <si>
    <t>酒精饮料（啤酒除外）;⾷⽤酒精;⽩酒;蒸煮提取物（利⼝酒和烈酒）;烧酒;葡萄酒;利⼝酒;开胃酒;果酒（含酒精）;酒精饮料原汁</t>
  </si>
  <si>
    <t>204</t>
  </si>
  <si>
    <t>76915373</t>
  </si>
  <si>
    <t>⽶酒;果酒（含酒精）;⻩酒;⻘稞酒;蒸馏饮料;⽩酒;开胃酒;烧酒;烈酒（饮料）;酒精饮料（啤酒除外）</t>
  </si>
  <si>
    <t>205</t>
  </si>
  <si>
    <t>76915755</t>
  </si>
  <si>
    <t>武汉山水可远电子商务有限公司</t>
  </si>
  <si>
    <t>龙归春添</t>
  </si>
  <si>
    <t>餐后酒（利⼝酒和烈酒）;烈酒（饮料）;酒精饮料原汁;酒精饮料（啤酒除外）;预先混合的酒精饮料（以啤酒为主的除外）;果酒（含酒精）;含⽔果酒精饮料;⻩酒;⽶酒;开胃酒</t>
  </si>
  <si>
    <t>206</t>
  </si>
  <si>
    <t>76915768</t>
  </si>
  <si>
    <t>生媚</t>
  </si>
  <si>
    <t>含⽔果酒精饮料;餐后酒（利⼝酒和烈酒）;⻩酒;开胃酒;预先混合的酒精饮料（以啤酒为主的除外）;⽶酒;酒精饮料（啤酒除外）;果酒（含酒精）;烈酒（饮料）;酒精饮料原汁</t>
  </si>
  <si>
    <t>207</t>
  </si>
  <si>
    <t>76915963</t>
  </si>
  <si>
    <t>开胃酒;⻩酒;酒精饮料（啤酒除外）;⻘稞酒;烈酒（饮料）;烧酒;蒸馏饮料;⽩酒;⽶酒;果酒（含酒精）</t>
  </si>
  <si>
    <t>208</t>
  </si>
  <si>
    <t>76916920</t>
  </si>
  <si>
    <t>杜康</t>
  </si>
  <si>
    <t>金渐层</t>
  </si>
  <si>
    <t>鸡尾酒;烈酒;⽩酒;⻩酒;⽶酒;蒸煮提取物（利⼝酒和烈酒）;葡萄酒;酒精饮料（啤酒除外）;烧酒;果酒（含酒精）</t>
  </si>
  <si>
    <t>209</t>
  </si>
  <si>
    <t>76923456</t>
  </si>
  <si>
    <t>迪莫尔公司</t>
  </si>
  <si>
    <t>CHATEAU ROQUETTES</t>
  </si>
  <si>
    <t>蒸馏饮料;蒸煮提取物（利⼝酒和烈酒）;开胃酒;利⼝酒;酒精饮料（啤酒除外）;酒精饮料原汁;鸡尾酒;汽酒;预先混合的酒精饮料（以啤酒为主的除外）;葡萄酒</t>
  </si>
  <si>
    <t>2024年02月23日</t>
  </si>
  <si>
    <t>210</t>
  </si>
  <si>
    <t>76926632</t>
  </si>
  <si>
    <t>VICOMTE DES AGAPPES</t>
  </si>
  <si>
    <t>葡萄酒;蒸馏饮料;酒精饮料原汁;酒精饮料（啤酒除外）;预先混合的酒精饮料（以啤酒为主的除外）;利⼝酒;开胃酒;汽酒;鸡尾酒;蒸煮提取物（利⼝酒和烈酒）</t>
  </si>
  <si>
    <t>211</t>
  </si>
  <si>
    <t>76926999</t>
  </si>
  <si>
    <t>贵州省仁怀市茅台镇怀茅酒厂</t>
  </si>
  <si>
    <t>薄荷酒;鸡尾酒;烈酒（饮料）;⻩酒;⽩兰地;果酒（含酒精）;⽶酒;⽩酒;开胃酒;威⼠忌</t>
  </si>
  <si>
    <t>212</t>
  </si>
  <si>
    <t>76927517</t>
  </si>
  <si>
    <t>北京禹生龙厚体育文化有限公司</t>
  </si>
  <si>
    <t>许武尚德</t>
  </si>
  <si>
    <t>葡萄酒;酒精饮料原汁;果酒;酒精饮料浓缩汁;含⽔果酒精饮料;⽩酒;烧酒;蒸煮提取物（利⼝酒和烈酒）;清酒（⽇本⽶酒）;⽶酒</t>
  </si>
  <si>
    <t>213</t>
  </si>
  <si>
    <t>76929147</t>
  </si>
  <si>
    <t>LE BATON DU MARECHAL</t>
  </si>
  <si>
    <t>酒精饮料原汁;酒精饮料（啤酒除外）;利⼝酒;蒸煮提取物（利⼝酒和烈酒）;预先混合的酒精饮料（以啤酒为主的除外）;蒸馏饮料;鸡尾酒;汽酒;葡萄酒;开胃酒</t>
  </si>
  <si>
    <t>214</t>
  </si>
  <si>
    <t>76931051</t>
  </si>
  <si>
    <t>LE CHAMANE DE SAINT M</t>
  </si>
  <si>
    <t>汽酒;蒸馏饮料;鸡尾酒;酒精饮料原汁;蒸煮提取物（利⼝酒和烈酒）;酒精饮料（啤酒除外）;利⼝酒;葡萄酒;预先混合的酒精饮料（以啤酒为主的除外）;开胃酒</t>
  </si>
  <si>
    <t>215</t>
  </si>
  <si>
    <t>76931056</t>
  </si>
  <si>
    <t>LE DIVIN MONARQUE</t>
  </si>
  <si>
    <t>葡萄酒;酒精饮料（啤酒除外）;蒸煮提取物（利⼝酒和烈酒）;酒精饮料原汁;预先混合的酒精饮料（以啤酒为主的除外）;开胃酒;蒸馏饮料;利⼝酒;汽酒;鸡尾酒</t>
  </si>
  <si>
    <t>216</t>
  </si>
  <si>
    <t>76931071</t>
  </si>
  <si>
    <t>LE MAITRE A DANSER</t>
  </si>
  <si>
    <t>开胃酒;汽酒;葡萄酒;鸡尾酒;利⼝酒;蒸馏饮料;酒精饮料原汁;酒精饮料（啤酒除外）;蒸煮提取物（利⼝酒和烈酒）;预先混合的酒精饮料（以啤酒为主的除外）</t>
  </si>
  <si>
    <t>217</t>
  </si>
  <si>
    <t>76931346</t>
  </si>
  <si>
    <t>VENDEMIAIRE DE LACOMBE</t>
  </si>
  <si>
    <t>蒸馏饮料;酒精饮料（啤酒除外）;蒸煮提取物（利⼝酒和烈酒）;开胃酒;鸡尾酒;利⼝酒;汽酒;葡萄酒;酒精饮料原汁;预先混合的酒精饮料（以啤酒为主的除外）</t>
  </si>
  <si>
    <t>218</t>
  </si>
  <si>
    <t>76937777</t>
  </si>
  <si>
    <t>METAPHORE VALUPTUEUSE</t>
  </si>
  <si>
    <t>利⼝酒;蒸馏饮料;酒精饮料（啤酒除外）;蒸煮提取物（利⼝酒和烈酒）;预先混合的酒精饮料（以啤酒为主的除外）;葡萄酒;酒精饮料原汁;鸡尾酒;汽酒;开胃酒</t>
  </si>
  <si>
    <t>219</t>
  </si>
  <si>
    <t>76938443</t>
  </si>
  <si>
    <t>L'ATTELAGE ROYAL</t>
  </si>
  <si>
    <t>蒸馏饮料;酒精饮料原汁;预先混合的酒精饮料（以啤酒为主的除外）;利⼝酒;鸡尾酒;汽酒;酒精饮料（啤酒除外）;蒸煮提取物（利⼝酒和烈酒）;葡萄酒;开胃酒</t>
  </si>
  <si>
    <t>220</t>
  </si>
  <si>
    <t>76938462</t>
  </si>
  <si>
    <t>LA DREVE DU CHATEAU</t>
  </si>
  <si>
    <t>葡萄酒;酒精饮料原汁;预先混合的酒精饮料（以啤酒为主的除外）;利⼝酒;蒸煮提取物（利⼝酒和烈酒）;蒸馏饮料;鸡尾酒;开胃酒;酒精饮料（啤酒除外）;汽酒</t>
  </si>
  <si>
    <t>221</t>
  </si>
  <si>
    <t>76940284</t>
  </si>
  <si>
    <t>ALLEGORIE DES VENDANGES</t>
  </si>
  <si>
    <t>利⼝酒;开胃酒;蒸馏饮料;预先混合的酒精饮料（以啤酒为主的除外）;蒸煮提取物（利⼝酒和烈酒）;葡萄酒;酒精饮料原汁;鸡尾酒;酒精饮料（啤酒除外）;汽酒</t>
  </si>
  <si>
    <t>222</t>
  </si>
  <si>
    <t>76940294</t>
  </si>
  <si>
    <t>CLAIREFONT</t>
  </si>
  <si>
    <t>蒸馏饮料;预先混合的酒精饮料（以啤酒为主的除外）;酒精饮料（啤酒除外）;蒸煮提取物（利⼝酒和烈酒）;酒精饮料原汁;鸡尾酒;开胃酒;汽酒;葡萄酒;利⼝酒</t>
  </si>
  <si>
    <t>223</t>
  </si>
  <si>
    <t>76940379</t>
  </si>
  <si>
    <t>PONTNEUVY</t>
  </si>
  <si>
    <t>蒸馏饮料;酒精饮料原汁;蒸煮提取物（利⼝酒和烈酒）;利⼝酒;葡萄酒;开胃酒;鸡尾酒;酒精饮料（啤酒除外）;汽酒;预先混合的酒精饮料（以啤酒为主的除外）</t>
  </si>
  <si>
    <t>224</t>
  </si>
  <si>
    <t>76946478</t>
  </si>
  <si>
    <t>欧维健康医药（香港）有限公司</t>
  </si>
  <si>
    <t>OIWE</t>
  </si>
  <si>
    <t>⻩酒;鸡尾酒;葡萄酒;果酒;烧酒;⽩酒;含⽔果酒精饮料;果酒（含酒精）;清酒（⽇本⽶酒）;酒精饮料原汁</t>
  </si>
  <si>
    <t>2024年02月25日</t>
  </si>
  <si>
    <t>225</t>
  </si>
  <si>
    <t>76946676</t>
  </si>
  <si>
    <t>山西杏花纯粮酿酒业有限公司</t>
  </si>
  <si>
    <t>杏福梁</t>
  </si>
  <si>
    <t>开胃酒;葡萄酒;酒精饮料（啤酒除外）;威⼠忌;⾷⽤酒精;⽶酒;果酒（含酒精）;⽩酒;⻩酒;烧酒</t>
  </si>
  <si>
    <t>226</t>
  </si>
  <si>
    <t>76946700</t>
  </si>
  <si>
    <t>清流县龙津镇中群百货商行</t>
  </si>
  <si>
    <t>金小酿</t>
  </si>
  <si>
    <t>威⼠忌;果酒;甜酒;餐后酒（利⼝酒和烈酒）;鸡尾酒;梅酒;含酒精的饮料（啤酒除外）;⽩酒;开胃酒;葡萄酒</t>
  </si>
  <si>
    <t>227</t>
  </si>
  <si>
    <t>76949330</t>
  </si>
  <si>
    <t>泉州市泉港区越后制果日用百货商行</t>
  </si>
  <si>
    <t>蜀家村</t>
  </si>
  <si>
    <t>果酒;葡萄酒;酒精饮料（啤酒除外）;⽩酒;开胃酒;鸡尾酒;含酒精的饮料（啤酒除外）;威⼠忌;利⼝酒;朗姆酒（酒精饮料）</t>
  </si>
  <si>
    <t>2024年02月26日</t>
  </si>
  <si>
    <t>228</t>
  </si>
  <si>
    <t>76953468</t>
  </si>
  <si>
    <t>贵州财到福到贸易有限公司</t>
  </si>
  <si>
    <t>赢行家</t>
  </si>
  <si>
    <t>葡萄酒;⾷⽤酒精;烈酒（饮料）;酒精饮料（啤酒除外）;果酒（含酒精）;⽩酒;甜酒;鸡尾酒;汽酒;烧酒</t>
  </si>
  <si>
    <t>229</t>
  </si>
  <si>
    <t>76954443</t>
  </si>
  <si>
    <t>王建</t>
  </si>
  <si>
    <t>螺钿</t>
  </si>
  <si>
    <t>清酒;果酒;果酒（含酒精）;⻩酒;烈酒;露酒;⽩酒;梅酒;⽶酒;烧酒</t>
  </si>
  <si>
    <t>230</t>
  </si>
  <si>
    <t>76955699</t>
  </si>
  <si>
    <t>山东芸湘食品科技有限公司</t>
  </si>
  <si>
    <t>湘南王</t>
  </si>
  <si>
    <t>鸡尾酒;⽩酒;烧酒;烈酒（饮料）;⽩兰地;⽶酒;含⽔果酒精饮料;葡萄酒;以葡萄酒为主的饮料;⻩酒</t>
  </si>
  <si>
    <t>231</t>
  </si>
  <si>
    <t>76958152</t>
  </si>
  <si>
    <t>马克安东尼集团公司</t>
  </si>
  <si>
    <t>米逊山</t>
  </si>
  <si>
    <t>232</t>
  </si>
  <si>
    <t>76966016</t>
  </si>
  <si>
    <t>李勇</t>
  </si>
  <si>
    <t>琅文</t>
  </si>
  <si>
    <t>果酒;鸡尾酒;酒精饮料（啤酒除外）;⽶酒;⻩酒;烈酒（饮料）;果酒（含酒精）;葡萄酒;含⽔果酒精饮料;⽩酒</t>
  </si>
  <si>
    <t>233</t>
  </si>
  <si>
    <t>76966534</t>
  </si>
  <si>
    <t>CROS DES CLOUX GRAND CRU</t>
  </si>
  <si>
    <t>烈酒（饮料）;葡萄酒;鸡尾酒;威⼠忌;⽩酒;酒精饮料（啤酒除外）;果酒（含酒精）;甜果酒;⽩兰地;⽶酒</t>
  </si>
  <si>
    <t>234</t>
  </si>
  <si>
    <t>76969576</t>
  </si>
  <si>
    <t>河南济世康医疗器械有限公司</t>
  </si>
  <si>
    <t>御龙湶 IMPERIAL DRAGON</t>
  </si>
  <si>
    <t>⽩酒;威⼠忌;葡萄酒;⻩酒;⽶酒;果酒（含酒精）;烧酒;酒精饮料（啤酒除外）;鸡尾酒;朗姆酒</t>
  </si>
  <si>
    <t>235</t>
  </si>
  <si>
    <t>76970527</t>
  </si>
  <si>
    <t>江西金土地天然食品饮料股份有限公司</t>
  </si>
  <si>
    <t>巴丽岛</t>
  </si>
  <si>
    <t>奶油利口酒;梅酒;酒精饮料原汁;薄荷酒;以葡萄酒为主的开胃酒;以葡萄酒为主的饮料;烧酒;苹果酒;鸡尾酒;烈酒</t>
  </si>
  <si>
    <t>2024年02月27日</t>
  </si>
  <si>
    <t>236</t>
  </si>
  <si>
    <t>76974888</t>
  </si>
  <si>
    <t>北京沁牧园科技有限公司</t>
  </si>
  <si>
    <t>灵鹤岽芝堂</t>
  </si>
  <si>
    <t>利⼝酒;⻩酒;⽩酒;果酒（含酒精）;已调味的蒸馏酒;蒸馏饮料;烧酒;餐后酒（利⼝酒和烈酒）;⽶酒;酒精饮料（啤酒除外）</t>
  </si>
  <si>
    <t>237</t>
  </si>
  <si>
    <t>76978771</t>
  </si>
  <si>
    <t>金文宝</t>
  </si>
  <si>
    <t>田乐珍馐美馔</t>
  </si>
  <si>
    <t>果酒（含酒精）;朗姆酒;烧酒;甜酒;开胃酒;⽶酒;⽩酒;⽩兰地;利⼝酒;葡萄酒</t>
  </si>
  <si>
    <t>238</t>
  </si>
  <si>
    <t>76980407</t>
  </si>
  <si>
    <t>罗思柏丽葡萄酒私人有限公司</t>
  </si>
  <si>
    <t>LIVING WINE LABELS</t>
  </si>
  <si>
    <t>酒精饮料（啤酒除外）;烈酒（饮料）;⽩酒;餐后酒（利⼝酒和烈酒）;起泡⽩葡萄酒;起泡红葡萄酒;葡萄汽酒;葡萄酒;⽩兰地;加烈葡萄酒</t>
  </si>
  <si>
    <t>239</t>
  </si>
  <si>
    <t>76983507</t>
  </si>
  <si>
    <t>浙江上源龙济农业发展集团股份有限公司</t>
  </si>
  <si>
    <t>龙济燕王</t>
  </si>
  <si>
    <t>酒精饮料（啤酒除外）;清酒;⽩兰地;含⽔果酒精饮料;威⼠忌;⽩酒;⻩酒;葡萄酒;烧酒;⽶酒</t>
  </si>
  <si>
    <t>240</t>
  </si>
  <si>
    <t>76986716</t>
  </si>
  <si>
    <t>米贤征</t>
  </si>
  <si>
    <t>台仓</t>
  </si>
  <si>
    <t>酒精饮料（啤酒除外）;葡萄酒;威⼠忌;清酒（⽇本⽶酒）;⻩酒;烈酒;⽩酒;果酒（含酒精）;开胃酒;鸡尾酒</t>
  </si>
  <si>
    <t>241</t>
  </si>
  <si>
    <t>76989812</t>
  </si>
  <si>
    <t>广州酱酒供应链股份有限公司</t>
  </si>
  <si>
    <t>传世梦</t>
  </si>
  <si>
    <t>烧酒;葡萄酒;梨酒;⻩酒;利⼝酒;⽩酒;开胃酒;⻘稞酒;清酒（⽇本⽶酒）;⽶酒</t>
  </si>
  <si>
    <t>242</t>
  </si>
  <si>
    <t>76990782</t>
  </si>
  <si>
    <t>石狮市畅米向荣网络百货商行</t>
  </si>
  <si>
    <t>家星</t>
  </si>
  <si>
    <t>开胃酒;鸡尾酒;⽩酒;清酒;利⼝酒;酒精饮料（啤酒除外）;威⼠忌;果酒;蒸馏⽶酒（泡盛酒）;葡萄酒</t>
  </si>
  <si>
    <t>243</t>
  </si>
  <si>
    <t>76991937</t>
  </si>
  <si>
    <t>广州市春福企业管理中心（个人独资）</t>
  </si>
  <si>
    <t>CHUNFUHUAXIANGXING</t>
  </si>
  <si>
    <t>果酒（含酒精）;含⽔果酒精饮料;⽩酒;鸡尾酒;⽶酒;威⼠忌;葡萄酒;烧酒;⽩兰地;⻩酒</t>
  </si>
  <si>
    <t>244</t>
  </si>
  <si>
    <t>76993378</t>
  </si>
  <si>
    <t>付建辉</t>
  </si>
  <si>
    <t>樟米韵</t>
  </si>
  <si>
    <t>鸡尾酒;葡萄酒;烧酒;含酒精的⽓泡⽔;威⼠忌;⽩酒;⾼粱酒;果酒（含酒精）;开胃酒;⽩兰地</t>
  </si>
  <si>
    <t>2024年02月28日</t>
  </si>
  <si>
    <t>245</t>
  </si>
  <si>
    <t>77001995</t>
  </si>
  <si>
    <t>贵州须台酒业股份有限公司</t>
  </si>
  <si>
    <t>须台名</t>
  </si>
  <si>
    <t>餐后酒（利⼝酒和烈酒）;⾕物制蒸馏酒精饮料;蒸馏饮料;⽩酒;葡萄酒;烈酒（饮料）;⽶酒;露酒;苹果酒;果酒（含酒精）</t>
  </si>
  <si>
    <t>246</t>
  </si>
  <si>
    <t>77003893</t>
  </si>
  <si>
    <t>深圳市中汇酒业有限公司</t>
  </si>
  <si>
    <t>LAPSO</t>
  </si>
  <si>
    <t>加烈葡萄酒;红葡萄酒;⽩葡萄酒;桃红葡萄酒;起泡⽩葡萄酒;含酒精⽔果饮料;⽩兰地;葡萄酒;果酒;果酒（含酒精）</t>
  </si>
  <si>
    <t>247</t>
  </si>
  <si>
    <t>77007368</t>
  </si>
  <si>
    <t>青岛荣之域酒业有限公司</t>
  </si>
  <si>
    <t>GLORY FIELD ESTATE</t>
  </si>
  <si>
    <t>酸酒（低等葡萄酒）;以葡萄酒为主的饮料;桃红葡萄酒;红葡萄酒;阿蒙蒂拉多⽩葡萄酒;加烈葡萄酒;⽩葡萄酒;葡萄酒;起泡⽩葡萄酒;起泡红葡萄酒</t>
  </si>
  <si>
    <t>248</t>
  </si>
  <si>
    <t>77011162</t>
  </si>
  <si>
    <t>汕头市豪伟贸易有限公司</t>
  </si>
  <si>
    <t>道奇·嗨蹦 DUGGEE·HYBIRD</t>
  </si>
  <si>
    <t>果酒（含酒精）;鸡尾酒;酒精饮料（啤酒除外）;⽶酒;蒸煮提取物（利⼝酒和烈酒）;葡萄酒;伏特加酒;威⼠忌;⽩兰地;⻩酒</t>
  </si>
  <si>
    <t>249</t>
  </si>
  <si>
    <t>77013038</t>
  </si>
  <si>
    <t>榆林黄土昭酒业有限责任公司</t>
  </si>
  <si>
    <t>黄土昭</t>
  </si>
  <si>
    <t>酒精饮料原汁;烧酒;葡萄酒;烈酒（饮料）;⻩酒;清酒（⽇本⽶酒）;⽶酒;⽩酒;鸡尾酒;威⼠忌</t>
  </si>
  <si>
    <t>250</t>
  </si>
  <si>
    <t>77014381</t>
  </si>
  <si>
    <t>毕节市七星关区丕木酿酒坊</t>
  </si>
  <si>
    <t>丕木</t>
  </si>
  <si>
    <t>⽼酒（中国蒸馏烈酒）;⾼粱酒;烧酒（烈酒）;⽩酒;酒精饮料（啤酒除外）;⽶酒;由⾕物蒸馏的⽩酒;果酒;⻩酒;⽩⼲酒（中国⽩酒）</t>
  </si>
  <si>
    <t>251</t>
  </si>
  <si>
    <t>77015071</t>
  </si>
  <si>
    <t>武子明</t>
  </si>
  <si>
    <t>珲泽</t>
  </si>
  <si>
    <t>⽩酒;⽶酒;⻩酒;烧酒;酒精饮料（啤酒除外）;威⼠忌;果酒;汽酒;鸡尾酒;葡萄酒</t>
  </si>
  <si>
    <t>252</t>
  </si>
  <si>
    <t>77017989</t>
  </si>
  <si>
    <t>贵州谷爻科技有限公司</t>
  </si>
  <si>
    <t>翠·黔茶之星</t>
  </si>
  <si>
    <t>蒸煮提取物（利⼝酒和烈酒）;⻩酒;⽩⼲酒（中国⽩酒）;餐后酒（利⼝酒和烈酒）;由⾕物蒸馏的⽩酒;⽩酒;烈酒（饮料）;烧酒;烈性⼲酒;烧酒（烈酒）</t>
  </si>
  <si>
    <t>2024年02月29日</t>
  </si>
  <si>
    <t>253</t>
  </si>
  <si>
    <t>77018169</t>
  </si>
  <si>
    <t>王运刚</t>
  </si>
  <si>
    <t>听东方</t>
  </si>
  <si>
    <t>⽶酒;汽酒;⻘稞酒;露酒;苦味酒;⽩酒;葡萄酒;⻩酒;果酒;苦荞酒</t>
  </si>
  <si>
    <t>254</t>
  </si>
  <si>
    <t>77019095</t>
  </si>
  <si>
    <t>福州民天集团有限公司</t>
  </si>
  <si>
    <t>民天</t>
  </si>
  <si>
    <t>果酒（含酒精）;⽶酒;⽼酒（中国蒸馏烈酒）;烧酒;⽩酒;露酒;酒精饮料（啤酒除外）;⻩酒;蒸馏⽶酒（泡盛酒）;威⼠忌</t>
  </si>
  <si>
    <t>255</t>
  </si>
  <si>
    <t>77019217</t>
  </si>
  <si>
    <t>葡萄酒;威⼠忌;⾷⽤酒精;伏特加酒;烈酒（饮料）;果酒（含酒精）;利⼝酒;酒精饮料（啤酒除外）;朗姆酒;⽩兰地</t>
  </si>
  <si>
    <t>256</t>
  </si>
  <si>
    <t>77021734</t>
  </si>
  <si>
    <t>河南图驰商贸有限公司</t>
  </si>
  <si>
    <t>洛神树下</t>
  </si>
  <si>
    <t>果酒（含酒精）;开胃酒;酒精饮料（啤酒除外）;烧酒;烧酒（烈酒）;⽼酒（中国蒸馏烈酒）;果酒;清酒;⽩酒;葡萄酒</t>
  </si>
  <si>
    <t>257</t>
  </si>
  <si>
    <t>77026689</t>
  </si>
  <si>
    <t>⾷⽤酒精;威⼠忌;利⼝酒;朗姆酒;伏特加酒;⽩兰地;葡萄酒;酒精饮料（啤酒除外）;果酒（含酒精）;烈酒（饮料）</t>
  </si>
  <si>
    <t>258</t>
  </si>
  <si>
    <t>77027860</t>
  </si>
  <si>
    <t>广州粤云医药科技有限公司</t>
  </si>
  <si>
    <t>粤云浸酒</t>
  </si>
  <si>
    <t>果酒;利⼝酒;⻩酒;甜酒;⽩酒;⻘稞酒;⽼酒（中国蒸馏烈酒）;⾼粱酒;烧酒;⽶酒</t>
  </si>
  <si>
    <t>259</t>
  </si>
  <si>
    <t>77031467</t>
  </si>
  <si>
    <t>⽩兰地;威⼠忌;伏特加酒;酒精饮料（啤酒除外）;烈酒（饮料）;⾷⽤酒精;果酒（含酒精）;利⼝酒;朗姆酒;葡萄酒</t>
  </si>
  <si>
    <t>260</t>
  </si>
  <si>
    <t>77032291</t>
  </si>
  <si>
    <t>徐君</t>
  </si>
  <si>
    <t>浙荐</t>
  </si>
  <si>
    <t>葡萄酒;酒精饮料（啤酒除外）;⽶酒;⻩酒;汽酒;⽩酒;果酒（含酒精）;烧酒;清酒;蒸馏饮料</t>
  </si>
  <si>
    <t>261</t>
  </si>
  <si>
    <t>77033495</t>
  </si>
  <si>
    <t>思想咖（北京）电子商务有限公司</t>
  </si>
  <si>
    <t>葡萄列车 LA LOCOMOTORA</t>
  </si>
  <si>
    <t>餐后酒（利⼝酒和烈酒）;果酒（含酒精）;蒸馏饮料;威⼠忌;酒精饮料（啤酒除外）;汽酒;葡萄酒;烈酒（饮料）;以葡萄酒为主的饮料;⽶酒</t>
  </si>
  <si>
    <t>262</t>
  </si>
  <si>
    <t>77034176</t>
  </si>
  <si>
    <t>⽩兰地;烈酒（饮料）;酒精饮料（啤酒除外）;利⼝酒;威⼠忌;葡萄酒;伏特加酒;果酒（含酒精）;⾷⽤酒精;朗姆酒</t>
  </si>
  <si>
    <t>263</t>
  </si>
  <si>
    <t>77034650</t>
  </si>
  <si>
    <t>吉林省盛泰酒业有限公司</t>
  </si>
  <si>
    <t>⽶酒;含⽔果酒精饮料;⽩酒;开胃酒;威⼠忌;⻘梅酒;果酒（含酒精）;苹果酒;利⼝酒;葡萄酒</t>
  </si>
  <si>
    <t>264</t>
  </si>
  <si>
    <t>77036822</t>
  </si>
  <si>
    <t>酒精饮料（啤酒除外）;伏特加酒;朗姆酒;威⼠忌;⾷⽤酒精;烈酒（饮料）;⽩兰地;葡萄酒;果酒（含酒精）;利⼝酒</t>
  </si>
  <si>
    <t>265</t>
  </si>
  <si>
    <t>77037722</t>
  </si>
  <si>
    <t>斑江</t>
  </si>
  <si>
    <t>汽酒;葡萄酒;⻩酒;果酒;⽶酒;苦味酒;⻘稞酒;苦荞酒;⽩酒;露酒</t>
  </si>
  <si>
    <t>266</t>
  </si>
  <si>
    <t>77044675</t>
  </si>
  <si>
    <t>宿迁市洋河镇洋西酒厂</t>
  </si>
  <si>
    <t>金中金</t>
  </si>
  <si>
    <t>利⼝酒;果酒（含酒精）;葡萄酒;烧酒;伏特加酒;⽩兰地;⽶酒;苹果酒;蜂蜜酒;烈酒（饮料）</t>
  </si>
  <si>
    <t>2024年03月01日</t>
  </si>
  <si>
    <t>267</t>
  </si>
  <si>
    <t>77049517</t>
  </si>
  <si>
    <t>吉林银香饮品有限公司</t>
  </si>
  <si>
    <t>哈疆</t>
  </si>
  <si>
    <t>葡萄酒;含⽔果酒精饮料;果酒;⽶酒;蒸馏饮料;⽩酒;酒精饮料（啤酒除外）;烧酒;汽酒;烈酒（饮料）</t>
  </si>
  <si>
    <t>268</t>
  </si>
  <si>
    <t>77052446</t>
  </si>
  <si>
    <t>贵州乾兆商贸有限公司</t>
  </si>
  <si>
    <t>黔茶镹</t>
  </si>
  <si>
    <t>烧酒;⽩酒;酒精饮料（啤酒除外）;⽩兰地;鸡尾酒;果酒;⾷⽤酒精;威⼠忌;汽酒;葡萄酒</t>
  </si>
  <si>
    <t>269</t>
  </si>
  <si>
    <t>77056193</t>
  </si>
  <si>
    <t>重庆博创玻璃制品有限公司</t>
  </si>
  <si>
    <t>深欢</t>
  </si>
  <si>
    <t>威⼠忌;蒸馏饮料;⽶酒;蒸煮提取物（利⼝酒和烈酒）;果酒;伏特加酒;烧酒;葡萄酒;清酒;⽩酒</t>
  </si>
  <si>
    <t>270</t>
  </si>
  <si>
    <t>77056948</t>
  </si>
  <si>
    <t>舍得吉祥九洲</t>
  </si>
  <si>
    <t>烧酒;果酒（含酒精）;⾷⽤酒精;开胃酒;⽩酒;烈酒（饮料）;葡萄酒;利⼝酒;蒸煮提取物（利⼝酒和烈酒）;酒精饮料（啤酒除外）</t>
  </si>
  <si>
    <t>271</t>
  </si>
  <si>
    <t>77059425</t>
  </si>
  <si>
    <t>兄弟进出口贸易（深圳）有限公司</t>
  </si>
  <si>
    <t>英皇布迪 EMPEROR BUDDY</t>
  </si>
  <si>
    <t>葡萄酒;烧酒;果酒（含酒精）;甜酒;⽶酒;含⽔果酒精饮料;酒精饮料（啤酒除外）;⽩酒;红葡萄酒;开胃酒</t>
  </si>
  <si>
    <t>272</t>
  </si>
  <si>
    <t>77059849</t>
  </si>
  <si>
    <t>山西庞泉酒庄有限公司</t>
  </si>
  <si>
    <t>庞小泉</t>
  </si>
  <si>
    <t>⽩酒;蒸煮提取物（利⼝酒和烈酒）;⽩⼲酒（中国⽩酒）;⾷⽤酒精;⾼粱酒;葡萄酒;烧酒;烈酒浓缩汁;⻩酒;烈酒（饮料）</t>
  </si>
  <si>
    <t>273</t>
  </si>
  <si>
    <t>77060312</t>
  </si>
  <si>
    <t>广汉市三星堆科技文化有限公司</t>
  </si>
  <si>
    <t>⽶酒;⾷⽤酒精;⽩酒;葡萄酒;酒精饮料原汁;蒸馏饮料;鸡尾酒;⽩兰地;威⼠忌;酒精饮料（啤酒除外）</t>
  </si>
  <si>
    <t>274</t>
  </si>
  <si>
    <t>77061638</t>
  </si>
  <si>
    <t>英皇迪卡 EMPEROR DIKA</t>
  </si>
  <si>
    <t>果酒（含酒精）;开胃酒;葡萄酒;红葡萄酒;甜酒;⽩酒;酒精饮料（啤酒除外）;含⽔果酒精饮料;烧酒;⽶酒</t>
  </si>
  <si>
    <t>275</t>
  </si>
  <si>
    <t>77062364</t>
  </si>
  <si>
    <t>鸡尾酒;酒精饮料原汁;威⼠忌;⽩酒;⽶酒;⾷⽤酒精;葡萄酒;⽩兰地;酒精饮料（啤酒除外）;蒸馏饮料</t>
  </si>
  <si>
    <t>276</t>
  </si>
  <si>
    <t>77067442</t>
  </si>
  <si>
    <t>湖北省硒娘子生态农业开发有限公司</t>
  </si>
  <si>
    <t>烧酒（烈酒）;葡萄酒;⽩兰地;鸡尾酒;⽩酒;⻩酒;果酒;清酒;烈酒;⽶酒</t>
  </si>
  <si>
    <t>2024年03月02日</t>
  </si>
  <si>
    <t>277</t>
  </si>
  <si>
    <t>77067557</t>
  </si>
  <si>
    <t>北京中悦久品贸易有限公司</t>
  </si>
  <si>
    <t>U座金山</t>
  </si>
  <si>
    <t>⽩兰地;果酒（含酒精）;威⼠忌;伏特加酒;⽩酒;⽶酒;果酒;⻩酒;鸡尾酒;葡萄酒</t>
  </si>
  <si>
    <t>278</t>
  </si>
  <si>
    <t>77068736</t>
  </si>
  <si>
    <t>张向前</t>
  </si>
  <si>
    <t>秘味证据</t>
  </si>
  <si>
    <t>烈酒（饮料）;清酒（⽇本⽶酒）;⽶酒;酒精饮料原汁;伏特加酒;酒精饮料（啤酒除外）;鸡尾酒;葡萄酒;威⼠忌;⽩酒</t>
  </si>
  <si>
    <t>279</t>
  </si>
  <si>
    <t>77071009</t>
  </si>
  <si>
    <t>昆山奕优品贸易有限公司</t>
  </si>
  <si>
    <t>潮玩星球 DRAWER BEAR</t>
  </si>
  <si>
    <t>烧酒;甜果酒;含酒精的饮料（啤酒除外）;果酒（含酒精）;酒精饮料原汁;威⼠忌;清酒;⽩酒;红葡萄酒;鸡尾酒</t>
  </si>
  <si>
    <t>2024年03月03日</t>
  </si>
  <si>
    <t>280</t>
  </si>
  <si>
    <t>77074397</t>
  </si>
  <si>
    <t>贵州众拾酒业有限公司</t>
  </si>
  <si>
    <t>众拾酒业</t>
  </si>
  <si>
    <t>酒精饮料（啤酒除外）;蜂蜜酒;烧酒;蒸馏⽶酒（泡盛酒）;⾼粱酒;由⾕物蒸馏的⽩酒;开胃酒;⽩酒;⽩兰地;⽩⼲酒（中国⽩酒）</t>
  </si>
  <si>
    <t>2024年03月04日</t>
  </si>
  <si>
    <t>281</t>
  </si>
  <si>
    <t>77075846</t>
  </si>
  <si>
    <t>诸暨市大唐豪九纸业有限公司</t>
  </si>
  <si>
    <t>章重</t>
  </si>
  <si>
    <t>⾼粱酒;⽩酒;⽶酒;⻩酒;烈酒;开胃酒;葡萄酒;利⼝酒;果酒;酒精饮料（啤酒除外）</t>
  </si>
  <si>
    <t>282</t>
  </si>
  <si>
    <t>77078569</t>
  </si>
  <si>
    <t>贵州民族酒业集团民族求实酒业有限公司</t>
  </si>
  <si>
    <t>苹果酒;葡萄酒;烧酒;⽩酒;利⼝酒;烈酒（饮料）;威⼠忌;⻩酒;鸡尾酒;果酒（含酒精）</t>
  </si>
  <si>
    <t>283</t>
  </si>
  <si>
    <t>77079373</t>
  </si>
  <si>
    <t>湖北丰博德信建设工程有限公司</t>
  </si>
  <si>
    <t>瓠子山</t>
  </si>
  <si>
    <t>苦艾酒; 酒精饮料（啤酒除外）; 水果汽酒; 葡萄酒; 阿蒙蒂拉多白葡萄酒; 酒精饮料原汁; 梅酒; 含牛奶的鸡尾酒; 伏特加酒; 白酒</t>
  </si>
  <si>
    <t>284</t>
  </si>
  <si>
    <t>77082516</t>
  </si>
  <si>
    <t>崔利</t>
  </si>
  <si>
    <t>⽼酒（中国蒸馏烈酒）;开胃酒;汽酒;⽩酒;烧酒;烈酒（饮料）;酒精饮料原汁;葡萄酒;⽶酒;⾷⽤酒精</t>
  </si>
  <si>
    <t>285</t>
  </si>
  <si>
    <t>77085841</t>
  </si>
  <si>
    <t>深圳市红色高车广告有限公司</t>
  </si>
  <si>
    <t>斗破山河</t>
  </si>
  <si>
    <t>葡萄酒;⾕物制蒸馏酒精饮料;果酒（含酒精）;⻩酒;⻘稞酒;烧酒;鸡尾酒;烈酒（饮料）;⽶酒;酒精饮料（啤酒除外）</t>
  </si>
  <si>
    <t>286</t>
  </si>
  <si>
    <t>77087937</t>
  </si>
  <si>
    <t>淘玖进出口贸易（昆明）有限公司</t>
  </si>
  <si>
    <t>九紫上善若水</t>
  </si>
  <si>
    <t>⽩⼲酒（中国⽩酒）;薄荷酒;⽶酒;⽇式甜⽶酒;⻩酒;威⼠忌;⽩酒;由⾕物蒸馏的⽩酒;葡萄酒;鸡尾酒</t>
  </si>
  <si>
    <t>287</t>
  </si>
  <si>
    <t>77089138</t>
  </si>
  <si>
    <t>新化县太公石佛农林旅游开发有限公司</t>
  </si>
  <si>
    <t>慈母石</t>
  </si>
  <si>
    <t>⽶酒;含酒精的饮料（啤酒除外）;酒精饮料（啤酒除外）;蒸煮提取物（利⼝酒和烈酒）;果酒（含酒精）;⻩酒;葡萄酒;含酒精⽔果饮料;⽼酒（中国蒸馏烈酒）;⽩酒</t>
  </si>
  <si>
    <t>288</t>
  </si>
  <si>
    <t>77089161</t>
  </si>
  <si>
    <t>吉林省均泰东方药业有限公司</t>
  </si>
  <si>
    <t>九参官</t>
  </si>
  <si>
    <t>⽶酒;⾷⽤酒精;⽩酒;果酒（含酒精）;鸡尾酒;⻩酒;葡萄酒;清酒（⽇本⽶酒）;酒精饮料（啤酒除外）;蒸馏饮料</t>
  </si>
  <si>
    <t>289</t>
  </si>
  <si>
    <t>77090814</t>
  </si>
  <si>
    <t>攀枝花君子道企业管理咨询有限公司</t>
  </si>
  <si>
    <t>南七烧坊</t>
  </si>
  <si>
    <t>烧酒;⽼酒（中国蒸馏烈酒）;⽶酒;⾼粱酒;含酒精的充⽓饮料（啤酒除外）;葡萄酒;餐后酒（利⼝酒和烈酒）;⽩酒;⾕物制蒸馏酒精饮料;⽩⼲酒（中国⽩酒）</t>
  </si>
  <si>
    <t>290</t>
  </si>
  <si>
    <t>77093114</t>
  </si>
  <si>
    <t>无锡开普路科技有限公司</t>
  </si>
  <si>
    <t>荣宝昌红旗</t>
  </si>
  <si>
    <t>汽酒;葡萄酒;⾷⽤酒精;⽶酒;⻩酒;鸡尾酒;⽩酒;烧酒;酒精饮料（啤酒除外）;果酒（含酒精）</t>
  </si>
  <si>
    <t>291</t>
  </si>
  <si>
    <t>77093722</t>
  </si>
  <si>
    <t>邹国永（210122********0418）</t>
  </si>
  <si>
    <t>集树家酒</t>
  </si>
  <si>
    <t>蒸煮提取物（利⼝酒和烈酒）;⽩兰地;⻩酒;⽩酒;鸡尾酒;开胃酒;利⼝酒;葡萄酒;⽶酒;果酒（含酒精）</t>
  </si>
  <si>
    <t>292</t>
  </si>
  <si>
    <t>77096968</t>
  </si>
  <si>
    <t>张鹏英</t>
  </si>
  <si>
    <t>钱晋 福禄寿喜财 J</t>
  </si>
  <si>
    <t>果酒（含酒精）;汽酒;⽩酒;开胃酒;⻩酒;⽩兰地;威⼠忌;酒精饮料（啤酒除外）;⽶酒;葡萄酒</t>
  </si>
  <si>
    <t>293</t>
  </si>
  <si>
    <t>77100333</t>
  </si>
  <si>
    <t>贵州喜相逢建筑劳务有限责任公司</t>
  </si>
  <si>
    <t>袁远刘长</t>
  </si>
  <si>
    <t>餐后酒（利⼝酒和烈酒）;果酒（含酒精）;葡萄酒;蒸馏饮料;露酒;⽩酒;⾕物制蒸馏酒精饮料;苹果酒;烈酒（饮料）;⽶酒</t>
  </si>
  <si>
    <t>294</t>
  </si>
  <si>
    <t>77100656</t>
  </si>
  <si>
    <t>泾县爱民剑峰茶叶有限公司</t>
  </si>
  <si>
    <t>爱民剑峰</t>
  </si>
  <si>
    <t>⽶酒;⽩兰地;薄荷酒;⻘稞酒;⻩酒;葡萄酒;清酒;⽩酒;烈酒（饮料）;鸡尾酒</t>
  </si>
  <si>
    <t>295</t>
  </si>
  <si>
    <t>77104170</t>
  </si>
  <si>
    <t>李星仪320705********0041</t>
  </si>
  <si>
    <t>汉龙吟樽</t>
  </si>
  <si>
    <t>⾷⽤酒精;烧酒;⾼粱酒;⽼酒（中国蒸馏烈酒）;含酒精的饮料（啤酒除外）;由⾕物蒸馏的⽩酒;蒸煮提取物（利⼝酒和烈酒）;汽酒;⾕物制蒸馏酒精饮料;⽩酒</t>
  </si>
  <si>
    <t>296</t>
  </si>
  <si>
    <t>77104653</t>
  </si>
  <si>
    <t>孙先勇</t>
  </si>
  <si>
    <t>享香贡社</t>
  </si>
  <si>
    <t>⾷⽤酒精;蒸馏饮料;⽶酒;⽩酒;露酒;⻩酒;葡萄酒;酒精饮料（啤酒除外）;⽼酒（中国蒸馏烈酒）;果酒</t>
  </si>
  <si>
    <t>297</t>
  </si>
  <si>
    <t>77109435</t>
  </si>
  <si>
    <t>何箴根</t>
  </si>
  <si>
    <t>沁南香</t>
  </si>
  <si>
    <t>酒精饮料（啤酒除外）;⽶酒;含⽔果酒精饮料;烧酒;甜酒;清酒（⽇本⽶酒）;⽩酒;⽼酒（中国蒸馏烈酒）;烈酒（饮料）;⻩酒</t>
  </si>
  <si>
    <t>298</t>
  </si>
  <si>
    <t>77111087</t>
  </si>
  <si>
    <t>渑池县宥涵教学设备有限公司</t>
  </si>
  <si>
    <t>自德园</t>
  </si>
  <si>
    <t>果酒（含酒精）;⽩酒;葡萄酒;含⽔果酒精饮料;酒精饮料原汁;蒸馏饮料;酒精饮料（啤酒除外）;⾷⽤酒精;⻩酒;⽶酒</t>
  </si>
  <si>
    <t>299</t>
  </si>
  <si>
    <t>77117583</t>
  </si>
  <si>
    <t>新疆西域明珠葡萄酒业有限公司</t>
  </si>
  <si>
    <t>西域明珠 WESTERN PEARL</t>
  </si>
  <si>
    <t>烈酒（饮料）;烧酒;开胃酒;果酒;葡萄酒;蒸馏饮料;酒精饮料（啤酒除外）;含⽔果酒精饮料;⽩酒;汽酒</t>
  </si>
  <si>
    <t>300</t>
  </si>
  <si>
    <t>77117919</t>
  </si>
  <si>
    <t>曹奇彪352601********0013</t>
  </si>
  <si>
    <t>华夏酒忠天</t>
  </si>
  <si>
    <t>⾕物制蒸馏酒精饮料;葡萄酒;清酒（⽇本⽶酒）;烈酒（饮料）;威⼠忌;含酒精的⽓泡⽔;⽩酒;果酒;鸡尾酒;伏特加酒</t>
  </si>
  <si>
    <t>301</t>
  </si>
  <si>
    <t>77118784</t>
  </si>
  <si>
    <t>鸡尾酒;烈酒（饮料）;⻘稞酒;葡萄酒;⽩兰地;⽶酒;薄荷酒;⻩酒;⽩酒;清酒</t>
  </si>
  <si>
    <t>302</t>
  </si>
  <si>
    <t>77119759</t>
  </si>
  <si>
    <t>杭州今谷科技信息有限公司</t>
  </si>
  <si>
    <t>红野猪 RWB</t>
  </si>
  <si>
    <t>由⾕物蒸馏的⽩酒;苹果酒;烧酒;⾼粱酒;伏特加酒;果酒（含酒精）;葡萄酒;预先混合的酒精饮料（以啤酒为主的除外）;⽶酒;⽩酒</t>
  </si>
  <si>
    <t>1246</t>
  </si>
  <si>
    <t>77531988</t>
  </si>
  <si>
    <t>叙永县传统酿酒科技馆</t>
  </si>
  <si>
    <t>叙元</t>
  </si>
  <si>
    <t>⾼粱酒;葡萄酒;⽩酒;⽶酒;汽酒;⽼酒（中国蒸馏烈酒）;清酒;⻩酒;露酒;果酒</t>
  </si>
  <si>
    <t>2024年03月25日</t>
  </si>
  <si>
    <t>1247</t>
  </si>
  <si>
    <t>77532054</t>
  </si>
  <si>
    <t>深圳市寻鹏城酒业有限公司</t>
  </si>
  <si>
    <t>寻鹏城汇</t>
  </si>
  <si>
    <t>⻩酒;葡萄酒;伏特加酒;⽩兰地;鸡尾酒;威⼠忌;果酒（含酒精）;⽩酒;烈酒（饮料）;酒精饮料（啤酒除外）</t>
  </si>
  <si>
    <t>1248</t>
  </si>
  <si>
    <t>77532318</t>
  </si>
  <si>
    <t>锦州道光廿五凌川酒业有限公司</t>
  </si>
  <si>
    <t>凌川</t>
  </si>
  <si>
    <t>果酒（含酒精）;利⼝酒;烈酒（饮料）;⾷⽤酒精;酒精饮料（啤酒除外）;含⽔果酒精饮料;汽酒;烧酒;⽩酒;开胃酒</t>
  </si>
  <si>
    <t>1249</t>
  </si>
  <si>
    <t>77532632</t>
  </si>
  <si>
    <t>闵志平</t>
  </si>
  <si>
    <t>窖人河</t>
  </si>
  <si>
    <t>烧酒;葡萄酒;烈酒（饮料）;蜂蜜酒;清酒（⽇本⽶酒）;⻩酒;开胃酒;⽩酒;预先混合的酒精饮料（以啤酒为主的除外）;鸡尾酒</t>
  </si>
  <si>
    <t>1250</t>
  </si>
  <si>
    <t>77532797</t>
  </si>
  <si>
    <t>张勇威</t>
  </si>
  <si>
    <t>鲲蒙飞腾</t>
  </si>
  <si>
    <t>鸡尾酒;烈酒（饮料）;⻩酒;⽩酒;烧酒;果酒（含酒精）;含⽔果酒精饮料;⽩兰地;⽶酒;葡萄酒</t>
  </si>
  <si>
    <t>1251</t>
  </si>
  <si>
    <t>77532939</t>
  </si>
  <si>
    <t>丁炫妤</t>
  </si>
  <si>
    <t>平麓</t>
  </si>
  <si>
    <t>烧酒;杜松⼦酒;蒸煮提取物（利⼝酒和烈酒）;预先混合的酒精饮料（以啤酒为主的除外）;酒精饮料原汁;苦味酒;薄荷酒;开胃酒;⽩酒;利⼝酒</t>
  </si>
  <si>
    <t>1252</t>
  </si>
  <si>
    <t>77533091</t>
  </si>
  <si>
    <t>季敏</t>
  </si>
  <si>
    <t>飞月潭</t>
  </si>
  <si>
    <t>烧酒;酒精饮料原汁;酒精饮料（啤酒除外）;果酒（含酒精）;餐后酒（利⼝酒和烈酒）;葡萄酒;烈酒（饮料）;⽶酒;⻩酒;⽩酒</t>
  </si>
  <si>
    <t>1253</t>
  </si>
  <si>
    <t>77533239</t>
  </si>
  <si>
    <t>张强</t>
  </si>
  <si>
    <t>挐云志</t>
  </si>
  <si>
    <t>果酒（含酒精）;清酒（⽇本⽶酒）;梅酒;开胃酒;⾼粱酒;⽶酒;⽩酒;酒精饮料（啤酒除外）;烈酒（饮料）;⻩酒</t>
  </si>
  <si>
    <t>1254</t>
  </si>
  <si>
    <t>77533249</t>
  </si>
  <si>
    <t>傅培坤</t>
  </si>
  <si>
    <t>小傅同学</t>
  </si>
  <si>
    <t>开胃酒;鸡尾酒;薄荷酒;伏特加酒;⾷⽤酒精;⻘稞酒;苹果酒;⽩酒;果酒（含酒精）;汽酒</t>
  </si>
  <si>
    <t>1255</t>
  </si>
  <si>
    <t>77533440</t>
  </si>
  <si>
    <t>贵州谷雨品牌管理有限公司</t>
  </si>
  <si>
    <t>诞地</t>
  </si>
  <si>
    <t>葡萄酒;含酒精的⽓泡⽔;蜂蜜酒;⽩酒;⽶酒;含酒精⽔果饮料;果酒;含酒精的饮料（啤酒除外）;含⽔果酒精饮料</t>
  </si>
  <si>
    <t>1256</t>
  </si>
  <si>
    <t>77533776</t>
  </si>
  <si>
    <t>杭州木梓电子商务有限公司</t>
  </si>
  <si>
    <t>宠小皮</t>
  </si>
  <si>
    <t>鸡尾酒;⽩酒;苦味酒;薄荷酒;利⼝酒;开胃酒;亚⼒酒;蒸馏饮料;葡萄酒;果酒（含酒精）</t>
  </si>
  <si>
    <t>2024年03月26日</t>
  </si>
  <si>
    <t>1257</t>
  </si>
  <si>
    <t>77534017</t>
  </si>
  <si>
    <t>西盟大宝茶庄园</t>
  </si>
  <si>
    <t>弗美香</t>
  </si>
  <si>
    <t>刺五加酒;葡萄酒;甜果酒;开胃酒;烧酒;⽩酒;⾼粱酒;果酒（含酒精）;⽶酒;烈酒（饮料）</t>
  </si>
  <si>
    <t>1258</t>
  </si>
  <si>
    <t>77534803</t>
  </si>
  <si>
    <t>山西杏花汾溪酒厂股份有限公司</t>
  </si>
  <si>
    <t>果果粮</t>
  </si>
  <si>
    <t>朗姆酒;⻘稞酒;⽩兰地;⻩酒;含⽔果酒精饮料;果酒;葡萄酒;烈酒;⽶酒;⽩酒</t>
  </si>
  <si>
    <t>1259</t>
  </si>
  <si>
    <t>77534841</t>
  </si>
  <si>
    <t>赵伟</t>
  </si>
  <si>
    <t>业京二</t>
  </si>
  <si>
    <t>酒精饮料（啤酒除外）;清酒（⽇本⽶酒）;烧酒;⽩酒</t>
  </si>
  <si>
    <t>935</t>
  </si>
  <si>
    <t>77489139</t>
  </si>
  <si>
    <t>荣艳美</t>
  </si>
  <si>
    <t>阿革哚芈</t>
  </si>
  <si>
    <t>⽩酒;⻩酒;烧酒;果酒;清酒;烈酒;⾼粱酒;甜酒;葡萄酒;⽶酒</t>
  </si>
  <si>
    <t>936</t>
  </si>
  <si>
    <t>77489287</t>
  </si>
  <si>
    <t>侯玉峰</t>
  </si>
  <si>
    <t>粮芯氿</t>
  </si>
  <si>
    <t>酒精饮料浓缩汁;酒精饮料（啤酒除外）;⽩兰地;果酒（含酒精）;⻩酒;含⽔果酒精饮料;烧酒;汽酒;⽩酒;酒精饮料原汁</t>
  </si>
  <si>
    <t>937</t>
  </si>
  <si>
    <t>77489377</t>
  </si>
  <si>
    <t>甘肃金鸿恒业商贸有限公司</t>
  </si>
  <si>
    <t>乾圣山</t>
  </si>
  <si>
    <t>⽼酒（中国蒸馏烈酒）;梅酒;⽩酒;⻘稞酒;⾼粱酒;葡萄酒;果酒;⻩酒;甜酒;⽶酒</t>
  </si>
  <si>
    <t>938</t>
  </si>
  <si>
    <t>77489659</t>
  </si>
  <si>
    <t>亳州药佗酒业有限公司</t>
  </si>
  <si>
    <t>亳陀故里</t>
  </si>
  <si>
    <t>含酒精的饮料（啤酒除外）;葡萄酒;⻩酒;果酒;⽶酒;⽩⼲酒（中国⽩酒）;⽩酒;⾷⽤酒精;烧酒（烈酒）;开胃酒</t>
  </si>
  <si>
    <t>939</t>
  </si>
  <si>
    <t>77489859</t>
  </si>
  <si>
    <t>上海葡嘉国际贸易有限公司</t>
  </si>
  <si>
    <t>膜拜春田</t>
  </si>
  <si>
    <t>葡萄酒;⽩兰地;酒精饮料（啤酒除外）;开胃酒;预先混合的酒精饮料（以啤酒为主的除外）;果酒（含酒精）;蒸煮提取物（利⼝酒和烈酒）;朗姆酒;⽩酒;鸡尾酒</t>
  </si>
  <si>
    <t>940</t>
  </si>
  <si>
    <t>77489984</t>
  </si>
  <si>
    <t>宁波态喜食品有限公司</t>
  </si>
  <si>
    <t>东南眉目</t>
  </si>
  <si>
    <t>⻩酒;⽩酒;果酒（含酒精）;葡萄酒;⽶酒;酒精饮料（啤酒除外）;烧酒;含⽔果酒精饮料;利⼝酒;苹果酒</t>
  </si>
  <si>
    <t>941</t>
  </si>
  <si>
    <t>77490080</t>
  </si>
  <si>
    <t>上海美酌国际贸易有限公司</t>
  </si>
  <si>
    <t>伯顿梅洛</t>
  </si>
  <si>
    <t>鸡尾酒;含酒精⽔果饮料;含酒精的饮料（啤酒除外）;葡萄酒;⽩酒;威⼠忌;果酒;⽶酒;烈酒;⻩酒</t>
  </si>
  <si>
    <t>942</t>
  </si>
  <si>
    <t>77490237</t>
  </si>
  <si>
    <t>柳州市精蔓商贸有限责任公司</t>
  </si>
  <si>
    <t>JM</t>
  </si>
  <si>
    <t>⽩酒;⽩兰地;果酒（含酒精）;葡萄酒</t>
  </si>
  <si>
    <t>943</t>
  </si>
  <si>
    <t>77490351</t>
  </si>
  <si>
    <t>邯郸修畅医疗科技有限责任公司</t>
  </si>
  <si>
    <t>修畅鹊方</t>
  </si>
  <si>
    <t>⾕物制蒸馏酒精饮料;酒精饮料（啤酒除外）;预先混合的酒精饮料（以啤酒为主的除外）;以葡萄酒为主的饮料;酒精饮料原汁;蒸馏饮料;酒精饮料浓缩汁;已调味的⻨芽酿制的酒精饮料（啤酒除外）;⽩酒;薄荷酒</t>
  </si>
  <si>
    <t>944</t>
  </si>
  <si>
    <t>77490356</t>
  </si>
  <si>
    <t>陆益仙</t>
  </si>
  <si>
    <t>壮翘</t>
  </si>
  <si>
    <t>果酒;葡萄酒;鸡尾酒;烧酒;⻩酒;酒精饮料（啤酒除外）;烈酒;⽩酒;⽶酒;露酒</t>
  </si>
  <si>
    <t>945</t>
  </si>
  <si>
    <t>77490962</t>
  </si>
  <si>
    <t>王建忠</t>
  </si>
  <si>
    <t>蜂蜜酒;⽶酒;甜酒;果酒（含酒精）;含⽔果酒精饮料;⽔果汽酒;葡萄酒;酒精饮料（啤酒除外）;露酒;⽩酒</t>
  </si>
  <si>
    <t>946</t>
  </si>
  <si>
    <t>77491043</t>
  </si>
  <si>
    <t>文坤杰</t>
  </si>
  <si>
    <t>弘途五福</t>
  </si>
  <si>
    <t>清酒（⽇本⽶酒）;果酒（含酒精）;鸡尾酒;⽩酒;⻩酒;⽶酒;烈酒（饮料）;葡萄酒;酒精饮料（啤酒除外）;烧酒</t>
  </si>
  <si>
    <t>947</t>
  </si>
  <si>
    <t>77491070</t>
  </si>
  <si>
    <t>王道镜</t>
  </si>
  <si>
    <t>鸡尾酒;酒精饮料原汁;⻩酒;烧酒;蒸馏饮料;威⼠忌;⽶酒;葡萄酒;⽩酒;含⽔果酒精饮料</t>
  </si>
  <si>
    <t>948</t>
  </si>
  <si>
    <t>77491174</t>
  </si>
  <si>
    <t>今马叮当国际医药有限公司</t>
  </si>
  <si>
    <t>周阿哥</t>
  </si>
  <si>
    <t>酒精饮料（啤酒除外）;⽶酒;果酒（含酒精）;鸡尾酒;开胃酒;烈酒（饮料）;烧酒;葡萄酒;⽩酒;酸酒（低等葡萄酒）</t>
  </si>
  <si>
    <t>1330</t>
  </si>
  <si>
    <t>77549285</t>
  </si>
  <si>
    <t>左昌苇</t>
  </si>
  <si>
    <t>念草堂</t>
  </si>
  <si>
    <t>杜松⼦酒;⽩兰地;清酒;伏特加酒;⽩酒;⽶酒;朝鲜烧酒;⾼粱酒;⽇本梅⼦酒;果酒（含酒精）</t>
  </si>
  <si>
    <t>1331</t>
  </si>
  <si>
    <t>77549557</t>
  </si>
  <si>
    <t>卢溪辉</t>
  </si>
  <si>
    <t>HELLO,YUANJI</t>
  </si>
  <si>
    <t>含⽔果酒精饮料;⽶酒;清酒（⽇本⽶酒）;果酒（含酒精）;⽩酒;葡萄酒;露酒;⽩兰地;威⼠忌;鸡尾酒</t>
  </si>
  <si>
    <t>1332</t>
  </si>
  <si>
    <t>77549578</t>
  </si>
  <si>
    <t>黑龙江冰参雪鹿商贸有限公司</t>
  </si>
  <si>
    <t>汤远</t>
  </si>
  <si>
    <t>⾷⽤酒精;含⽔果酒精饮料;⽩酒;葡萄酒;烧酒;酒精饮料原汁;露酒;果酒（含酒精）;蒸馏饮料;烈酒（饮料）</t>
  </si>
  <si>
    <t>1333</t>
  </si>
  <si>
    <t>77549675</t>
  </si>
  <si>
    <t>浙江炭草花文化创意有限公司</t>
  </si>
  <si>
    <t>九新</t>
  </si>
  <si>
    <t>薄荷酒;开胃酒;葡萄酒;⽶酒;⽩酒;果酒;甜酒;⻩酒;鸡尾酒;酒精饮料（啤酒除外）</t>
  </si>
  <si>
    <t>1334</t>
  </si>
  <si>
    <t>77549676</t>
  </si>
  <si>
    <t>舒晓东</t>
  </si>
  <si>
    <t>铭品飞泉</t>
  </si>
  <si>
    <t>果酒（含酒精）;烧酒（烈酒）;⾕物制蒸馏酒精饮料;烈酒（饮料）;⻩酒;由⾕物蒸馏的⽩酒;酒精饮料（啤酒除外）;⾼粱酒;⽼酒（中国蒸馏烈酒）;⽩酒</t>
  </si>
  <si>
    <t>1335</t>
  </si>
  <si>
    <t>77549778</t>
  </si>
  <si>
    <t>新疆森堡卢酒业有限公司</t>
  </si>
  <si>
    <t>⾷⽤酒精;朗姆酒（酒精饮料）;鸡尾酒;葡萄酒;⻘稞酒;烈酒（饮料）;⾼粱酒;⽩酒;果酒;⻩酒</t>
  </si>
  <si>
    <t>1336</t>
  </si>
  <si>
    <t>77549861</t>
  </si>
  <si>
    <t>苏州歌雅伦国际贸易有限公司</t>
  </si>
  <si>
    <t>BEBE DE PETIT MAEGEU</t>
  </si>
  <si>
    <t>利口酒;威士忌;汽酒;烈酒（饮料）;酸酒（低等葡萄酒）;鸡尾酒;果酒（含酒精）;白兰地;葡萄酒;伏特加酒</t>
  </si>
  <si>
    <t>1337</t>
  </si>
  <si>
    <t>77549866</t>
  </si>
  <si>
    <t>河南闹乐网络科技有限公司</t>
  </si>
  <si>
    <t>云潭彩云</t>
  </si>
  <si>
    <t>蒸馏饮料;酒精饮料（啤酒除外）;⽩酒;酒精饮料原汁;烧酒;葡萄酒;烈酒（饮料）;⻩酒;⽶酒;蒸煮提取物（利⼝酒和烈酒）</t>
  </si>
  <si>
    <t>1338</t>
  </si>
  <si>
    <t>77549966</t>
  </si>
  <si>
    <t>唐圳萍</t>
  </si>
  <si>
    <t>乾凤仙</t>
  </si>
  <si>
    <t>果酒（含酒精）;烈酒（饮料）;烧酒;⽶酒;餐后酒（利⼝酒和烈酒）;⻩酒;⽩酒;葡萄酒;酒精饮料原汁;酒精饮料（啤酒除外）</t>
  </si>
  <si>
    <t>1339</t>
  </si>
  <si>
    <t>77550057</t>
  </si>
  <si>
    <t>石建平</t>
  </si>
  <si>
    <t>梅兴红</t>
  </si>
  <si>
    <t>果酒（含酒精）;⽼酒（中国蒸馏烈酒）;⽶酒;⾷⽤酒精;⻩酒;⽩⼲酒（中国⽩酒）;酒精饮料（啤酒除外）;⽩酒;烧酒（烈酒）;葡萄酒</t>
  </si>
  <si>
    <t>1340</t>
  </si>
  <si>
    <t>77550362</t>
  </si>
  <si>
    <t>北京云臣科技有限公司</t>
  </si>
  <si>
    <t>悦刻</t>
  </si>
  <si>
    <t>清酒（⽇本⽶酒）;⽩酒;烧酒;葡萄酒;⻩酒;果酒（含酒精）;鸡尾酒;酒精饮料（啤酒除外）;⽶酒;烈酒（饮料）</t>
  </si>
  <si>
    <t>1341</t>
  </si>
  <si>
    <t>77550386</t>
  </si>
  <si>
    <t>沙洋县毛李镇瞄集李彪酿酒厂</t>
  </si>
  <si>
    <t>颖灿</t>
  </si>
  <si>
    <t>葡萄酒;含⽔果酒精饮料;⻩酒;烧酒;果酒（含酒精）;⽩⼲酒（中国⽩酒）;由⾕物蒸馏的⽩酒;⽶酒;⽩酒</t>
  </si>
  <si>
    <t>1342</t>
  </si>
  <si>
    <t>77550566</t>
  </si>
  <si>
    <t>深圳市永成耀实业有限公司</t>
  </si>
  <si>
    <t>干沟阳山洞</t>
  </si>
  <si>
    <t>甜酒;⻩酒;汽酒;⽩酒;由⾕物蒸馏的⽩酒;果酒（含酒精）;含酒精的饮料（啤酒除外）;⾷⽤酒精;开胃酒;葡萄酒</t>
  </si>
  <si>
    <t>1343</t>
  </si>
  <si>
    <t>77550712</t>
  </si>
  <si>
    <t>济南洪丹机械设备有限公司</t>
  </si>
  <si>
    <t>怀洲老成</t>
  </si>
  <si>
    <t>烈酒;⽶酒;甜酒;果酒;⽼酒（中国蒸馏烈酒）;烧酒;梨酒;⽩酒;鸡尾酒;⻩酒</t>
  </si>
  <si>
    <t>1344</t>
  </si>
  <si>
    <t>77550912</t>
  </si>
  <si>
    <t>上海儒香文化发展有限公司</t>
  </si>
  <si>
    <t>香生万物</t>
  </si>
  <si>
    <t>烈酒（饮料）;⽩酒;亚⼒酒;⽶酒;酒精饮料原汁;果酒（含酒精）;威⼠忌;⻩酒;清酒（⽇本⽶酒）;葡萄酒</t>
  </si>
  <si>
    <t>1345</t>
  </si>
  <si>
    <t>77551125</t>
  </si>
  <si>
    <t>王文华</t>
  </si>
  <si>
    <t>叨羊勇士</t>
  </si>
  <si>
    <t>酒精饮料原汁;汽酒;蒸煮提取物（利⼝酒和烈酒）;⽶酒;葡萄酒;⻩酒;烈酒;⾷⽤酒精;烧酒;⽩酒</t>
  </si>
  <si>
    <t>1346</t>
  </si>
  <si>
    <t>77551139</t>
  </si>
  <si>
    <t>朱荣波</t>
  </si>
  <si>
    <t>花草社</t>
  </si>
  <si>
    <t>⻩酒;烧酒;果酒（含酒精）;酒精饮料（啤酒除外）;葡萄酒;由⾕物蒸馏的⽩酒;⽩酒;鸡尾酒;威⼠忌;⽩⼲酒（中国⽩酒）</t>
  </si>
  <si>
    <t>1347</t>
  </si>
  <si>
    <t>77551212</t>
  </si>
  <si>
    <t>安徽金种子酒业股份有限公司</t>
  </si>
  <si>
    <t>醉三秋凤窖</t>
  </si>
  <si>
    <t>⻩酒;⽶酒;果酒（含酒精）;烈酒（饮料）;鸡尾酒;⽩酒;烧酒;含⽔果酒精饮料;葡萄酒;酒精饮料浓缩汁</t>
  </si>
  <si>
    <t>1348</t>
  </si>
  <si>
    <t>77551388</t>
  </si>
  <si>
    <t>丹阳市司徒镇华兆种植园</t>
  </si>
  <si>
    <t>古今好运</t>
  </si>
  <si>
    <t>⾷⽤酒精;烧酒;梨酒;⽩酒;葡萄酒;鸡尾酒;餐后酒（利⼝酒和烈酒）;⻩酒;⻘稞酒;⽶酒</t>
  </si>
  <si>
    <t>1349</t>
  </si>
  <si>
    <t>77551409</t>
  </si>
  <si>
    <t>贵州国银酒业有限公司</t>
  </si>
  <si>
    <t>亿公子</t>
  </si>
  <si>
    <t>由⾕物蒸馏的⽩酒;烈酒（饮料）;鸡尾酒;⽩酒;⾼粱酒;烧酒;⽼酒（中国蒸馏烈酒）;开胃酒;果酒（含酒精）;酒精饮料原汁</t>
  </si>
  <si>
    <t>1350</t>
  </si>
  <si>
    <t>77551551</t>
  </si>
  <si>
    <t>辛集市八方供应链管理有限公司</t>
  </si>
  <si>
    <t>冀辛福道</t>
  </si>
  <si>
    <t>果酒（含酒精）;⻩酒;⾷⽤酒精;烧酒;酒精饮料（啤酒除外）;⽩酒;葡萄酒;⽼酒（中国蒸馏烈酒）;⽶酒;开胃酒</t>
  </si>
  <si>
    <t>1602</t>
  </si>
  <si>
    <t>77589932</t>
  </si>
  <si>
    <t>王春杰</t>
  </si>
  <si>
    <t>粮久栈</t>
  </si>
  <si>
    <t>酒精饮料（啤酒除外）;⾷⽤酒精;⽩酒;果酒（含酒精）;⽩兰地;含⽔果酒精饮料;⻩酒;⽶酒;葡萄酒;鸡尾酒</t>
  </si>
  <si>
    <t>1603</t>
  </si>
  <si>
    <t>77589951</t>
  </si>
  <si>
    <t>北京巳方台文化创意有限公司</t>
  </si>
  <si>
    <t>浑圆山海</t>
  </si>
  <si>
    <t>蜂蜜酒;⽶酒;⽢蔗制酒精饮料;⾕物制蒸馏酒精饮料;薄荷酒;鸡尾酒;以葡萄酒为主的饮料;果酒（含酒精）;威⼠忌;⻩酒;葡萄酒;烈酒（饮料）;⽩酒</t>
  </si>
  <si>
    <t>1604</t>
  </si>
  <si>
    <t>77589952</t>
  </si>
  <si>
    <t>陈国政</t>
  </si>
  <si>
    <t>淳玥</t>
  </si>
  <si>
    <t>⽶酒;⾷⽤酒精;酒精饮料（啤酒除外）;果酒（含酒精）;⽩酒;鸡尾酒;蒸馏饮料;葡萄酒;威⼠忌;⻩酒</t>
  </si>
  <si>
    <t>1605</t>
  </si>
  <si>
    <t>77589987</t>
  </si>
  <si>
    <t>中嘉创禾（上海）酒业有限公司</t>
  </si>
  <si>
    <t>浓盈九天</t>
  </si>
  <si>
    <t>⽩⼲酒（中国⽩酒）;烈酒;清酒（⽇本⽶酒）;⻩酒;⾼粱酒;⽶酒;⾕物制蒸馏酒精饮料;烧酒;五加⽪酒（中国混合烈酒）;烈性⼲酒</t>
  </si>
  <si>
    <t>1606</t>
  </si>
  <si>
    <t>77590087</t>
  </si>
  <si>
    <t>集安市园正源人参种植基地</t>
  </si>
  <si>
    <t>园正源</t>
  </si>
  <si>
    <t>葡萄酒;伏特加酒;果酒（含酒精）;威士忌;开胃酒;白酒;米酒;预先混合的酒精饮料（以啤酒为主的除外）;汽酒;含水果酒精饮料</t>
  </si>
  <si>
    <t>1607</t>
  </si>
  <si>
    <t>77590544</t>
  </si>
  <si>
    <t>蒲元龙</t>
  </si>
  <si>
    <t>蒲祖烧坊</t>
  </si>
  <si>
    <t>威士忌;果酒;白酒;酒精饮料浓缩汁;黄酒;烧酒;米酒;葡萄酒;酒精饮料（啤酒除外）;梨酒</t>
  </si>
  <si>
    <t>1608</t>
  </si>
  <si>
    <t>77590877</t>
  </si>
  <si>
    <t>忆古京</t>
  </si>
  <si>
    <t>威⼠忌;⽩兰地;葡萄酒;⽩酒;果酒;烧酒;⻩酒;⽶酒;烈酒（饮料）;清酒（⽇本⽶酒）</t>
  </si>
  <si>
    <t>1260</t>
  </si>
  <si>
    <t>77535111</t>
  </si>
  <si>
    <t>石家庄品库商贸有限公司</t>
  </si>
  <si>
    <t>彩云天女</t>
  </si>
  <si>
    <t>果酒（含酒精）;苹果酒;开胃酒;葡萄酒;⽩酒;苦味酒;蒸煮提取物（利⼝酒和烈酒）;清酒（⽇本⽶酒）;含⽔果酒精饮料;⻩酒</t>
  </si>
  <si>
    <t>1261</t>
  </si>
  <si>
    <t>77535218</t>
  </si>
  <si>
    <t>宿迁金汇商业管理顾问有限公司</t>
  </si>
  <si>
    <t>苏姑纪事</t>
  </si>
  <si>
    <t>⻩酒;葡萄酒;⽩酒;⽩兰地;清酒（⽇本⽶酒）;烈酒（饮料）;果酒（含酒精）;蜂蜜酒;⽶酒;伏特加酒</t>
  </si>
  <si>
    <t>1262</t>
  </si>
  <si>
    <t>77535225</t>
  </si>
  <si>
    <t>四川一片天建材销售有限公司</t>
  </si>
  <si>
    <t>巴蜀心意</t>
  </si>
  <si>
    <t>蒸馏饮料;葡萄酒;含⽔果酒精饮料;蒸煮提取物（利⼝酒和烈酒）;果酒;⽶酒;酒精饮料浓缩汁;⾷⽤酒精;⽩酒;鸡尾酒</t>
  </si>
  <si>
    <t>1263</t>
  </si>
  <si>
    <t>77535250</t>
  </si>
  <si>
    <t>河南省卓言商贸有限公司</t>
  </si>
  <si>
    <t>伺馋</t>
  </si>
  <si>
    <t>酒精饮料（啤酒除外）;⾷⽤酒精;烈酒;烧酒;⽩酒;⽶酒;果酒（含酒精）;葡萄酒;清酒（⽇本⽶酒）;蒸馏饮料</t>
  </si>
  <si>
    <t>1264</t>
  </si>
  <si>
    <t>77535562</t>
  </si>
  <si>
    <t>上海融扬生物技术有限公司</t>
  </si>
  <si>
    <t>KGS</t>
  </si>
  <si>
    <t>果酒（含酒精）;含酒精的充⽓饮料（啤酒除外）;果酒;汽酒;酒精饮料（啤酒除外）;含酒精的鸡尾酒混合饮品;含酒精的饮料（啤酒除外）;⽔果汽酒;甜果酒;鸡尾酒</t>
  </si>
  <si>
    <t>1265</t>
  </si>
  <si>
    <t>77535587</t>
  </si>
  <si>
    <t>王苹</t>
  </si>
  <si>
    <t>六米铺釨</t>
  </si>
  <si>
    <t>⽩酒;⽶酒;⽩兰地;鸡尾酒;烧酒;果酒（含酒精）;红葡萄酒;利⼝酒;含酒精的鸡尾酒混合饮品;⽩葡萄酒</t>
  </si>
  <si>
    <t>1266</t>
  </si>
  <si>
    <t>77535788</t>
  </si>
  <si>
    <t>广州碳基生命大健康生物技术有限公司</t>
  </si>
  <si>
    <t>盐汀客</t>
  </si>
  <si>
    <t>果酒（含酒精）;葡萄酒;⾷⽤酒精;蜂蜜酒;⽶酒;烧酒;开胃酒;鸡尾酒;⻩酒;⽩酒</t>
  </si>
  <si>
    <t>1267</t>
  </si>
  <si>
    <t>77535792</t>
  </si>
  <si>
    <t>罗善</t>
  </si>
  <si>
    <t>昭财潭</t>
  </si>
  <si>
    <t>含⽔果酒精饮料;葡萄酒;⽩酒;开胃酒;烧酒;烈酒（饮料）;⻩酒;鸡尾酒;⽶酒;利⼝酒</t>
  </si>
  <si>
    <t>1268</t>
  </si>
  <si>
    <t>77537052</t>
  </si>
  <si>
    <t>陕西宝隆酒业有限公司</t>
  </si>
  <si>
    <t>黔隆缘匠</t>
  </si>
  <si>
    <t>烈酒;烧酒;⽶酒;⾼粱酒;葡萄酒;开胃酒;蜂蜜酒;鸡尾酒;⻩酒;⽩酒</t>
  </si>
  <si>
    <t>1269</t>
  </si>
  <si>
    <t>77537381</t>
  </si>
  <si>
    <t>黄泰岩</t>
  </si>
  <si>
    <t>洛花辞</t>
  </si>
  <si>
    <t>酒精饮料（啤酒除外）;黄酒;清酒（日本米酒）;烈酒;葡萄酒;鸡尾酒;果酒（含酒精）;白酒;威士忌;开胃酒</t>
  </si>
  <si>
    <t>1270</t>
  </si>
  <si>
    <t>77537447</t>
  </si>
  <si>
    <t>枝否</t>
  </si>
  <si>
    <t>⻩酒;⽩酒;清酒（⽇本⽶酒）;鸡尾酒;烈酒;威⼠忌;果酒（含酒精）;酒精饮料（啤酒除外）;葡萄酒;开胃酒</t>
  </si>
  <si>
    <t>1271</t>
  </si>
  <si>
    <t>77537816</t>
  </si>
  <si>
    <t>西安星际云网未来空间科技集团有限公司</t>
  </si>
  <si>
    <t>星际云网</t>
  </si>
  <si>
    <t>葡萄酒;清酒（⽇本⽶酒）;⻘稞酒;⻩酒;⽩酒;利⼝酒;威⼠忌;果酒（含酒精）;烧酒;⽶酒</t>
  </si>
  <si>
    <t>1272</t>
  </si>
  <si>
    <t>77537883</t>
  </si>
  <si>
    <t>北京华北李氏颈腰椎病医学研究院</t>
  </si>
  <si>
    <t>华北李氏</t>
  </si>
  <si>
    <t>葡萄酒;⻘稞酒;烧酒;⽶酒;⻩酒;⽩酒;果酒（含酒精）;酒精饮料（啤酒除外）;鸡尾酒;⾷⽤酒精</t>
  </si>
  <si>
    <t>1273</t>
  </si>
  <si>
    <t>77537910</t>
  </si>
  <si>
    <t>厦门客合贸易有限公司</t>
  </si>
  <si>
    <t>⽩兰地;威⼠忌;烧酒;⽩酒;含酒精⽔果饮料;⽶酒;⾕物制蒸馏酒精饮料;⻩酒;葡萄酒;鸡尾酒</t>
  </si>
  <si>
    <t>1627</t>
  </si>
  <si>
    <t>77593543</t>
  </si>
  <si>
    <t>昌江区耀眼商贸行</t>
  </si>
  <si>
    <t>筬</t>
  </si>
  <si>
    <t>烧酒;⻩酒;⽩酒;薄荷酒;清酒（⽇本⽶酒）;烈酒（饮料）;⽶酒;果酒（含酒精）;葡萄酒;酒精饮料（啤酒除外）</t>
  </si>
  <si>
    <t>1628</t>
  </si>
  <si>
    <t>77593600</t>
  </si>
  <si>
    <t>河南一蝉农业科技发展有限公司</t>
  </si>
  <si>
    <t>菲梵麦语</t>
  </si>
  <si>
    <t>果酒（含酒精）;葡萄酒;酒精饮料浓缩汁;⽶酒;⽩酒;酒精饮料（啤酒除外）;烧酒;蒸馏饮料;含⽔果酒精饮料;烈酒（饮料）</t>
  </si>
  <si>
    <t>1629</t>
  </si>
  <si>
    <t>77593669</t>
  </si>
  <si>
    <t>徐英</t>
  </si>
  <si>
    <t>弗洛·卡夫</t>
  </si>
  <si>
    <t>⽶酒;威⼠忌;⻩酒;⽩酒;烧酒;烈酒（饮料）;果酒（含酒精）;利⼝酒;预先混合的酒精饮料（以啤酒为主的除外）;葡萄酒</t>
  </si>
  <si>
    <t>1630</t>
  </si>
  <si>
    <t>77593771</t>
  </si>
  <si>
    <t>山妹子（梅州）电子商务发展有限公司</t>
  </si>
  <si>
    <t>田褒楼</t>
  </si>
  <si>
    <t>甜酒;⾼粱酒;⾕物制蒸馏酒精饮料;⻩酒;⽶酒;⻘梅酒;果酒（含酒精）;梅酒;杨梅酒;⽩酒</t>
  </si>
  <si>
    <t>1631</t>
  </si>
  <si>
    <t>77593863</t>
  </si>
  <si>
    <t>海南晖诺科技有限公司</t>
  </si>
  <si>
    <t>DRUNCLEAR</t>
  </si>
  <si>
    <t>含⽔果酒精饮料;鸡尾酒;葡萄酒;威⼠忌;⽩兰地;酒精饮料原汁;⽶酒;果酒（含酒精）;酒精饮料（啤酒除外）;酒精饮料浓缩汁</t>
  </si>
  <si>
    <t>1632</t>
  </si>
  <si>
    <t>77593903</t>
  </si>
  <si>
    <t>安徽欣浩翔食品有限公司</t>
  </si>
  <si>
    <t>欣上牛</t>
  </si>
  <si>
    <t>烧酒;⽩酒;⽩⼲酒（中国⽩酒）;烈酒（饮料）;红葡萄酒;⻩酒;⾷⽤酒精;⽶酒;⽼酒（中国蒸馏烈酒）;果酒</t>
  </si>
  <si>
    <t>1633</t>
  </si>
  <si>
    <t>77593978</t>
  </si>
  <si>
    <t>江苏尊恩国际贸易有限公司</t>
  </si>
  <si>
    <t>拉图掌门 LATFOU TETE</t>
  </si>
  <si>
    <t>葡萄酒;⽩兰地;⻩酒;果酒（含酒精）;预先混合的酒精饮料（以啤酒为主的除外）;酒精饮料（啤酒除外）;伏特加酒;⽩酒;烈酒（饮料）;威⼠忌</t>
  </si>
  <si>
    <t>1634</t>
  </si>
  <si>
    <t>77594115</t>
  </si>
  <si>
    <t>航峰数字科技（广东）有限公司</t>
  </si>
  <si>
    <t>净动力</t>
  </si>
  <si>
    <t>⽶酒;烧酒;⾷⽤酒精;开胃酒;威⼠忌;酒精饮料（啤酒除外）;葡萄酒;⽩酒;⻩酒;果酒（含酒精）</t>
  </si>
  <si>
    <t>1635</t>
  </si>
  <si>
    <t>77594155</t>
  </si>
  <si>
    <t>元阳县哈尼梯田红米协会</t>
  </si>
  <si>
    <t>云上梯田元崃液</t>
  </si>
  <si>
    <t>⽶酒;酒精饮料（啤酒除外）;烧酒;⽩酒;⻩酒;鸡尾酒;葡萄酒;烈酒（饮料）;清酒（⽇本⽶酒）;果酒（含酒精）</t>
  </si>
  <si>
    <t>1636</t>
  </si>
  <si>
    <t>77594502</t>
  </si>
  <si>
    <t>黄杏梅</t>
  </si>
  <si>
    <t>帝中喜</t>
  </si>
  <si>
    <t>⽶酒;葡萄酒;烧酒;⽩酒;酒精饮料（啤酒除外）;⽩兰地;威⼠忌;果酒（含酒精）;烈酒（饮料）;鸡尾酒</t>
  </si>
  <si>
    <t>1637</t>
  </si>
  <si>
    <t>77594841</t>
  </si>
  <si>
    <t>王小红</t>
  </si>
  <si>
    <t>氿侯爷</t>
  </si>
  <si>
    <t>蜂蜜酒;⽩酒;烧酒;果酒（含酒精）;汽酒;开胃酒;酒精饮料（啤酒除外）;葡萄酒;黑醋栗酒;⻩酒</t>
  </si>
  <si>
    <t>1638</t>
  </si>
  <si>
    <t>77594904</t>
  </si>
  <si>
    <t>酒亦仙食品科技(江苏无锡)有限公司</t>
  </si>
  <si>
    <t>尚品江南文士</t>
  </si>
  <si>
    <t>葡萄酒;蒸馏饮料;果酒（含酒精）;⻩酒;苹果酒;烈酒（饮料）;清酒（⽇本⽶酒）;⽩酒;鸡尾酒;⽶酒</t>
  </si>
  <si>
    <t>1639</t>
  </si>
  <si>
    <t>77595032</t>
  </si>
  <si>
    <t>广州海康医药科技有限公司</t>
  </si>
  <si>
    <t>百岁马</t>
  </si>
  <si>
    <t>梨酒;鸡尾酒;⻩酒;烧酒;果酒（含酒精）;烈酒（饮料）;⽶酒;蜂蜜酒;葡萄酒;⾕物制蒸馏酒精饮料</t>
  </si>
  <si>
    <t>1640</t>
  </si>
  <si>
    <t>77595763</t>
  </si>
  <si>
    <t>枣庄道行人合酒水有限公司</t>
  </si>
  <si>
    <t>道行人合</t>
  </si>
  <si>
    <t>⾼粱酒;开胃酒;果酒;⽩兰地;鸡尾酒;葡萄酒;⽶酒;⽩酒;⻩酒;甜酒</t>
  </si>
  <si>
    <t>1912</t>
  </si>
  <si>
    <t>77648209</t>
  </si>
  <si>
    <t>马荣仔</t>
  </si>
  <si>
    <t>誉华莲合</t>
  </si>
  <si>
    <t>烈酒（饮料）;烧酒;⽩酒;⽼酒（中国蒸馏烈酒）;葡萄酒;五加⽪酒（中国混合烈酒）;⾕物制蒸馏酒精饮料;⻩酒;果酒（含酒精）;清酒</t>
  </si>
  <si>
    <t>2024年03月29日</t>
  </si>
  <si>
    <t>1913</t>
  </si>
  <si>
    <t>77648971</t>
  </si>
  <si>
    <t>鱼军伟</t>
  </si>
  <si>
    <t>礼悠选</t>
  </si>
  <si>
    <t>甜酒;⽶酒;葡萄酒;⾷⽤酒精;⻩酒;清酒;果酒;⽩酒;开胃酒;汽酒</t>
  </si>
  <si>
    <t>1914</t>
  </si>
  <si>
    <t>77648992</t>
  </si>
  <si>
    <t>圣美赞诺葡萄酒公司</t>
  </si>
  <si>
    <t>SAN MARZANO VINI</t>
  </si>
  <si>
    <t>红葡萄酒;以葡萄酒为主的开胃酒;起泡⽩葡萄酒;不起泡葡萄酒;葡萄酒;起泡红葡萄酒;以葡萄酒为主的饮料;桃红葡萄酒;⽩葡萄酒</t>
  </si>
  <si>
    <t>1915</t>
  </si>
  <si>
    <t>77649253</t>
  </si>
  <si>
    <t>闵斌</t>
  </si>
  <si>
    <t>独尊雍正</t>
  </si>
  <si>
    <t>⽩酒;⾷⽤酒精;烈酒;威⼠忌;酒精饮料（啤酒除外）;⽶酒;葡萄酒;果酒（含酒精）;⻩酒;烧酒</t>
  </si>
  <si>
    <t>1916</t>
  </si>
  <si>
    <t>77649278</t>
  </si>
  <si>
    <t>何义成</t>
  </si>
  <si>
    <t>友瓷</t>
  </si>
  <si>
    <t>⽩酒;酒精饮料（啤酒除外）;⽶酒;鸡尾酒;清酒;葡萄酒;开胃酒;蜂蜜酒;果酒（含酒精）;威⼠忌</t>
  </si>
  <si>
    <t>1917</t>
  </si>
  <si>
    <t>77650519</t>
  </si>
  <si>
    <t>赵晓芳</t>
  </si>
  <si>
    <t>堃翊</t>
  </si>
  <si>
    <t>威⼠忌;果酒（含酒精）;葡萄酒;酒精饮料（啤酒除外）;⽶酒;⽼酒（中国蒸馏烈酒）;⽩酒;⾼粱酒;鸡尾酒;⽩兰地</t>
  </si>
  <si>
    <t>1918</t>
  </si>
  <si>
    <t>77650673</t>
  </si>
  <si>
    <t>重庆永晟企业管理咨询有限责任公司</t>
  </si>
  <si>
    <t>渝百道</t>
  </si>
  <si>
    <t>含⽔果酒精饮料;⾷⽤酒精;果酒（含酒精）;葡萄酒;汽酒;⽩酒;开胃酒;⽶酒;⻩酒;蒸煮提取物（利⼝酒和烈酒）</t>
  </si>
  <si>
    <t>1919</t>
  </si>
  <si>
    <t>77650859</t>
  </si>
  <si>
    <t>深圳市酷开网络科技股份有限公司</t>
  </si>
  <si>
    <t>COOCAA 酷开</t>
  </si>
  <si>
    <t>酒精饮料（啤酒除外）;葡萄酒;烧酒;⽩酒;⾷⽤酒精;酒精饮料浓缩汁;蒸馏饮料;鸡尾酒;清酒（⽇本⽶酒）;果酒（含酒精）</t>
  </si>
  <si>
    <t>1920</t>
  </si>
  <si>
    <t>77650874</t>
  </si>
  <si>
    <t>佛山市韦凤科技有限公司</t>
  </si>
  <si>
    <t>博士街</t>
  </si>
  <si>
    <t>葡萄酒;汽酒;⻩酒;果酒（含酒精）;威⼠忌;蒸馏饮料;鸡尾酒;酒精饮料（啤酒除外）;⽩酒;开胃酒</t>
  </si>
  <si>
    <t>1921</t>
  </si>
  <si>
    <t>77650959</t>
  </si>
  <si>
    <t>功夫链（上海）体育文化发展有限公司</t>
  </si>
  <si>
    <t>果酒（含酒精）;蒸馏饮料;⽶酒;烈酒（饮料）;⽼酒（中国蒸馏烈酒）;以葡萄酒为主的饮料;薄荷酒;酒精饮料（啤酒除外）;含⽔果酒精饮料;鸡尾酒</t>
  </si>
  <si>
    <t>1922</t>
  </si>
  <si>
    <t>77651369</t>
  </si>
  <si>
    <t>厦门市云笛商贸有限公司</t>
  </si>
  <si>
    <t>河纪元</t>
  </si>
  <si>
    <t>⽩酒;⻩酒;果酒（含酒精）;酒精饮料原汁;葡萄酒;⽩兰地;威⼠忌;酒精饮料（啤酒除外）;鸡尾酒;蒸煮提取物（利⼝酒和烈酒）</t>
  </si>
  <si>
    <t>1923</t>
  </si>
  <si>
    <t>77651415</t>
  </si>
  <si>
    <t>杭州与山行文化艺术有限公司</t>
  </si>
  <si>
    <t>含酒精的鸡尾酒混合饮品;酒精饮料（啤酒除外）;鸡尾酒;含酒精的⽓泡⽔;⾷⽤酒精;酒精饮料原汁;果酒（含酒精）;已调味的⻨芽酿制的酒精饮料（啤酒除外）;烈酒（饮料）;以葡萄酒为主的饮料</t>
  </si>
  <si>
    <t>1924</t>
  </si>
  <si>
    <t>77651643</t>
  </si>
  <si>
    <t>深圳百年论牛餐饮管理有限公司</t>
  </si>
  <si>
    <t>⽶酒;酒精饮料（啤酒除外）;酒精饮料浓缩汁;含⽔果酒精饮料;⽢蔗制酒精饮料;葡萄酒;苹果酒;蒸馏饮料;餐后酒（利⼝酒和烈酒）;果酒</t>
  </si>
  <si>
    <t>1925</t>
  </si>
  <si>
    <t>77651948</t>
  </si>
  <si>
    <t>襄华亨</t>
  </si>
  <si>
    <t>⽩酒;威⼠忌;⽶酒;⽼酒（中国蒸馏烈酒）;葡萄酒;酒精饮料（啤酒除外）;⾼粱酒;果酒（含酒精）;鸡尾酒;⽩兰地</t>
  </si>
  <si>
    <t>345</t>
  </si>
  <si>
    <t>77195285</t>
  </si>
  <si>
    <t>捧爱</t>
  </si>
  <si>
    <t>⽩酒;烧酒;烈酒;含酒精的饮料（啤酒除外）;预先混合的酒精饮料（以啤酒为主的除外）;果酒;预调甜酒;调制好的葡萄酒鸡尾酒;含酒精的鸡尾酒混合饮品;已调味的蒸馏酒</t>
  </si>
  <si>
    <t>346</t>
  </si>
  <si>
    <t>77195609</t>
  </si>
  <si>
    <t>河北弘济堂食品有限公司</t>
  </si>
  <si>
    <t>弘佶堂</t>
  </si>
  <si>
    <t>⽩酒;葡萄酒;果酒;⻩酒;蒸馏饮料;⽶酒;清酒;鸡尾酒;烧酒;酒精饮料（啤酒除外）</t>
  </si>
  <si>
    <t>347</t>
  </si>
  <si>
    <t>77196513</t>
  </si>
  <si>
    <t>王坤</t>
  </si>
  <si>
    <t>黑馋鸭</t>
  </si>
  <si>
    <t>⽶酒;果酒;⽩酒;葡萄酒;果酒（含酒精）;⻩酒;⻘稞酒;红葡萄酒;⽩葡萄酒;鸡尾酒</t>
  </si>
  <si>
    <t>348</t>
  </si>
  <si>
    <t>77197611</t>
  </si>
  <si>
    <t>河北幽然餐饮管理有限公司</t>
  </si>
  <si>
    <t>八闽佳人</t>
  </si>
  <si>
    <t>含⽔果酒精饮料;烧酒;酒精饮料（啤酒除外）;鸡尾酒;清酒（⽇本⽶酒）;伏特加酒;甜果酒;⽩酒;果酒（含酒精）;⽶酒</t>
  </si>
  <si>
    <t>349</t>
  </si>
  <si>
    <t>77198124</t>
  </si>
  <si>
    <t>海南新兹文化传播有限公司</t>
  </si>
  <si>
    <t>USAVORS</t>
  </si>
  <si>
    <t>果酒（含酒精）;⽩酒;葡萄酒;含酒精的⽔果鸡尾酒饮料;酒精饮料（啤酒除外）;汽酒;预先混合的酒精饮料（以啤酒为主的除外）;含⽔果酒精饮料;烈酒（饮料）;蒸馏饮料</t>
  </si>
  <si>
    <t>2024年03月09日</t>
  </si>
  <si>
    <t>350</t>
  </si>
  <si>
    <t>77199569</t>
  </si>
  <si>
    <t>谢广勤</t>
  </si>
  <si>
    <t>竺柔</t>
  </si>
  <si>
    <t>⽩酒;鸡尾酒;⻩酒;⾼粱酒;清酒;酒精饮料（啤酒除外）;果酒;⽶酒;烧酒;葡萄酒</t>
  </si>
  <si>
    <t>351</t>
  </si>
  <si>
    <t>77200247</t>
  </si>
  <si>
    <t>许昌市胖东来商贸集团有限公司</t>
  </si>
  <si>
    <t>爱在胖东来 LOVEINDL</t>
  </si>
  <si>
    <t>⽶酒;⽩兰地;⻩酒;⽩酒;薄荷酒;鸡尾酒;葡萄酒;清酒（⽇本⽶酒）;汽酒;开胃酒;含⽔果酒精饮料;烈酒（饮料）;朗姆酒;伏特加酒;烧酒;⾷⽤酒精;果酒（含酒精）;⻘稞酒</t>
  </si>
  <si>
    <t>352</t>
  </si>
  <si>
    <t>77202530</t>
  </si>
  <si>
    <t>苏州瑞欧建筑装饰工程有限公司</t>
  </si>
  <si>
    <t>古邳赋</t>
  </si>
  <si>
    <t>果酒（含酒精）;烧酒;⻩酒;苹果酒;⽩酒;梨酒;酒精饮料（啤酒除外）;⾼粱酒;开胃酒;葡萄酒</t>
  </si>
  <si>
    <t>353</t>
  </si>
  <si>
    <t>77205952</t>
  </si>
  <si>
    <t>宋永福</t>
  </si>
  <si>
    <t>红拂</t>
  </si>
  <si>
    <t>烧酒;⽶酒;⽼酒（中国蒸馏烈酒）;伏特加酒;果酒（含酒精）;⽩酒;烈酒;葡萄酒;⻘梅酒;调制好的葡萄酒鸡尾酒</t>
  </si>
  <si>
    <t>2024年03月10日</t>
  </si>
  <si>
    <t>354</t>
  </si>
  <si>
    <t>77205993</t>
  </si>
  <si>
    <t>重功</t>
  </si>
  <si>
    <t>⾼粱酒;果酒（含酒精）;清酒;⽩酒;⻩酒;葡萄酒;⽶酒;烧酒（烈酒）;苦荞酒;⽼酒（中国蒸馏烈酒）</t>
  </si>
  <si>
    <t>355</t>
  </si>
  <si>
    <t>77208275</t>
  </si>
  <si>
    <t>四川省东圣酒业股份有限公司</t>
  </si>
  <si>
    <t>东圣紫泉酒坊</t>
  </si>
  <si>
    <t>⽩酒;烈酒;餐后酒（利⼝酒和烈酒）;烧酒;蒸煮提取物（利⼝酒和烈酒）;⽼酒（中国蒸馏烈酒）;⽩⼲酒（中国⽩酒）;果酒（含酒精）;酒精饮料（啤酒除外）;⾷⽤酒精</t>
  </si>
  <si>
    <t>2024年03月11日</t>
  </si>
  <si>
    <t>356</t>
  </si>
  <si>
    <t>77209263</t>
  </si>
  <si>
    <t>石兕坊</t>
  </si>
  <si>
    <t>⻩酒;果酒（含酒精）;⾷⽤酒精;酒精饮料（啤酒除外）;⽩酒;⻘稞酒;烧酒;蒸馏饮料;葡萄酒;⽶酒</t>
  </si>
  <si>
    <t>357</t>
  </si>
  <si>
    <t>77209306</t>
  </si>
  <si>
    <t>徐俊标</t>
  </si>
  <si>
    <t>赤子功</t>
  </si>
  <si>
    <t>餐后酒（利⼝酒和烈酒）;⻩酒;⻘稞酒;果酒（含酒精）;露酒;⽩酒;⽶酒;烧酒;烈酒;葡萄酒</t>
  </si>
  <si>
    <t>358</t>
  </si>
  <si>
    <t>77209494</t>
  </si>
  <si>
    <t>文宗师</t>
  </si>
  <si>
    <t>葡萄酒;清酒（⽇本⽶酒）;⻩酒;⽶酒;⻘稞酒;⽼酒（中国蒸馏烈酒）;⽩酒;清酒;烧酒;烈酒</t>
  </si>
  <si>
    <t>359</t>
  </si>
  <si>
    <t>77210231</t>
  </si>
  <si>
    <t>凤城凤凰山啤酒有限公司</t>
  </si>
  <si>
    <t>弗兰克加拉格</t>
  </si>
  <si>
    <t>⽩兰地;威⼠忌;⽶酒;苹果酒;⻘梅酒;烧酒;⽩酒;薄荷酒;鸡尾酒;葡萄酒</t>
  </si>
  <si>
    <t>360</t>
  </si>
  <si>
    <t>77210314</t>
  </si>
  <si>
    <t>衡与烧坊</t>
  </si>
  <si>
    <t>已调味的蒸馏酒;⾼粱酒;烈酒;⽩⼲酒（中国⽩酒）;烧酒（烈酒）;含酒精的饮料（啤酒除外）;烧酒;⽼酒（中国蒸馏烈酒）;⽩酒;由⾕物蒸馏的⽩酒</t>
  </si>
  <si>
    <t>361</t>
  </si>
  <si>
    <t>77210638</t>
  </si>
  <si>
    <t>娄少雨</t>
  </si>
  <si>
    <t>隋醉翁</t>
  </si>
  <si>
    <t>⻩酒;⽩⼲酒（中国⽩酒）;含酒精的饮料（啤酒除外）;烧酒;汽酒;⽶酒;葡萄酒;佐餐酒;果酒;⽩酒</t>
  </si>
  <si>
    <t>362</t>
  </si>
  <si>
    <t>77211329</t>
  </si>
  <si>
    <t>闫月琴</t>
  </si>
  <si>
    <t>清沙汉渡</t>
  </si>
  <si>
    <t>烧酒;烈酒（饮料）;⻘稞酒;⻩酒;果酒（含酒精）;⽩酒;鸡尾酒;利⼝酒;开胃酒;葡萄酒</t>
  </si>
  <si>
    <t>363</t>
  </si>
  <si>
    <t>77212324</t>
  </si>
  <si>
    <t>重庆市荣昌区陶淘优品生态农业有限公司</t>
  </si>
  <si>
    <t>葡萄酒;蜂蜜酒;烧酒;⻩酒;⽶酒;⽩酒;⽩⼲酒（中国⽩酒）;威⼠忌;清酒;果酒（含酒精）</t>
  </si>
  <si>
    <t>364</t>
  </si>
  <si>
    <t>77215503</t>
  </si>
  <si>
    <t>罗中林</t>
  </si>
  <si>
    <t>鸿闫</t>
  </si>
  <si>
    <t>⻘稞酒;⽶酒;果酒（含酒精）;酒精饮料（啤酒除外）;葡萄酒;预先混合的酒精饮料（以啤酒为主的除外）;鸡尾酒;烈酒（饮料）;烧酒;⽩酒</t>
  </si>
  <si>
    <t>365</t>
  </si>
  <si>
    <t>77215908</t>
  </si>
  <si>
    <t>中国双喜（控股）股份有限公司</t>
  </si>
  <si>
    <t>氿牌酒台红 酎牌酒台红</t>
  </si>
  <si>
    <t>烧酒;⻩酒;酒精饮料（啤酒除外）;⽩酒;⽼酒（中国蒸馏烈酒）;烈酒;葡萄酒;果酒;⽶酒;清酒</t>
  </si>
  <si>
    <t>366</t>
  </si>
  <si>
    <t>77219638</t>
  </si>
  <si>
    <t>清沙渡</t>
  </si>
  <si>
    <t>⽩酒;⻘稞酒;鸡尾酒;葡萄酒;果酒（含酒精）;烧酒;烈酒（饮料）;利⼝酒;开胃酒;⻩酒</t>
  </si>
  <si>
    <t>367</t>
  </si>
  <si>
    <t>77219933</t>
  </si>
  <si>
    <t>米奇品牌文化有限公司</t>
  </si>
  <si>
    <t>HUAFURDS</t>
  </si>
  <si>
    <t>威⼠忌;⽩酒;利⼝酒;葡萄酒;伏特加酒;含⽔果酒精饮料;鸡尾酒;⽩兰地;烧酒;果酒（含酒精）</t>
  </si>
  <si>
    <t>368</t>
  </si>
  <si>
    <t>77221445</t>
  </si>
  <si>
    <t>黄付彦</t>
  </si>
  <si>
    <t>问孔</t>
  </si>
  <si>
    <t>⽶酒;清酒;烧酒（烈酒）;鸡尾酒;⽩酒;苦荞酒;甜酒;⾼粱酒;烧酒;烈酒</t>
  </si>
  <si>
    <t>369</t>
  </si>
  <si>
    <t>77221990</t>
  </si>
  <si>
    <t>咸京国</t>
  </si>
  <si>
    <t>延达人</t>
  </si>
  <si>
    <t>清酒（⽇本⽶酒）;含酒精的⽓泡⽔;汽酒;烧酒;⽩酒;⽶酒;朗姆酒;朝鲜族⽶酒;已调味的⻨芽酿制的酒精饮料（啤酒除外）;葡萄酒</t>
  </si>
  <si>
    <t>370</t>
  </si>
  <si>
    <t>77223928</t>
  </si>
  <si>
    <t>萍乡武功山鑫丰商贸有限公司</t>
  </si>
  <si>
    <t>庐山谷</t>
  </si>
  <si>
    <t>烧酒;汽酒;⽩酒;果酒（含酒精）;含⽔果酒精饮料;葡萄酒;⽶酒;⻩酒;烈酒（饮料）;酒精饮料原汁</t>
  </si>
  <si>
    <t>371</t>
  </si>
  <si>
    <t>77224278</t>
  </si>
  <si>
    <t>娄嘉诚</t>
  </si>
  <si>
    <t>牦乡台</t>
  </si>
  <si>
    <t>⽩⼲酒（中国⽩酒）;果酒;⽩酒;⽶酒;⻩酒;葡萄酒;佐餐酒;烧酒;汽酒;含酒精的饮料（啤酒除外）</t>
  </si>
  <si>
    <t>372</t>
  </si>
  <si>
    <t>77224506</t>
  </si>
  <si>
    <t>清沙汉大渡</t>
  </si>
  <si>
    <t>⽩酒;烧酒;葡萄酒;利⼝酒;果酒（含酒精）;开胃酒;⻘稞酒;⻩酒;烈酒（饮料）;鸡尾酒</t>
  </si>
  <si>
    <t>373</t>
  </si>
  <si>
    <t>77224643</t>
  </si>
  <si>
    <t>贾远攀</t>
  </si>
  <si>
    <t>谷液池</t>
  </si>
  <si>
    <t>蒸馏饮料;葡萄酒;酒精饮料原汁;预先混合的酒精饮料（以啤酒为主的除外）;⽶酒;⻩酒;⽩酒;酒精饮料（啤酒除外）;果酒（含酒精）;含⽔果酒精饮料</t>
  </si>
  <si>
    <t>374</t>
  </si>
  <si>
    <t>77225178</t>
  </si>
  <si>
    <t>珖郜台</t>
  </si>
  <si>
    <t>果酒（含酒精）;烧酒;蒸馏饮料;⾷⽤酒精;⽶酒;葡萄酒;⽩酒;⻩酒;酒精饮料（啤酒除外）;⻘稞酒</t>
  </si>
  <si>
    <t>375</t>
  </si>
  <si>
    <t>77225664</t>
  </si>
  <si>
    <t>厦门市健缘生物科技有限公司</t>
  </si>
  <si>
    <t>呡贡</t>
  </si>
  <si>
    <t>⽶酒;烧酒;含⽔果酒精饮料;果酒（含酒精）;⽩酒;威⼠忌;葡萄酒;蒸馏饮料;鸡尾酒;⽩兰地</t>
  </si>
  <si>
    <t>376</t>
  </si>
  <si>
    <t>77225668</t>
  </si>
  <si>
    <t>呡缘</t>
  </si>
  <si>
    <t>果酒（含酒精）;蒸馏饮料;烧酒;葡萄酒;鸡尾酒;⽩兰地;⽩酒;威⼠忌;含⽔果酒精饮料;⽶酒</t>
  </si>
  <si>
    <t>377</t>
  </si>
  <si>
    <t>77225893</t>
  </si>
  <si>
    <t>龙马灵龟</t>
  </si>
  <si>
    <t>⻩酒;⽩酒;蒸馏饮料;酒精饮料（啤酒除外）;酒精饮料原汁;⽶酒;预先混合的酒精饮料（以啤酒为主的除外）;果酒（含酒精）;葡萄酒;含⽔果酒精饮料</t>
  </si>
  <si>
    <t>378</t>
  </si>
  <si>
    <t>77227410</t>
  </si>
  <si>
    <t>清沙汉二渡</t>
  </si>
  <si>
    <t>葡萄酒;烧酒;烈酒（饮料）;利⼝酒;果酒（含酒精）;⻘稞酒;⽩酒;⻩酒;鸡尾酒;开胃酒</t>
  </si>
  <si>
    <t>379</t>
  </si>
  <si>
    <t>77229323</t>
  </si>
  <si>
    <t>赵慧洁</t>
  </si>
  <si>
    <t>新跑道</t>
  </si>
  <si>
    <t>清酒;葡萄酒;果酒;甜酒;⾷⽤酒精;⻩酒;⽩酒;⽶酒;开胃酒;汽酒</t>
  </si>
  <si>
    <t>380</t>
  </si>
  <si>
    <t>77230484</t>
  </si>
  <si>
    <t>伏特加酒;⽩兰地;利⼝酒;烧酒;⽩酒;鸡尾酒;果酒（含酒精）;含⽔果酒精饮料;威⼠忌;葡萄酒</t>
  </si>
  <si>
    <t>381</t>
  </si>
  <si>
    <t>77230560</t>
  </si>
  <si>
    <t>广东思埠集团有限公司</t>
  </si>
  <si>
    <t>舌尖风暴</t>
  </si>
  <si>
    <t>威⼠忌;含⽔果酒精饮料;果酒（含酒精）;葡萄酒;⽶酒;蒸馏饮料;⻩酒;鸡尾酒;⽩酒;⽩兰地</t>
  </si>
  <si>
    <t>382</t>
  </si>
  <si>
    <t>77230571</t>
  </si>
  <si>
    <t>雲酒莊酒业（云南）有限公司</t>
  </si>
  <si>
    <t>掼淡云</t>
  </si>
  <si>
    <t>酒精饮料（啤酒除外）;黄酒;老酒（中国蒸馏烈酒）;米酒;鸡尾酒;果酒;威士忌;葡萄酒;白酒;烧酒</t>
  </si>
  <si>
    <t>383</t>
  </si>
  <si>
    <t>77230630</t>
  </si>
  <si>
    <t>伊宁市庭尚一品商贸有限公司</t>
  </si>
  <si>
    <t>大唐光良史</t>
  </si>
  <si>
    <t>果酒（含酒精）;酒精饮料原汁;⽶酒;⾷⽤酒精;葡萄酒;烧酒;烈酒（饮料）;汽酒;⻩酒;⽩酒</t>
  </si>
  <si>
    <t>384</t>
  </si>
  <si>
    <t>77231211</t>
  </si>
  <si>
    <t>蒋银娥(430523********4329)</t>
  </si>
  <si>
    <t>纳赤</t>
  </si>
  <si>
    <t>⽶酒;烧酒;蜂蜜酒;鸡尾酒;⾷⽤酒精;果酒;⽩酒;⻘稞酒;甜酒;葡萄酒</t>
  </si>
  <si>
    <t>385</t>
  </si>
  <si>
    <t>77231508</t>
  </si>
  <si>
    <t>山西省杏花酒集团有限公司</t>
  </si>
  <si>
    <t>黄河颂</t>
  </si>
  <si>
    <t>果酒（含酒精）;酒精饮料（啤酒除外）;葡萄酒;烧酒;⽼酒（中国蒸馏烈酒）;⻩酒;⽶酒;清酒;⾷⽤酒精;⽩酒</t>
  </si>
  <si>
    <t>386</t>
  </si>
  <si>
    <t>77231548</t>
  </si>
  <si>
    <t>王利东412326********3035</t>
  </si>
  <si>
    <t>汣蔻脾氣</t>
  </si>
  <si>
    <t>果酒（含酒精）;⻩酒;鸡尾酒;葡萄酒;烈酒（饮料）;蒸馏饮料;⽩酒;⽶酒;威⼠忌;清酒（⽇本⽶酒）</t>
  </si>
  <si>
    <t>387</t>
  </si>
  <si>
    <t>77231636</t>
  </si>
  <si>
    <t>南阳农藏农业发展有限公司</t>
  </si>
  <si>
    <t>愿缘源</t>
  </si>
  <si>
    <t>⽩酒;⻩酒;烧酒;含⽔果酒精饮料;葡萄酒;酒精饮料（啤酒除外）;⾕物制蒸馏酒精饮料;⽩兰地;伏特加酒;威⼠忌</t>
  </si>
  <si>
    <t>388</t>
  </si>
  <si>
    <t>77231747</t>
  </si>
  <si>
    <t>清沙汉一渡</t>
  </si>
  <si>
    <t>开胃酒;⽩酒;⻘稞酒;鸡尾酒;利⼝酒;果酒（含酒精）;葡萄酒;⻩酒;烧酒;烈酒（饮料）</t>
  </si>
  <si>
    <t>389</t>
  </si>
  <si>
    <t>77231811</t>
  </si>
  <si>
    <t>广西壮田收益食品有限公司</t>
  </si>
  <si>
    <t>桂氏公文包</t>
  </si>
  <si>
    <t>⽩酒;蒸馏⽶酒（泡盛酒）;果酒;含酒精的饮料（啤酒除外）;烈酒（饮料）;⾼粱酒;烧酒;⽶酒;⽼酒（中国蒸馏烈酒）;酒精饮料（啤酒除外）</t>
  </si>
  <si>
    <t>390</t>
  </si>
  <si>
    <t>77232213</t>
  </si>
  <si>
    <t>代军</t>
  </si>
  <si>
    <t>恩贵山</t>
  </si>
  <si>
    <t>蒸馏饮料;鸡尾酒;⽶酒;果酒（含酒精）;⽩酒;威⼠忌;酒精饮料（啤酒除外）;烧酒;烈酒（饮料）;葡萄酒</t>
  </si>
  <si>
    <t>391</t>
  </si>
  <si>
    <t>77232717</t>
  </si>
  <si>
    <t>米文飞</t>
  </si>
  <si>
    <t>秦唐剑</t>
  </si>
  <si>
    <t>⽼酒（中国蒸馏烈酒）;蜂蜜酒;⻘稞酒;葡萄酒;⽶酒;⻩酒;⽩酒;⾼粱酒;果酒;酒精饮料（啤酒除外）</t>
  </si>
  <si>
    <t>392</t>
  </si>
  <si>
    <t>77233001</t>
  </si>
  <si>
    <t>大连布兰克商贸有限公司</t>
  </si>
  <si>
    <t>MINGAZZINI 明加斯家族</t>
  </si>
  <si>
    <t>葡萄酒;威⼠忌;汽酒;果酒（含酒精）;⽩酒;烧酒;⻩酒;⽶酒;以葡萄酒为主的饮料;鸡尾酒</t>
  </si>
  <si>
    <t>393</t>
  </si>
  <si>
    <t>77233222</t>
  </si>
  <si>
    <t>清沙汉三渡</t>
  </si>
  <si>
    <t>葡萄酒;⻩酒;利⼝酒;开胃酒;⽩酒;⻘稞酒;烧酒;鸡尾酒;烈酒（饮料）;果酒（含酒精）</t>
  </si>
  <si>
    <t>394</t>
  </si>
  <si>
    <t>77233801</t>
  </si>
  <si>
    <t>呼伦贝尔市古烧酒业有限公司</t>
  </si>
  <si>
    <t>枒儿河</t>
  </si>
  <si>
    <t>烧酒;烧酒（烈酒）;含⽔果酒精饮料;⽩酒;汽酒;⽶酒;伏特加酒;⻩酒;开胃酒;葡萄酒</t>
  </si>
  <si>
    <t>395</t>
  </si>
  <si>
    <t>77234041</t>
  </si>
  <si>
    <t>杨绍村</t>
  </si>
  <si>
    <t>虾锅传</t>
  </si>
  <si>
    <t>鸡尾酒;烈酒（饮料）;⻩酒;开胃酒;⽩酒;酒精饮料原汁;⽶酒;果酒（含酒精）;利⼝酒;葡萄酒</t>
  </si>
  <si>
    <t>396</t>
  </si>
  <si>
    <t>77235659</t>
  </si>
  <si>
    <t>双喜（浙江）食品有限公司</t>
  </si>
  <si>
    <t>最耀囍 最耀憙 最耀喜</t>
  </si>
  <si>
    <t>烧酒;⻩酒;葡萄酒;酒精饮料（啤酒除外）;清酒;⽶酒;⽼酒（中国蒸馏烈酒）;果酒;烈酒;⽩酒</t>
  </si>
  <si>
    <t>2024年03月12日</t>
  </si>
  <si>
    <t>397</t>
  </si>
  <si>
    <t>77236257</t>
  </si>
  <si>
    <t>陈茜</t>
  </si>
  <si>
    <t>洪畅</t>
  </si>
  <si>
    <t>⽩酒;威⼠忌;果酒（含酒精）;伏特加酒;⽩兰地;汽酒;烧酒;葡萄酒;⽶酒;烈酒（饮料）</t>
  </si>
  <si>
    <t>398</t>
  </si>
  <si>
    <t>77236547</t>
  </si>
  <si>
    <t>张庆国</t>
  </si>
  <si>
    <t>都锦醇</t>
  </si>
  <si>
    <t>酒精饮料(啤酒除外);果酒;⽶酒;清酒;开胃酒;蒸煮提取物(利⼝酒和烈酒);⽩酒;葡萄酒;⻩酒;烧酒</t>
  </si>
  <si>
    <t>399</t>
  </si>
  <si>
    <t>77237099</t>
  </si>
  <si>
    <t>张磊</t>
  </si>
  <si>
    <t>交契</t>
  </si>
  <si>
    <t>⾕物制蒸馏酒精饮料;利⼝酒;⽼酒（中国蒸馏烈酒）;由⾕物蒸馏的⽩酒;果酒（含酒精）;预先混合的酒精饮料（以啤酒为主的除外）;⽶酒;烈酒;⽩酒;⻩酒</t>
  </si>
  <si>
    <t>400</t>
  </si>
  <si>
    <t>77237103</t>
  </si>
  <si>
    <t>佛山市易龙禧珠茶业有限公司</t>
  </si>
  <si>
    <t>福德家成</t>
  </si>
  <si>
    <t>鸡尾酒;葡萄酒;烈酒（饮料）;⻩酒;利⼝酒;⽶酒;清酒（⽇本⽶酒）;酒精饮料（啤酒除外）;烧酒;蒸馏饮料</t>
  </si>
  <si>
    <t>401</t>
  </si>
  <si>
    <t>77237202</t>
  </si>
  <si>
    <t>洪建明</t>
  </si>
  <si>
    <t>兰瀫</t>
  </si>
  <si>
    <t>利⼝酒;烈酒（饮料）;烧酒;酒精饮料原汁;⽶酒;果酒（含酒精）;⽼酒（中国蒸馏烈酒）;开胃酒;烈酒浓缩汁;⽩酒</t>
  </si>
  <si>
    <t>402</t>
  </si>
  <si>
    <t>77238967</t>
  </si>
  <si>
    <t>上海蔡同德堂药号有限公司</t>
  </si>
  <si>
    <t>蔡同徳堂</t>
  </si>
  <si>
    <t>酒精饮料（啤酒除外）;葡萄酒;⻩酒;烈酒（饮料）;清酒（⽇本⽶酒）;蜂蜜酒;⾷⽤酒精;烧酒;除啤酒外的酒精饮料;⽶酒</t>
  </si>
  <si>
    <t>403</t>
  </si>
  <si>
    <t>77239571</t>
  </si>
  <si>
    <t>四季久韵</t>
  </si>
  <si>
    <t>⽢蔗制酒精饮料;酒精饮料原汁;酒精饮料（啤酒除外）;⽶酒;⾕物制蒸馏酒精饮料;含⽔果酒精饮料;葡萄酒;清酒（⽇本⽶酒）;酒精饮料浓缩汁;预先混合的酒精饮料（以啤酒为主的除外）</t>
  </si>
  <si>
    <t>404</t>
  </si>
  <si>
    <t>77239835</t>
  </si>
  <si>
    <t>宋雅楠</t>
  </si>
  <si>
    <t>洹水甲骨</t>
  </si>
  <si>
    <t>果酒（含酒精）;烈酒（饮料）;葡萄酒;酒精饮料浓缩汁;含⽔果酒精饮料;⽶酒;⽩酒;酒精饮料（啤酒除外）;烧酒;蒸馏饮料</t>
  </si>
  <si>
    <t>405</t>
  </si>
  <si>
    <t>77240634</t>
  </si>
  <si>
    <t>钟春发</t>
  </si>
  <si>
    <t>鹿教授</t>
  </si>
  <si>
    <t>果酒;⽩酒;⾷⽤酒精;开胃酒;清酒;葡萄酒;⻩酒;汽酒;甜酒;⽶酒</t>
  </si>
  <si>
    <t>406</t>
  </si>
  <si>
    <t>77242726</t>
  </si>
  <si>
    <t>贵州誉义烧坊酒业有限公司</t>
  </si>
  <si>
    <t>玉麦粱香</t>
  </si>
  <si>
    <t>果酒;⻩酒;鸡尾酒;⽩酒;烧酒;伏特加酒;烈酒（饮料）;清酒（⽇本⽶酒）;威⼠忌;果酒（含酒精）</t>
  </si>
  <si>
    <t>407</t>
  </si>
  <si>
    <t>77244094</t>
  </si>
  <si>
    <t>美浓文化（北京）有限公司</t>
  </si>
  <si>
    <t>CHATEAU L'OUTTON 露彤酒庄</t>
  </si>
  <si>
    <t>⻘稞酒;甜酒;⻩酒;蜂蜜酒;果酒;含酒精的饮料（啤酒除外）;⽩酒;含⽔果酒精饮料;⽶酒;葡萄酒</t>
  </si>
  <si>
    <t>408</t>
  </si>
  <si>
    <t>77244905</t>
  </si>
  <si>
    <t>绍兴江老汗酒业有限公司</t>
  </si>
  <si>
    <t>情系长江芈青</t>
  </si>
  <si>
    <t>开胃酒;⽩酒;烧酒（烈酒）;果酒;⽶酒;含酒精⽔果饮料;露酒;葡萄酒;酒精饮料（啤酒除外）;⻩酒</t>
  </si>
  <si>
    <t>409</t>
  </si>
  <si>
    <t>77245648</t>
  </si>
  <si>
    <t>葡萄酒;朗姆酒;⽩兰地;酒精饮料（啤酒除外）;烈酒（饮料）;伏特加酒;利⼝酒;⾷⽤酒精;威⼠忌;果酒（含酒精）</t>
  </si>
  <si>
    <t>410</t>
  </si>
  <si>
    <t>77245842</t>
  </si>
  <si>
    <t>铜仁看点科技有限公司</t>
  </si>
  <si>
    <t>科友金科</t>
  </si>
  <si>
    <t>加烈葡萄酒;以葡萄酒为主的饮料;⾷⽤酒精;⽩酒;⾼粱酒;烧酒（烈酒）;由⾕物蒸馏的⽩酒;烧酒;果酒;烈酒;⽼酒（中国蒸馏烈酒）;⽩⼲酒（中国⽩酒）</t>
  </si>
  <si>
    <t>411</t>
  </si>
  <si>
    <t>77248052</t>
  </si>
  <si>
    <t>深圳造乐食品有限公司</t>
  </si>
  <si>
    <t>OBTAINJOY</t>
  </si>
  <si>
    <t>威⼠忌;含酒精的鸡尾酒混合饮品;酒精饮料浓缩汁;酒精饮料原汁;果酒;甜酒;天然汽酒;预调甜酒;含酒精的饮料（啤酒除外）;预先混合的酒精饮料（以啤酒为主的除外）;含⽔果酒精饮料;果酒（含酒精）</t>
  </si>
  <si>
    <t>412</t>
  </si>
  <si>
    <t>77248285</t>
  </si>
  <si>
    <t>廖海波</t>
  </si>
  <si>
    <t>添然加芬</t>
  </si>
  <si>
    <t>开胃酒;果酒;甜酒;汽酒;⻩酒;⽩酒;⽶酒;⾷⽤酒精;清酒;葡萄酒</t>
  </si>
  <si>
    <t>413</t>
  </si>
  <si>
    <t>77248502</t>
  </si>
  <si>
    <t>贵州王台老作坊企业管理咨询有限公司</t>
  </si>
  <si>
    <t>王台酒私</t>
  </si>
  <si>
    <t>⽼酒（中国蒸馏烈酒）;烧酒;⾼粱酒;⽩⼲酒（中国⽩酒）;⽩酒;烈性⼲酒;烈酒</t>
  </si>
  <si>
    <t>414</t>
  </si>
  <si>
    <t>77249390</t>
  </si>
  <si>
    <t>湖南瑶珍粮油有限公司</t>
  </si>
  <si>
    <t>小瑶仙酿</t>
  </si>
  <si>
    <t>烈酒（饮料）;酒精饮料（啤酒除外）;⻩酒;⽶酒;果酒（含酒精）;蜂蜜酒;开胃酒;鸡尾酒;⽩酒;葡萄酒</t>
  </si>
  <si>
    <t>415</t>
  </si>
  <si>
    <t>77249486</t>
  </si>
  <si>
    <t>金沙县唯祯企业管理有限公司</t>
  </si>
  <si>
    <t>钟掌柜</t>
  </si>
  <si>
    <t>烈酒（饮料）;酒精饮料（啤酒除外）;⽶酒;葡萄酒;烧酒;⽩酒;含⽔果酒精饮料;⾕物制蒸馏酒精饮料;果酒（含酒精）;开胃酒</t>
  </si>
  <si>
    <t>416</t>
  </si>
  <si>
    <t>77249729</t>
  </si>
  <si>
    <t>北京泰洋联盟文化传媒有限公司</t>
  </si>
  <si>
    <t>班长胖洪</t>
  </si>
  <si>
    <t>葡萄酒;含⽔果酒精饮料;汽酒;酒精饮料（啤酒除外）;⻩酒;蒸馏饮料;⽩酒;烧酒;⽶酒;利⼝酒</t>
  </si>
  <si>
    <t>417</t>
  </si>
  <si>
    <t>77251267</t>
  </si>
  <si>
    <t>山西龙城大曲酒业有限公司</t>
  </si>
  <si>
    <t>垆汌</t>
  </si>
  <si>
    <t>葡萄酒;开胃酒;⽩兰地;酒精饮料（啤酒除外）;鸡尾酒;烧酒;果酒（含酒精）;⽩酒;⽶酒;⾕物制蒸馏酒精饮料</t>
  </si>
  <si>
    <t>418</t>
  </si>
  <si>
    <t>77251294</t>
  </si>
  <si>
    <t>郑州市酒界商贸有限公司</t>
  </si>
  <si>
    <t>清界</t>
  </si>
  <si>
    <t>威⼠忌;⽩酒;果酒（含酒精）;清酒（⽇本⽶酒）;⻩酒;餐后酒（利⼝酒和烈酒）;鸡尾酒;葡萄酒;烧酒;酒精饮料（啤酒除外）</t>
  </si>
  <si>
    <t>419</t>
  </si>
  <si>
    <t>77251724</t>
  </si>
  <si>
    <t>天津市棉田纺织品有限公司</t>
  </si>
  <si>
    <t>海河春津小皮</t>
  </si>
  <si>
    <t>葡萄酒;⾷⽤酒精;酒精饮料（啤酒除外）;⽩酒;蒸煮提取物（利⼝酒和烈酒）;烧酒;果酒（含酒精）;⽶酒;威⼠忌;蜂蜜酒</t>
  </si>
  <si>
    <t>420</t>
  </si>
  <si>
    <t>77252325</t>
  </si>
  <si>
    <t>徐梧桐</t>
  </si>
  <si>
    <t>每添萃</t>
  </si>
  <si>
    <t>⽶酒;⻩酒;果酒;汽酒;葡萄酒;⾷⽤酒精;开胃酒;清酒;甜酒;⽩酒</t>
  </si>
  <si>
    <t>421</t>
  </si>
  <si>
    <t>77252583</t>
  </si>
  <si>
    <t>福鼎市佐茗佑品茶业有限公司</t>
  </si>
  <si>
    <t>心野上</t>
  </si>
  <si>
    <t>烧酒（烈酒）;果酒（含酒精）;汽酒;果酒;⽶酒;葡萄酒;⽼酒（中国蒸馏烈酒）;鸡尾酒;酒精饮料（啤酒除外）;⽩酒</t>
  </si>
  <si>
    <t>422</t>
  </si>
  <si>
    <t>77252610</t>
  </si>
  <si>
    <t>金坛区直溪坛丰酒坊（个体工商户）</t>
  </si>
  <si>
    <t>偲放</t>
  </si>
  <si>
    <t>葡萄酒;烧酒;⽶酒;⻩酒;⻘稞酒;⾕物制蒸馏酒精饮料;果酒（含酒精）;⽩酒;烈酒（饮料）;⾷⽤酒精</t>
  </si>
  <si>
    <t>423</t>
  </si>
  <si>
    <t>77252805</t>
  </si>
  <si>
    <t>江苏姜世生物科技有限公司</t>
  </si>
  <si>
    <t>大汉猛士 GREAT HAN WARRIOR</t>
  </si>
  <si>
    <t>⾷⽤酒精;烈酒（饮料）;酒精饮料（啤酒除外）;⻩酒;酒精饮料原汁;酒精饮料浓缩汁;烧酒;⽩酒;果酒（含酒精）;已调味的蒸馏酒</t>
  </si>
  <si>
    <t>424</t>
  </si>
  <si>
    <t>77253773</t>
  </si>
  <si>
    <t>穿越黄河</t>
  </si>
  <si>
    <t>开胃酒;⽶酒;露酒;酒精饮料（啤酒除外）;含酒精⽔果饮料;烧酒（烈酒）;果酒;葡萄酒;⻩酒;⽩酒</t>
  </si>
  <si>
    <t>425</t>
  </si>
  <si>
    <t>77253837</t>
  </si>
  <si>
    <t>高林强</t>
  </si>
  <si>
    <t>兴冠</t>
  </si>
  <si>
    <t>葡萄酒;烧酒;⽩酒;鸡尾酒;⻩酒;果酒（含酒精）;清酒（⽇本⽶酒）;含⽔果酒精饮料;⽶酒;汽酒</t>
  </si>
  <si>
    <t>426</t>
  </si>
  <si>
    <t>77253868</t>
  </si>
  <si>
    <t>付东</t>
  </si>
  <si>
    <t>河原王子</t>
  </si>
  <si>
    <t>果酒（含酒精）;酒精饮料（啤酒除外）;⻘稞酒;⾷⽤酒精;⾼粱酒;葡萄酒;烧酒;⻩酒;⽶酒;⽩酒</t>
  </si>
  <si>
    <t>427</t>
  </si>
  <si>
    <t>77254960</t>
  </si>
  <si>
    <t>刘娜371321********1428</t>
  </si>
  <si>
    <t>JACR CLUB</t>
  </si>
  <si>
    <t>开胃酒;烧酒;预先混合的酒精饮料（以啤酒为主的除外）;鸡尾酒;酒精饮料浓缩汁;⽩酒;威⼠忌;⽩兰地;果酒（含酒精）;烈酒（饮料）</t>
  </si>
  <si>
    <t>428</t>
  </si>
  <si>
    <t>77254986</t>
  </si>
  <si>
    <t>蒋华林</t>
  </si>
  <si>
    <t>四方九品</t>
  </si>
  <si>
    <t>⽩酒;⻘稞酒;⾕物制蒸馏酒精饮料;烧酒（烈酒）;烧酒;⽶酒;⾷⽤酒精;⻩酒;⻘梅酒;烈酒</t>
  </si>
  <si>
    <t>429</t>
  </si>
  <si>
    <t>77255499</t>
  </si>
  <si>
    <t>刘殿春</t>
  </si>
  <si>
    <t>林海雪原威虎山</t>
  </si>
  <si>
    <t>果酒（含酒精）;葡萄酒;汽酒;刺五加酒;以蒸馏酒为主的开胃酒;已调味的蒸馏酒;⽩酒;⾕物制蒸馏酒精饮料;含酒精的饮料（啤酒除外）;薄荷酒</t>
  </si>
  <si>
    <t>430</t>
  </si>
  <si>
    <t>77258705</t>
  </si>
  <si>
    <t>嵩梅</t>
  </si>
  <si>
    <t>⽩酒;烧酒;果酒（含酒精）;开胃酒;利⼝酒;⽶酒;烈酒（饮料）;⽼酒（中国蒸馏烈酒）;酒精饮料原汁;烈酒浓缩汁</t>
  </si>
  <si>
    <t>431</t>
  </si>
  <si>
    <t>77259161</t>
  </si>
  <si>
    <t>四川米老头食品工业集团股份有限公司</t>
  </si>
  <si>
    <t>罗义堂</t>
  </si>
  <si>
    <t>⽩酒;葡萄酒;蜂蜜酒;烈酒（饮料）;已调味的⻨芽酿制的酒精饮料（啤酒除外）;⽶酒;酸酒（低等葡萄酒）;果酒（含酒精）;鸡尾酒;⽩兰地</t>
  </si>
  <si>
    <t>432</t>
  </si>
  <si>
    <t>77260793</t>
  </si>
  <si>
    <t>安徽省霍邱县临水镇玉泉酒业有限公司</t>
  </si>
  <si>
    <t>六钢徽六</t>
  </si>
  <si>
    <t>⽶酒;果酒（含酒精）;威⼠忌;烧酒;清酒（⽇本⽶酒）;酒精饮料（啤酒除外）;利⼝酒;葡萄酒;⽩酒;鸡尾酒</t>
  </si>
  <si>
    <t>433</t>
  </si>
  <si>
    <t>77260806</t>
  </si>
  <si>
    <t>山东海莱云视股份有限公司</t>
  </si>
  <si>
    <t>天仙岛</t>
  </si>
  <si>
    <t>葡萄酒;酒精饮料（啤酒除外）;果酒（含酒精）;⻩酒;开胃酒;蜂蜜酒;蒸馏饮料;含⽔果酒精饮料;清酒（⽇本⽶酒）;⽩酒</t>
  </si>
  <si>
    <t>434</t>
  </si>
  <si>
    <t>77261369</t>
  </si>
  <si>
    <t>叶淑君</t>
  </si>
  <si>
    <t>滘匠</t>
  </si>
  <si>
    <t>鸡尾酒;葡萄酒;⽩酒;⻩酒;蒸煮提取物（利⼝酒和烈酒）;威⼠忌;果酒（含酒精）;酒精饮料原汁;酒精饮料（啤酒除外）;⽩兰地</t>
  </si>
  <si>
    <t>435</t>
  </si>
  <si>
    <t>77261646</t>
  </si>
  <si>
    <t>张昕</t>
  </si>
  <si>
    <t>大福长安</t>
  </si>
  <si>
    <t>含⽔果酒精饮料;⻩酒;果酒（含酒精）;葡萄酒;酒精饮料原汁;蒸馏饮料;烈酒（饮料）;含酒精的充⽓饮料（啤酒除外）;烧酒;⽩酒</t>
  </si>
  <si>
    <t>525</t>
  </si>
  <si>
    <t>77342681</t>
  </si>
  <si>
    <t>泰安七彩世纪网络科技有限公司</t>
  </si>
  <si>
    <t>鲁至樽</t>
  </si>
  <si>
    <t>⽩酒;⾷⽤酒精;蒸馏饮料;烈酒（饮料）;烧酒;汽酒;⻩酒;果酒（含酒精）;葡萄酒;含⽔果酒精饮料</t>
  </si>
  <si>
    <t>2024年03月16日</t>
  </si>
  <si>
    <t>526</t>
  </si>
  <si>
    <t>77343512</t>
  </si>
  <si>
    <t>宿迁粱谷酿酒业有限公司</t>
  </si>
  <si>
    <t>燚曲</t>
  </si>
  <si>
    <t>⽶酒;鸡尾酒;烧酒;烈酒;⾼粱酒;⽼酒（中国蒸馏烈酒）;果酒（含酒精）;酒精饮料（啤酒除外）;⽩酒;露酒</t>
  </si>
  <si>
    <t>527</t>
  </si>
  <si>
    <t>77343763</t>
  </si>
  <si>
    <t>陕西美邦五羊建设科技有限公司</t>
  </si>
  <si>
    <t>爱小果</t>
  </si>
  <si>
    <t>⽩酒;烈酒（饮料）;苹果酒;葡萄酒;⻩酒;餐后酒（利⼝酒和烈酒）;开胃酒;果酒（含酒精）;鸡尾酒;⽶酒</t>
  </si>
  <si>
    <t>528</t>
  </si>
  <si>
    <t>77344523</t>
  </si>
  <si>
    <t>梁安浪</t>
  </si>
  <si>
    <t>民九芝</t>
  </si>
  <si>
    <t>烈酒（饮料）;清酒;⽶酒;⽩酒;果酒;威⼠忌;葡萄酒;⽩兰地;烧酒;⾷⽤酒精</t>
  </si>
  <si>
    <t>529</t>
  </si>
  <si>
    <t>77344881</t>
  </si>
  <si>
    <t>贵州祥康酒业（集团）有限公司</t>
  </si>
  <si>
    <t>祥康不愁</t>
  </si>
  <si>
    <t>鸡尾酒;⽩酒;果酒（含酒精）;⽩兰地;烧酒;汽酒;烈酒（饮料）;酒精饮料（啤酒除外）;⻩酒;⽶酒</t>
  </si>
  <si>
    <t>530</t>
  </si>
  <si>
    <t>77345163</t>
  </si>
  <si>
    <t>朱钟阳</t>
  </si>
  <si>
    <t>裕象</t>
  </si>
  <si>
    <t>果酒（含酒精）;烈酒（饮料）;烧酒;葡萄酒;⻩酒;汽酒;⽩酒;利⼝酒;酒精饮料原汁;⽶酒</t>
  </si>
  <si>
    <t>531</t>
  </si>
  <si>
    <t>77345985</t>
  </si>
  <si>
    <t>重庆五六集品商业管理有限公司</t>
  </si>
  <si>
    <t>侗坊发族</t>
  </si>
  <si>
    <t>预先混合的酒精饮料（以啤酒为主的除外）;⽩酒;⾕物制蒸馏酒精饮料;⽶酒;烈酒（饮料）;烧酒;葡萄酒;果酒（含酒精）;开胃酒;⻩酒</t>
  </si>
  <si>
    <t>532</t>
  </si>
  <si>
    <t>77346454</t>
  </si>
  <si>
    <t>段鑫强</t>
  </si>
  <si>
    <t>淮河沟</t>
  </si>
  <si>
    <t>酒精饮料（啤酒除外）;烈酒（饮料）;蒸馏饮料;⽶酒;鸡尾酒;⽩酒;果酒（含酒精）;葡萄酒;⻩酒;烧酒</t>
  </si>
  <si>
    <t>533</t>
  </si>
  <si>
    <t>77346587</t>
  </si>
  <si>
    <t>祥康不惑</t>
  </si>
  <si>
    <t>果酒（含酒精）;⽩酒;⻩酒;烈酒（饮料）;烧酒;⽩兰地;鸡尾酒;酒精饮料（啤酒除外）;汽酒;⽶酒</t>
  </si>
  <si>
    <t>534</t>
  </si>
  <si>
    <t>77347921</t>
  </si>
  <si>
    <t>郭长水</t>
  </si>
  <si>
    <t>三千韵</t>
  </si>
  <si>
    <t>果酒（含酒精）;⻘稞酒;⽩酒;汽酒;⻩酒;清酒（⽇本⽶酒）;⽶酒;威⼠忌;烧酒;葡萄酒</t>
  </si>
  <si>
    <t>535</t>
  </si>
  <si>
    <t>77347986</t>
  </si>
  <si>
    <t>祥康知天命</t>
  </si>
  <si>
    <t>汽酒;⻩酒;果酒（含酒精）;酒精饮料（啤酒除外）;烧酒;⽩兰地;鸡尾酒;⽶酒;⽩酒;烈酒（饮料）</t>
  </si>
  <si>
    <t>536</t>
  </si>
  <si>
    <t>77348002</t>
  </si>
  <si>
    <t>祥康人仙</t>
  </si>
  <si>
    <t>⽶酒;⽩酒;⻩酒;酒精饮料（啤酒除外）;⽩兰地;鸡尾酒;烧酒;果酒（含酒精）;汽酒;烈酒（饮料）</t>
  </si>
  <si>
    <t>537</t>
  </si>
  <si>
    <t>77348868</t>
  </si>
  <si>
    <t>祥康耳顺</t>
  </si>
  <si>
    <t>汽酒;⽶酒;酒精饮料（啤酒除外）;烈酒（饮料）;烧酒;⽩兰地;鸡尾酒;⽩酒;⻩酒;果酒（含酒精）</t>
  </si>
  <si>
    <t>538</t>
  </si>
  <si>
    <t>77349556</t>
  </si>
  <si>
    <t>鲸韬</t>
  </si>
  <si>
    <t>葡萄酒;烈酒（饮料）;果酒（含酒精）;⽶酒;烧酒;汽酒;⻩酒;⽩酒;酒精饮料原汁;清酒</t>
  </si>
  <si>
    <t>539</t>
  </si>
  <si>
    <t>77350914</t>
  </si>
  <si>
    <t>苏州正当年医药销售有限公司</t>
  </si>
  <si>
    <t>盐立方</t>
  </si>
  <si>
    <t>⽶酒;烧酒;果酒;⽩酒;已调味的⻨芽酿制的酒精饮料（啤酒除外）;杨梅酒;⽩⼲酒（中国⽩酒）;清酒;由⾕物蒸馏的⽩酒;⽼酒（中国蒸馏烈酒）</t>
  </si>
  <si>
    <t>540</t>
  </si>
  <si>
    <t>77351887</t>
  </si>
  <si>
    <t>五常市同丰米业有限公司</t>
  </si>
  <si>
    <t>米斗儿先生</t>
  </si>
  <si>
    <t>⾼粱酒;果酒（含酒精）;由⾕物蒸馏的⽩酒;⽶酒;⽩⼲酒（中国⽩酒）;含酒精的饮料（啤酒除外）;⽩酒;甜果酒;烧酒（烈酒）;烧酒</t>
  </si>
  <si>
    <t>2024年03月17日</t>
  </si>
  <si>
    <t>541</t>
  </si>
  <si>
    <t>77351911</t>
  </si>
  <si>
    <t>朱成</t>
  </si>
  <si>
    <t>一抹金 本真年份酒</t>
  </si>
  <si>
    <t>⽶酒;汽酒;⽩酒;⾼粱酒;葡萄酒;开胃酒;烧酒;清酒;⽩兰地;烈酒</t>
  </si>
  <si>
    <t>542</t>
  </si>
  <si>
    <t>77352222</t>
  </si>
  <si>
    <t>商丘福星教育咨询有限公司</t>
  </si>
  <si>
    <t>妩纯</t>
  </si>
  <si>
    <t>果酒（含酒精）;葡萄酒;⽶酒;⻩酒;酒精饮料（啤酒除外）;汽酒;⽩兰地;⽩酒;烧酒;清酒（⽇本⽶酒）</t>
  </si>
  <si>
    <t>543</t>
  </si>
  <si>
    <t>77352982</t>
  </si>
  <si>
    <t>山东天赞酒业股份有限公司</t>
  </si>
  <si>
    <t>川北行 与君共此杯 · 伴我万里行</t>
  </si>
  <si>
    <t>葡萄酒;⻩酒;烈酒;果酒;含酒精的饮料（啤酒除外）;烧酒;清酒;⽶酒;鸡尾酒;⽩酒</t>
  </si>
  <si>
    <t>544</t>
  </si>
  <si>
    <t>77353451</t>
  </si>
  <si>
    <t>阿夫巴(上海)智能科技有限公司</t>
  </si>
  <si>
    <t>神景寨</t>
  </si>
  <si>
    <t>预先混合的酒精饮料（以啤酒为主的除外）;⻩酒;⽩酒;葡萄酒;含酒精的饮料（啤酒除外）;⽶酒;梅酒;⽩葡萄酒;红葡萄酒</t>
  </si>
  <si>
    <t>545</t>
  </si>
  <si>
    <t>77353661</t>
  </si>
  <si>
    <t>福建医联生物工程有限公司</t>
  </si>
  <si>
    <t>畅百岁</t>
  </si>
  <si>
    <t>伏特加酒;葡萄酒;⽶酒;以葡萄酒为主的饮料;⽩酒;果酒（含酒精）;清酒（⽇本⽶酒）;酒精饮料（啤酒除外）;烧酒;⻩酒</t>
  </si>
  <si>
    <t>546</t>
  </si>
  <si>
    <t>77353664</t>
  </si>
  <si>
    <t>湖南华南医学科技研究院有限公司</t>
  </si>
  <si>
    <t>省童</t>
  </si>
  <si>
    <t>蒸馏饮料;烈酒（饮料）;果酒;⾷⽤酒精;⽩酒;葡萄酒;⽶酒;含酒精的饮料（啤酒除外）;甜酒;开胃酒</t>
  </si>
  <si>
    <t>547</t>
  </si>
  <si>
    <t>77355667</t>
  </si>
  <si>
    <t>王淑红</t>
  </si>
  <si>
    <t>红三寅</t>
  </si>
  <si>
    <t>果酒（含酒精）;烈酒（饮料）;⽼酒（中国蒸馏烈酒）;酒精饮料（啤酒除外）;⾼粱酒;⻩酒;⽩酒;葡萄酒;蜂蜜酒;⽶酒</t>
  </si>
  <si>
    <t>2024年03月18日</t>
  </si>
  <si>
    <t>760</t>
  </si>
  <si>
    <t>77436326</t>
  </si>
  <si>
    <t>林天德</t>
  </si>
  <si>
    <t>茶倾慕色</t>
  </si>
  <si>
    <t>⽩酒;清酒（⽇本⽶酒）;威⼠忌;鸡尾酒;⽶酒;果酒（含酒精）;⻩酒;葡萄酒;⽩兰地;酒精饮料（啤酒除外）</t>
  </si>
  <si>
    <t>2024年03月20日</t>
  </si>
  <si>
    <t>761</t>
  </si>
  <si>
    <t>77436360</t>
  </si>
  <si>
    <t>晏华（422423********3616）</t>
  </si>
  <si>
    <t>江南秦莲</t>
  </si>
  <si>
    <t>含⽔果酒精饮料;⾕物制蒸馏酒精饮料;⽩酒;⻩酒;酒精饮料（啤酒除外）;以葡萄酒为主的饮料;⽶酒;烈酒（饮料）;烧酒;葡萄酒</t>
  </si>
  <si>
    <t>762</t>
  </si>
  <si>
    <t>77436589</t>
  </si>
  <si>
    <t>武米洋</t>
  </si>
  <si>
    <t>米洋的朋友</t>
  </si>
  <si>
    <t>酒精饮料（啤酒除外）;⽩酒;威⼠忌;⽶酒;⽩兰地;⻩酒;⾷⽤酒精;果酒（含酒精）;葡萄酒;烧酒</t>
  </si>
  <si>
    <t>763</t>
  </si>
  <si>
    <t>77436744</t>
  </si>
  <si>
    <t>罗媚</t>
  </si>
  <si>
    <t>桃叙</t>
  </si>
  <si>
    <t>清酒（⽇本⽶酒）;⽩酒;葡萄酒;鸡尾酒;酒精饮料（啤酒除外）;果酒（含酒精）;威⼠忌;⻩酒;开胃酒;烈酒</t>
  </si>
  <si>
    <t>764</t>
  </si>
  <si>
    <t>77437164</t>
  </si>
  <si>
    <t>珠海市天雅商贸有限公司</t>
  </si>
  <si>
    <t>HOLYMJES</t>
  </si>
  <si>
    <t>果酒（含酒精）;⽶酒;蒸馏饮料;葡萄酒;清酒（⽇本⽶酒）;⻩酒;开胃酒;⽩酒;酒精饮料（啤酒除外）;⽩兰地</t>
  </si>
  <si>
    <t>765</t>
  </si>
  <si>
    <t>77437398</t>
  </si>
  <si>
    <t>许昌裕丰金丝楠乌木家具有限公司</t>
  </si>
  <si>
    <t>中原楠宫</t>
  </si>
  <si>
    <t>果酒（含酒精）;威⼠忌;⽩兰地;⽶酒;葡萄酒;⽩酒;烈酒（饮料）;清酒（⽇本⽶酒）;鸡尾酒;伏特加酒</t>
  </si>
  <si>
    <t>766</t>
  </si>
  <si>
    <t>77437622</t>
  </si>
  <si>
    <t>王萍</t>
  </si>
  <si>
    <t>渗井</t>
  </si>
  <si>
    <t>烧酒;酒精饮料（啤酒除外）;含酒精的⽓泡⽔;⾼粱酒;⽩酒;⽶酒;果酒（含酒精）;葡萄酒;⻩酒;鸡尾酒</t>
  </si>
  <si>
    <t>767</t>
  </si>
  <si>
    <t>77438646</t>
  </si>
  <si>
    <t>桑干七池（山西）科技有限公司</t>
  </si>
  <si>
    <t>七池寒晶</t>
  </si>
  <si>
    <t>鸡尾酒;威⼠忌;⽶酒;⽩酒;果酒（含酒精）;⾷⽤酒精;⻩酒;清酒（⽇本⽶酒）;酒精饮料（啤酒除外）;⽩兰地</t>
  </si>
  <si>
    <t>768</t>
  </si>
  <si>
    <t>77438653</t>
  </si>
  <si>
    <t>刘建兴</t>
  </si>
  <si>
    <t>润蕾</t>
  </si>
  <si>
    <t>果酒（含酒精）;烈酒（饮料）;⽩酒;⽶酒;烧酒;含⽔果酒精饮料;含酒精的⽓泡⽔;⽔果汽酒;清酒;⻩酒</t>
  </si>
  <si>
    <t>769</t>
  </si>
  <si>
    <t>77438700</t>
  </si>
  <si>
    <t>甘肃马安蘭餐饮管理有限公司</t>
  </si>
  <si>
    <t>马安兰</t>
  </si>
  <si>
    <t>⻩酒;亚⼒酒;⻘稞酒;⽩酒;餐后酒（利⼝酒和烈酒）;酒精饮料浓缩汁;酒精饮料（啤酒除外）;⾕物制蒸馏酒精饮料;汽酒;蒸馏饮料</t>
  </si>
  <si>
    <t>770</t>
  </si>
  <si>
    <t>77439700</t>
  </si>
  <si>
    <t>遵义别味生态种植场（个人独资）</t>
  </si>
  <si>
    <t>别味拉香</t>
  </si>
  <si>
    <t>⽩酒;果酒（含酒精）;烧酒;烈酒（饮料）;⾷⽤酒精;葡萄酒;酒精饮料浓缩汁;酒精饮料（啤酒除外）;⽶酒;⻩酒</t>
  </si>
  <si>
    <t>771</t>
  </si>
  <si>
    <t>77439812</t>
  </si>
  <si>
    <t>贵州省仁怀市古河陈酿酒业销售有限公司</t>
  </si>
  <si>
    <t>淘易拍</t>
  </si>
  <si>
    <t>果酒（含酒精）;威⼠忌;清酒（⽇本⽶酒）;烧酒;烈酒（饮料）;酒精饮料（啤酒除外）;⽶酒;⽩酒;葡萄酒;开胃酒</t>
  </si>
  <si>
    <t>772</t>
  </si>
  <si>
    <t>77440374</t>
  </si>
  <si>
    <t>姚孟能</t>
  </si>
  <si>
    <t>雀恭樽</t>
  </si>
  <si>
    <t>果酒（含酒精）;葡萄酒;含⽔果酒精饮料;⽩酒;酒精饮料（啤酒除外）;⾷⽤酒精;清酒（⽇本⽶酒）;蒸馏饮料;威⼠忌;⽶酒</t>
  </si>
  <si>
    <t>773</t>
  </si>
  <si>
    <t>77440654</t>
  </si>
  <si>
    <t>汾阳市杏林酒业有限公司</t>
  </si>
  <si>
    <t>杏林智</t>
  </si>
  <si>
    <t>葡萄酒;清酒（⽇本⽶酒）;烧酒;果酒（含酒精）;鸡尾酒;酒精饮料（啤酒除外）;⻩酒;⽶酒;⽩酒;烈酒（饮料）</t>
  </si>
  <si>
    <t>1047</t>
  </si>
  <si>
    <t>77505502</t>
  </si>
  <si>
    <t>王兴琴</t>
  </si>
  <si>
    <t>井粮翁</t>
  </si>
  <si>
    <t>烧酒;鸡尾酒;葡萄酒;威⼠忌;⽶酒;⻩酒;烈酒;⽩兰地;⻘稞酒;⽩酒</t>
  </si>
  <si>
    <t>1048</t>
  </si>
  <si>
    <t>77505660</t>
  </si>
  <si>
    <t>太原市海亮商贸有限公司</t>
  </si>
  <si>
    <t>武海亮</t>
  </si>
  <si>
    <t>葡萄酒;⻩酒;烈酒（饮料）;酒精饮料（啤酒除外）;⽩酒;⽶酒;果酒（含酒精）;清酒（⽇本⽶酒）;烧酒;鸡尾酒</t>
  </si>
  <si>
    <t>1049</t>
  </si>
  <si>
    <t>77505946</t>
  </si>
  <si>
    <t>西双版纳聚巢房地产营销策划有限公司</t>
  </si>
  <si>
    <t>紫翔龙</t>
  </si>
  <si>
    <t>含⽔果酒精饮料;烧酒;⻩酒;果酒（含酒精）;酒精饮料（啤酒除外）;利⼝酒;清酒（⽇本⽶酒）;⽩酒;葡萄酒;⽶酒</t>
  </si>
  <si>
    <t>1050</t>
  </si>
  <si>
    <t>77506142</t>
  </si>
  <si>
    <t>崔彦典</t>
  </si>
  <si>
    <t>秋丰潭</t>
  </si>
  <si>
    <t>烈酒（饮料）;烧酒;⽶酒;葡萄酒;⻩酒;餐后酒（利⼝酒和烈酒）;⽩酒;酒精饮料（啤酒除外）;果酒（含酒精）;酒精饮料原汁</t>
  </si>
  <si>
    <t>1051</t>
  </si>
  <si>
    <t>77506281</t>
  </si>
  <si>
    <t>橡木湾（上海）酒业有限公司</t>
  </si>
  <si>
    <t>TENUTA SERENA</t>
  </si>
  <si>
    <t>烈酒（饮料）;⽩酒;红葡萄酒;果酒（含酒精）;⾷⽤酒精;鸡尾酒;葡萄酒;含⽔果酒精饮料;烧酒;酒精饮料（啤酒除外）</t>
  </si>
  <si>
    <t>1052</t>
  </si>
  <si>
    <t>77506302</t>
  </si>
  <si>
    <t>詹志文</t>
  </si>
  <si>
    <t>詹小二</t>
  </si>
  <si>
    <t>含⽔果酒精饮料;⽔果汽酒;⻩酒;鸡尾酒;起泡⽩葡萄酒;果酒（含酒精）;⽶酒;烧酒;红葡萄酒;⽩酒</t>
  </si>
  <si>
    <t>1053</t>
  </si>
  <si>
    <t>77506489</t>
  </si>
  <si>
    <t>贵州习酒股份有限公司</t>
  </si>
  <si>
    <t>知交酒</t>
  </si>
  <si>
    <t>开胃酒;樱桃酒;⽶酒;烧酒;梨酒;鸡尾酒;⽩兰地;⻩酒;葡萄酒;⽩酒</t>
  </si>
  <si>
    <t>1054</t>
  </si>
  <si>
    <t>77506559</t>
  </si>
  <si>
    <t>广州野将贸易有限公司</t>
  </si>
  <si>
    <t>上峰珍</t>
  </si>
  <si>
    <t>⽶酒;蜂蜜酒;葡萄酒;烧酒;⽩兰地;蒸馏饮料;酒精饮料（啤酒除外）;⻩酒;烈酒（饮料）;果酒（含酒精）</t>
  </si>
  <si>
    <t>1055</t>
  </si>
  <si>
    <t>77506566</t>
  </si>
  <si>
    <t>成都奥芬美奇电子商务有限公司</t>
  </si>
  <si>
    <t>乡岭缘</t>
  </si>
  <si>
    <t>⽩酒;⽶酒;清酒;烧酒;酒精饮料（啤酒除外）;含⽔果酒精饮料;烈酒（饮料）;⻩酒;伏特加酒;葡萄酒</t>
  </si>
  <si>
    <t>1056</t>
  </si>
  <si>
    <t>77506593</t>
  </si>
  <si>
    <t>烟台张裕葡萄酿酒股份有限公司</t>
  </si>
  <si>
    <t>丹珑</t>
  </si>
  <si>
    <t>开胃酒;酒精饮料（啤酒除外）;⽩酒;果酒（含酒精）;⽩兰地;含⽔果酒精饮料;汽酒;餐后酒（利⼝酒和烈酒）;葡萄酒;威⼠忌</t>
  </si>
  <si>
    <t>1057</t>
  </si>
  <si>
    <t>77506628</t>
  </si>
  <si>
    <t>王明武</t>
  </si>
  <si>
    <t>阿喜里可</t>
  </si>
  <si>
    <t>蜂蜜酒;葡萄酒;⽶酒;梨酒;果酒（含酒精）;鸡尾酒;朗姆酒;伏特加酒;⽩酒;⻩酒</t>
  </si>
  <si>
    <t>1058</t>
  </si>
  <si>
    <t>77506737</t>
  </si>
  <si>
    <t>青岛酒联网物联科技有限公司</t>
  </si>
  <si>
    <t>无界博观</t>
  </si>
  <si>
    <t>威⼠忌;烧酒;⽩酒;⽶酒;⻩酒;葡萄酒;鸡尾酒;酒精饮料（啤酒除外）;以葡萄酒为主的饮料;果酒（含酒精）</t>
  </si>
  <si>
    <t>1059</t>
  </si>
  <si>
    <t>77506832</t>
  </si>
  <si>
    <t>武安市康二城镇康东村魏明亮烟酒门市</t>
  </si>
  <si>
    <t>康东九龙山</t>
  </si>
  <si>
    <t>⽶酒;⾕物制蒸馏酒精饮料;⽩酒;⽩⼲酒（中国⽩酒）;⻘梅酒;由⾕物蒸馏的⽩酒;鸡尾酒;已调味的⻨芽酿制的酒精饮料（啤酒除外）;⻩酒;以葡萄酒为主的开胃酒</t>
  </si>
  <si>
    <t>1060</t>
  </si>
  <si>
    <t>77506945</t>
  </si>
  <si>
    <t>蔡永锋</t>
  </si>
  <si>
    <t>大瓷坊观月</t>
  </si>
  <si>
    <t>⽶酒;烈性⼲酒;⽩酒;⻩酒;烧酒;果酒;⽼酒（中国蒸馏烈酒）;⽩⼲酒（中国⽩酒）;烈酒;⾼粱酒</t>
  </si>
  <si>
    <t>1355</t>
  </si>
  <si>
    <t>77552147</t>
  </si>
  <si>
    <t>蒙城县酒友之家烧酒铺</t>
  </si>
  <si>
    <t>农谷泉</t>
  </si>
  <si>
    <t>⾕物制蒸馏酒精饮料;烧酒;⾷⽤酒精;⾼粱酒;由⾕物蒸馏的⽩酒;烈酒（饮料）;⽼酒（中国蒸馏烈酒）;⽶酒;⽩酒;⻩酒</t>
  </si>
  <si>
    <t>1356</t>
  </si>
  <si>
    <t>77552543</t>
  </si>
  <si>
    <t>重庆一见钟情食品有限公司</t>
  </si>
  <si>
    <t>顺方佳</t>
  </si>
  <si>
    <t>⽶酒;餐后酒（利⼝酒和烈酒）;⽩酒;⻩酒;威⼠忌;葡萄酒;鸡尾酒;含⽔果酒精饮料;⽩兰地;开胃酒</t>
  </si>
  <si>
    <t>1357</t>
  </si>
  <si>
    <t>77552545</t>
  </si>
  <si>
    <t>扬州市闽泉食品贸易有限公司</t>
  </si>
  <si>
    <t>木臻和</t>
  </si>
  <si>
    <t>预先混合的酒精饮料（以啤酒为主的除外）;开胃酒;果酒（含酒精）;酒精饮料原汁;⾕物制蒸馏酒精饮料;餐后酒（利⼝酒和烈酒）;⽩酒;酒精饮料（啤酒除外）;蒸馏饮料;烈酒（饮料）</t>
  </si>
  <si>
    <t>1358</t>
  </si>
  <si>
    <t>77552645</t>
  </si>
  <si>
    <t>黔东南文旅苗酸酸食品有限责任公司</t>
  </si>
  <si>
    <t>阿那姑娘</t>
  </si>
  <si>
    <t>果酒（含酒精）;酒精饮料（啤酒除外）;⻩酒;葡萄酒;⽶酒;⾕物制蒸馏酒精饮料;鸡尾酒;⽩酒;开胃酒;烈酒（饮料）</t>
  </si>
  <si>
    <t>1359</t>
  </si>
  <si>
    <t>77552688</t>
  </si>
  <si>
    <t>罗放平</t>
  </si>
  <si>
    <t>程凤富祥</t>
  </si>
  <si>
    <t>含⽔果酒精饮料;烈酒（饮料）;利⼝酒;开胃酒;⽩兰地;⽩酒;葡萄酒;⽶酒;⻩酒;烧酒</t>
  </si>
  <si>
    <t>1360</t>
  </si>
  <si>
    <t>77552763</t>
  </si>
  <si>
    <t>李晓彩</t>
  </si>
  <si>
    <t>全思</t>
  </si>
  <si>
    <t>⾷⽤酒精;⽩酒;⻩酒;果酒;甜酒;汽酒;清酒;⽶酒;葡萄酒;开胃酒</t>
  </si>
  <si>
    <t>1361</t>
  </si>
  <si>
    <t>77552796</t>
  </si>
  <si>
    <t>太原久酒醇电子商务有限公司</t>
  </si>
  <si>
    <t>坤瑞泽</t>
  </si>
  <si>
    <t>⽶酒;烧酒;⾷⽤酒精;⽩酒;酒精饮料（啤酒除外）;开胃酒;葡萄酒;果酒（含酒精）;蒸馏饮料;⻩酒</t>
  </si>
  <si>
    <t>1362</t>
  </si>
  <si>
    <t>77553048</t>
  </si>
  <si>
    <t>秦伟伟</t>
  </si>
  <si>
    <t>MAYUANSHEN</t>
  </si>
  <si>
    <t>苹果酒;⾷⽤酒精;开胃酒;鸡尾酒;⻘稞酒;葡萄酒;⽶酒;⻩酒;果酒（含酒精）;⾕物制蒸馏酒精饮料</t>
  </si>
  <si>
    <t>1363</t>
  </si>
  <si>
    <t>77553074</t>
  </si>
  <si>
    <t>陈成录（441521********0879)</t>
  </si>
  <si>
    <t>鸿常盛</t>
  </si>
  <si>
    <t>葡萄酒;杜松⼦酒;餐后酒（利⼝酒和烈酒）;烈酒;⽩酒;利⼝酒;威⼠忌;鸡尾酒;烧酒;⽩兰地</t>
  </si>
  <si>
    <t>1364</t>
  </si>
  <si>
    <t>77553436</t>
  </si>
  <si>
    <t>苏州悦福祥商贸有限公司</t>
  </si>
  <si>
    <t>念江南</t>
  </si>
  <si>
    <t>开胃酒;清酒;烈酒（饮料）;烧酒;⻩酒;含⽔果酒精饮料;⽶酒;清酒（⽇本⽶酒）;果酒（含酒精）;⽩酒</t>
  </si>
  <si>
    <t>1365</t>
  </si>
  <si>
    <t>77553452</t>
  </si>
  <si>
    <t>青岛泰家和公寓酒店管理有限公司</t>
  </si>
  <si>
    <t>心品涮</t>
  </si>
  <si>
    <t>葡萄酒;威⼠忌;果酒（含酒精）;薄荷酒;⽶酒;⽩酒;烈酒（饮料）;烧酒;⽩兰地;⻩酒</t>
  </si>
  <si>
    <t>1366</t>
  </si>
  <si>
    <t>77553502</t>
  </si>
  <si>
    <t>贵州钓台御供酒业有限公司</t>
  </si>
  <si>
    <t>WBQ丙乾太和号</t>
  </si>
  <si>
    <t>⽩酒;⽶酒;果酒（含酒精）;餐后酒（利⼝酒和烈酒）;葡萄酒;苦荞酒;蒸馏饮料;烈酒（饮料）;露酒;⾕物制蒸馏酒精饮料</t>
  </si>
  <si>
    <t>1367</t>
  </si>
  <si>
    <t>77553511</t>
  </si>
  <si>
    <t>蔡壮铄</t>
  </si>
  <si>
    <t>碣石卫甲子所</t>
  </si>
  <si>
    <t>⽩酒;苦荞酒;露酒;⻘稞酒;烧酒;⽶酒;葡萄酒;鸡尾酒;威⼠忌;⻩酒</t>
  </si>
  <si>
    <t>1368</t>
  </si>
  <si>
    <t>77553555</t>
  </si>
  <si>
    <t>湖南省楚风农林发展有限责任公司</t>
  </si>
  <si>
    <t>云冰绵绣庄园</t>
  </si>
  <si>
    <t>葡萄酒;⻩酒;果酒（含酒精）;烧酒;甜果酒;⾷⽤酒精;鸡尾酒;烈酒（饮料）;⽩酒;⽶酒</t>
  </si>
  <si>
    <t>1369</t>
  </si>
  <si>
    <t>77553589</t>
  </si>
  <si>
    <t>盛晓雄</t>
  </si>
  <si>
    <t>醍醐君</t>
  </si>
  <si>
    <t>⻩酒;葡萄酒;⾷⽤酒精;果酒（含酒精）;烈酒（饮料）;⽩酒;伏特加酒;威⼠忌;朗姆酒;⽩兰地</t>
  </si>
  <si>
    <t>1370</t>
  </si>
  <si>
    <t>77554010</t>
  </si>
  <si>
    <t>王笑</t>
  </si>
  <si>
    <t>王记汵</t>
  </si>
  <si>
    <t>⽩酒;烧酒（烈酒）;⾷⽤酒精;⽩⼲酒（中国⽩酒）;露酒;烧酒;由⾕物蒸馏的⽩酒;烈酒;⽼酒（中国蒸馏烈酒）;⾼粱酒</t>
  </si>
  <si>
    <t>1371</t>
  </si>
  <si>
    <t>77554198</t>
  </si>
  <si>
    <t>卓兵</t>
  </si>
  <si>
    <t>红衣告白</t>
  </si>
  <si>
    <t>⽩酒;⽩兰地;露酒;果酒（含酒精）;烈酒（饮料）;朝鲜烧酒;烧酒;开胃酒;⽶酒;葡萄酒</t>
  </si>
  <si>
    <t>1372</t>
  </si>
  <si>
    <t>77554237</t>
  </si>
  <si>
    <t>义乌翔拓贸易有限公司</t>
  </si>
  <si>
    <t>星星泡银河</t>
  </si>
  <si>
    <t>酒精饮料（啤酒除外）;蒸馏饮料;鸡尾酒;⽶酒;汽酒;烧酒;果酒（含酒精）;开胃酒;含⽔果酒精饮料;⾷⽤酒精</t>
  </si>
  <si>
    <t>1373</t>
  </si>
  <si>
    <t>77554728</t>
  </si>
  <si>
    <t>贵州名窖酒业集团有限公司</t>
  </si>
  <si>
    <t>醉名窖</t>
  </si>
  <si>
    <t>葡萄酒;开胃酒;果酒（含酒精）;清酒（⽇本⽶酒）;鸡尾酒;⻩酒;⽩酒;梅酒;烈酒;蒸馏饮料</t>
  </si>
  <si>
    <t>1374</t>
  </si>
  <si>
    <t>77554903</t>
  </si>
  <si>
    <t>鸿灌环境技术有限公司</t>
  </si>
  <si>
    <t>娄门桥</t>
  </si>
  <si>
    <t>鸡尾酒;⽩兰地;清酒;含酒精的饮料（啤酒除外）;果酒（含酒精）;烧酒;⻩酒;葡萄酒;含⽔果酒精饮料;开胃酒</t>
  </si>
  <si>
    <t>1375</t>
  </si>
  <si>
    <t>77554991</t>
  </si>
  <si>
    <t>上海禅莲生物科技有限公司</t>
  </si>
  <si>
    <t>FRUITBROTHERS 水果兄弟</t>
  </si>
  <si>
    <t>樱桃酒;酒精饮料浓缩汁;葡萄酒;含⽔果酒精饮料;蜂蜜酒;酒精饮料原汁;苹果酒;以葡萄酒为主的饮料;鸡尾酒;果酒（含酒精）</t>
  </si>
  <si>
    <t>1376</t>
  </si>
  <si>
    <t>77555018</t>
  </si>
  <si>
    <t>李彦超</t>
  </si>
  <si>
    <t>首识</t>
  </si>
  <si>
    <t>酒精饮料原汁;果酒（含酒精）;含⽔果酒精饮料;蒸煮提取物（利⼝酒和烈酒）;⽶酒;⻩酒;葡萄酒;⽩酒;蒸馏饮料;烈酒（饮料）</t>
  </si>
  <si>
    <t>1377</t>
  </si>
  <si>
    <t>77555108</t>
  </si>
  <si>
    <t>上海江合智造科技有限公司</t>
  </si>
  <si>
    <t>清涂</t>
  </si>
  <si>
    <t>⽩酒;果酒（含酒精）;葡萄酒;⽶酒;清酒（⽇本⽶酒）;⻘稞酒;⽩兰地;⻩酒;烧酒;酒精饮料（啤酒除外）</t>
  </si>
  <si>
    <t>1378</t>
  </si>
  <si>
    <t>77555536</t>
  </si>
  <si>
    <t>武汉慧丰雪商贸有限公司</t>
  </si>
  <si>
    <t>祖荣</t>
  </si>
  <si>
    <t>鸡尾酒;⻩酒;蜂蜜酒;酒精饮料（啤酒除外）;⽶酒;⽩酒;果酒（含酒精）;葡萄酒;威⼠忌;伏特加酒</t>
  </si>
  <si>
    <t>1379</t>
  </si>
  <si>
    <t>77555671</t>
  </si>
  <si>
    <t>石林县玉米憨憨烟酒坊(个人独资)</t>
  </si>
  <si>
    <t>姊弟</t>
  </si>
  <si>
    <t>清酒;果酒（含酒精）;葡萄酒;⾼粱酒;⽩酒;酒精饮料（啤酒除外）;烧酒;⽶酒;⻘稞酒;⽼酒（中国蒸馏烈酒）</t>
  </si>
  <si>
    <t>1380</t>
  </si>
  <si>
    <t>77555692</t>
  </si>
  <si>
    <t>粮果果</t>
  </si>
  <si>
    <t>烈酒;⽩兰地;⽶酒;朗姆酒;含⽔果酒精饮料;⻘稞酒;葡萄酒;⻩酒;果酒;⽩酒</t>
  </si>
  <si>
    <t>1381</t>
  </si>
  <si>
    <t>77555737</t>
  </si>
  <si>
    <t>广州天妙文化有限公司</t>
  </si>
  <si>
    <t>烧酒;⻩酒;⻘稞酒;⾕物制蒸馏酒精饮料;果酒;蒸馏饮料;蜂蜜酒;烈酒（饮料）;⽶酒;⽩酒</t>
  </si>
  <si>
    <t>1382</t>
  </si>
  <si>
    <t>77555825</t>
  </si>
  <si>
    <t>佛山市优拉特贸易有限公司</t>
  </si>
  <si>
    <t>荞苑</t>
  </si>
  <si>
    <t>⽶酒;伏特加酒;葡萄酒;蒸馏饮料;鸡尾酒;威⼠忌;烧酒;⽩酒;酒精饮料（啤酒除外）;果酒（含酒精）</t>
  </si>
  <si>
    <t>1757</t>
  </si>
  <si>
    <t>77613076</t>
  </si>
  <si>
    <t>窦群</t>
  </si>
  <si>
    <t>秦归顾你</t>
  </si>
  <si>
    <t>餐后酒（利⼝酒和烈酒）;鸡尾酒;蜂蜜酒;⾕物制蒸馏酒精饮料;⽩酒;⽶酒;蒸馏饮料;葡萄酒;烈酒;果酒</t>
  </si>
  <si>
    <t>1758</t>
  </si>
  <si>
    <t>77613303</t>
  </si>
  <si>
    <t>贵州省仁怀市秦将酒业销售有限公司</t>
  </si>
  <si>
    <t>大秦英雄秦派</t>
  </si>
  <si>
    <t>预先混合的酒精饮料（以啤酒为主的除外）;鸡尾酒;⽶酒;⽩兰地;含⽔果酒精饮料;葡萄酒;果酒（含酒精）;⻩酒;⽩酒;烧酒</t>
  </si>
  <si>
    <t>1759</t>
  </si>
  <si>
    <t>77613352</t>
  </si>
  <si>
    <t>秦朋</t>
  </si>
  <si>
    <t>闲将</t>
  </si>
  <si>
    <t>露酒;烈酒（饮料）;⽶酒;⽩酒;餐后酒（利⼝酒和烈酒）;果酒（含酒精）;苹果酒;葡萄酒;⾕物制蒸馏酒精饮料;蒸馏饮料</t>
  </si>
  <si>
    <t>1760</t>
  </si>
  <si>
    <t>77613427</t>
  </si>
  <si>
    <t>贵州省仁怀市匠君酒业销售有限公司</t>
  </si>
  <si>
    <t>篁竹郡</t>
  </si>
  <si>
    <t>烈酒（饮料）;⽶酒;⻩酒;⻘稞酒;果酒;⽩酒;清酒;⾼粱酒;葡萄酒;烧酒</t>
  </si>
  <si>
    <t>1761</t>
  </si>
  <si>
    <t>77613926</t>
  </si>
  <si>
    <t>南宁市望人松农业科技有限公司</t>
  </si>
  <si>
    <t>望人松</t>
  </si>
  <si>
    <t>⽶酒;⽩酒;⽩兰地;朗姆酒;甜酒;开胃酒;苹果酒;葡萄酒;樱桃酒;果酒（含酒精）</t>
  </si>
  <si>
    <t>1762</t>
  </si>
  <si>
    <t>77614085</t>
  </si>
  <si>
    <t>龙舞昇平</t>
  </si>
  <si>
    <t>⽩兰地;酒精饮料（啤酒除外）;果酒（含酒精）;威⼠忌;⽩酒;餐后酒（利⼝酒和烈酒）;葡萄酒;含⽔果酒精饮料;汽酒;开胃酒</t>
  </si>
  <si>
    <t>1763</t>
  </si>
  <si>
    <t>77614218</t>
  </si>
  <si>
    <t>刘丽平</t>
  </si>
  <si>
    <t>谷霖</t>
  </si>
  <si>
    <t>葡萄酒;⽩酒;果酒（含酒精）;⽶酒;⾼粱酒;露酒;酒精饮料（啤酒除外）;⻘稞酒;⻩酒;烧酒</t>
  </si>
  <si>
    <t>1764</t>
  </si>
  <si>
    <t>77614382</t>
  </si>
  <si>
    <t>新荷物业（河南）集团有限公司</t>
  </si>
  <si>
    <t>唯我公主</t>
  </si>
  <si>
    <t>含酒精⽔果饮料;⽶酒;烧酒;果酒;以葡萄酒为主的饮料;酒精饮料（啤酒除外）;天然汽酒;餐后酒（利⼝酒和烈酒）;⽩酒;果酒（含酒精）</t>
  </si>
  <si>
    <t>1765</t>
  </si>
  <si>
    <t>77614394</t>
  </si>
  <si>
    <t>独我公主</t>
  </si>
  <si>
    <t>以葡萄酒为主的饮料;⽶酒;烧酒;酒精饮料（啤酒除外）;餐后酒（利⼝酒和烈酒）;果酒;⽩酒;果酒（含酒精）;含酒精⽔果饮料;天然汽酒</t>
  </si>
  <si>
    <t>1766</t>
  </si>
  <si>
    <t>77614634</t>
  </si>
  <si>
    <t>贵州中盈国鑫酒业有限公司</t>
  </si>
  <si>
    <t>中盈帅府</t>
  </si>
  <si>
    <t>烈酒（饮料）;⽶酒;⽼酒（中国蒸馏烈酒）;果酒（含酒精）;⽩酒;烧酒;⻩酒;甜酒;⽩⼲酒（中国⽩酒）;葡萄酒</t>
  </si>
  <si>
    <t>1767</t>
  </si>
  <si>
    <t>77614637</t>
  </si>
  <si>
    <t>贵州源头酱香酒业有限公司</t>
  </si>
  <si>
    <t>境曜酒</t>
  </si>
  <si>
    <t>⽶酒;烧酒;果酒（含酒精）;开胃酒;含⽔果酒精饮料;葡萄酒;烈酒（饮料）;汽酒;⽩酒;鸡尾酒</t>
  </si>
  <si>
    <t>1768</t>
  </si>
  <si>
    <t>77614653</t>
  </si>
  <si>
    <t>刘晓珊</t>
  </si>
  <si>
    <t>利⼝酒;烧酒;清酒（⽇本⽶酒）;果酒（含酒精）;⽶酒;烈酒（饮料）;威⼠忌;葡萄酒;鸡尾酒;⽩酒</t>
  </si>
  <si>
    <t>1769</t>
  </si>
  <si>
    <t>77614720</t>
  </si>
  <si>
    <t>湖南菲勒生物技术有限公司</t>
  </si>
  <si>
    <t>HPEPCUTBG</t>
  </si>
  <si>
    <t>果酒（含酒精）;蒸馏饮料;⽩酒;葡萄酒;⽶酒;预先混合的酒精饮料（以啤酒为主的除外）;⽼酒（中国蒸馏烈酒）;蒸煮提取物（利⼝酒和烈酒）;酒精饮料原汁;酒精饮料（啤酒除外）</t>
  </si>
  <si>
    <t>1770</t>
  </si>
  <si>
    <t>77614726</t>
  </si>
  <si>
    <t>陈良勇522101********2812</t>
  </si>
  <si>
    <t>殷府家酒</t>
  </si>
  <si>
    <t>⾼粱酒;烈酒;⽶酒;清酒;⽩⼲酒（中国⽩酒）;烧酒;果酒;⽩酒;利⼝酒;⻩酒</t>
  </si>
  <si>
    <t>548</t>
  </si>
  <si>
    <t>77357113</t>
  </si>
  <si>
    <t>邵阳柯可商贸有限公司</t>
  </si>
  <si>
    <t>咕呵</t>
  </si>
  <si>
    <t>葡萄酒;烧酒;⻘稞酒;⻩酒;威⼠忌;⽩酒;果酒（含酒精）;鸡尾酒;⽩兰地;⽶酒</t>
  </si>
  <si>
    <t>549</t>
  </si>
  <si>
    <t>77358687</t>
  </si>
  <si>
    <t>郭雅茜</t>
  </si>
  <si>
    <t>曦临</t>
  </si>
  <si>
    <t>预先混合的酒精饮料（以啤酒为主的除外）;⾷⽤酒精;伏特加酒;酒精饮料原汁;鸡尾酒;酒精饮料（啤酒除外）;含⽔果酒精饮料;果酒（含酒精）;烈酒（饮料）;薄荷酒</t>
  </si>
  <si>
    <t>550</t>
  </si>
  <si>
    <t>77359205</t>
  </si>
  <si>
    <t>北京京徽胜泉酒业有限公司</t>
  </si>
  <si>
    <t>胜泉金河</t>
  </si>
  <si>
    <t>⽩酒;威⼠忌;⽶酒;鸡尾酒;果酒;⽔果汽酒;红葡萄酒;⾼粱酒;⽩葡萄酒;烧酒（烈酒）</t>
  </si>
  <si>
    <t>551</t>
  </si>
  <si>
    <t>77359724</t>
  </si>
  <si>
    <t>五莲县晶磊石材有限公司</t>
  </si>
  <si>
    <t>易两</t>
  </si>
  <si>
    <t>⽢蔗制酒精饮料;朝鲜烧酒;烧酒（烈酒）;⾼粱酒;红葡萄酒;⽶酒;⽼酒（中国蒸馏烈酒）;⽩⼲酒（中国⽩酒）;⾕物制蒸馏酒精饮料;开胃酒</t>
  </si>
  <si>
    <t>552</t>
  </si>
  <si>
    <t>77360761</t>
  </si>
  <si>
    <t>赵一明</t>
  </si>
  <si>
    <t>永丰首府</t>
  </si>
  <si>
    <t>酒精饮料（啤酒除外）;含⽔果酒精饮料;果酒（含酒精）;清酒（⽇本⽶酒）;预先混合的酒精饮料（以啤酒为主的除外）;⽩酒;鸡尾酒;餐后酒（利⼝酒和烈酒）;葡萄酒;烧酒</t>
  </si>
  <si>
    <t>553</t>
  </si>
  <si>
    <t>77362573</t>
  </si>
  <si>
    <t>北京桐旭龙轩茶文化有限公司</t>
  </si>
  <si>
    <t>实陈</t>
  </si>
  <si>
    <t>果酒（含酒精）;清酒（⽇本⽶酒）;酒精饮料（啤酒除外）;开胃酒;⽩酒;⻩酒;⽶酒;烧酒;鸡尾酒;葡萄酒</t>
  </si>
  <si>
    <t>554</t>
  </si>
  <si>
    <t>77362661</t>
  </si>
  <si>
    <t>尹传清</t>
  </si>
  <si>
    <t>邀尽欢</t>
  </si>
  <si>
    <t>⽶酒;葡萄酒;酒精饮料（啤酒除外）;烈酒;蒸馏饮料;⽩酒;果酒（含酒精）;清酒（⽇本⽶酒）;威⼠忌;汽酒</t>
  </si>
  <si>
    <t>555</t>
  </si>
  <si>
    <t>77363417</t>
  </si>
  <si>
    <t>福建省欧米投资有限公司</t>
  </si>
  <si>
    <t>朗图</t>
  </si>
  <si>
    <t>葡萄酒;⽶酒;威⼠忌;鸡尾酒;含⽔果酒精饮料;预先混合的酒精饮料（以啤酒为主的除外）;汽酒;清酒（⽇本⽶酒）;烧酒;⻩酒;⽩兰地;伏特加酒;朗姆酒;⽩酒;果酒（含酒精）</t>
  </si>
  <si>
    <t>556</t>
  </si>
  <si>
    <t>77363816</t>
  </si>
  <si>
    <t>科右前旗喜耕农牧业专业合作社</t>
  </si>
  <si>
    <t>桃合木</t>
  </si>
  <si>
    <t>葡萄酒;烈酒（饮料）;烧酒（烈酒）;⽶酒;酒精饮料（啤酒除外）;⽩酒;鸡尾酒;露酒;果酒（含酒精）;开胃酒</t>
  </si>
  <si>
    <t>557</t>
  </si>
  <si>
    <t>77364884</t>
  </si>
  <si>
    <t>卢德堡精酿啤酒(淮安)有限公司</t>
  </si>
  <si>
    <t>淮啤气</t>
  </si>
  <si>
    <t>蒸馏饮料;烈酒（饮料）;除啤酒外的酒精饮料;汽酒;果酒（含酒精）;含酒精的⽓泡⽔;⻩酒;酒精饮料原汁;酒精饮料（啤酒除外）;⽩酒</t>
  </si>
  <si>
    <t>558</t>
  </si>
  <si>
    <t>77366193</t>
  </si>
  <si>
    <t>高新区枫桥男朋友贸易商行</t>
  </si>
  <si>
    <t>银宫</t>
  </si>
  <si>
    <t>清酒;苹果酒;烈酒（饮料）;果酒;含酒精的饮料（啤酒除外）;鸡尾酒;葡萄酒;⻘稞酒;⽩酒;开胃酒</t>
  </si>
  <si>
    <t>559</t>
  </si>
  <si>
    <t>77366840</t>
  </si>
  <si>
    <t>山西后浪酒业有限公司</t>
  </si>
  <si>
    <t>挑尖</t>
  </si>
  <si>
    <t>清酒;蜂蜜酒;⽩酒;露酒;烈酒;⽼酒（中国蒸馏烈酒）;⻩酒;⽶酒;果酒;烧酒</t>
  </si>
  <si>
    <t>560</t>
  </si>
  <si>
    <t>77367567</t>
  </si>
  <si>
    <t>于建华</t>
  </si>
  <si>
    <t>陕之塬</t>
  </si>
  <si>
    <t>⻩酒;烧酒;已调味的蒸馏酒;⽶酒;⽩酒;甜酒;⽼酒（中国蒸馏烈酒）;葡萄酒;樱桃酒;苹果酒</t>
  </si>
  <si>
    <t>561</t>
  </si>
  <si>
    <t>77367631</t>
  </si>
  <si>
    <t>贵州博大有为科技有限公司</t>
  </si>
  <si>
    <t>博大有为</t>
  </si>
  <si>
    <t>⻩酒;烧酒;果酒（含酒精）;鸡尾酒;⽩酒;烈酒（饮料）;清酒（⽇本⽶酒）;酒精饮料（啤酒除外）;⽶酒;葡萄酒</t>
  </si>
  <si>
    <t>562</t>
  </si>
  <si>
    <t>77367849</t>
  </si>
  <si>
    <t>求质</t>
  </si>
  <si>
    <t>蜂蜜酒;⽶酒;烧酒;⻩酒;清酒;露酒;⽼酒（中国蒸馏烈酒）;⽩酒;烈酒;果酒</t>
  </si>
  <si>
    <t>563</t>
  </si>
  <si>
    <t>77367986</t>
  </si>
  <si>
    <t>东莞市桃吉电子商务有限公司</t>
  </si>
  <si>
    <t>⽩兰地;露酒;薄荷酒;开胃酒;餐后酒（利⼝酒和烈酒）;汽酒;葡萄酒;佐餐酒;⽩葡萄酒</t>
  </si>
  <si>
    <t>564</t>
  </si>
  <si>
    <t>77368048</t>
  </si>
  <si>
    <t>陕西富县杜工酒业有限责任公司</t>
  </si>
  <si>
    <t>延陕老号</t>
  </si>
  <si>
    <t>果酒（含酒精）;酒精饮料（啤酒除外）;⻩酒;烈酒（饮料）;⽩酒;⻘稞酒;⽶酒;葡萄酒;烧酒;⽩⼲酒（中国⽩酒）</t>
  </si>
  <si>
    <t>565</t>
  </si>
  <si>
    <t>77368209</t>
  </si>
  <si>
    <t>清酒;⽼酒（中国蒸馏烈酒）;烧酒（烈酒）;苦荞酒;⽩酒;⾼粱酒;⻩酒;果酒（含酒精）;葡萄酒;⽶酒</t>
  </si>
  <si>
    <t>566</t>
  </si>
  <si>
    <t>77368296</t>
  </si>
  <si>
    <t>永顺丰</t>
  </si>
  <si>
    <t>清酒（⽇本⽶酒）;酒精饮料（啤酒除外）;烧酒;餐后酒（利⼝酒和烈酒）;含⽔果酒精饮料;⽩酒;鸡尾酒;预先混合的酒精饮料（以啤酒为主的除外）;果酒（含酒精）;葡萄酒</t>
  </si>
  <si>
    <t>567</t>
  </si>
  <si>
    <t>77368511</t>
  </si>
  <si>
    <t>烟台海市葡萄酒有限公司</t>
  </si>
  <si>
    <t>RAINBOW COALA</t>
  </si>
  <si>
    <t>烈酒（饮料）;酒精饮料（啤酒除外）;葡萄酒;⽩兰地;利⼝酒;果酒（含酒精）;鸡尾酒;朗姆酒;伏特加酒;威⼠忌</t>
  </si>
  <si>
    <t>568</t>
  </si>
  <si>
    <t>77369423</t>
  </si>
  <si>
    <t>应治兴</t>
  </si>
  <si>
    <t>贵秀才</t>
  </si>
  <si>
    <t>烈酒（饮料）;⽶酒;烧酒;⽩酒;⻩酒;⽩兰地;清酒（⽇本⽶酒）;葡萄酒;威⼠忌;果酒（含酒精）</t>
  </si>
  <si>
    <t>569</t>
  </si>
  <si>
    <t>77369480</t>
  </si>
  <si>
    <t>天津金谷子酒业有限公司</t>
  </si>
  <si>
    <t>烈火浇愁</t>
  </si>
  <si>
    <t>⽩酒;⻩酒;烈酒（饮料）;⽩兰地;果酒;葡萄酒;利⼝酒;清酒（⽇本⽶酒）;酒精饮料（啤酒除外）;烧酒</t>
  </si>
  <si>
    <t>570</t>
  </si>
  <si>
    <t>77370092</t>
  </si>
  <si>
    <t>广州市酒得快酒业有限公司</t>
  </si>
  <si>
    <t>黔再来</t>
  </si>
  <si>
    <t>酒精饮料（啤酒除外）;⽩酒;⽶酒;果酒（含酒精）;烧酒;烈酒（饮料）;葡萄酒;蜂蜜酒;⻩酒;蒸馏饮料</t>
  </si>
  <si>
    <t>571</t>
  </si>
  <si>
    <t>77371198</t>
  </si>
  <si>
    <t>北京同匠堂生物科技有限公司</t>
  </si>
  <si>
    <t>同匠堂</t>
  </si>
  <si>
    <t>⽩酒;⽶酒;蜂蜜酒;含酒精⽔果饮料;酒精饮料（啤酒除外）;汽酒;果酒（含酒精）;烧酒;薄荷酒;⻩酒</t>
  </si>
  <si>
    <t>572</t>
  </si>
  <si>
    <t>77371215</t>
  </si>
  <si>
    <t>崔永秋</t>
  </si>
  <si>
    <t>臻活悦</t>
  </si>
  <si>
    <t>果酒;甜酒;⽩酒;⾷⽤酒精;葡萄酒;清酒;⻩酒;汽酒;⽶酒;开胃酒</t>
  </si>
  <si>
    <t>573</t>
  </si>
  <si>
    <t>77372910</t>
  </si>
  <si>
    <t>莫凌之</t>
  </si>
  <si>
    <t>富双喜盈门</t>
  </si>
  <si>
    <t>烧酒;葡萄酒;⻩酒;⽶酒;朗姆酒;威⼠忌;⽩酒;⽩兰地;果酒（含酒精）;伏特加酒</t>
  </si>
  <si>
    <t>574</t>
  </si>
  <si>
    <t>77372928</t>
  </si>
  <si>
    <t>胡鹤英</t>
  </si>
  <si>
    <t>齐市胖闺儿</t>
  </si>
  <si>
    <t>果酒（含酒精）;葡萄酒;酒精饮料原汁;⻩酒;⽩酒;⽶酒;清酒（⽇本⽶酒）;开胃酒;⽩兰地;烈酒（饮料）</t>
  </si>
  <si>
    <t>575</t>
  </si>
  <si>
    <t>77373059</t>
  </si>
  <si>
    <t>斟酒翁</t>
  </si>
  <si>
    <t>⽩兰地;葡萄酒;烈酒（饮料）;清酒（⽇本⽶酒）;⻩酒;⽩酒;果酒（含酒精）;威⼠忌;烧酒;⽶酒</t>
  </si>
  <si>
    <t>576</t>
  </si>
  <si>
    <t>77373073</t>
  </si>
  <si>
    <t>苏秀才</t>
  </si>
  <si>
    <t>⽶酒;⻩酒;果酒（含酒精）;⽩兰地;⽩酒;葡萄酒;烧酒;烈酒（饮料）;清酒（⽇本⽶酒）;威⼠忌</t>
  </si>
  <si>
    <t>577</t>
  </si>
  <si>
    <t>77373283</t>
  </si>
  <si>
    <t>贵州省仁怀市茅台镇衡昌烧坊酿酒有限公司</t>
  </si>
  <si>
    <t>衡昌烧坊格局</t>
  </si>
  <si>
    <t>开胃酒;⽩⼲酒（中国⽩酒）;⾼粱酒;含⽔果酒精饮料;⽩酒;⻘稞酒;烧酒;葡萄酒;⽶酒;⻩酒</t>
  </si>
  <si>
    <t>578</t>
  </si>
  <si>
    <t>77374381</t>
  </si>
  <si>
    <t>一欣臻选科技有限公司</t>
  </si>
  <si>
    <t>一欣 臻选</t>
  </si>
  <si>
    <t>⽩酒;⽩⼲酒（中国⽩酒）;由⾕物蒸馏的⽩酒</t>
  </si>
  <si>
    <t>579</t>
  </si>
  <si>
    <t>77375803</t>
  </si>
  <si>
    <t>济南卫桥食品有限公司</t>
  </si>
  <si>
    <t>四个仔仔</t>
  </si>
  <si>
    <t>⻩酒;利⼝酒;酒精饮料（啤酒除外）;葡萄酒;烧酒;⽩酒;酒精饮料原汁;果酒（含酒精）;酒精饮料浓缩汁;汽酒</t>
  </si>
  <si>
    <t>580</t>
  </si>
  <si>
    <t>77376086</t>
  </si>
  <si>
    <t>通化市合心堂药业集团有限公司</t>
  </si>
  <si>
    <t>泫卿</t>
  </si>
  <si>
    <t>开胃酒;利⼝酒;酒精饮料（啤酒除外）;⾕物制蒸馏酒精饮料;五加⽪酒（中国混合烈酒）;⽼酒（中国蒸馏烈酒）;烧酒;⾼粱酒;⽩酒;刺五加酒</t>
  </si>
  <si>
    <t>581</t>
  </si>
  <si>
    <t>77376660</t>
  </si>
  <si>
    <t>广东粤客隆管理咨询有限公司</t>
  </si>
  <si>
    <t>葡萄酒;⽩酒;⻩酒;烧酒;⽩⼲酒（中国⽩酒）;⽼酒（中国蒸馏烈酒）;烈酒;威⼠忌;⽶酒;开胃酒</t>
  </si>
  <si>
    <t>582</t>
  </si>
  <si>
    <t>77376703</t>
  </si>
  <si>
    <t>襄汾县新东林广告有限公司</t>
  </si>
  <si>
    <t>BDW</t>
  </si>
  <si>
    <t>⾼粱酒;威⼠忌;⽩酒;⻘稞酒;⻩酒;鸡尾酒;⽶酒;甜果酒;⽩兰地;葡萄酒</t>
  </si>
  <si>
    <t>583</t>
  </si>
  <si>
    <t>77376729</t>
  </si>
  <si>
    <t>匠之乡</t>
  </si>
  <si>
    <t>威⼠忌;烧酒;烈酒（饮料）;⽩兰地;葡萄酒;⻩酒;果酒（含酒精）;⽶酒;⽩酒;清酒（⽇本⽶酒）</t>
  </si>
  <si>
    <t>584</t>
  </si>
  <si>
    <t>77376857</t>
  </si>
  <si>
    <t>武森亮</t>
  </si>
  <si>
    <t>觐贡武状元</t>
  </si>
  <si>
    <t>烧酒;葡萄酒;烈酒;鸡尾酒;酒精饮料（啤酒除外）;⽼酒（中国蒸馏烈酒）;⽩酒;⽶酒;⾼粱酒;威⼠忌</t>
  </si>
  <si>
    <t>585</t>
  </si>
  <si>
    <t>77376944</t>
  </si>
  <si>
    <t>海南绿标好物实业集团有限公司</t>
  </si>
  <si>
    <t>粮浒</t>
  </si>
  <si>
    <t>葡萄酒;烈酒（饮料）;开胃酒;酒精饮料（啤酒除外）;蒸馏饮料;果酒（含酒精）;⽩酒;威⼠忌;清酒（⽇本⽶酒）;鸡尾酒</t>
  </si>
  <si>
    <t>586</t>
  </si>
  <si>
    <t>77377073</t>
  </si>
  <si>
    <t>宫园坊</t>
  </si>
  <si>
    <t>烈酒（饮料）;开胃酒;苹果酒;鸡尾酒;含酒精的饮料（啤酒除外）;果酒;清酒;⻘稞酒;葡萄酒;⽩酒</t>
  </si>
  <si>
    <t>587</t>
  </si>
  <si>
    <t>77377788</t>
  </si>
  <si>
    <t>苏学湖</t>
  </si>
  <si>
    <t>樽大福</t>
  </si>
  <si>
    <t>烈酒（饮料）;烧酒;⽩酒;葡萄酒;预先混合的酒精饮料（以啤酒为主的除外）;开胃酒;清酒（⽇本⽶酒）;鸡尾酒;⻩酒;蜂蜜酒</t>
  </si>
  <si>
    <t>840</t>
  </si>
  <si>
    <t>77470245</t>
  </si>
  <si>
    <t>贵州仁怀百世淳酒业有限公司</t>
  </si>
  <si>
    <t>品调匠地纪</t>
  </si>
  <si>
    <t>⽶酒;⻘稞酒;⾷⽤酒精;蒸馏饮料;果酒（含酒精）;伏特加酒;鸡尾酒;葡萄酒;威⼠忌;⽩酒</t>
  </si>
  <si>
    <t>2024年03月21日</t>
  </si>
  <si>
    <t>841</t>
  </si>
  <si>
    <t>77470392</t>
  </si>
  <si>
    <t>李德</t>
  </si>
  <si>
    <t>粮否</t>
  </si>
  <si>
    <t>鸡尾酒;葡萄酒;果酒（含酒精）;威⼠忌;酒精饮料（啤酒除外）;清酒（⽇本⽶酒）;⽩酒;⻩酒;开胃酒;烈酒</t>
  </si>
  <si>
    <t>842</t>
  </si>
  <si>
    <t>77470789</t>
  </si>
  <si>
    <t>河南洛神都酒业有限公司</t>
  </si>
  <si>
    <t>酒祖洛神</t>
  </si>
  <si>
    <t>⽩酒;烈酒;⻩酒;⻘稞酒;利⼝酒;⽶酒;烧酒;⾼粱酒;⽼酒（中国蒸馏烈酒）;⽩⼲酒（中国⽩酒）</t>
  </si>
  <si>
    <t>843</t>
  </si>
  <si>
    <t>77471041</t>
  </si>
  <si>
    <t>孙笑春</t>
  </si>
  <si>
    <t>DA SHENG SHAN</t>
  </si>
  <si>
    <t>汽酒;酒精饮料（啤酒除外）;开胃酒;葡萄酒;烈酒（饮料）;⽩酒;蒸馏饮料;樱桃⽩兰地;果酒（含酒精）;樱桃酒</t>
  </si>
  <si>
    <t>844</t>
  </si>
  <si>
    <t>77471202</t>
  </si>
  <si>
    <t>蒋志康</t>
  </si>
  <si>
    <t>辉辞</t>
  </si>
  <si>
    <t>葡萄酒;威⼠忌;⽶酒;果酒（含酒精）;烧酒;以葡萄酒为主的饮料;酒精饮料（啤酒除外）;⽩酒;清酒;烧酒（烈酒）</t>
  </si>
  <si>
    <t>845</t>
  </si>
  <si>
    <t>77471729</t>
  </si>
  <si>
    <t>徐晓倩</t>
  </si>
  <si>
    <t>林一不</t>
  </si>
  <si>
    <t>果酒（含酒精）;⽶酒;蒸馏饮料;烈酒（饮料）;葡萄酒;⻩酒;鸡尾酒;烧酒;酒精饮料（啤酒除外）;⽩酒</t>
  </si>
  <si>
    <t>2024年03月22日</t>
  </si>
  <si>
    <t>846</t>
  </si>
  <si>
    <t>77472097</t>
  </si>
  <si>
    <t>贵州酱圣人酒业有限公司</t>
  </si>
  <si>
    <t>兰师傅</t>
  </si>
  <si>
    <t>烧酒;⽩酒;⾕物制蒸馏酒精饮料;⽶酒;酒精饮料（啤酒除外）;威⼠忌;⻩酒;果酒（含酒精）;烈酒（饮料）;葡萄酒</t>
  </si>
  <si>
    <t>847</t>
  </si>
  <si>
    <t>77472101</t>
  </si>
  <si>
    <t>孙师傅</t>
  </si>
  <si>
    <t>烈酒（饮料）;烧酒;威⼠忌;酒精饮料（啤酒除外）;⽶酒;⽩酒;⻩酒;果酒（含酒精）;葡萄酒;⾕物制蒸馏酒精饮料</t>
  </si>
  <si>
    <t>848</t>
  </si>
  <si>
    <t>77472278</t>
  </si>
  <si>
    <t>崔桂林</t>
  </si>
  <si>
    <t>灵木有汁</t>
  </si>
  <si>
    <t>果酒（含酒精）;葡萄酒;酒精饮料原汁;樱桃酒;⽩酒;⽶酒;⻩酒;苹果酒;以葡萄酒为主的饮料;清酒（⽇本⽶酒）</t>
  </si>
  <si>
    <t>849</t>
  </si>
  <si>
    <t>77472552</t>
  </si>
  <si>
    <t>贾立胜</t>
  </si>
  <si>
    <t>达鑫盛</t>
  </si>
  <si>
    <t>威⼠忌;⽩酒;果酒（含酒精）;开胃酒;酒精饮料原汁;⽩兰地;⾷⽤酒精;烈酒（饮料）;酒精饮料（啤酒除外）;葡萄酒</t>
  </si>
  <si>
    <t>850</t>
  </si>
  <si>
    <t>77472650</t>
  </si>
  <si>
    <t>非你莫属（北京）文化传媒有限公司</t>
  </si>
  <si>
    <t>香辣公主</t>
  </si>
  <si>
    <t>葡萄酒;⽩酒;红葡萄酒;威⼠忌;加烈葡萄酒;果酒（含酒精）;鸡尾酒;起泡红葡萄酒;⻨芽威⼠忌</t>
  </si>
  <si>
    <t>851</t>
  </si>
  <si>
    <t>77472920</t>
  </si>
  <si>
    <t>贵州老茅世家酒业有限责任公司</t>
  </si>
  <si>
    <t>赤贵古</t>
  </si>
  <si>
    <t>开胃酒;葡萄酒;⽩酒;⽩兰地;烧酒;⻩酒;蒸馏饮料;烈酒（饮料）;威⼠忌;酒精饮料（啤酒除外）</t>
  </si>
  <si>
    <t>852</t>
  </si>
  <si>
    <t>77473077</t>
  </si>
  <si>
    <t>麦甜奇季（福建）餐饮管理有限公司</t>
  </si>
  <si>
    <t>舰底</t>
  </si>
  <si>
    <t>烧酒;葡萄酒;烈酒;含⽔果酒精饮料;⽶酒;⾷⽤酒精;果酒（含酒精）;酒精饮料（啤酒除外）;⻩酒;⽩酒</t>
  </si>
  <si>
    <t>853</t>
  </si>
  <si>
    <t>77473237</t>
  </si>
  <si>
    <t>孝忠</t>
  </si>
  <si>
    <t>⽩酒;⻩酒;⽶酒;葡萄酒;威⼠忌;酒精饮料（啤酒除外）;⾕物制蒸馏酒精饮料;烧酒;烈酒（饮料）;果酒（含酒精）</t>
  </si>
  <si>
    <t>854</t>
  </si>
  <si>
    <t>77473326</t>
  </si>
  <si>
    <t>湖南星节奏文化娱乐管理有限公司</t>
  </si>
  <si>
    <t>壹酒名春</t>
  </si>
  <si>
    <t>威⼠忌;葡萄酒;⽶酒;鸡尾酒;⾷⽤酒精;伏特加酒;果酒;清酒（⽇本⽶酒）;酒精饮料（啤酒除外）;⽩酒</t>
  </si>
  <si>
    <t>1471</t>
  </si>
  <si>
    <t>77570751</t>
  </si>
  <si>
    <t>旧交（上海）科技有限公司</t>
  </si>
  <si>
    <t>旧交</t>
  </si>
  <si>
    <t>烧酒;⻩酒;鸡尾酒;威⼠忌;烈酒（饮料）;⽶酒;⽩酒;伏特加酒;葡萄酒;清酒（⽇本⽶酒）</t>
  </si>
  <si>
    <t>1472</t>
  </si>
  <si>
    <t>77570813</t>
  </si>
  <si>
    <t>武夷山沐春至和生态茶业有限公司</t>
  </si>
  <si>
    <t>古默</t>
  </si>
  <si>
    <t>开胃酒;酒精饮料（啤酒除外）;清酒（⽇本⽶酒）;⽶酒;葡萄酒;⻩酒;果酒（含酒精）;烧酒;⽩酒;蒸煮提取物（利⼝酒和烈酒）</t>
  </si>
  <si>
    <t>1473</t>
  </si>
  <si>
    <t>77570986</t>
  </si>
  <si>
    <t>贵州互惠混凝土机械服务有限公司</t>
  </si>
  <si>
    <t>黔互砼</t>
  </si>
  <si>
    <t>⽩酒;开胃酒;果酒（含酒精）;⽶酒;⻘稞酒;酒精饮料（啤酒除外）;蜂蜜酒;⻘梅酒;含酒精的⽓泡⽔;烧酒</t>
  </si>
  <si>
    <t>1474</t>
  </si>
  <si>
    <t>77571348</t>
  </si>
  <si>
    <t>海南省一支歌进出口贸易有限公司</t>
  </si>
  <si>
    <t>医之歌</t>
  </si>
  <si>
    <t>⻩酒;葡萄酒;⽶酒;⽩兰地;酒精饮料（啤酒除外）;⽩酒;烈酒（饮料）;果酒（含酒精）;酒精饮料原汁;开胃酒</t>
  </si>
  <si>
    <t>1475</t>
  </si>
  <si>
    <t>77571454</t>
  </si>
  <si>
    <t>北古京</t>
  </si>
  <si>
    <t>烧酒;⻩酒;果酒;威⼠忌;清酒（⽇本⽶酒）;⽶酒;烈酒（饮料）;⽩兰地;葡萄酒;⽩酒</t>
  </si>
  <si>
    <t>1476</t>
  </si>
  <si>
    <t>77571689</t>
  </si>
  <si>
    <t>贵州玖宴坊酒业有限公司</t>
  </si>
  <si>
    <t>言欢伯</t>
  </si>
  <si>
    <t>⽩酒;蒸馏饮料;烈酒（饮料）;苹果酒;果酒（含酒精）;葡萄酒;餐后酒（利⼝酒和烈酒）;露酒;⽶酒;⾕物制蒸馏酒精饮料</t>
  </si>
  <si>
    <t>1477</t>
  </si>
  <si>
    <t>77571836</t>
  </si>
  <si>
    <t>贵州西部荒野酒业有限公司</t>
  </si>
  <si>
    <t>荒郡烧坊 酒</t>
  </si>
  <si>
    <t>葡萄酒;⽩酒;开胃酒;鸡尾酒;烧酒;果酒（含酒精）;利⼝酒;酒精饮料（啤酒除外）;烈酒;⽶酒</t>
  </si>
  <si>
    <t>1478</t>
  </si>
  <si>
    <t>77572106</t>
  </si>
  <si>
    <t>秦粮河</t>
  </si>
  <si>
    <t>⽩酒;⽶酒;烈酒（饮料）;威⼠忌;⽩兰地;酒精饮料（啤酒除外）;葡萄酒;烧酒;果酒（含酒精）;鸡尾酒</t>
  </si>
  <si>
    <t>1479</t>
  </si>
  <si>
    <t>77572116</t>
  </si>
  <si>
    <t>万古穗月</t>
  </si>
  <si>
    <t>⽩兰地;鸡尾酒;葡萄酒;酒精饮料（啤酒除外）;果酒（含酒精）;⽶酒;烈酒（饮料）;威⼠忌;⽩酒;烧酒</t>
  </si>
  <si>
    <t>1480</t>
  </si>
  <si>
    <t>77572155</t>
  </si>
  <si>
    <t>山西飞悦商贸有限公司</t>
  </si>
  <si>
    <t>晋粹雅韵</t>
  </si>
  <si>
    <t>果酒（含酒精）;葡萄酒;⻩酒;⽩酒;⽶酒;蜂蜜酒;清酒（⽇本⽶酒）;烧酒;烈酒（饮料）;露酒</t>
  </si>
  <si>
    <t>1481</t>
  </si>
  <si>
    <t>77572423</t>
  </si>
  <si>
    <t>周文瑶</t>
  </si>
  <si>
    <t>⻩酒;烧酒;⾼粱酒;汽酒;果酒（含酒精）;烈酒（饮料）;⽶酒;⽼酒（中国蒸馏烈酒）;⾷⽤酒精;⽩酒</t>
  </si>
  <si>
    <t>1482</t>
  </si>
  <si>
    <t>77572504</t>
  </si>
  <si>
    <t>孙须亮</t>
  </si>
  <si>
    <t>渡雍堂</t>
  </si>
  <si>
    <t>鸡尾酒;⽩酒;含酒精⽔果饮料;果酒（含酒精）;蒸馏饮料;烈酒（饮料）;葡萄酒;⽩兰地;⽶酒;⾷⽤酒精</t>
  </si>
  <si>
    <t>1483</t>
  </si>
  <si>
    <t>77572626</t>
  </si>
  <si>
    <t>中粮孔乙己酒业有限公司</t>
  </si>
  <si>
    <t>荷清欢</t>
  </si>
  <si>
    <t>露酒;汽酒;烈酒（饮料）;⽩酒;⻩酒;果酒（含酒精）;烧酒;含⽔果酒精饮料;清酒（⽇本⽶酒）;⽶酒</t>
  </si>
  <si>
    <t>1484</t>
  </si>
  <si>
    <t>77572670</t>
  </si>
  <si>
    <t>敬客松</t>
  </si>
  <si>
    <t>⽩酒;烈酒（饮料）;⻩酒;鸡尾酒;苹果酒;果酒（含酒精）;⽶酒;酒精饮料（啤酒除外）;烧酒;葡萄酒</t>
  </si>
  <si>
    <t>1485</t>
  </si>
  <si>
    <t>77572698</t>
  </si>
  <si>
    <t>上海鸿澳国际贸易有限公司</t>
  </si>
  <si>
    <t>玛瑞娜意图腾</t>
  </si>
  <si>
    <t>⽩酒;含⽔果酒精饮料;葡萄酒;⽶酒;清酒;果酒（含酒精）;鸡尾酒;威⼠忌;⽩兰地;利⼝酒</t>
  </si>
  <si>
    <t>588</t>
  </si>
  <si>
    <t>77378398</t>
  </si>
  <si>
    <t>中穆新能源有限公司</t>
  </si>
  <si>
    <t>中穆吉庆园</t>
  </si>
  <si>
    <t>⻘稞酒;果酒（含酒精）;葡萄酒;烧酒;⽩酒;酒精饮料浓缩汁;汽酒;⽶酒;烈酒（饮料）;伏特加酒</t>
  </si>
  <si>
    <t>589</t>
  </si>
  <si>
    <t>77378562</t>
  </si>
  <si>
    <t>陈聪</t>
  </si>
  <si>
    <t>台粮人</t>
  </si>
  <si>
    <t>蜂蜜酒;清酒（⽇本⽶酒）;烈酒（饮料）;葡萄酒;鸡尾酒;⽩酒;开胃酒;烧酒;预先混合的酒精饮料（以啤酒为主的除外）;⻩酒</t>
  </si>
  <si>
    <t>590</t>
  </si>
  <si>
    <t>77379025</t>
  </si>
  <si>
    <t>贵州仁者酒业有限公司</t>
  </si>
  <si>
    <t>仁者之家</t>
  </si>
  <si>
    <t>果酒（含酒精）;葡萄酒;烈酒（饮料）;⽶酒;露酒;餐后酒（利⼝酒和烈酒）;苹果酒;⾕物制蒸馏酒精饮料;⽩酒;蒸馏饮料</t>
  </si>
  <si>
    <t>591</t>
  </si>
  <si>
    <t>77379110</t>
  </si>
  <si>
    <t>莆田市略懂品牌管理有限责任公司</t>
  </si>
  <si>
    <t>路可路 ROCKRD.</t>
  </si>
  <si>
    <t>果酒（含酒精）;鸡尾酒;葡萄酒;⽩酒;⻩酒;开胃酒;蒸馏饮料;烈酒（饮料）;⽶酒;酒精饮料（啤酒除外）</t>
  </si>
  <si>
    <t>592</t>
  </si>
  <si>
    <t>77379263</t>
  </si>
  <si>
    <t>贵州名公酒业有限公司</t>
  </si>
  <si>
    <t>名公</t>
  </si>
  <si>
    <t>烈酒（饮料）;清酒;⽶酒;葡萄酒;烧酒;⻩酒;⻘稞酒;果酒（含酒精）;酒精饮料（啤酒除外）;⽩酒</t>
  </si>
  <si>
    <t>593</t>
  </si>
  <si>
    <t>77380232</t>
  </si>
  <si>
    <t>长安财</t>
  </si>
  <si>
    <t>清酒（⽇本⽶酒）;烈酒（饮料）;蒸馏饮料;⻩酒;鸡尾酒;果酒;果酒（含酒精）;⽩酒;⽩⼲酒（中国⽩酒）;酒精饮料（啤酒除外）</t>
  </si>
  <si>
    <t>594</t>
  </si>
  <si>
    <t>77381021</t>
  </si>
  <si>
    <t>代县清香源住宿服务有限公司</t>
  </si>
  <si>
    <t>晋山恒润</t>
  </si>
  <si>
    <t>⽩酒;梅酒;红葡萄酒;⻩酒;⾼粱酒;烧酒;含⽔果酒精饮料;⽶酒;清酒;⽩⼲酒（中国⽩酒）</t>
  </si>
  <si>
    <t>595</t>
  </si>
  <si>
    <t>77381319</t>
  </si>
  <si>
    <t>刘显伟</t>
  </si>
  <si>
    <t>贵老川</t>
  </si>
  <si>
    <t>烧酒;蜂蜜酒;鸡尾酒;开胃酒;⻩酒;烈酒（饮料）;⽩酒;葡萄酒;预先混合的酒精饮料（以啤酒为主的除外）;清酒（⽇本⽶酒）</t>
  </si>
  <si>
    <t>596</t>
  </si>
  <si>
    <t>77381371</t>
  </si>
  <si>
    <t>王周五</t>
  </si>
  <si>
    <t>路易勒迪克</t>
  </si>
  <si>
    <t>清酒（⽇本⽶酒）;果酒（含酒精）;烈酒（饮料）;⽶酒;酒精饮料（啤酒除外）;⻩酒;葡萄酒;威⼠忌;⽩酒;烧酒</t>
  </si>
  <si>
    <t>597</t>
  </si>
  <si>
    <t>77381384</t>
  </si>
  <si>
    <t>原洲明珠</t>
  </si>
  <si>
    <t>果酒（含酒精）;⽩酒;威⼠忌;酒精饮料（啤酒除外）;清酒（⽇本⽶酒）;葡萄酒;⻩酒;烈酒（饮料）;烧酒;⽶酒</t>
  </si>
  <si>
    <t>598</t>
  </si>
  <si>
    <t>77381645</t>
  </si>
  <si>
    <t>二好看</t>
  </si>
  <si>
    <t>⽶酒;⻩酒;蜂蜜酒;⽼酒（中国蒸馏烈酒）;露酒;烧酒;⽩酒;清酒;烈酒;果酒</t>
  </si>
  <si>
    <t>599</t>
  </si>
  <si>
    <t>77381961</t>
  </si>
  <si>
    <t>湖北银山头农业科技有限公司</t>
  </si>
  <si>
    <t>烧酒;⽶酒;酒精饮料（啤酒除外）;⽩酒;果酒（含酒精）;⻩酒;含⽔果酒精饮料;酒精饮料浓缩汁;葡萄酒;蒸馏饮料</t>
  </si>
  <si>
    <t>600</t>
  </si>
  <si>
    <t>77382090</t>
  </si>
  <si>
    <t>贵州省仁怀市有利酒业销售有限公司</t>
  </si>
  <si>
    <t>榕影琼浆</t>
  </si>
  <si>
    <t>⽩酒;果酒;⻩酒;鸡尾酒;烧酒;⻘稞酒;威⼠忌;⽶酒;利⼝酒;葡萄酒</t>
  </si>
  <si>
    <t>601</t>
  </si>
  <si>
    <t>77383047</t>
  </si>
  <si>
    <t>赵智</t>
  </si>
  <si>
    <t>白鹤滩</t>
  </si>
  <si>
    <t>⽩酒;鸡尾酒;烈酒（饮料）;烧酒;⽶酒;葡萄酒;清酒（⽇本⽶酒）;酒精饮料（啤酒除外）;⻩酒;果酒（含酒精）</t>
  </si>
  <si>
    <t>602</t>
  </si>
  <si>
    <t>77383080</t>
  </si>
  <si>
    <t>崇信县盈纳商贸有限责任公司</t>
  </si>
  <si>
    <t>盈纳</t>
  </si>
  <si>
    <t>清酒;果酒（含酒精）;酒精饮料（啤酒除外）;威士忌;蒸煮提取物（利口酒和烈酒）;鸡尾酒;葡萄酒;烈酒（饮料）;米酒;白酒</t>
  </si>
  <si>
    <t>603</t>
  </si>
  <si>
    <t>77383640</t>
  </si>
  <si>
    <t>深圳市葡荟酒业有限公司</t>
  </si>
  <si>
    <t>老爷车金玛斯</t>
  </si>
  <si>
    <t>葡萄酒;酒精饮料（啤酒除外）;⽩兰地;威⼠忌;除啤酒外的酒精饮料;鸡尾酒;烈酒（饮料）;果酒（含酒精）;开胃酒;含⽔果酒精饮料</t>
  </si>
  <si>
    <t>604</t>
  </si>
  <si>
    <t>77383887</t>
  </si>
  <si>
    <t>杭州友义集团有限公司</t>
  </si>
  <si>
    <t>章氏友义堂</t>
  </si>
  <si>
    <t>伏特加酒;威⼠忌;⻩酒;烧酒;⽩酒;烈酒（饮料）;清酒（⽇本⽶酒）;果酒（含酒精）;⽶酒;葡萄酒</t>
  </si>
  <si>
    <t>605</t>
  </si>
  <si>
    <t>77383899</t>
  </si>
  <si>
    <t>赤酒公</t>
  </si>
  <si>
    <t>葡萄酒;清酒（⽇本⽶酒）;鸡尾酒;⻩酒;⽩酒;开胃酒;烈酒（饮料）;烧酒;蜂蜜酒;预先混合的酒精饮料（以啤酒为主的除外）</t>
  </si>
  <si>
    <t>606</t>
  </si>
  <si>
    <t>77383908</t>
  </si>
  <si>
    <t>贵州石川文化传媒有限公司</t>
  </si>
  <si>
    <t>同调</t>
  </si>
  <si>
    <t>果酒（含酒精）;葡萄酒;苦味酒;⽩酒;⻩酒;清酒（⽇本⽶酒）;薄荷酒;⽶酒;烧酒;烈酒（饮料）</t>
  </si>
  <si>
    <t>607</t>
  </si>
  <si>
    <t>77385195</t>
  </si>
  <si>
    <t>李传壮</t>
  </si>
  <si>
    <t>马丁靓兹伯</t>
  </si>
  <si>
    <t>开胃酒;⽶酒;葡萄酒;烈酒（饮料）;烧酒;⻩酒;鸡尾酒;果酒（含酒精）;酒精饮料（啤酒除外）;⽩酒</t>
  </si>
  <si>
    <t>608</t>
  </si>
  <si>
    <t>77386008</t>
  </si>
  <si>
    <t>安徽美致贸易有限公司</t>
  </si>
  <si>
    <t>嗨三哥</t>
  </si>
  <si>
    <t>蜂蜜酒;⾼粱酒;果酒;红葡萄酒;薄荷酒;⽩酒;⽶酒;⻩酒;草莓酒;含酒精⽔果饮料</t>
  </si>
  <si>
    <t>609</t>
  </si>
  <si>
    <t>77386128</t>
  </si>
  <si>
    <t>河南零易购管理有限公司</t>
  </si>
  <si>
    <t>葡萄酒;烧酒;⽩酒;蒸馏饮料;果酒;酒精饮料原汁;⽶酒;⻩酒;烈酒;⽩兰地</t>
  </si>
  <si>
    <t>610</t>
  </si>
  <si>
    <t>77386845</t>
  </si>
  <si>
    <t>贵州中贯之星酒业有限公司</t>
  </si>
  <si>
    <t>贯之星</t>
  </si>
  <si>
    <t>⻩酒;清酒（⽇本⽶酒）;⾕物制蒸馏酒精饮料;威⼠忌;烈酒（饮料）;⽶酒;⽩兰地;鸡尾酒;葡萄酒;含⽔果酒精饮料</t>
  </si>
  <si>
    <t>611</t>
  </si>
  <si>
    <t>77387111</t>
  </si>
  <si>
    <t>义乌市成长快乐电子商务有限公司</t>
  </si>
  <si>
    <t>EM SANKT MARIAVONTRIER 伊穆</t>
  </si>
  <si>
    <t>开胃酒;酒精饮料原汁;葡萄酒;⽶酒;⻘梅酒;⻩酒;樱桃酒;烧酒;⽩酒;以葡萄酒为主的饮料</t>
  </si>
  <si>
    <t>612</t>
  </si>
  <si>
    <t>77388361</t>
  </si>
  <si>
    <t>四川雅茶贸易有限公司</t>
  </si>
  <si>
    <t>⾷⽤酒精;清酒（⽇本⽶酒）;⽩酒;甜酒;果酒（含酒精）;⽩兰地;威⼠忌;烧酒;朗姆酒;鸡尾酒</t>
  </si>
  <si>
    <t>613</t>
  </si>
  <si>
    <t>77388529</t>
  </si>
  <si>
    <t>江苏海之龙酒业股份有限公司</t>
  </si>
  <si>
    <t>宴赫</t>
  </si>
  <si>
    <t>蒸煮提取物（利⼝酒和烈酒）;果酒;露酒;⽩酒;鸡尾酒;⽶酒;⻩酒;⾷⽤酒精;⽼酒（中国蒸馏烈酒）;葡萄酒</t>
  </si>
  <si>
    <t>614</t>
  </si>
  <si>
    <t>77389279</t>
  </si>
  <si>
    <t>深圳市正永行科技实业有限公司</t>
  </si>
  <si>
    <t>贺澄公</t>
  </si>
  <si>
    <t>蒸馏饮料;清酒（⽇本⽶酒）;⻩酒;烧酒;威⼠忌;汽酒;⽩酒;烈酒（饮料）;⽩兰地;葡萄酒</t>
  </si>
  <si>
    <t>615</t>
  </si>
  <si>
    <t>77389297</t>
  </si>
  <si>
    <t>贵州白玉酒业有限公司</t>
  </si>
  <si>
    <t>长青叶</t>
  </si>
  <si>
    <t>葡萄酒;⽩⼲酒（中国⽩酒）;⽩酒;甜酒;烧酒;含酒精⽔果饮料;蜂蜜酒;酒精饮料（啤酒除外）;⽶酒;⾼粱酒</t>
  </si>
  <si>
    <t>616</t>
  </si>
  <si>
    <t>77390007</t>
  </si>
  <si>
    <t>胡勇</t>
  </si>
  <si>
    <t>燃帅</t>
  </si>
  <si>
    <t>酒精饮料（啤酒除外）;⽼酒（中国蒸馏烈酒）;果酒（含酒精）;⻩酒;⽩酒;葡萄酒;烈酒（饮料）;⽶酒;烧酒;鸡尾酒</t>
  </si>
  <si>
    <t>617</t>
  </si>
  <si>
    <t>77391228</t>
  </si>
  <si>
    <t>忻富桃</t>
  </si>
  <si>
    <t>川禧年</t>
  </si>
  <si>
    <t>烧酒;苦荞酒;由⾕物蒸馏的⽩酒;清酒;露酒;⻩酒;⾼粱酒;⻘稞酒;⽩酒;葡萄酒</t>
  </si>
  <si>
    <t>618</t>
  </si>
  <si>
    <t>77391352</t>
  </si>
  <si>
    <t>深圳市德萨克商贸有限公司</t>
  </si>
  <si>
    <t>宝龙嘉利古堡</t>
  </si>
  <si>
    <t>⽩兰地;葡萄酒;朗姆酒;含⽔果酒精饮料;⽩酒;伏特加酒;果酒（含酒精）;威⼠忌;鸡尾酒;苹果酒</t>
  </si>
  <si>
    <t>619</t>
  </si>
  <si>
    <t>77391551</t>
  </si>
  <si>
    <t>叶慧慧</t>
  </si>
  <si>
    <t>中田</t>
  </si>
  <si>
    <t>已调味的蒸馏酒;烧酒（烈酒）;酒精饮料（啤酒除外）;果酒;⽼酒（中国蒸馏烈酒）;⽩酒;⾼粱酒;由⾕物蒸馏的⽩酒;⽩⼲酒（中国⽩酒）;含酒精的饮料（啤酒除外）</t>
  </si>
  <si>
    <t>620</t>
  </si>
  <si>
    <t>77391576</t>
  </si>
  <si>
    <t>广东保伦电子股份有限公司</t>
  </si>
  <si>
    <t>保伦股份</t>
  </si>
  <si>
    <t>蒸煮提取物（利⼝酒和烈酒）;薄荷酒;威⼠忌;⽩酒;⾷⽤酒精;⽶酒;果酒（含酒精）;蒸馏饮料;开胃酒;葡萄酒</t>
  </si>
  <si>
    <t>621</t>
  </si>
  <si>
    <t>77391939</t>
  </si>
  <si>
    <t>徽天润</t>
  </si>
  <si>
    <t>⽶酒;利⼝酒;酒精饮料（啤酒除外）;⽩酒;甜酒;果酒;蜂蜜酒;烧酒;鸡尾酒;⻩酒</t>
  </si>
  <si>
    <t>622</t>
  </si>
  <si>
    <t>77392222</t>
  </si>
  <si>
    <t>北京京盐惠民盐业有限公司</t>
  </si>
  <si>
    <t>甘水二嫂</t>
  </si>
  <si>
    <t>开胃酒;鸡尾酒;⾷⽤酒精;酒精饮料（啤酒除外）;烈酒（饮料）;⽩酒;果酒;餐后酒（利⼝酒和烈酒）;茴⾹酒（利⼝酒）;蜂蜜酒</t>
  </si>
  <si>
    <t>623</t>
  </si>
  <si>
    <t>77392518</t>
  </si>
  <si>
    <t>起业云（北京）科技有限公司</t>
  </si>
  <si>
    <t>⽩酒;汽酒;⻘稞酒;酒精饮料（啤酒除外）;⻩酒;鸡尾酒;烧酒;果酒（含酒精）;葡萄酒;苹果酒</t>
  </si>
  <si>
    <t>624</t>
  </si>
  <si>
    <t>77393551</t>
  </si>
  <si>
    <t>浙江澎湃酒业有限公司</t>
  </si>
  <si>
    <t>陈兴绍</t>
  </si>
  <si>
    <t>烧酒;烈酒（饮料）;⻩酒;⽢蔗制烈酒;⽶酒;果酒（含酒精）;鸡尾酒;葡萄酒;酒精饮料（啤酒除外）;⽩酒</t>
  </si>
  <si>
    <t>625</t>
  </si>
  <si>
    <t>77393669</t>
  </si>
  <si>
    <t>深圳百师园文化产业有限公司</t>
  </si>
  <si>
    <t>百师百艺</t>
  </si>
  <si>
    <t>威⼠忌;葡萄酒;蜂蜜酒;⽩酒;⻩酒;鸡尾酒;清酒;开胃酒;果酒;⽶酒</t>
  </si>
  <si>
    <t>626</t>
  </si>
  <si>
    <t>77393714</t>
  </si>
  <si>
    <t>泰和伊颜堂生物科技有限公司</t>
  </si>
  <si>
    <t>服阳</t>
  </si>
  <si>
    <t>葡萄酒;汽酒;清酒;⻩酒;⽩酒;含⽔果酒精饮料;⾷⽤酒精;酒精饮料（啤酒除外）;⽶酒;果酒（含酒精）</t>
  </si>
  <si>
    <t>627</t>
  </si>
  <si>
    <t>77394162</t>
  </si>
  <si>
    <t>澄艺(北京)乐器商贸有限公司</t>
  </si>
  <si>
    <t>半山夜伴</t>
  </si>
  <si>
    <t>烧酒;⽩酒;酒精饮料（啤酒除外）;果酒（含酒精）;伏特加酒;汽酒;葡萄酒;含⽔果酒精饮料;⽶酒;鸡尾酒</t>
  </si>
  <si>
    <t>628</t>
  </si>
  <si>
    <t>77394643</t>
  </si>
  <si>
    <t>北京中酒万商国际贸易集团有限公司</t>
  </si>
  <si>
    <t>中酒万商</t>
  </si>
  <si>
    <t>⽩⼲酒（中国⽩酒）;葡萄酒;⻩酒;⽶酒;果酒（含酒精）;鸡尾酒;烧酒（烈酒）;⻘稞酒;⾼粱酒;⽩酒</t>
  </si>
  <si>
    <t>629</t>
  </si>
  <si>
    <t>77394682</t>
  </si>
  <si>
    <t>重臣酒</t>
  </si>
  <si>
    <t>葡萄酒;烧酒;⻩酒;⽩酒;清酒;⻘稞酒;苦荞酒;露酒;由⾕物蒸馏的⽩酒;⾼粱酒</t>
  </si>
  <si>
    <t>630</t>
  </si>
  <si>
    <t>77394683</t>
  </si>
  <si>
    <t>北京皮尺视界文化科技有限公司</t>
  </si>
  <si>
    <t>巩氏御青</t>
  </si>
  <si>
    <t>含⽔果酒精饮料;混合威⼠忌酒;不起泡葡萄酒;酒精饮料原汁;威⼠忌;⽩兰地;⽩酒;⽩⼲酒（中国⽩酒）;鸡尾酒;酒精饮料浓缩汁</t>
  </si>
  <si>
    <t>631</t>
  </si>
  <si>
    <t>77394909</t>
  </si>
  <si>
    <t>聂硼</t>
  </si>
  <si>
    <t>贵冉</t>
  </si>
  <si>
    <t>烧酒;葡萄酒;⽶酒;⽩酒;威⼠忌;⻩酒;鸡尾酒;蒸馏饮料;⽩兰地;果酒（含酒精）</t>
  </si>
  <si>
    <t>632</t>
  </si>
  <si>
    <t>77396729</t>
  </si>
  <si>
    <t>文林书箴</t>
  </si>
  <si>
    <t>葡萄酒;烈酒;⾼粱酒;⽶酒;清酒;烧酒（烈酒）;⻩酒;⽩酒;果酒;蜂蜜酒</t>
  </si>
  <si>
    <t>633</t>
  </si>
  <si>
    <t>77396774</t>
  </si>
  <si>
    <t>金白王中窝酒</t>
  </si>
  <si>
    <t>烈酒（饮料）;⽶酒;⽩酒;果酒（含酒精）;开胃酒;烧酒;⻩酒;⻘稞酒;蒸馏饮料;酒精饮料（啤酒除外）</t>
  </si>
  <si>
    <t>634</t>
  </si>
  <si>
    <t>77396793</t>
  </si>
  <si>
    <t>精白王中窝酒</t>
  </si>
  <si>
    <t>烈酒（饮料）;⻘稞酒;果酒（含酒精）;开胃酒;⽩酒;酒精饮料（啤酒除外）;蒸馏饮料;⻩酒;⽶酒;烧酒</t>
  </si>
  <si>
    <t>635</t>
  </si>
  <si>
    <t>77398338</t>
  </si>
  <si>
    <t>王元平362425********3239</t>
  </si>
  <si>
    <t>金粮葆</t>
  </si>
  <si>
    <t>⻩酒;蒸煮提取物（利⼝酒和烈酒）;⾼粱酒;酒精饮料（啤酒除外）;⾷⽤酒精;甜酒;果酒;⽶酒;烧酒;⽩酒</t>
  </si>
  <si>
    <t>636</t>
  </si>
  <si>
    <t>77399475</t>
  </si>
  <si>
    <t>陕西归原回真农业发展有限公司</t>
  </si>
  <si>
    <t>秦汉刘家沟</t>
  </si>
  <si>
    <t>⽩酒;⽶酒;红葡萄酒;苦荞酒;⻘梅酒;甜酒;⻩酒;杨梅酒;⽩葡萄酒;以葡萄酒为主的饮料</t>
  </si>
  <si>
    <t>637</t>
  </si>
  <si>
    <t>77400290</t>
  </si>
  <si>
    <t>张俊</t>
  </si>
  <si>
    <t>莫隐</t>
  </si>
  <si>
    <t>⻩酒;清酒（⽇本⽶酒）;威⼠忌;葡萄酒;果酒（含酒精）;⽩酒;烈酒;酒精饮料（啤酒除外）;鸡尾酒;开胃酒</t>
  </si>
  <si>
    <t>638</t>
  </si>
  <si>
    <t>77400619</t>
  </si>
  <si>
    <t>陕西孙思邈妙应健康产业有限公司</t>
  </si>
  <si>
    <t>德逾堂</t>
  </si>
  <si>
    <t>⻩酒;⾼粱酒;烧酒;果酒（含酒精）;鸡尾酒;烈酒;⻘稞酒;⾕物制蒸馏酒精饮料;酒精饮料（啤酒除外）;⽩酒</t>
  </si>
  <si>
    <t>639</t>
  </si>
  <si>
    <t>77400774</t>
  </si>
  <si>
    <t>江苏尊荣文化传媒有限公司</t>
  </si>
  <si>
    <t>力诺瑞特</t>
  </si>
  <si>
    <t>酒精饮料（啤酒除外）;蒸煮提取物（利⼝酒和烈酒）;烈酒（饮料）;葡萄酒;果酒（含酒精）;酒精饮料原汁;⻘稞酒;⽩酒;⽩兰地;威⼠忌</t>
  </si>
  <si>
    <t>640</t>
  </si>
  <si>
    <t>77400990</t>
  </si>
  <si>
    <t>深圳臻珵酒业有限公司</t>
  </si>
  <si>
    <t>臻珵尚酒</t>
  </si>
  <si>
    <t>⽩酒;开胃酒;利⼝酒;⽶酒;葡萄酒;含⽔果酒精饮料;蒸馏饮料;⻩酒;鸡尾酒;果酒</t>
  </si>
  <si>
    <t>641</t>
  </si>
  <si>
    <t>77401425</t>
  </si>
  <si>
    <t>贵州君悦印象文化传媒有限公司</t>
  </si>
  <si>
    <t>君悦帝赐</t>
  </si>
  <si>
    <t>酒精饮料原汁;⽶酒;⽩酒;果酒（含酒精）;蒸馏饮料;含⽔果酒精饮料;朗姆酒;鸡尾酒;酒精饮料（啤酒除外）;烈酒（饮料）</t>
  </si>
  <si>
    <t>642</t>
  </si>
  <si>
    <t>77401755</t>
  </si>
  <si>
    <t>匠品颂</t>
  </si>
  <si>
    <t>清酒（⽇本⽶酒）;酒精饮料（啤酒除外）;鸡尾酒;葡萄酒;烈酒;⽩酒;开胃酒;威⼠忌;果酒（含酒精）;⻩酒</t>
  </si>
  <si>
    <t>643</t>
  </si>
  <si>
    <t>77402812</t>
  </si>
  <si>
    <t>深圳市宝昌利文化产业投资有限公司</t>
  </si>
  <si>
    <t>果酒（含酒精）;葡萄酒;⻩酒;朗姆酒;汽酒;鸡尾酒;酒精饮料（啤酒除外）;烧酒;⽶酒;⽩酒</t>
  </si>
  <si>
    <t>644</t>
  </si>
  <si>
    <t>77402825</t>
  </si>
  <si>
    <t>平利县天泽惠农业发展有限公司</t>
  </si>
  <si>
    <t>晓澜河</t>
  </si>
  <si>
    <t>鸡尾酒;威⼠忌;⽩酒;蒸馏饮料;⽶酒;烧酒;果酒（含酒精）;葡萄酒;⻩酒;⽩兰地</t>
  </si>
  <si>
    <t>645</t>
  </si>
  <si>
    <t>77403716</t>
  </si>
  <si>
    <t>贵州省仁怀市醉一回酒业销售有限公司</t>
  </si>
  <si>
    <t>兢品</t>
  </si>
  <si>
    <t>⽩酒;葡萄酒;⾷⽤酒精;开胃酒;⻩酒;烧酒;⽩兰地;蜂蜜酒;蒸馏饮料;烈酒（饮料）</t>
  </si>
  <si>
    <t>646</t>
  </si>
  <si>
    <t>77404638</t>
  </si>
  <si>
    <t>河南旺之佳商贸有限公司</t>
  </si>
  <si>
    <t>古百香</t>
  </si>
  <si>
    <t>酒精饮料（啤酒除外）;以葡萄酒为主的饮料;葡萄酒;朗姆酒;⻘稞酒;⽩酒;⽶酒;⻩酒;⽼酒（中国蒸馏烈酒）;果酒（含酒精）</t>
  </si>
  <si>
    <t>647</t>
  </si>
  <si>
    <t>77404865</t>
  </si>
  <si>
    <t>栖霞法拉图葡萄酒业有限公司</t>
  </si>
  <si>
    <t>室女之梦</t>
  </si>
  <si>
    <t>酒精饮料（啤酒除外）;烈酒（饮料）;果酒（含酒精）;葡萄酒;烧酒;开胃酒;利⼝酒;⻩酒;酒精饮料原汁;酸酒（低等葡萄酒）</t>
  </si>
  <si>
    <t>648</t>
  </si>
  <si>
    <t>77404948</t>
  </si>
  <si>
    <t>高能</t>
  </si>
  <si>
    <t>华探烧坊</t>
  </si>
  <si>
    <t>果酒;梨酒;⾼粱酒;开胃酒;蜂蜜酒;鸡尾酒;烧酒;⻩酒;葡萄酒;⽩酒</t>
  </si>
  <si>
    <t>649</t>
  </si>
  <si>
    <t>77404977</t>
  </si>
  <si>
    <t>梓楚</t>
  </si>
  <si>
    <t>⾕物制蒸馏酒精饮料;葡萄酒;⽩酒;⽼酒（中国蒸馏烈酒）;⾼粱酒;⾷⽤酒精;⻩酒;烈酒（饮料）;以葡萄酒为主的开胃酒;果酒</t>
  </si>
  <si>
    <t>650</t>
  </si>
  <si>
    <t>77405068</t>
  </si>
  <si>
    <t>广西修培刻灵生物科技有限公司</t>
  </si>
  <si>
    <t>蕉仙五方</t>
  </si>
  <si>
    <t>蒸馏饮料;酒精饮料（啤酒除外）;已调味的蒸馏酒;葡萄酒;⽩酒;⽶酒;⽩⼲酒（中国⽩酒）;⾕物制蒸馏酒精饮料;果酒（含酒精）;含⽔果酒精饮料</t>
  </si>
  <si>
    <t>651</t>
  </si>
  <si>
    <t>77405600</t>
  </si>
  <si>
    <t>上林东含商贸有限责任公司</t>
  </si>
  <si>
    <t>东含瑶泉</t>
  </si>
  <si>
    <t>⽩酒;开胃酒;利⼝酒;⽶酒;⻩酒;含⽔果酒精饮料;甜酒;烈酒;酒精饮料（啤酒除外）;烧酒</t>
  </si>
  <si>
    <t>652</t>
  </si>
  <si>
    <t>77406098</t>
  </si>
  <si>
    <t>泰国斯贝瑞特工业有限公司</t>
  </si>
  <si>
    <t>FULL MOON</t>
  </si>
  <si>
    <t>杜松⼦酒;葡萄酒;朗姆酒;含⽔果酒精饮料;酒精饮料（啤酒除外）;伏特加酒;烈酒（饮料）;威⼠忌</t>
  </si>
  <si>
    <t>653</t>
  </si>
  <si>
    <t>77406156</t>
  </si>
  <si>
    <t>武汉天之荞酒业有限公司</t>
  </si>
  <si>
    <t>石鹰洞</t>
  </si>
  <si>
    <t>⽼酒（中国蒸馏烈酒）;烧酒;果酒（含酒精）;葡萄酒;⽶酒;烈酒（饮料）;⽩酒;酒精饮料（啤酒除外）;⾕物制蒸馏酒精饮料;⾷⽤酒精</t>
  </si>
  <si>
    <t>654</t>
  </si>
  <si>
    <t>77406343</t>
  </si>
  <si>
    <t>周聘德</t>
  </si>
  <si>
    <t>洞酒歌</t>
  </si>
  <si>
    <t>烈酒;梅酒;⽩酒;⾼粱酒;杨梅酒;果酒;露酒;烧酒</t>
  </si>
  <si>
    <t>655</t>
  </si>
  <si>
    <t>77406418</t>
  </si>
  <si>
    <t>张葆华</t>
  </si>
  <si>
    <t>西项王</t>
  </si>
  <si>
    <t>鸡尾酒;⽩兰地;蒸馏饮料;烧酒;⽩酒;果酒（含酒精）;葡萄酒;威⼠忌;⽶酒;⻩酒</t>
  </si>
  <si>
    <t>656</t>
  </si>
  <si>
    <t>77406433</t>
  </si>
  <si>
    <t>石姚庭</t>
  </si>
  <si>
    <t>轩易富绅</t>
  </si>
  <si>
    <t>起泡⽩葡萄酒;⽩兰地;威⼠忌;果酒;葡萄酒;⽔果汽酒;⽩酒;起泡红葡萄酒;含酒精的⽓泡⽔;鸡尾酒</t>
  </si>
  <si>
    <t>657</t>
  </si>
  <si>
    <t>77406899</t>
  </si>
  <si>
    <t>名醇酒业（深圳）有限公司</t>
  </si>
  <si>
    <t>HEREDAD CHEROGA</t>
  </si>
  <si>
    <t>葡萄酒;调制好的葡萄酒鸡尾酒;不起泡葡萄酒;以葡萄酒为主的开胃酒;加烈葡萄酒;红葡萄酒;⽩葡萄酒;桃红葡萄酒;佐餐酒;起泡红葡萄酒</t>
  </si>
  <si>
    <t>658</t>
  </si>
  <si>
    <t>77406905</t>
  </si>
  <si>
    <t>百年赤水酒业有限公司</t>
  </si>
  <si>
    <t>聚进</t>
  </si>
  <si>
    <t>蒸馏饮料;⽩兰地;鸡尾酒;⽶酒;⽩酒;威⼠忌;烧酒;⻩酒;果酒（含酒精）;葡萄酒</t>
  </si>
  <si>
    <t>659</t>
  </si>
  <si>
    <t>77407005</t>
  </si>
  <si>
    <t>长沙华焱酒业有限公司</t>
  </si>
  <si>
    <t>君侯令</t>
  </si>
  <si>
    <t>烧酒;果酒（含酒精）;⽶酒;鸡尾酒;清酒（⽇本⽶酒）;烈酒（饮料）;酒精饮料（啤酒除外）;⻩酒;⽩酒;葡萄酒</t>
  </si>
  <si>
    <t>660</t>
  </si>
  <si>
    <t>77407127</t>
  </si>
  <si>
    <t>吴克军</t>
  </si>
  <si>
    <t>山顶追风</t>
  </si>
  <si>
    <t>葡萄酒;⽶酒;⾷⽤酒精;含⽔果酒精饮料;⻩酒;蒸馏饮料;开胃酒;果酒（含酒精）;烧酒;⽩酒</t>
  </si>
  <si>
    <t>675</t>
  </si>
  <si>
    <t>77409436</t>
  </si>
  <si>
    <t>沈航</t>
  </si>
  <si>
    <t>飞凤古</t>
  </si>
  <si>
    <t>烈酒（饮料）;烧酒;果酒（含酒精）;朗姆酒;鸡尾酒;⾕物制蒸馏酒精饮料;⾼粱酒;⽩兰地;⽩酒;开胃酒</t>
  </si>
  <si>
    <t>676</t>
  </si>
  <si>
    <t>77409570</t>
  </si>
  <si>
    <t>高彩婷</t>
  </si>
  <si>
    <t>全能阳光</t>
  </si>
  <si>
    <t>清酒;果酒;汽酒;⽶酒;葡萄酒;甜酒;⾷⽤酒精;⻩酒;⽩酒;开胃酒</t>
  </si>
  <si>
    <t>677</t>
  </si>
  <si>
    <t>77409727</t>
  </si>
  <si>
    <t>国莓生物科技河北股份有限公司</t>
  </si>
  <si>
    <t>华宫厚礼</t>
  </si>
  <si>
    <t>含⽔果酒精饮料;蒸馏饮料;⻩酒;⽩酒;酒精饮料浓缩汁;烧酒;果酒（含酒精）;开胃酒;烈酒（饮料）;葡萄酒</t>
  </si>
  <si>
    <t>678</t>
  </si>
  <si>
    <t>77410484</t>
  </si>
  <si>
    <t>李伟伟</t>
  </si>
  <si>
    <t>央字金</t>
  </si>
  <si>
    <t>烈性⼲酒;烧酒（烈酒）;⽩酒;⽼酒（中国蒸馏烈酒）;⽶酒;葡萄酒;汽酒;⽩⼲酒（中国⽩酒）;利⼝酒;清酒</t>
  </si>
  <si>
    <t>679</t>
  </si>
  <si>
    <t>77411288</t>
  </si>
  <si>
    <t>许文龙</t>
  </si>
  <si>
    <t>花汁林</t>
  </si>
  <si>
    <t>蒸馏饮料;葡萄酒;利⼝酒;开胃酒;烧酒;⽩酒;⻩酒;酒精饮料原汁;烈酒（饮料）;果酒（含酒精）</t>
  </si>
  <si>
    <t>680</t>
  </si>
  <si>
    <t>77411290</t>
  </si>
  <si>
    <t>白羊之梦</t>
  </si>
  <si>
    <t>开胃酒;葡萄酒;果酒（含酒精）;利⼝酒;酒精饮料原汁;酸酒（低等葡萄酒）;⻩酒;酒精饮料（啤酒除外）;烧酒;烈酒（饮料）</t>
  </si>
  <si>
    <t>681</t>
  </si>
  <si>
    <t>77411318</t>
  </si>
  <si>
    <t>绍兴酒城文化发展有限公司</t>
  </si>
  <si>
    <t>三接桥</t>
  </si>
  <si>
    <t>⽩兰地;葡萄酒;⽶酒;酒精饮料（啤酒除外）;果酒（含酒精）;鸡尾酒;⽩酒;烈酒（饮料）;烧酒;威⼠忌</t>
  </si>
  <si>
    <t>682</t>
  </si>
  <si>
    <t>77411646</t>
  </si>
  <si>
    <t>贵州青泽酒业有限公司</t>
  </si>
  <si>
    <t>青泽名</t>
  </si>
  <si>
    <t>烈酒（饮料）;露酒;蒸馏饮料;餐后酒（利⼝酒和烈酒）;果酒（含酒精）;苹果酒;⽩酒;⾕物制蒸馏酒精饮料;葡萄酒;⽶酒</t>
  </si>
  <si>
    <t>683</t>
  </si>
  <si>
    <t>77412024</t>
  </si>
  <si>
    <t>窖历年</t>
  </si>
  <si>
    <t>⽩酒;露酒;烧酒;⾼粱酒;⻘稞酒;葡萄酒;苦荞酒;由⾕物蒸馏的⽩酒;⻩酒;清酒</t>
  </si>
  <si>
    <t>684</t>
  </si>
  <si>
    <t>77412656</t>
  </si>
  <si>
    <t>蓝海仙翁</t>
  </si>
  <si>
    <t>含酒精⽔果饮料;⾼粱酒;烧酒;⽩⼲酒（中国⽩酒）;甜酒;⽶酒;蜂蜜酒;酒精饮料（啤酒除外）;⽩酒;葡萄酒</t>
  </si>
  <si>
    <t>685</t>
  </si>
  <si>
    <t>77412828</t>
  </si>
  <si>
    <t>史连海</t>
  </si>
  <si>
    <t>精愚</t>
  </si>
  <si>
    <t>含⽔果酒精饮料;以葡萄酒为主的饮料;薄荷酒;预先混合的酒精饮料（以啤酒为主的除外）;葡萄酒;果酒（含酒精）;汽酒;⽩酒;蜂蜜酒</t>
  </si>
  <si>
    <t>686</t>
  </si>
  <si>
    <t>77413227</t>
  </si>
  <si>
    <t>呼伦贝尔市布日德农牧业科技有限公司</t>
  </si>
  <si>
    <t>博尔金草原</t>
  </si>
  <si>
    <t>鸡尾酒;⻩酒;⽩酒;天然汽酒;葡萄酒;以朗姆酒为主的饮料;朗姆酒;伏特加酒;烧酒;含酒精⽔果饮料</t>
  </si>
  <si>
    <t>687</t>
  </si>
  <si>
    <t>77413652</t>
  </si>
  <si>
    <t>成都荣仁新能源科技有限公司</t>
  </si>
  <si>
    <t>八万贯</t>
  </si>
  <si>
    <t>⽩酒;葡萄酒;⽩兰地;伏特加酒;开胃酒;⽶酒;烧酒;鸡尾酒;威⼠忌;含⽔果酒精饮料</t>
  </si>
  <si>
    <t>688</t>
  </si>
  <si>
    <t>77413777</t>
  </si>
  <si>
    <t>先伟</t>
  </si>
  <si>
    <t>毅剑</t>
  </si>
  <si>
    <t>葡萄酒;烧酒;⽩兰地;⽶酒;⻩酒;梨酒;清酒</t>
  </si>
  <si>
    <t>689</t>
  </si>
  <si>
    <t>77414996</t>
  </si>
  <si>
    <t>威⼠忌;烧酒;果酒（含酒精）;清酒（⽇本⽶酒）;甜酒;鸡尾酒;朗姆酒;⽩酒;⾷⽤酒精;⽩兰地</t>
  </si>
  <si>
    <t>690</t>
  </si>
  <si>
    <t>77415573</t>
  </si>
  <si>
    <t>高燕</t>
  </si>
  <si>
    <t>晋熹贤</t>
  </si>
  <si>
    <t>葡萄酒;白兰地;白酒;黄酒;米酒;烈酒;烧酒;鸡尾酒;青稞酒;威士忌</t>
  </si>
  <si>
    <t>691</t>
  </si>
  <si>
    <t>77415747</t>
  </si>
  <si>
    <t>乌兰浩特红云酒业有限责任公司</t>
  </si>
  <si>
    <t>红云哲里盟</t>
  </si>
  <si>
    <t>烈酒（饮料）;⻘稞酒;⽩酒;果酒（含酒精）;开胃酒;⾷⽤酒精;葡萄酒;利⼝酒;⻩酒;烧酒</t>
  </si>
  <si>
    <t>692</t>
  </si>
  <si>
    <t>77415831</t>
  </si>
  <si>
    <t>温州蓝道集团股份有限公司</t>
  </si>
  <si>
    <t>蓝道</t>
  </si>
  <si>
    <t>⽶酒;⽩兰地;威⼠忌;⻘稞酒;⻩酒;烈酒;烧酒;葡萄酒;利⼝酒;鸡尾酒</t>
  </si>
  <si>
    <t>693</t>
  </si>
  <si>
    <t>77416252</t>
  </si>
  <si>
    <t>北京醉鹅娘酒业有限公司</t>
  </si>
  <si>
    <t>LOST HORIZON PROJECT</t>
  </si>
  <si>
    <t>预先混合的酒精饮料（以啤酒为主的除外）;朗姆酒;果酒（含酒精）;葡萄酒;伏特加酒;⽶酒;鸡尾酒;清酒;⽩酒;威⼠忌</t>
  </si>
  <si>
    <t>694</t>
  </si>
  <si>
    <t>77417331</t>
  </si>
  <si>
    <t>山东华旺酒业有限责任公司</t>
  </si>
  <si>
    <t>盘金河</t>
  </si>
  <si>
    <t>⾕物制蒸馏酒精饮料;葡萄酒;汽酒;⽩酒;烈酒（饮料）;开胃酒;餐后酒（利⼝酒和烈酒）;烧酒;⽶酒;⻩酒</t>
  </si>
  <si>
    <t>695</t>
  </si>
  <si>
    <t>77417466</t>
  </si>
  <si>
    <t>周辉</t>
  </si>
  <si>
    <t>以珩庄园·见山</t>
  </si>
  <si>
    <t>葡萄酒;⽩兰地;⽶酒;威⼠忌;伏特加酒;⽩酒;酒精饮料（啤酒除外）;⻩酒;蒸煮提取物（利⼝酒和烈酒）;果酒（含酒精）</t>
  </si>
  <si>
    <t>696</t>
  </si>
  <si>
    <t>77417659</t>
  </si>
  <si>
    <t>烟台中亚至宝药业有限公司</t>
  </si>
  <si>
    <t>至宝秘</t>
  </si>
  <si>
    <t>⽩兰地;果酒（含酒精）;蒸馏饮料;预先混合的酒精饮料（以啤酒为主的除外）;⻩酒;苹果酒;露酒;餐后酒（利⼝酒和烈酒）;葡萄酒;威⼠忌;酒精饮料（啤酒除外）;烧酒;⽩酒;开胃酒</t>
  </si>
  <si>
    <t>697</t>
  </si>
  <si>
    <t>77417667</t>
  </si>
  <si>
    <t>至宝密</t>
  </si>
  <si>
    <t>开胃酒;餐后酒（利⼝酒和烈酒）;预先混合的酒精饮料（以啤酒为主的除外）;露酒;果酒（含酒精）;威⼠忌;⽩酒;蒸馏饮料;葡萄酒;酒精饮料（啤酒除外）;苹果酒;⽩兰地;烧酒;⻩酒</t>
  </si>
  <si>
    <t>698</t>
  </si>
  <si>
    <t>77417837</t>
  </si>
  <si>
    <t>宫楠原中</t>
  </si>
  <si>
    <t>烈酒（饮料）;清酒（⽇本⽶酒）;⽩兰地;鸡尾酒;伏特加酒;⽩酒;果酒（含酒精）;威⼠忌;⽶酒;葡萄酒</t>
  </si>
  <si>
    <t>699</t>
  </si>
  <si>
    <t>77418063</t>
  </si>
  <si>
    <t>张俊峰</t>
  </si>
  <si>
    <t>敬煌帝</t>
  </si>
  <si>
    <t>⽩酒;⽶酒;烈酒（饮料）;⻩酒;清酒（⽇本⽶酒）;烧酒;红葡萄酒;果酒（含酒精）;由⾕物蒸馏的⽩酒;汽酒</t>
  </si>
  <si>
    <t>700</t>
  </si>
  <si>
    <t>77418229</t>
  </si>
  <si>
    <t>上海尚骆供应链管理有限公司</t>
  </si>
  <si>
    <t>寰发</t>
  </si>
  <si>
    <t>葡萄酒;伏特加酒;威⼠忌;⽩兰地;烈酒（饮料）;利⼝酒;蒸馏饮料;⽩酒;烧酒;清酒（⽇本⽶酒）</t>
  </si>
  <si>
    <t>701</t>
  </si>
  <si>
    <t>77418653</t>
  </si>
  <si>
    <t>葡萄酒;酒精饮料（啤酒除外）;⽶酒;开胃酒;蒸馏饮料;⽩酒;果酒（含酒精）;⽩兰地;⻩酒;清酒（⽇本⽶酒）</t>
  </si>
  <si>
    <t>702</t>
  </si>
  <si>
    <t>77420330</t>
  </si>
  <si>
    <t>葡萄酒;烈酒（饮料）;⽩兰地;威⼠忌;伏特加酒;清酒（⽇本⽶酒）;⽩酒;果酒（含酒精）;鸡尾酒;⽶酒</t>
  </si>
  <si>
    <t>703</t>
  </si>
  <si>
    <t>77420513</t>
  </si>
  <si>
    <t>晋鸿师</t>
  </si>
  <si>
    <t>威⼠忌;⻘稞酒;⽩酒;葡萄酒;⽶酒;⻩酒;鸡尾酒;烈酒;烧酒;⽩兰地</t>
  </si>
  <si>
    <t>704</t>
  </si>
  <si>
    <t>77420594</t>
  </si>
  <si>
    <t>姚小庆</t>
  </si>
  <si>
    <t>臻彩凤</t>
  </si>
  <si>
    <t>烈酒（饮料）;⻩酒;烧酒;烧酒（烈酒）;⾼粱酒;⽩⼲酒（中国⽩酒）;果酒（含酒精）;⽩酒;桃红葡萄酒;⻘稞酒</t>
  </si>
  <si>
    <t>705</t>
  </si>
  <si>
    <t>77421160</t>
  </si>
  <si>
    <t>利川杨正龙旅游发展有限公司</t>
  </si>
  <si>
    <t>荡心谷</t>
  </si>
  <si>
    <t>果酒（含酒精）;开胃酒;⻩酒;烧酒;酒精饮料（啤酒除外）;⽶酒;⻘稞酒;烈酒（饮料）;葡萄酒;⽩酒</t>
  </si>
  <si>
    <t>706</t>
  </si>
  <si>
    <t>77421171</t>
  </si>
  <si>
    <t>河南省舍得医疗科技有限公司</t>
  </si>
  <si>
    <t>塘沽湾</t>
  </si>
  <si>
    <t>⽶酒;朗姆酒;果酒（含酒精）;葡萄酒;⻩酒;⽩兰地;⽩酒;伏特加酒;含⽔果酒精饮料;威⼠忌</t>
  </si>
  <si>
    <t>707</t>
  </si>
  <si>
    <t>77422297</t>
  </si>
  <si>
    <t>李俊起</t>
  </si>
  <si>
    <t>孔爵</t>
  </si>
  <si>
    <t>烧酒;威⼠忌;⽩酒;果酒;⻘梅酒;⽶酒;鸡尾酒;葡萄酒;伏特加酒;清酒</t>
  </si>
  <si>
    <t>708</t>
  </si>
  <si>
    <t>77422535</t>
  </si>
  <si>
    <t>海南火山红投资有限责任公司</t>
  </si>
  <si>
    <t>华君飞花</t>
  </si>
  <si>
    <t>葡萄酒;蜂蜜酒;梨酒;开胃酒;梅酒;果酒（含酒精）;⽶酒;烧酒;⽩酒;烈酒（饮料）</t>
  </si>
  <si>
    <t>709</t>
  </si>
  <si>
    <t>77422563</t>
  </si>
  <si>
    <t>郭江涛</t>
  </si>
  <si>
    <t>楚酿公</t>
  </si>
  <si>
    <t>⻩酒;⽩酒;开胃酒;威⼠忌;果酒（含酒精）;鸡尾酒;清酒（⽇本⽶酒）;烈酒;葡萄酒;酒精饮料（啤酒除外）</t>
  </si>
  <si>
    <t>710</t>
  </si>
  <si>
    <t>77422819</t>
  </si>
  <si>
    <t>曹利民</t>
  </si>
  <si>
    <t>东牟山</t>
  </si>
  <si>
    <t>酒精饮料浓缩汁;烈酒（饮料）;含⽔果酒精饮料;⽩酒;果酒（含酒精）;⾷⽤酒精;预先混合的酒精饮料（以啤酒为主的除外）;酒精饮料原汁;酒精饮料（啤酒除外）;烧酒</t>
  </si>
  <si>
    <t>711</t>
  </si>
  <si>
    <t>77423050</t>
  </si>
  <si>
    <t>仙鹤福</t>
  </si>
  <si>
    <t>⽩兰地;鸡尾酒;葡萄酒;烈酒;⽶酒;⻘稞酒;⻩酒;烧酒;⽩酒;威⼠忌</t>
  </si>
  <si>
    <t>712</t>
  </si>
  <si>
    <t>77423299</t>
  </si>
  <si>
    <t>五华区壮岛百货店</t>
  </si>
  <si>
    <t>京门天骄</t>
  </si>
  <si>
    <t>⽶酒;⽩酒;葡萄酒;开胃酒;清酒（⽇本⽶酒）;烧酒;⽩兰地;酒精饮料（啤酒除外）;鸡尾酒;果酒（含酒精）</t>
  </si>
  <si>
    <t>713</t>
  </si>
  <si>
    <t>77423717</t>
  </si>
  <si>
    <t>王元夒</t>
  </si>
  <si>
    <t>黔久亿品</t>
  </si>
  <si>
    <t>酒精饮料（啤酒除外）;果酒（含酒精）;酒精饮料浓缩汁;烈酒（饮料）;⽩酒;蒸煮提取物（利⼝酒和烈酒）;葡萄酒;预先混合的酒精饮料（以啤酒为主的除外）;酒精饮料原汁;烧酒</t>
  </si>
  <si>
    <t>714</t>
  </si>
  <si>
    <t>77423728</t>
  </si>
  <si>
    <t>罗国友</t>
  </si>
  <si>
    <t>友志者</t>
  </si>
  <si>
    <t>⽶酒;⾷⽤酒精;葡萄酒;清酒;⾼粱酒;⻩酒;⽩酒;果酒（含酒精）;烧酒;烈酒</t>
  </si>
  <si>
    <t>715</t>
  </si>
  <si>
    <t>77424069</t>
  </si>
  <si>
    <t>秦皇岛清醉商贸有限公司</t>
  </si>
  <si>
    <t>喜乐贞露</t>
  </si>
  <si>
    <t>果酒;酒精饮料（啤酒除外）;利⼝酒;果酒（含酒精）;烧酒（烈酒）;朝鲜烧酒;鸡尾酒;含⽔果酒精饮料;⻘梅酒;露酒</t>
  </si>
  <si>
    <t>716</t>
  </si>
  <si>
    <t>77424554</t>
  </si>
  <si>
    <t>宗甫赋</t>
  </si>
  <si>
    <t>酒精饮料（啤酒除外）;含⽔果酒精饮料;⽶酒;⽩酒;威⼠忌;清酒（⽇本⽶酒）;⾷⽤酒精;果酒（含酒精）;葡萄酒;蒸馏饮料</t>
  </si>
  <si>
    <t>717</t>
  </si>
  <si>
    <t>77424695</t>
  </si>
  <si>
    <t>北京希普曼智联科技有限公司</t>
  </si>
  <si>
    <t>希普曼</t>
  </si>
  <si>
    <t>果酒（含酒精）;葡萄酒;⻘稞酒;烈酒（饮料）;⽩酒;烧酒;清酒（⽇本⽶酒）;威⼠忌;⻩酒;⽶酒</t>
  </si>
  <si>
    <t>718</t>
  </si>
  <si>
    <t>77424738</t>
  </si>
  <si>
    <t>欧科洛尼实业有限公司</t>
  </si>
  <si>
    <t>麦圣</t>
  </si>
  <si>
    <t>719</t>
  </si>
  <si>
    <t>77425219</t>
  </si>
  <si>
    <t>陈洪海</t>
  </si>
  <si>
    <t>贾琏</t>
  </si>
  <si>
    <t>⾷⽤酒精;⽩酒;伏特加酒;蒸煮提取物（利⼝酒和烈酒）;葡萄酒;烧酒;⻩酒;烈酒;⽶酒;酒精饮料原汁</t>
  </si>
  <si>
    <t>720</t>
  </si>
  <si>
    <t>77425226</t>
  </si>
  <si>
    <t>上官宋</t>
  </si>
  <si>
    <t>⽩兰地;⽶酒;⻘稞酒;烧酒;⻩酒;威⼠忌;鸡尾酒;烈酒;⽩酒;葡萄酒</t>
  </si>
  <si>
    <t>721</t>
  </si>
  <si>
    <t>77425236</t>
  </si>
  <si>
    <t>上官作</t>
  </si>
  <si>
    <t>鸡尾酒;⽶酒;⽩兰地;⽩酒;⻘稞酒;烧酒;葡萄酒;烈酒;威⼠忌;⻩酒</t>
  </si>
  <si>
    <t>722</t>
  </si>
  <si>
    <t>77425261</t>
  </si>
  <si>
    <t>晋隋</t>
  </si>
  <si>
    <t>鸡尾酒;威⼠忌;⽶酒;葡萄酒;⻩酒;烧酒;⽩兰地;⻘稞酒;⽩酒;烈酒</t>
  </si>
  <si>
    <t>723</t>
  </si>
  <si>
    <t>77425411</t>
  </si>
  <si>
    <t>海盐好鲜达农副产品配送有限公司</t>
  </si>
  <si>
    <t>九曲径酒</t>
  </si>
  <si>
    <t>⽩兰地;烧酒;烈酒（饮料）;⽶酒;⻩酒;果酒（含酒精）;鸡尾酒;⽩酒;酒精饮料（啤酒除外）;汽酒</t>
  </si>
  <si>
    <t>724</t>
  </si>
  <si>
    <t>77425691</t>
  </si>
  <si>
    <t>申恒贵</t>
  </si>
  <si>
    <t>易木匠</t>
  </si>
  <si>
    <t>⽶酒;烧酒;⽩酒;果酒（含酒精）;酒精饮料（啤酒除外）;汽酒;开胃酒;鸡尾酒;烈酒（饮料）;葡萄酒</t>
  </si>
  <si>
    <t>725</t>
  </si>
  <si>
    <t>77426256</t>
  </si>
  <si>
    <t>贵州博台酿酒（集团）有限公司</t>
  </si>
  <si>
    <t>苹果酒;葡萄酒;餐后酒（利⼝酒和烈酒）;蒸馏饮料;露酒;⾕物制蒸馏酒精饮料;⽩酒;果酒（含酒精）;烈酒（饮料）;⽶酒</t>
  </si>
  <si>
    <t>726</t>
  </si>
  <si>
    <t>77426362</t>
  </si>
  <si>
    <t>辽宁施通节能环保工程技术有限公司</t>
  </si>
  <si>
    <t>⽩酒;酒精饮料（啤酒除外）;汽酒;酒精饮料原汁;葡萄酒;鸡尾酒;⽩兰地;果酒（含酒精）;蜂蜜酒;⽶酒</t>
  </si>
  <si>
    <t>727</t>
  </si>
  <si>
    <t>77426904</t>
  </si>
  <si>
    <t>郑海龙</t>
  </si>
  <si>
    <t>七道功</t>
  </si>
  <si>
    <t>果酒（含酒精）;威⼠忌;⽶酒;烧酒;⾼粱酒;鸡尾酒;葡萄酒;烈酒（饮料）;⽩酒;酒精饮料（啤酒除外）</t>
  </si>
  <si>
    <t>728</t>
  </si>
  <si>
    <t>77426952</t>
  </si>
  <si>
    <t>贵州台源窖酒业有限公司</t>
  </si>
  <si>
    <t>TAIYUANJIAO</t>
  </si>
  <si>
    <t>⽩酒;烧酒;开胃酒;薄荷酒;葡萄酒;⻩酒;果酒（含酒精）;鸡尾酒;⽩兰地;⽶酒</t>
  </si>
  <si>
    <t>729</t>
  </si>
  <si>
    <t>77427154</t>
  </si>
  <si>
    <t>墨亭贸易（杭州）有限公司</t>
  </si>
  <si>
    <t>CHABOTIN-CAO</t>
  </si>
  <si>
    <t>果酒（含酒精）;⽶酒;鸡尾酒;葡萄酒;酒精饮料原汁;开胃酒;威⼠忌;⽩酒;⽩兰地;⻩酒</t>
  </si>
  <si>
    <t>730</t>
  </si>
  <si>
    <t>77427484</t>
  </si>
  <si>
    <t>香柏丁潮牌</t>
  </si>
  <si>
    <t>开胃酒;鸡尾酒;果酒（含酒精）;葡萄酒;⽶酒;威⼠忌;酒精饮料原汁;⻩酒;⽩酒;⽩兰地</t>
  </si>
  <si>
    <t>731</t>
  </si>
  <si>
    <t>77427612</t>
  </si>
  <si>
    <t>五华区疆旭百货店</t>
  </si>
  <si>
    <t>井曲骄子</t>
  </si>
  <si>
    <t>果酒（含酒精）;⽶酒;开胃酒;葡萄酒;⽩兰地;⽩酒;酒精饮料（啤酒除外）;鸡尾酒;清酒（⽇本⽶酒）;烧酒</t>
  </si>
  <si>
    <t>732</t>
  </si>
  <si>
    <t>77427692</t>
  </si>
  <si>
    <t>上海浪鲨智能科技有限公司</t>
  </si>
  <si>
    <t>二十三蝉</t>
  </si>
  <si>
    <t>梅酒;果酒（含酒精）;开胃酒;利⼝酒;清酒（⽇本⽶酒）;预先混合的酒精饮料（以啤酒为主的除外）;⽇本梅⼦酒;佐餐酒;餐后酒（利⼝酒和烈酒）;酒精饮料（啤酒除外）</t>
  </si>
  <si>
    <t>733</t>
  </si>
  <si>
    <t>77428041</t>
  </si>
  <si>
    <t>贵州汉脉酒文化传播有限公司</t>
  </si>
  <si>
    <t>汉脉窖</t>
  </si>
  <si>
    <t>酒精饮料（啤酒除外）;预先混合的酒精饮料（以啤酒为主的除外）;⽼酒（中国蒸馏烈酒）;果酒;⾼粱酒;⽩酒;酒精饮料浓缩汁;葡萄酒;⽩⼲酒（中国⽩酒）;酒精饮料原汁</t>
  </si>
  <si>
    <t>734</t>
  </si>
  <si>
    <t>77428565</t>
  </si>
  <si>
    <t>呼和浩特市平安利达运输有限公司</t>
  </si>
  <si>
    <t>PALD 平安利达</t>
  </si>
  <si>
    <t>威⼠忌;烧酒;⽔果汽酒;薄荷酒;果酒;⻩酒;果酒（含酒精）;汽酒;⽩兰地;⽶酒</t>
  </si>
  <si>
    <t>735</t>
  </si>
  <si>
    <t>77428584</t>
  </si>
  <si>
    <t>红色日月</t>
  </si>
  <si>
    <t>开胃酒;果酒（含酒精）;⻩酒;酒精饮料（啤酒除外）;鸡尾酒;烈酒;葡萄酒;⽩酒;清酒（⽇本⽶酒）;威⼠忌</t>
  </si>
  <si>
    <t>736</t>
  </si>
  <si>
    <t>77428593</t>
  </si>
  <si>
    <t>钟桂招36213********6112X</t>
  </si>
  <si>
    <t>四留堂</t>
  </si>
  <si>
    <t>果酒（含酒精）;⽶酒;蜂蜜酒;酒精饮料（啤酒除外）;清酒;⽩酒;烧酒;⻩酒;葡萄酒;开胃酒</t>
  </si>
  <si>
    <t>737</t>
  </si>
  <si>
    <t>77428596</t>
  </si>
  <si>
    <t>禾凰</t>
  </si>
  <si>
    <t>⻩酒;酒精饮料（啤酒除外）;葡萄酒;⽩酒;果酒（含酒精）;烈酒;开胃酒;威⼠忌;鸡尾酒;清酒（⽇本⽶酒）</t>
  </si>
  <si>
    <t>738</t>
  </si>
  <si>
    <t>77428698</t>
  </si>
  <si>
    <t>周邦华</t>
  </si>
  <si>
    <t>贵工校友情</t>
  </si>
  <si>
    <t>烧酒;⽩酒;⾕物制蒸馏酒精饮料;⽶酒;酒精饮料（啤酒除外）;⻩酒;⾼粱酒;⽩⼲酒（中国⽩酒）;葡萄酒;果酒（含酒精）</t>
  </si>
  <si>
    <t>739</t>
  </si>
  <si>
    <t>77429140</t>
  </si>
  <si>
    <t>孙惠</t>
  </si>
  <si>
    <t>孙多多</t>
  </si>
  <si>
    <t>蒸煮提取物（利⼝酒和烈酒）;酒精饮料原汁;⾷⽤酒精;酒精饮料（啤酒除外）;⽩酒;葡萄酒;果酒（含酒精）;鸡尾酒;蒸馏饮料;含⽔果酒精饮料</t>
  </si>
  <si>
    <t>740</t>
  </si>
  <si>
    <t>77429262</t>
  </si>
  <si>
    <t>醉江福酒业有限公司</t>
  </si>
  <si>
    <t>泸仙舟</t>
  </si>
  <si>
    <t>⽩兰地;葡萄酒;⻩酒;⾼粱酒;果酒;烈酒（饮料）;含酒精的⽔果鸡尾酒饮料;烧酒;⽩酒;⽶酒</t>
  </si>
  <si>
    <t>741</t>
  </si>
  <si>
    <t>77429840</t>
  </si>
  <si>
    <t>瀑布黔驿站</t>
  </si>
  <si>
    <t>烈酒（饮料）;果酒（含酒精）;⽩酒;酒精饮料原汁;预先混合的酒精饮料（以啤酒为主的除外）;酒精饮料浓缩汁;酒精饮料（啤酒除外）;烧酒;葡萄酒;蒸煮提取物（利⼝酒和烈酒）</t>
  </si>
  <si>
    <t>742</t>
  </si>
  <si>
    <t>77430098</t>
  </si>
  <si>
    <t>安徽裕福堂酒业有限公司</t>
  </si>
  <si>
    <t>齐鲁论剑</t>
  </si>
  <si>
    <t>酒精饮料（啤酒除外）;⽩酒;葡萄酒;⾼粱酒;伏特加酒;含酒精的⽓泡⽔;清酒;蜂蜜酒;果酒（含酒精）;鸡尾酒</t>
  </si>
  <si>
    <t>743</t>
  </si>
  <si>
    <t>77430339</t>
  </si>
  <si>
    <t>河南慧群商贸有限公司</t>
  </si>
  <si>
    <t>神都喜事</t>
  </si>
  <si>
    <t>酒精饮料（啤酒除外）;葡萄酒;果酒（含酒精）;蒸馏饮料;⽶酒;⽩酒;烈酒（饮料）;烧酒;酒精饮料浓缩汁;含⽔果酒精饮料</t>
  </si>
  <si>
    <t>744</t>
  </si>
  <si>
    <t>77430479</t>
  </si>
  <si>
    <t>柚柚（广州）电子商务有限公司</t>
  </si>
  <si>
    <t>YOURIGHT</t>
  </si>
  <si>
    <t>⽶酒;已调味的⻨芽酿制的酒精饮料（啤酒除外）;果酒（含酒精）;⽩酒;烧酒;⻩酒;烈酒（饮料）;葡萄酒;酒精饮料（啤酒除外）;蒸馏饮料</t>
  </si>
  <si>
    <t>745</t>
  </si>
  <si>
    <t>77430528</t>
  </si>
  <si>
    <t>黔崟</t>
  </si>
  <si>
    <t>鸡尾酒;烈酒;⽩兰地;⽩酒;威⼠忌;⽶酒;葡萄酒;⻘稞酒;⻩酒;烧酒</t>
  </si>
  <si>
    <t>746</t>
  </si>
  <si>
    <t>77431167</t>
  </si>
  <si>
    <t>华君冬之润</t>
  </si>
  <si>
    <t>⽶酒;梅酒;葡萄酒;蜂蜜酒;烈酒（饮料）;开胃酒;烧酒;⽩酒;果酒（含酒精）;梨酒</t>
  </si>
  <si>
    <t>747</t>
  </si>
  <si>
    <t>77431484</t>
  </si>
  <si>
    <t>韩永朝</t>
  </si>
  <si>
    <t>鎏金春秋</t>
  </si>
  <si>
    <t>⽶酒;葡萄酒;果酒;鸡尾酒;⽩酒;⾼粱酒;烧酒;酒精饮料（啤酒除外）;清酒;⻩酒</t>
  </si>
  <si>
    <t>748</t>
  </si>
  <si>
    <t>77432253</t>
  </si>
  <si>
    <t>祝海斌</t>
  </si>
  <si>
    <t>今中都耕天下</t>
  </si>
  <si>
    <t>葡萄酒;威⼠忌;⽩酒;汽酒;烧酒;⽩兰地;清酒（⽇本⽶酒）;酒精饮料原汁;⻩酒;鸡尾酒</t>
  </si>
  <si>
    <t>749</t>
  </si>
  <si>
    <t>77432735</t>
  </si>
  <si>
    <t>⽩兰地;⽩酒;⻩酒;蒸馏饮料;清酒（⽇本⽶酒）;果酒（含酒精）;葡萄酒;酒精饮料（啤酒除外）;⽶酒;开胃酒</t>
  </si>
  <si>
    <t>750</t>
  </si>
  <si>
    <t>77432874</t>
  </si>
  <si>
    <t>贵州美钰传媒有限公司</t>
  </si>
  <si>
    <t>天边之雁</t>
  </si>
  <si>
    <t>果酒（含酒精）;酒精饮料（啤酒除外）;⽶酒;⽩酒;⻘稞酒;含⽔果酒精饮料;⻩酒;烧酒;葡萄酒;烈酒（饮料）</t>
  </si>
  <si>
    <t>751</t>
  </si>
  <si>
    <t>77432905</t>
  </si>
  <si>
    <t>宁波市爱味农业科技有限公司</t>
  </si>
  <si>
    <t>歙王</t>
  </si>
  <si>
    <t>⽩兰地;汽酒;葡萄酒;威⼠忌;⽩酒;蜂蜜酒;⽶酒;伏特加酒;⻩酒;果酒（含酒精）</t>
  </si>
  <si>
    <t>752</t>
  </si>
  <si>
    <t>77434086</t>
  </si>
  <si>
    <t>江苏清江浦酒业股份有限公司</t>
  </si>
  <si>
    <t>团圆禧</t>
  </si>
  <si>
    <t>⽩兰地;⻩酒;汽酒;果酒;葡萄酒;清酒;威⼠忌;⽩酒;烧酒;⽶酒</t>
  </si>
  <si>
    <t>753</t>
  </si>
  <si>
    <t>77434628</t>
  </si>
  <si>
    <t>仁怀市腾源商贸有限公司</t>
  </si>
  <si>
    <t>季乡名</t>
  </si>
  <si>
    <t>⾼粱酒;酒精饮料（啤酒除外）;⽩酒;烈酒;威⼠忌;⽼酒（中国蒸馏烈酒）;烧酒;鸡尾酒;葡萄酒;⽶酒</t>
  </si>
  <si>
    <t>754</t>
  </si>
  <si>
    <t>77434984</t>
  </si>
  <si>
    <t>吴剑林</t>
  </si>
  <si>
    <t>CHATEAU GREZAN 格占纳城堡</t>
  </si>
  <si>
    <t>葡萄酒;清酒;含⽔果酒精饮料;朗姆酒;酒精饮料（啤酒除外）;鸡尾酒;杜松⼦酒;酸酒（低等葡萄酒）;酒精饮料原汁;威⼠忌</t>
  </si>
  <si>
    <t>755</t>
  </si>
  <si>
    <t>77435152</t>
  </si>
  <si>
    <t>湖北金广嘉实业集团有限公司</t>
  </si>
  <si>
    <t>金广嘉产业网</t>
  </si>
  <si>
    <t>⻩酒;⽩⼲酒（中国⽩酒）;⽼酒（中国蒸馏烈酒）;果酒;清酒;⽶酒;⽩酒;⾼粱酒;⽩葡萄酒;红葡萄酒</t>
  </si>
  <si>
    <t>756</t>
  </si>
  <si>
    <t>77435158</t>
  </si>
  <si>
    <t>侯守东</t>
  </si>
  <si>
    <t>UNCLE MI'S DISTILLERY 米叔的酒坊</t>
  </si>
  <si>
    <t>清酒;烧酒;⽶酒;开胃酒;果酒;酒精饮料（啤酒除外）;⻩酒;⽩酒;葡萄酒;鸡尾酒</t>
  </si>
  <si>
    <t>757</t>
  </si>
  <si>
    <t>77435311</t>
  </si>
  <si>
    <t>山东山科贰拾捌星健康科技有限公司</t>
  </si>
  <si>
    <t>工大科美</t>
  </si>
  <si>
    <t>葡萄酒;⽩酒;开胃酒;烧酒;果酒;酒精饮料（啤酒除外）;⽩兰地;⾼粱酒;甜酒;烈酒（饮料）</t>
  </si>
  <si>
    <t>758</t>
  </si>
  <si>
    <t>77435635</t>
  </si>
  <si>
    <t>贵州省仁怀市酱赐名酒业有限公司</t>
  </si>
  <si>
    <t>幸福让</t>
  </si>
  <si>
    <t>烈酒（饮料）;酒精饮料（啤酒除外）;⾕物制蒸馏酒精饮料;⽶酒;清酒（⽇本⽶酒）;⽩酒;果酒（含酒精）;葡萄酒;烧酒;开胃酒</t>
  </si>
  <si>
    <t>759</t>
  </si>
  <si>
    <t>77435859</t>
  </si>
  <si>
    <t>隆化县鑫亿农业科技有限公司</t>
  </si>
  <si>
    <t>元福农</t>
  </si>
  <si>
    <t>烈酒（饮料）;⽶酒;⻩酒;果酒（含酒精）;⽩酒;烈酒;开胃酒;烧酒;汽酒;⽼酒（中国蒸馏烈酒）</t>
  </si>
  <si>
    <t>774</t>
  </si>
  <si>
    <t>77441049</t>
  </si>
  <si>
    <t>深圳飞的航空旅游有限公司</t>
  </si>
  <si>
    <t>酒精饮料原汁;酒精饮料（啤酒除外）;谷物制蒸馏酒精饮料;以葡萄酒为主的饮料;米酒;威士忌;烈酒（饮料）;甘蔗制酒精饮料;含水果酒精饮料;白酒</t>
  </si>
  <si>
    <t>775</t>
  </si>
  <si>
    <t>77441319</t>
  </si>
  <si>
    <t>晋崟</t>
  </si>
  <si>
    <t>烈酒;⽩酒;葡萄酒;⽶酒;烧酒;威⼠忌;⻘稞酒;⽩兰地;⻩酒;鸡尾酒</t>
  </si>
  <si>
    <t>776</t>
  </si>
  <si>
    <t>77441452</t>
  </si>
  <si>
    <t>孙东海</t>
  </si>
  <si>
    <t>黄元益</t>
  </si>
  <si>
    <t>烈酒（饮料）;酒精饮料（啤酒除外）;烧酒;⽩酒;⽶酒;威⼠忌;⾼粱酒;葡萄酒;鸡尾酒;果酒（含酒精）</t>
  </si>
  <si>
    <t>777</t>
  </si>
  <si>
    <t>77441585</t>
  </si>
  <si>
    <t>鸿鹄之雁</t>
  </si>
  <si>
    <t>⽩酒;烈酒（饮料）;含⽔果酒精饮料;果酒（含酒精）;⻩酒;烧酒;葡萄酒;酒精饮料（啤酒除外）;⻘稞酒;⽶酒</t>
  </si>
  <si>
    <t>778</t>
  </si>
  <si>
    <t>77441590</t>
  </si>
  <si>
    <t>蒙纵</t>
  </si>
  <si>
    <t>葡萄酒;烈酒（饮料）;酒精饮料（啤酒除外）;含⽔果酒精饮料;⻩酒;⽩酒;果酒（含酒精）;烧酒;⻘稞酒;⽶酒</t>
  </si>
  <si>
    <t>779</t>
  </si>
  <si>
    <t>77441597</t>
  </si>
  <si>
    <t>之雁</t>
  </si>
  <si>
    <t>含⽔果酒精饮料;果酒（含酒精）;酒精饮料（啤酒除外）;烧酒;⽩酒;葡萄酒;⽶酒;⻘稞酒;烈酒（饮料）;⻩酒</t>
  </si>
  <si>
    <t>780</t>
  </si>
  <si>
    <t>77441842</t>
  </si>
  <si>
    <t>伊特莱恩有限公司</t>
  </si>
  <si>
    <t>TT</t>
  </si>
  <si>
    <t>葡萄酒;烈酒（饮料）;⽶酒;⽩⼲酒（中国⽩酒）;果酒（含酒精）;酒精饮料（啤酒除外）;蒸馏⽶酒（泡盛酒）;烧酒;⽩酒;威⼠忌</t>
  </si>
  <si>
    <t>781</t>
  </si>
  <si>
    <t>77442277</t>
  </si>
  <si>
    <t>肇庆蓝带啤酒有限公司</t>
  </si>
  <si>
    <t>鸡尾酒;含酒精⽔果饮料;甜酒;酒精饮料浓缩汁;⽩酒;预先混合的酒精饮料（以啤酒为主的除外）;汽酒;果酒（含酒精）;⽶酒;酒精饮料（啤酒除外）</t>
  </si>
  <si>
    <t>782</t>
  </si>
  <si>
    <t>77442684</t>
  </si>
  <si>
    <t>成都乾隆状元坊酒业有限公司</t>
  </si>
  <si>
    <t>龙腾盛势状元坊</t>
  </si>
  <si>
    <t>⽩酒;烈酒（饮料）;汽酒;酒精饮料（啤酒除外）;⾕物制蒸馏酒精饮料;⽶酒;⾷⽤酒精;蒸馏饮料;预先混合的酒精饮料（以啤酒为主的除外）;果酒（含酒精）</t>
  </si>
  <si>
    <t>783</t>
  </si>
  <si>
    <t>77443409</t>
  </si>
  <si>
    <t>四川星燚品牌管理有限公司</t>
  </si>
  <si>
    <t>八百寿</t>
  </si>
  <si>
    <t>烈酒;含⽔果酒精饮料;梅酒;威⼠忌;葡萄酒;⽩酒;甜酒;鸡尾酒;含酒精的饮料（啤酒除外）;清酒</t>
  </si>
  <si>
    <t>784</t>
  </si>
  <si>
    <t>77443547</t>
  </si>
  <si>
    <t>韩舒乙</t>
  </si>
  <si>
    <t>鹿雪健</t>
  </si>
  <si>
    <t>果酒（含酒精）;葡萄酒;含⽔果酒精饮料;⽩兰地;⾷⽤酒精;⽶酒;⽩酒;鸡尾酒;⻩酒;酒精饮料（啤酒除外）</t>
  </si>
  <si>
    <t>785</t>
  </si>
  <si>
    <t>77444118</t>
  </si>
  <si>
    <t>贵州匠台酒业集团股份有限公司</t>
  </si>
  <si>
    <t>匠台速塑荟</t>
  </si>
  <si>
    <t>苹果酒;⻩酒;蒸馏饮料;鸡尾酒;⽩酒;果酒（含酒精）;酒精饮料（啤酒除外）;含⽔果酒精饮料;⽶酒;烈酒（饮料）</t>
  </si>
  <si>
    <t>786</t>
  </si>
  <si>
    <t>77444137</t>
  </si>
  <si>
    <t>莲花县臻懿农业专业合作社</t>
  </si>
  <si>
    <t>臻祎</t>
  </si>
  <si>
    <t>清酒;⽼酒（中国蒸馏烈酒）;威⼠忌;果酒;⻩酒;⽶酒;葡萄酒;汽酒;⽩酒;⾼粱酒</t>
  </si>
  <si>
    <t>787</t>
  </si>
  <si>
    <t>77445179</t>
  </si>
  <si>
    <t>艾力江·艾宰孜</t>
  </si>
  <si>
    <t>爱滋滋幕</t>
  </si>
  <si>
    <t>⽩酒;威⼠忌;果酒（含酒精）;烧酒;酒精饮料（啤酒除外）;⽶酒;鸡尾酒;⻩酒;葡萄酒;利⼝酒</t>
  </si>
  <si>
    <t>788</t>
  </si>
  <si>
    <t>77445198</t>
  </si>
  <si>
    <t>冯世伟41108********5121X</t>
  </si>
  <si>
    <t>AOAO</t>
  </si>
  <si>
    <t>⾷⽤酒精;葡萄酒;⻩酒;果酒（含酒精）;苹果酒;清酒（⽇本⽶酒）;⽩酒;鸡尾酒;威⼠忌;蜂蜜酒</t>
  </si>
  <si>
    <t>789</t>
  </si>
  <si>
    <t>77445380</t>
  </si>
  <si>
    <t>苏日银</t>
  </si>
  <si>
    <t>稻山海</t>
  </si>
  <si>
    <t>果酒（含酒精）;鸡尾酒;⽩酒;⻩酒;葡萄酒;烈酒;开胃酒;威⼠忌;酒精饮料（啤酒除外）;清酒（⽇本⽶酒）</t>
  </si>
  <si>
    <t>790</t>
  </si>
  <si>
    <t>77445473</t>
  </si>
  <si>
    <t>钟华平</t>
  </si>
  <si>
    <t>码力健</t>
  </si>
  <si>
    <t>烧酒;酒精饮料（啤酒除外）;果酒（含酒精）;⽶酒;⾷⽤酒精;⻘稞酒;⽩酒;葡萄酒;含⽔果酒精饮料;⻩酒</t>
  </si>
  <si>
    <t>791</t>
  </si>
  <si>
    <t>77445845</t>
  </si>
  <si>
    <t>贵州千城汇酒业股份有限公司</t>
  </si>
  <si>
    <t>微微基</t>
  </si>
  <si>
    <t>葡萄酒;烈酒（饮料）;⽩酒;利⼝酒;⾷⽤酒精;露酒;鸡尾酒;蜂蜜酒;汽酒;酒精饮料（啤酒除外）</t>
  </si>
  <si>
    <t>792</t>
  </si>
  <si>
    <t>77446213</t>
  </si>
  <si>
    <t>⽼酒（中国蒸馏烈酒）;⻩酒;⽩⼲酒（中国⽩酒）;⽩酒;⾼粱酒;烈酒;烧酒;露酒;清酒;⻘稞酒</t>
  </si>
  <si>
    <t>793</t>
  </si>
  <si>
    <t>77446527</t>
  </si>
  <si>
    <t>铺子传媒(湖北)有限公司</t>
  </si>
  <si>
    <t>兰楼梦</t>
  </si>
  <si>
    <t>⽩兰地;露酒;⽩酒;烧酒（烈酒）;⽶酒;⻩酒;果酒;清酒;葡萄酒;酒精饮料（啤酒除外）</t>
  </si>
  <si>
    <t>794</t>
  </si>
  <si>
    <t>77447016</t>
  </si>
  <si>
    <t>鹑火</t>
  </si>
  <si>
    <t>⽩⼲酒（中国⽩酒）;烈酒;⻘稞酒;⽩酒;烧酒;露酒;清酒;⽼酒（中国蒸馏烈酒）;⻩酒;⾼粱酒</t>
  </si>
  <si>
    <t>795</t>
  </si>
  <si>
    <t>77447607</t>
  </si>
  <si>
    <t>黄炎锋</t>
  </si>
  <si>
    <t>法莱格 FALNGE</t>
  </si>
  <si>
    <t>葡萄酒;威⼠忌;果酒（含酒精）;朗姆酒;酒精饮料（啤酒除外）;⽩兰地;利⼝酒;⽩酒;鸡尾酒;伏特加酒</t>
  </si>
  <si>
    <t>796</t>
  </si>
  <si>
    <t>77448878</t>
  </si>
  <si>
    <t>陕西全民健身服务有限公司</t>
  </si>
  <si>
    <t>葡萄酒;⽼酒（中国蒸馏烈酒）;梅酒;开胃酒;⽩酒;⻩酒;⽶酒;⽩⼲酒（中国⽩酒）;含⽔果酒精饮料;果酒（含酒精）</t>
  </si>
  <si>
    <t>797</t>
  </si>
  <si>
    <t>77450162</t>
  </si>
  <si>
    <t>鹑尾</t>
  </si>
  <si>
    <t>烧酒;⻩酒;露酒;⽩⼲酒（中国⽩酒）;⽩酒;⽼酒（中国蒸馏烈酒）;⻘稞酒;清酒;⾼粱酒;烈酒</t>
  </si>
  <si>
    <t>798</t>
  </si>
  <si>
    <t>77450985</t>
  </si>
  <si>
    <t>王锁林</t>
  </si>
  <si>
    <t>IGESHI</t>
  </si>
  <si>
    <t>利⼝酒;果酒;开胃酒;烧酒;葡萄酒;⻩酒;⾷⽤酒精;蒸馏饮料;酒精饮料（啤酒除外）;⽩酒</t>
  </si>
  <si>
    <t>799</t>
  </si>
  <si>
    <t>77451241</t>
  </si>
  <si>
    <t>码里云</t>
  </si>
  <si>
    <t>酒精饮料（啤酒除外）;⻘稞酒;含⽔果酒精饮料;烧酒;葡萄酒;⽶酒;⻩酒;果酒（含酒精）;⽩酒;⾷⽤酒精</t>
  </si>
  <si>
    <t>800</t>
  </si>
  <si>
    <t>77451703</t>
  </si>
  <si>
    <t>HARII 哈锐</t>
  </si>
  <si>
    <t>朗姆酒;伏特加酒;威⼠忌;利⼝酒;⽩兰地;果酒（含酒精）;鸡尾酒;⽩酒;葡萄酒;酒精饮料（啤酒除外）</t>
  </si>
  <si>
    <t>801</t>
  </si>
  <si>
    <t>77452871</t>
  </si>
  <si>
    <t>刘长海</t>
  </si>
  <si>
    <t>守信人</t>
  </si>
  <si>
    <t>烈酒（饮料）;酒精饮料（啤酒除外）;⻩酒;⽶酒;⽩酒;清酒（⽇本⽶酒）;烧酒;鸡尾酒;果酒（含酒精）;葡萄酒</t>
  </si>
  <si>
    <t>802</t>
  </si>
  <si>
    <t>77453201</t>
  </si>
  <si>
    <t>湘水潭</t>
  </si>
  <si>
    <t>烈酒（饮料）;开胃酒;⽩酒;⻩酒;烧酒;鸡尾酒;利⼝酒;⽶酒;含⽔果酒精饮料;葡萄酒</t>
  </si>
  <si>
    <t>803</t>
  </si>
  <si>
    <t>77453410</t>
  </si>
  <si>
    <t>深圳市金玖樽酒业有限公司</t>
  </si>
  <si>
    <t>土川金玖樽</t>
  </si>
  <si>
    <t>酒精饮料（啤酒除外）;⽶酒;蒸馏饮料;利⼝酒;果酒;烧酒;葡萄酒;⻘稞酒;⽩酒;⻩酒</t>
  </si>
  <si>
    <t>804</t>
  </si>
  <si>
    <t>77453677</t>
  </si>
  <si>
    <t>曾锡花</t>
  </si>
  <si>
    <t>百山尽</t>
  </si>
  <si>
    <t>开胃酒;烧酒;苦荞酒;⻩酒;⽩⼲酒（中国⽩酒）;⾼粱酒;果酒（含酒精）;烈酒;⽩酒;⽶酒</t>
  </si>
  <si>
    <t>805</t>
  </si>
  <si>
    <t>77454020</t>
  </si>
  <si>
    <t>山东万国洋行进出口贸易有限公司</t>
  </si>
  <si>
    <t>山之境界</t>
  </si>
  <si>
    <t>葡萄酒;伏特加酒;⽶酒;果酒（含酒精）;含⽔果酒精饮料;⻩酒;烧酒;⽩酒;⽩兰地;威⼠忌</t>
  </si>
  <si>
    <t>806</t>
  </si>
  <si>
    <t>77454213</t>
  </si>
  <si>
    <t>克里科瓦公司</t>
  </si>
  <si>
    <t>CRICOVA</t>
  </si>
  <si>
    <t>葡萄酒;汽酒;⾷⽤酒精;⽩酒;威⼠忌;已调味的⻨芽酿制的酒精饮料（啤酒除外）;酒精饮料（啤酒除外）;果酒（含酒精）;⽩兰地;含⽔果酒精饮料</t>
  </si>
  <si>
    <t>807</t>
  </si>
  <si>
    <t>77454867</t>
  </si>
  <si>
    <t>外卖达人（天津）科技有限公司</t>
  </si>
  <si>
    <t>酒精饮料（啤酒除外）;含⽔果酒精饮料;酒精饮料浓缩汁;烧酒;果酒（含酒精）;葡萄酒;烈酒（饮料）;⽶酒;⻩酒;蒸馏饮料</t>
  </si>
  <si>
    <t>808</t>
  </si>
  <si>
    <t>77457347</t>
  </si>
  <si>
    <t>广东省泓昌供应链管理有限公司</t>
  </si>
  <si>
    <t>夜龟</t>
  </si>
  <si>
    <t>蒸馏饮料;鸡尾酒;烈酒（饮料）;酒精饮料原汁;预先混合的酒精饮料（以啤酒为主的除外）;酒精饮料（啤酒除外）;果酒（含酒精）;含⽔果酒精饮料;⾷⽤酒精;葡萄酒</t>
  </si>
  <si>
    <t>809</t>
  </si>
  <si>
    <t>77457651</t>
  </si>
  <si>
    <t>苏州桐欣语食品科技有限公司</t>
  </si>
  <si>
    <t>桦林旭</t>
  </si>
  <si>
    <t>酒精饮料（啤酒除外）;含⽔果酒精饮料;葡萄酒;⻩酒;蒸馏饮料;开胃酒;⽩酒;果酒（含酒精）;薄荷酒;威⼠忌</t>
  </si>
  <si>
    <t>810</t>
  </si>
  <si>
    <t>77458517</t>
  </si>
  <si>
    <t>宋志翔</t>
  </si>
  <si>
    <t>老谱</t>
  </si>
  <si>
    <t>烈酒;甜酒;葡萄酒;汽酒;含酒精的饮料（啤酒除外）;⽶酒;⻩酒;⽩酒;果酒;鸡尾酒</t>
  </si>
  <si>
    <t>811</t>
  </si>
  <si>
    <t>77458779</t>
  </si>
  <si>
    <t>大媳妇</t>
  </si>
  <si>
    <t>⽶酒;露酒;葡萄酒;烧酒;⽼酒（中国蒸馏烈酒）;果酒;清酒;蜂蜜酒;烈酒;⽩酒</t>
  </si>
  <si>
    <t>812</t>
  </si>
  <si>
    <t>77460115</t>
  </si>
  <si>
    <t>伏拉蒂 VLADR</t>
  </si>
  <si>
    <t>葡萄酒;朗姆酒;伏特加酒;⽩酒;威⼠忌;果酒（含酒精）;鸡尾酒;利⼝酒;酒精饮料（啤酒除外）;⽩兰地</t>
  </si>
  <si>
    <t>813</t>
  </si>
  <si>
    <t>77460769</t>
  </si>
  <si>
    <t>费县彦新建材综合店</t>
  </si>
  <si>
    <t>虚花</t>
  </si>
  <si>
    <t>⽶酒;⽩酒;含酒精⽔果饮料;蒸馏饮料;⾷⽤酒精;果酒（含酒精）;葡萄酒;鸡尾酒;⽩兰地;烈酒（饮料）</t>
  </si>
  <si>
    <t>814</t>
  </si>
  <si>
    <t>77460910</t>
  </si>
  <si>
    <t>渠皓汶</t>
  </si>
  <si>
    <t>故苑香</t>
  </si>
  <si>
    <t>清酒（⽇本⽶酒）;酒精饮料（啤酒除外）;鸡尾酒;⽩酒;果酒（含酒精）;烈酒;葡萄酒;⻩酒;威⼠忌;开胃酒</t>
  </si>
  <si>
    <t>815</t>
  </si>
  <si>
    <t>77461107</t>
  </si>
  <si>
    <t>绍兴远流酒业有限公司</t>
  </si>
  <si>
    <t>漫界</t>
  </si>
  <si>
    <t>果酒（含酒精）;酒精饮料浓缩汁;苹果酒;樱桃酒;蜂蜜酒;⽶酒;⽩酒;含⽔果酒精饮料;酸酒（低等葡萄酒）;鸡尾酒</t>
  </si>
  <si>
    <t>816</t>
  </si>
  <si>
    <t>77461589</t>
  </si>
  <si>
    <t>码悟聊</t>
  </si>
  <si>
    <t>含⽔果酒精饮料;葡萄酒;果酒（含酒精）;酒精饮料（啤酒除外）;⽶酒;⾷⽤酒精;烧酒;⻘稞酒;⽩酒;⻩酒</t>
  </si>
  <si>
    <t>817</t>
  </si>
  <si>
    <t>77462267</t>
  </si>
  <si>
    <t>新疆西域中天电子信息有限公司</t>
  </si>
  <si>
    <t>中九慧</t>
  </si>
  <si>
    <t>⽩酒;烧酒;露酒;⻩酒;⽼酒（中国蒸馏烈酒）;⾼粱酒;⽩⼲酒（中国⽩酒）;⻘稞酒;烈酒;清酒</t>
  </si>
  <si>
    <t>818</t>
  </si>
  <si>
    <t>77462852</t>
  </si>
  <si>
    <t>远见大数据产业发展（云南）有限责任公司</t>
  </si>
  <si>
    <t>观象号</t>
  </si>
  <si>
    <t>清酒;⻩酒;含⽔果酒精饮料;烧酒;葡萄酒;⽶酒;⽩酒;烈酒;鸡尾酒;果酒（含酒精）</t>
  </si>
  <si>
    <t>819</t>
  </si>
  <si>
    <t>77463424</t>
  </si>
  <si>
    <t>深圳市天下安康医药科技有限公司</t>
  </si>
  <si>
    <t>镇恙堂</t>
  </si>
  <si>
    <t>红葡萄酒;⽩酒;汽酒;酒精饮料（啤酒除外）;⽩葡萄酒;果酒（含酒精）;果酒;含酒精⽔果饮料;葡萄汽酒;以葡萄酒为主的饮料</t>
  </si>
  <si>
    <t>820</t>
  </si>
  <si>
    <t>77463529</t>
  </si>
  <si>
    <t>李隆琦532924********0015</t>
  </si>
  <si>
    <t>云西一品</t>
  </si>
  <si>
    <t>葡萄酒;⽩酒;果酒（含酒精）;⾷⽤酒精;烧酒;甜果酒;开胃酒;鸡尾酒;⽶酒;⻩酒</t>
  </si>
  <si>
    <t>821</t>
  </si>
  <si>
    <t>77463993</t>
  </si>
  <si>
    <t>中书兰亭（绍兴）教育科技有限公司</t>
  </si>
  <si>
    <t>中书兰亭</t>
  </si>
  <si>
    <t>⾕物制蒸馏酒精饮料;⽶酒;⻩酒;果酒（含酒精）</t>
  </si>
  <si>
    <t>822</t>
  </si>
  <si>
    <t>77464294</t>
  </si>
  <si>
    <t>西咸新区空港新城仁强傲百货店</t>
  </si>
  <si>
    <t>征天骄子</t>
  </si>
  <si>
    <t>清酒（⽇本⽶酒）;烈酒（饮料）;烧酒;⽩酒;⻩酒;酒精饮料（啤酒除外）;果酒（含酒精）;⽶酒;蜂蜜酒;⾕物制蒸馏酒精饮料</t>
  </si>
  <si>
    <t>823</t>
  </si>
  <si>
    <t>77464637</t>
  </si>
  <si>
    <t>韦善取</t>
  </si>
  <si>
    <t>路易七代</t>
  </si>
  <si>
    <t>开胃酒;鸡尾酒;葡萄酒;酒精饮料（啤酒除外）;⽩酒;果酒（含酒精）;清酒（⽇本⽶酒）;威⼠忌;⻩酒;烈酒</t>
  </si>
  <si>
    <t>824</t>
  </si>
  <si>
    <t>77464789</t>
  </si>
  <si>
    <t>邓永军</t>
  </si>
  <si>
    <t>晒甲林</t>
  </si>
  <si>
    <t>⽶酒;⻩酒;⽩酒;清酒;烈酒;⻘稞酒;⾼粱酒;果酒;葡萄酒;蜂蜜酒</t>
  </si>
  <si>
    <t>825</t>
  </si>
  <si>
    <t>77464911</t>
  </si>
  <si>
    <t>苏志国</t>
  </si>
  <si>
    <t>鑫苏家</t>
  </si>
  <si>
    <t>⽶酒;开胃酒;鸡尾酒;⽩酒;烧酒;利⼝酒;烈酒（饮料）;酒精饮料（啤酒除外）;葡萄酒;果酒（含酒精）</t>
  </si>
  <si>
    <t>826</t>
  </si>
  <si>
    <t>77464986</t>
  </si>
  <si>
    <t>山东黄河三角洲酒业有限公司</t>
  </si>
  <si>
    <t>鸣翠塔</t>
  </si>
  <si>
    <t>蒸馏⽶酒（泡盛酒）;酒精饮料（啤酒除外）;葡萄酒;⽼酒（中国蒸馏烈酒）;蒸馏饮料;⽶酒;⽩酒;果酒（含酒精）;烧酒;⽩兰地</t>
  </si>
  <si>
    <t>827</t>
  </si>
  <si>
    <t>77465359</t>
  </si>
  <si>
    <t>河南崇道商贸有限公司</t>
  </si>
  <si>
    <t>威廉迈巴赫</t>
  </si>
  <si>
    <t>⽩兰地;威⼠忌;葡萄酒;蒸煮提取物（利⼝酒和烈酒）;⽩酒;鸡尾酒;朗姆酒;⻩酒;果酒;酒精饮料（啤酒除外）</t>
  </si>
  <si>
    <t>828</t>
  </si>
  <si>
    <t>77465494</t>
  </si>
  <si>
    <t>米卢春</t>
  </si>
  <si>
    <t>果酒（含酒精）;酒精饮料（啤酒除外）;葡萄酒;⽶酒;烧酒;清酒;威⼠忌;以葡萄酒为主的饮料;⽩酒;烧酒（烈酒）</t>
  </si>
  <si>
    <t>829</t>
  </si>
  <si>
    <t>77466543</t>
  </si>
  <si>
    <t>段坤毅</t>
  </si>
  <si>
    <t>玖菽粱陈</t>
  </si>
  <si>
    <t>⻘稞酒;⾷⽤酒精;红葡萄酒;果酒（含酒精）;⽩酒;⽩兰地;烧酒（烈酒）;⻩酒;伏特加酒;⽶酒</t>
  </si>
  <si>
    <t>830</t>
  </si>
  <si>
    <t>77466584</t>
  </si>
  <si>
    <t>江晓杰</t>
  </si>
  <si>
    <t>偃</t>
  </si>
  <si>
    <t>开胃酒;葡萄酒;烈酒（饮料）;⾷⽤酒精;含酒精的⽓泡⽔;鸡尾酒;清酒（⽇本⽶酒）;威⼠忌;⽩酒;果酒（含酒精）</t>
  </si>
  <si>
    <t>831</t>
  </si>
  <si>
    <t>77466651</t>
  </si>
  <si>
    <t>品调匠人纪</t>
  </si>
  <si>
    <t>⻘稞酒;⾷⽤酒精;鸡尾酒;威⼠忌;⽩酒;果酒（含酒精）;蒸馏饮料;葡萄酒;⽶酒;伏特加酒</t>
  </si>
  <si>
    <t>832</t>
  </si>
  <si>
    <t>77467130</t>
  </si>
  <si>
    <t>安徽偶寓乡宿投资有限公司</t>
  </si>
  <si>
    <t>运古漕酒</t>
  </si>
  <si>
    <t>⽶酒;鸡尾酒;⽩酒;清酒（⽇本⽶酒）;⻘稞酒;⻩酒;葡萄酒;果酒（含酒精）;含酒精⽔果饮料;酒精饮料（啤酒除外）</t>
  </si>
  <si>
    <t>833</t>
  </si>
  <si>
    <t>77467353</t>
  </si>
  <si>
    <t>杨家鑫</t>
  </si>
  <si>
    <t>清花吉祥</t>
  </si>
  <si>
    <t>⽶酒;果酒（含酒精）;蜂蜜酒;清酒（⽇本⽶酒）;烧酒;⽩酒;开胃酒;葡萄酒;酒精饮料（啤酒除外）;⻩酒</t>
  </si>
  <si>
    <t>834</t>
  </si>
  <si>
    <t>77467531</t>
  </si>
  <si>
    <t>海南海里马酒业有限公司</t>
  </si>
  <si>
    <t>码头鱼</t>
  </si>
  <si>
    <t>⾷⽤酒精;清酒（⽇本⽶酒）;蒸馏⽶酒（泡盛酒）;⻩酒;⽶酒;⻘稞酒;⾼粱酒;⽩酒;餐后酒（利⼝酒和烈酒）;由⾕物蒸馏的⽩酒</t>
  </si>
  <si>
    <t>835</t>
  </si>
  <si>
    <t>77467749</t>
  </si>
  <si>
    <t>藏金于民科技发展(深圳)有限公司</t>
  </si>
  <si>
    <t>易金库</t>
  </si>
  <si>
    <t>⽼酒（中国蒸馏烈酒）;果酒;烧酒;⽩酒;烧酒（烈酒）;已调味的⻨芽酿制的酒精饮料（啤酒除外）;开胃酒;果酒（含酒精）;红葡萄酒;威⼠忌</t>
  </si>
  <si>
    <t>836</t>
  </si>
  <si>
    <t>77468221</t>
  </si>
  <si>
    <t>重庆赛百顶生态农业科技有限公司</t>
  </si>
  <si>
    <t>顶李</t>
  </si>
  <si>
    <t>鸡尾酒;⽶酒;清酒;烧酒;露酒;酒精饮料（啤酒除外）;⽩酒;葡萄酒;含酒精⽔果饮料;果酒</t>
  </si>
  <si>
    <t>837</t>
  </si>
  <si>
    <t>77468793</t>
  </si>
  <si>
    <t>厦门三亨科技有限公司</t>
  </si>
  <si>
    <t>⽩酒;葡萄酒;⻩酒;⻘稞酒;威⼠忌;⽶酒;利⼝酒;鸡尾酒;果酒;烧酒</t>
  </si>
  <si>
    <t>838</t>
  </si>
  <si>
    <t>77469376</t>
  </si>
  <si>
    <t>圣斯曼 SAINT SIMAN</t>
  </si>
  <si>
    <t>朗姆酒;⽩酒;鸡尾酒;葡萄酒;⽩兰地;利⼝酒;酒精饮料（啤酒除外）;果酒（含酒精）;伏特加酒;威⼠忌</t>
  </si>
  <si>
    <t>839</t>
  </si>
  <si>
    <t>77470239</t>
  </si>
  <si>
    <t>品调匠天纪</t>
  </si>
  <si>
    <t>果酒（含酒精）;蒸馏饮料;⽶酒;⽩酒;⻘稞酒;葡萄酒;⾷⽤酒精;威⼠忌;鸡尾酒;伏特加酒</t>
  </si>
  <si>
    <t>855</t>
  </si>
  <si>
    <t>77473410</t>
  </si>
  <si>
    <t>广州市纯枫科技有限公司</t>
  </si>
  <si>
    <t>纯枫</t>
  </si>
  <si>
    <t>薄荷酒;蜂蜜酒;梅酒;⻘稞酒;红葡萄酒;蒸馏饮料;烈性⼲酒;⾷⽤酒精;⽶酒;⽩酒</t>
  </si>
  <si>
    <t>856</t>
  </si>
  <si>
    <t>77473445</t>
  </si>
  <si>
    <t>海南美豪品牌管理有限公司</t>
  </si>
  <si>
    <t>姜师姐</t>
  </si>
  <si>
    <t>葡萄酒;开胃酒;利⼝酒;⽶酒;⻩酒;⽩酒;蒸馏饮料;酒精饮料（啤酒除外）;汽酒;烧酒</t>
  </si>
  <si>
    <t>857</t>
  </si>
  <si>
    <t>77474475</t>
  </si>
  <si>
    <t>吴雯</t>
  </si>
  <si>
    <t>言清茗荟</t>
  </si>
  <si>
    <t>果酒（含酒精）;葡萄酒;⻩酒;⽶酒;⽩酒;烧酒;蜂蜜酒;⾼粱酒;果酒;烧酒（烈酒）</t>
  </si>
  <si>
    <t>858</t>
  </si>
  <si>
    <t>77474789</t>
  </si>
  <si>
    <t>文粮香</t>
  </si>
  <si>
    <t>⻩酒;烈酒（饮料）;威⼠忌;⾕物制蒸馏酒精饮料;酒精饮料（啤酒除外）;葡萄酒;果酒（含酒精）;⽩酒;⽶酒;烧酒</t>
  </si>
  <si>
    <t>859</t>
  </si>
  <si>
    <t>77474881</t>
  </si>
  <si>
    <t>王凤义</t>
  </si>
  <si>
    <t>状元威</t>
  </si>
  <si>
    <t>餐后酒（利⼝酒和烈酒）;⽩酒;⻩酒;葡萄酒;烈酒（饮料）;⽶酒;酒精饮料原汁;果酒（含酒精）;酒精饮料（啤酒除外）;烧酒</t>
  </si>
  <si>
    <t>860</t>
  </si>
  <si>
    <t>77475054</t>
  </si>
  <si>
    <t>魏师傅</t>
  </si>
  <si>
    <t>⻩酒;烈酒（饮料）;威⼠忌;烧酒;酒精饮料（啤酒除外）;葡萄酒;⾕物制蒸馏酒精饮料;⽩酒;果酒（含酒精）;⽶酒</t>
  </si>
  <si>
    <t>861</t>
  </si>
  <si>
    <t>77475093</t>
  </si>
  <si>
    <t>功匠人</t>
  </si>
  <si>
    <t>⽩酒;果酒（含酒精）;烈酒（饮料）;酒精饮料（啤酒除外）;葡萄酒;威⼠忌;烧酒;⻩酒;⽶酒;⾕物制蒸馏酒精饮料</t>
  </si>
  <si>
    <t>862</t>
  </si>
  <si>
    <t>77475098</t>
  </si>
  <si>
    <t>潘文件</t>
  </si>
  <si>
    <t>匠九花</t>
  </si>
  <si>
    <t>威⼠忌;⽩⼲酒（中国⽩酒）;酒精饮料（啤酒除外）;果酒;⽩酒;葡萄酒;⾼粱酒;露酒;⾷⽤酒精;烧酒（烈酒）</t>
  </si>
  <si>
    <t>863</t>
  </si>
  <si>
    <t>77475581</t>
  </si>
  <si>
    <t>王佳敏</t>
  </si>
  <si>
    <t>午状元</t>
  </si>
  <si>
    <t>⽩酒;酒精饮料原汁;餐后酒（利⼝酒和烈酒）;果酒（含酒精）;酒精饮料（啤酒除外）;⽶酒;烈酒（饮料）;葡萄酒;烧酒;⻩酒</t>
  </si>
  <si>
    <t>864</t>
  </si>
  <si>
    <t>77475619</t>
  </si>
  <si>
    <t>刘秀勇</t>
  </si>
  <si>
    <t>秘著</t>
  </si>
  <si>
    <t>含⽔果酒精饮料;⽩酒;鸡尾酒;⽼酒（中国蒸馏烈酒）;果酒（含酒精）;⻩酒;⾕物制蒸馏酒精饮料;葡萄酒;⽶酒;汽酒</t>
  </si>
  <si>
    <t>865</t>
  </si>
  <si>
    <t>77475661</t>
  </si>
  <si>
    <t>柯眺眺</t>
  </si>
  <si>
    <t>寻梦三生</t>
  </si>
  <si>
    <t>果酒（含酒精）;预先混合的酒精饮料（以啤酒为主的除外）;甜果酒;酒精饮料（啤酒除外）;利⼝酒;汽酒;鸡尾酒;含⽔果酒精饮料;梅酒;⽔果汽酒</t>
  </si>
  <si>
    <t>866</t>
  </si>
  <si>
    <t>77476278</t>
  </si>
  <si>
    <t>四川来梦缘商贸有限公司</t>
  </si>
  <si>
    <t>来梦缘</t>
  </si>
  <si>
    <t>葡萄酒;鸡尾酒;烈酒;清酒;果酒;以葡萄酒为主的饮料;⽶酒;⽩酒;烧酒;含酒精的饮料（啤酒除外）</t>
  </si>
  <si>
    <t>2024年03月24日</t>
  </si>
  <si>
    <t>867</t>
  </si>
  <si>
    <t>77476609</t>
  </si>
  <si>
    <t>何玉</t>
  </si>
  <si>
    <t>晋少侠</t>
  </si>
  <si>
    <t>开胃酒;鸡尾酒;清酒（⽇本⽶酒）;⻩酒;果酒（含酒精）;葡萄酒;烈酒;酒精饮料（啤酒除外）;⽩酒;威⼠忌</t>
  </si>
  <si>
    <t>868</t>
  </si>
  <si>
    <t>77476613</t>
  </si>
  <si>
    <t>稻师兄</t>
  </si>
  <si>
    <t>果酒（含酒精）;⽩酒;威⼠忌;烈酒;葡萄酒;酒精饮料（啤酒除外）;开胃酒;鸡尾酒;⻩酒;清酒（⽇本⽶酒）</t>
  </si>
  <si>
    <t>869</t>
  </si>
  <si>
    <t>77476640</t>
  </si>
  <si>
    <t>烟台康祥远景企业管理有限公司</t>
  </si>
  <si>
    <t>华果新萃</t>
  </si>
  <si>
    <t>开胃酒;⾼粱酒;汽酒;葡萄酒;⽼酒（中国蒸馏烈酒）;果酒（含酒精）;⽩酒;酒精饮料（啤酒除外）;烧酒（烈酒）;⻩酒</t>
  </si>
  <si>
    <t>870</t>
  </si>
  <si>
    <t>77476673</t>
  </si>
  <si>
    <t>宋艳</t>
  </si>
  <si>
    <t>知天恩</t>
  </si>
  <si>
    <t>蒸馏饮料;露酒;果酒（含酒精）;⽶酒;葡萄酒;烈酒（饮料）;⾕物制蒸馏酒精饮料;⽩酒;苹果酒;餐后酒（利⼝酒和烈酒）</t>
  </si>
  <si>
    <t>871</t>
  </si>
  <si>
    <t>77476713</t>
  </si>
  <si>
    <t>安逸酒店集团有限责任公司</t>
  </si>
  <si>
    <t>ANYEE</t>
  </si>
  <si>
    <t>含⽔果酒精饮料;鸡尾酒;烈酒（饮料）;葡萄酒;⽩酒;预先混合的酒精饮料（以啤酒为主的除外）;烧酒;酒精饮料（啤酒除外）;果酒（含酒精）;蒸煮提取物（利⼝酒和烈酒）</t>
  </si>
  <si>
    <t>872</t>
  </si>
  <si>
    <t>77476721</t>
  </si>
  <si>
    <t>ANYEE PANDA</t>
  </si>
  <si>
    <t>⽩酒;果酒（含酒精）;烧酒;蒸煮提取物（利⼝酒和烈酒）;预先混合的酒精饮料（以啤酒为主的除外）;含⽔果酒精饮料;葡萄酒;烈酒（饮料）;酒精饮料（啤酒除外）;鸡尾酒</t>
  </si>
  <si>
    <t>873</t>
  </si>
  <si>
    <t>77476823</t>
  </si>
  <si>
    <t>杭州意亚食品科技有限公司</t>
  </si>
  <si>
    <t>啡行厨房</t>
  </si>
  <si>
    <t>酒精饮料原汁</t>
  </si>
  <si>
    <t>874</t>
  </si>
  <si>
    <t>77477149</t>
  </si>
  <si>
    <t>王辉</t>
  </si>
  <si>
    <t>佰宝香</t>
  </si>
  <si>
    <t>威⼠忌;酒精饮料（啤酒除外）;⽩酒;利⼝酒;鸡尾酒;⽶酒;果酒;葡萄酒;⻩酒;⽩兰地</t>
  </si>
  <si>
    <t>875</t>
  </si>
  <si>
    <t>77477235</t>
  </si>
  <si>
    <t>刘萌</t>
  </si>
  <si>
    <t>食厘厚炖</t>
  </si>
  <si>
    <t>清酒（⽇本⽶酒）;⻩酒;⽩兰地;威⼠忌;⽩酒;鸡尾酒;葡萄酒;⽶酒;⻘稞酒;果酒（含酒精）</t>
  </si>
  <si>
    <t>876</t>
  </si>
  <si>
    <t>77477635</t>
  </si>
  <si>
    <t>北京天空未来食品科技有限公司</t>
  </si>
  <si>
    <t>LUOMANAOBIANG</t>
  </si>
  <si>
    <t>烈酒（饮料）;⽩酒;开胃酒;利⼝酒;果酒（含酒精）;朗姆酒;葡萄酒;威⼠忌;⽶酒;蜂蜜酒</t>
  </si>
  <si>
    <t>877</t>
  </si>
  <si>
    <t>77477921</t>
  </si>
  <si>
    <t>贵州省仁怀市尘世间商贸有限公司</t>
  </si>
  <si>
    <t>黔今王</t>
  </si>
  <si>
    <t>果酒（含酒精）;葡萄酒;蒸馏饮料;烈酒（饮料）;⽼酒（中国蒸馏烈酒）;⻩酒;鸡尾酒;⽶酒;⽩酒;烧酒</t>
  </si>
  <si>
    <t>878</t>
  </si>
  <si>
    <t>77477998</t>
  </si>
  <si>
    <t>张春燕</t>
  </si>
  <si>
    <t>灵翼</t>
  </si>
  <si>
    <t>烈酒（饮料）;⽩酒;⾼粱酒;果酒（含酒精）;含酒精的饮料（啤酒除外）;⾷⽤酒精;⻩酒;烧酒;⽼酒（中国蒸馏烈酒）;葡萄酒</t>
  </si>
  <si>
    <t>879</t>
  </si>
  <si>
    <t>77478106</t>
  </si>
  <si>
    <t>河北尧乡醇商贸有限公司</t>
  </si>
  <si>
    <t>樊腾凤</t>
  </si>
  <si>
    <t>⽶酒;烧酒;葡萄酒;烈酒（饮料）;含⽔果酒精饮料;酒精饮料（啤酒除外）;由⾕物蒸馏的⽩酒;⾼粱酒;⽩酒;威⼠忌</t>
  </si>
  <si>
    <t>880</t>
  </si>
  <si>
    <t>77478348</t>
  </si>
  <si>
    <t>怪泡</t>
  </si>
  <si>
    <t>预先混合的酒精饮料（以啤酒为主的除外）;蜂蜜酒;含⽔果酒精饮料;葡萄酒;⽩酒;果酒（含酒精）;汽酒;以葡萄酒为主的饮料;薄荷酒</t>
  </si>
  <si>
    <t>881</t>
  </si>
  <si>
    <t>77478421</t>
  </si>
  <si>
    <t>威海双好贸易有限公司</t>
  </si>
  <si>
    <t>羚羊妈妈</t>
  </si>
  <si>
    <t>⽩酒;⽶酒;⻩酒;已调味的蒸馏酒;葡萄酒;果酒（含酒精）;露酒;预先混合的酒精饮料（以啤酒为主的除外）;烧酒;⾼粱酒</t>
  </si>
  <si>
    <t>882</t>
  </si>
  <si>
    <t>77478512</t>
  </si>
  <si>
    <t>北京盛世和鸣文化传播有限公司</t>
  </si>
  <si>
    <t>医中盛世</t>
  </si>
  <si>
    <t>利⼝酒;蜂蜜酒;烈酒（饮料）;⽩酒;酒精饮料（啤酒除外）;蒸煮提取物（利⼝酒和烈酒）;开胃酒;汽酒;清酒（⽇本⽶酒）;葡萄酒</t>
  </si>
  <si>
    <t>883</t>
  </si>
  <si>
    <t>77478825</t>
  </si>
  <si>
    <t>王青</t>
  </si>
  <si>
    <t>福分美</t>
  </si>
  <si>
    <t>果酒（含酒精）;苹果酒;⾕物制蒸馏酒精饮料;餐后酒（利⼝酒和烈酒）;⽶酒;露酒;蒸馏饮料;葡萄酒;烈酒（饮料）;⽩酒</t>
  </si>
  <si>
    <t>884</t>
  </si>
  <si>
    <t>77478851</t>
  </si>
  <si>
    <t>淄博三木合鑫环保工程有限公司</t>
  </si>
  <si>
    <t>梓橦山</t>
  </si>
  <si>
    <t>蜂蜜酒;清酒（⽇本⽶酒）;⽶酒;葡萄酒;⽩酒;果酒（含酒精）;烈酒（饮料）;酒精饮料（啤酒除外）;甜酒;威⼠忌</t>
  </si>
  <si>
    <t>885</t>
  </si>
  <si>
    <t>77479093</t>
  </si>
  <si>
    <t>贵州红喜鹊酒业有限公司</t>
  </si>
  <si>
    <t>玉夫子</t>
  </si>
  <si>
    <t>利⼝酒;杜松⼦酒;⽩酒;鸡尾酒;烧酒;葡萄酒;薄荷酒;朗姆酒;柑⾹酒;⽶酒</t>
  </si>
  <si>
    <t>886</t>
  </si>
  <si>
    <t>77479279</t>
  </si>
  <si>
    <t>崔许</t>
  </si>
  <si>
    <t>皖美亳城</t>
  </si>
  <si>
    <t>⾕物制蒸馏酒精饮料;⽼酒（中国蒸馏烈酒）;烧酒（烈酒）;葡萄酒;含酒精的鸡尾酒混合饮品;⽩酒;⾼粱酒;果酒;甜酒;⽶酒</t>
  </si>
  <si>
    <t>887</t>
  </si>
  <si>
    <t>77479388</t>
  </si>
  <si>
    <t>云南融生酒庄管理有限公司</t>
  </si>
  <si>
    <t>硕日拉姆</t>
  </si>
  <si>
    <t>果酒（含酒精）;威⼠忌;⽩兰地;蒸馏饮料;伏特加酒;烈酒（饮料）;⽩酒;葡萄酒;酒精饮料原汁;酸酒（低等葡萄酒）</t>
  </si>
  <si>
    <t>888</t>
  </si>
  <si>
    <t>77479541</t>
  </si>
  <si>
    <t>广东九元电子科技有限公司</t>
  </si>
  <si>
    <t>老庾头</t>
  </si>
  <si>
    <t>酒精饮料（啤酒除外）;威⼠忌;⽩酒;鸡尾酒;⻩酒;⽩兰地;薄荷酒;果酒（含酒精）;烈酒（饮料）;葡萄酒</t>
  </si>
  <si>
    <t>889</t>
  </si>
  <si>
    <t>77479959</t>
  </si>
  <si>
    <t>遂宁新愚公农业科技开发有限公司</t>
  </si>
  <si>
    <t>辛愚公</t>
  </si>
  <si>
    <t>⽢蔗制酒精饮料;⾕物制蒸馏酒精饮料;⽩酒;⻘稞酒;汽酒;⻩酒;烧酒;葡萄酒;以葡萄酒为主的饮料;⾷⽤酒精</t>
  </si>
  <si>
    <t>890</t>
  </si>
  <si>
    <t>77480193</t>
  </si>
  <si>
    <t>复苏白中医药科技宿迁有限公司</t>
  </si>
  <si>
    <t>苏北小麻雀</t>
  </si>
  <si>
    <t>烧酒;⽼酒（中国蒸馏烈酒）;⽩⼲酒（中国⽩酒）;果酒（含酒精）;⻩酒;⽩酒;葡萄酒;⽶酒;预先混合的酒精饮料（以啤酒为主的除外）;利⼝酒</t>
  </si>
  <si>
    <t>891</t>
  </si>
  <si>
    <t>77480365</t>
  </si>
  <si>
    <t>陕西明嘉卓圣贸易有限公司</t>
  </si>
  <si>
    <t>罗曼雅塞诺</t>
  </si>
  <si>
    <t>含⽔果酒精饮料;酸酒（低等葡萄酒）;鸡尾酒;伏特加酒;蒸馏饮料;果酒（含酒精）;利⼝酒;葡萄酒;朗姆酒;⽩酒</t>
  </si>
  <si>
    <t>892</t>
  </si>
  <si>
    <t>77480748</t>
  </si>
  <si>
    <t>山东珍恣儿餐饮管理有限公司</t>
  </si>
  <si>
    <t>御火</t>
  </si>
  <si>
    <t>⾷⽤酒精;⽩兰地;⽩酒;汽酒;葡萄酒;果酒（含酒精）;清酒（⽇本⽶酒）;朗姆酒;鸡尾酒;威⼠忌;伏特加酒</t>
  </si>
  <si>
    <t>893</t>
  </si>
  <si>
    <t>77480972</t>
  </si>
  <si>
    <t>李永艳</t>
  </si>
  <si>
    <t>中南义</t>
  </si>
  <si>
    <t>餐后酒（利⼝酒和烈酒）;葡萄酒;露酒;⽩酒;⽶酒;烈酒（饮料）;果酒（含酒精）;蒸馏饮料;⾕物制蒸馏酒精饮料;苹果酒</t>
  </si>
  <si>
    <t>894</t>
  </si>
  <si>
    <t>77481074</t>
  </si>
  <si>
    <t>DOMAINE LEROY ROUGE</t>
  </si>
  <si>
    <t>⽩酒;朗姆酒;威⼠忌;⽶酒;葡萄酒;蜂蜜酒;果酒（含酒精）;开胃酒;利⼝酒;烈酒（饮料）</t>
  </si>
  <si>
    <t>895</t>
  </si>
  <si>
    <t>77481439</t>
  </si>
  <si>
    <t>兰用春</t>
  </si>
  <si>
    <t>斟乾</t>
  </si>
  <si>
    <t>烈酒;⽶酒;餐后酒（利⼝酒和烈酒）;烧酒;烧酒（烈酒）;含酒精的饮料（啤酒除外）;⽩酒;利⼝酒;蒸馏饮料;⽩⼲酒（中国⽩酒）</t>
  </si>
  <si>
    <t>896</t>
  </si>
  <si>
    <t>77482216</t>
  </si>
  <si>
    <t>贵州省仁怀市及第酒业有限公司</t>
  </si>
  <si>
    <t>溯望</t>
  </si>
  <si>
    <t>⻘稞酒;⽩酒;烈性⼲酒;酒精饮料（啤酒除外）;鸡尾酒;⽩兰地;含⽔果酒精饮料;⻩酒;⽶酒;开胃酒</t>
  </si>
  <si>
    <t>897</t>
  </si>
  <si>
    <t>77482330</t>
  </si>
  <si>
    <t>保靖惠慧贸易有限责任公司</t>
  </si>
  <si>
    <t>甘罄悦</t>
  </si>
  <si>
    <t>酒精饮料（啤酒除外）;鸡尾酒;蒸馏饮料;烧酒;⽩酒;葡萄酒;果酒（含酒精）;威⼠忌;⽶酒;烈酒（饮料）</t>
  </si>
  <si>
    <t>898</t>
  </si>
  <si>
    <t>77482386</t>
  </si>
  <si>
    <t>宣务盛景</t>
  </si>
  <si>
    <t>⾼粱酒;威⼠忌;烧酒;⽩酒;葡萄酒;含⽔果酒精饮料;⽶酒;由⾕物蒸馏的⽩酒;酒精饮料（啤酒除外）;烈酒（饮料）</t>
  </si>
  <si>
    <t>899</t>
  </si>
  <si>
    <t>77482403</t>
  </si>
  <si>
    <t>石门县全呈福商贸行</t>
  </si>
  <si>
    <t>九吾至尊尚德福</t>
  </si>
  <si>
    <t>苹果酒;⽼酒（中国蒸馏烈酒）;苦荞酒;⻩酒;⽩酒;威⼠忌;烧酒;⽶酒;⻘稞酒;露酒</t>
  </si>
  <si>
    <t>900</t>
  </si>
  <si>
    <t>77482752</t>
  </si>
  <si>
    <t>海口龙华区裴豫百货商行</t>
  </si>
  <si>
    <t>战威</t>
  </si>
  <si>
    <t>果酒（含酒精）;⽩酒;葡萄酒;⾼粱酒;⻩酒;烧酒;酒精饮料（啤酒除外）;烈酒;⽩⼲酒（中国⽩酒）;威⼠忌</t>
  </si>
  <si>
    <t>901</t>
  </si>
  <si>
    <t>77482805</t>
  </si>
  <si>
    <t>田新勇</t>
  </si>
  <si>
    <t>香吟仙</t>
  </si>
  <si>
    <t>鸡尾酒;⽶酒;果酒（含酒精）;烈酒（饮料）;⽩酒;开胃酒;葡萄酒;威⼠忌;清酒（⽇本⽶酒）;⻩酒</t>
  </si>
  <si>
    <t>902</t>
  </si>
  <si>
    <t>77483317</t>
  </si>
  <si>
    <t>云霄文大君企业管理有限公司</t>
  </si>
  <si>
    <t>融芊忆</t>
  </si>
  <si>
    <t>葡萄酒;⽩酒;果酒（含酒精）;鸡尾酒;⻩酒;⽶酒;烧酒;蒸馏饮料;酒精饮料（啤酒除外）;烈酒（饮料）</t>
  </si>
  <si>
    <t>903</t>
  </si>
  <si>
    <t>77483391</t>
  </si>
  <si>
    <t>LUOMANMAGE</t>
  </si>
  <si>
    <t>烈酒（饮料）;果酒（含酒精）;利⼝酒;蜂蜜酒;葡萄酒;朗姆酒;⽩酒;威⼠忌;开胃酒;⽶酒</t>
  </si>
  <si>
    <t>904</t>
  </si>
  <si>
    <t>77483407</t>
  </si>
  <si>
    <t>吕营142326********2412</t>
  </si>
  <si>
    <t>田官宅</t>
  </si>
  <si>
    <t>⽩酒;⽶酒;开胃酒;鸡尾酒;烧酒;含⽔果酒精饮料;葡萄酒;果酒（含酒精）;⻩酒;清酒（⽇本⽶酒）</t>
  </si>
  <si>
    <t>905</t>
  </si>
  <si>
    <t>77483514</t>
  </si>
  <si>
    <t>南社品牌文化传播（泰州）有限公司</t>
  </si>
  <si>
    <t>南社砚边云乡</t>
  </si>
  <si>
    <t>鸡尾酒;⽩酒;烈酒（饮料）;⻩酒;⽩兰地;⽶酒;⾷⽤酒精;酒精饮料（啤酒除外）;葡萄酒;威⼠忌</t>
  </si>
  <si>
    <t>906</t>
  </si>
  <si>
    <t>77483986</t>
  </si>
  <si>
    <t>川秀才</t>
  </si>
  <si>
    <t>烧酒;⻩酒;⽩酒;苦荞酒;由⾕物蒸馏的⽩酒;清酒;⾼粱酒;露酒;葡萄酒;⻘稞酒</t>
  </si>
  <si>
    <t>2024年03月23日</t>
  </si>
  <si>
    <t>907</t>
  </si>
  <si>
    <t>77484091</t>
  </si>
  <si>
    <t>育恩林（北京）医疗科技发展有限公司</t>
  </si>
  <si>
    <t>育恩林</t>
  </si>
  <si>
    <t>开胃酒;葡萄酒;烧酒;酒精饮料（啤酒除外）;蜂蜜酒;⽶酒;⽩酒;⻩酒;⽼酒（中国蒸馏烈酒）;果酒（含酒精）</t>
  </si>
  <si>
    <t>908</t>
  </si>
  <si>
    <t>77484405</t>
  </si>
  <si>
    <t>成呈顺</t>
  </si>
  <si>
    <t>石阁老</t>
  </si>
  <si>
    <t>酒精饮料（啤酒除外）;果酒;威⼠忌;⻩酒;⽶酒;⽩兰地;清酒;露酒;葡萄酒;⽩酒</t>
  </si>
  <si>
    <t>909</t>
  </si>
  <si>
    <t>77484935</t>
  </si>
  <si>
    <t>厘壮信息科技(苏州)有限公司</t>
  </si>
  <si>
    <t>厘壮</t>
  </si>
  <si>
    <t>蒸馏饮料;⽶酒;⻩酒;鸡尾酒;⾷⽤酒精;⽩酒;果酒（含酒精）;葡萄酒;汽酒;烈酒（饮料）</t>
  </si>
  <si>
    <t>910</t>
  </si>
  <si>
    <t>77485071</t>
  </si>
  <si>
    <t>无界如一</t>
  </si>
  <si>
    <t>酒精饮料（啤酒除外）;以葡萄酒为主的饮料;烧酒;果酒（含酒精）;威⼠忌;⻩酒;⽩酒;⽶酒;鸡尾酒;葡萄酒</t>
  </si>
  <si>
    <t>911</t>
  </si>
  <si>
    <t>77485186</t>
  </si>
  <si>
    <t>衡昌烧坊红韵福</t>
  </si>
  <si>
    <t>⽩酒;开胃酒;⽶酒;烧酒;⻩酒;⾼粱酒;含⽔果酒精饮料;⻘稞酒;葡萄酒;⽩⼲酒（中国⽩酒）</t>
  </si>
  <si>
    <t>912</t>
  </si>
  <si>
    <t>77485210</t>
  </si>
  <si>
    <t>陈基发</t>
  </si>
  <si>
    <t>皇府龙</t>
  </si>
  <si>
    <t>⽩酒;⻘稞酒;烈酒（饮料）;葡萄酒;烧酒;鸡尾酒;果酒（含酒精）;汽酒;⽶酒;威⼠忌</t>
  </si>
  <si>
    <t>913</t>
  </si>
  <si>
    <t>77485446</t>
  </si>
  <si>
    <t>云南湘赣鄂星火文化发展有限责任公司</t>
  </si>
  <si>
    <t>星火赤恒</t>
  </si>
  <si>
    <t>葡萄酒;果酒（含酒精）;烈酒（饮料）;威⼠忌;烧酒;⽩酒;鸡尾酒;酒精饮料（啤酒除外）;⽶酒;⻩酒</t>
  </si>
  <si>
    <t>914</t>
  </si>
  <si>
    <t>77485462</t>
  </si>
  <si>
    <t>陈妙娟</t>
  </si>
  <si>
    <t>诚双赢</t>
  </si>
  <si>
    <t>⻩酒;葡萄酒;烧酒;果酒（含酒精）;汽酒;⽩酒;⽶酒;⾕物制蒸馏酒精饮料;威⼠忌</t>
  </si>
  <si>
    <t>915</t>
  </si>
  <si>
    <t>77485641</t>
  </si>
  <si>
    <t>内蒙古佰盛现代农牧业科技有限公司</t>
  </si>
  <si>
    <t>佰盛人</t>
  </si>
  <si>
    <t>⽩酒;酒精饮料（啤酒除外）;⾷⽤酒精;果酒（含酒精）;⻩酒;清酒;烈酒;烧酒;⽶酒;蒸馏饮料</t>
  </si>
  <si>
    <t>916</t>
  </si>
  <si>
    <t>77485815</t>
  </si>
  <si>
    <t>魏开</t>
  </si>
  <si>
    <t>宇宙之子</t>
  </si>
  <si>
    <t>苹果酒;烈酒（饮料）;酒精饮料（啤酒除外）;⻩酒;葡萄酒;开胃酒;烧酒（烈酒）;鸡尾酒;威⼠忌;果酒（含酒精）</t>
  </si>
  <si>
    <t>917</t>
  </si>
  <si>
    <t>77485889</t>
  </si>
  <si>
    <t>张卫宁</t>
  </si>
  <si>
    <t>优萌熊</t>
  </si>
  <si>
    <t>苹果酒;鸡尾酒;⽩酒;果酒;起泡红葡萄酒;⽶酒;天然汽酒;樱桃酒;⻩酒;含⽔果酒精饮料</t>
  </si>
  <si>
    <t>918</t>
  </si>
  <si>
    <t>77486076</t>
  </si>
  <si>
    <t>吴建辉</t>
  </si>
  <si>
    <t>同田谷</t>
  </si>
  <si>
    <t>⽶酒;烈酒（饮料）;酒精饮料（啤酒除外）;⻩酒;⽢蔗制烈酒;葡萄酒;鸡尾酒;果酒（含酒精）;烧酒;⽩酒</t>
  </si>
  <si>
    <t>919</t>
  </si>
  <si>
    <t>77486254</t>
  </si>
  <si>
    <t>李红亮</t>
  </si>
  <si>
    <t>勆梵</t>
  </si>
  <si>
    <t>鸡尾酒;甜酒;⽩酒;烈酒;⽩兰地;⾼粱酒;⽶酒;葡萄酒;果酒（含酒精）;威⼠忌</t>
  </si>
  <si>
    <t>1162</t>
  </si>
  <si>
    <t>77519240</t>
  </si>
  <si>
    <t>蒋吉连</t>
  </si>
  <si>
    <t>锦苗中源</t>
  </si>
  <si>
    <t>⽶酒;⽩兰地;果酒（含酒精）;酒精饮料原汁;甜酒;葡萄酒;威⼠忌;⽩酒;含⽔果酒精饮料;鸡尾酒</t>
  </si>
  <si>
    <t>1163</t>
  </si>
  <si>
    <t>77519309</t>
  </si>
  <si>
    <t>深圳市浅海网络科技有限公司</t>
  </si>
  <si>
    <t>IDAMVOO</t>
  </si>
  <si>
    <t>开胃酒;鸡尾酒;葡萄酒;⽶酒;⻩酒;清酒（⽇本⽶酒）;⽩酒;果酒（含酒精）;威⼠忌;烧酒</t>
  </si>
  <si>
    <t>1164</t>
  </si>
  <si>
    <t>77519487</t>
  </si>
  <si>
    <t>倪良辉</t>
  </si>
  <si>
    <t>财运酒洲</t>
  </si>
  <si>
    <t>威⼠忌;⽶酒;葡萄酒;⻩酒;清酒;⽩兰地;⽩酒;烧酒;汽酒;果酒</t>
  </si>
  <si>
    <t>1165</t>
  </si>
  <si>
    <t>77519796</t>
  </si>
  <si>
    <t>贵州民宿旅游文化产业发展有限公司</t>
  </si>
  <si>
    <t>齐宿</t>
  </si>
  <si>
    <t>果酒（含酒精）;烈酒（饮料）;⽶酒;蒸馏饮料;⾷⽤酒精;含⽔果酒精饮料;⾕物制蒸馏酒精饮料;已调味的⻨芽酿制的酒精饮料（啤酒除外）;⽩酒;利⼝酒</t>
  </si>
  <si>
    <t>1166</t>
  </si>
  <si>
    <t>77519929</t>
  </si>
  <si>
    <t>来时闲</t>
  </si>
  <si>
    <t>果酒（含酒精）;⽩酒;葡萄酒;⻩酒;⽩兰地;⾷⽤酒精;酒精饮料（啤酒除外）;⽶酒;烧酒;威⼠忌</t>
  </si>
  <si>
    <t>1167</t>
  </si>
  <si>
    <t>77520030</t>
  </si>
  <si>
    <t>仐九</t>
  </si>
  <si>
    <t>果酒（含酒精）;烈酒（饮料）;⽩酒;鸡尾酒;葡萄酒;⽶酒;酸酒（低等葡萄酒）;开胃酒;酒精饮料（啤酒除外）;烧酒</t>
  </si>
  <si>
    <t>1168</t>
  </si>
  <si>
    <t>77520388</t>
  </si>
  <si>
    <t>李立之</t>
  </si>
  <si>
    <t>蔻之醁 KOU@LU</t>
  </si>
  <si>
    <t xml:space="preserve">	以葡萄酒为主的饮料; 酒精饮料（啤酒除外）; 果酒; 葡萄酒; 蒸馏饮料; 露酒; 甜酒; 开胃酒; 烈酒（饮料）; 白酒</t>
  </si>
  <si>
    <t>1169</t>
  </si>
  <si>
    <t>77520752</t>
  </si>
  <si>
    <t>李海山</t>
  </si>
  <si>
    <t>蒙晋</t>
  </si>
  <si>
    <t>⽩酒;葡萄酒;烈酒（饮料）;酒精饮料（啤酒除外）;果酒（含酒精）;⽩兰地;鸡尾酒;威⼠忌;含⽔果酒精饮料;⻩酒</t>
  </si>
  <si>
    <t>1170</t>
  </si>
  <si>
    <t>77520772</t>
  </si>
  <si>
    <t>魏斌</t>
  </si>
  <si>
    <t>月小满</t>
  </si>
  <si>
    <t>烈酒（饮料）;鸡尾酒;蒸馏饮料;果酒（含酒精）;⽶酒;⽩酒;葡萄酒;⽩兰地;⾷⽤酒精;含酒精⽔果饮料</t>
  </si>
  <si>
    <t>1171</t>
  </si>
  <si>
    <t>77520944</t>
  </si>
  <si>
    <t>鸣岁元</t>
  </si>
  <si>
    <t>⽩酒;葡萄酒;⾕物制蒸馏酒精饮料;开胃酒;杨梅酒;果酒;苹果酒;酒精饮料（啤酒除外）;⻩酒;鸡尾酒</t>
  </si>
  <si>
    <t>1172</t>
  </si>
  <si>
    <t>77521114</t>
  </si>
  <si>
    <t>富蕾农业发展河北有限公司</t>
  </si>
  <si>
    <t>孤独的岛</t>
  </si>
  <si>
    <t>清酒（⽇本⽶酒）;梨酒;果酒（含酒精）;樱桃酒;⻘稞酒;含⽔果酒精饮料;⽩酒;⻩酒;⽶酒;酒精饮料（啤酒除外）</t>
  </si>
  <si>
    <t>1173</t>
  </si>
  <si>
    <t>77521194</t>
  </si>
  <si>
    <t>宜昌唐湘源之家贸易有限公司</t>
  </si>
  <si>
    <t>唐一鸣</t>
  </si>
  <si>
    <t>含⽔果酒精饮料;⽶酒;葡萄酒;酒精饮料（啤酒除外）;⻩酒;蒸馏饮料;烧酒;果酒（含酒精）;⾷⽤酒精;⽩酒</t>
  </si>
  <si>
    <t>1174</t>
  </si>
  <si>
    <t>77521355</t>
  </si>
  <si>
    <t>北京海集信息技术有限公司</t>
  </si>
  <si>
    <t>风物君</t>
  </si>
  <si>
    <t>烧酒;葡萄酒;含⽔果酒精饮料;⽩酒;酒精饮料（啤酒除外）;威⼠忌;果酒（含酒精）;⽶酒;烈酒;汽酒</t>
  </si>
  <si>
    <t>1175</t>
  </si>
  <si>
    <t>77521387</t>
  </si>
  <si>
    <t>桂林漓水源酒业有限公司</t>
  </si>
  <si>
    <t>他她相见</t>
  </si>
  <si>
    <t>⽩酒;⽶酒</t>
  </si>
  <si>
    <t>1176</t>
  </si>
  <si>
    <t>77521410</t>
  </si>
  <si>
    <t>贵州遵龙生态科技有限公司</t>
  </si>
  <si>
    <t>壹道叁</t>
  </si>
  <si>
    <t>鸡尾酒;朗姆酒;伏特加酒;⻩酒;⽶酒;威⼠忌;烧酒;⽩酒;柑⾹酒;⽩兰地</t>
  </si>
  <si>
    <t>1177</t>
  </si>
  <si>
    <t>77521416</t>
  </si>
  <si>
    <t>杭州译友网络科技有限公司</t>
  </si>
  <si>
    <t>渺渺甘露</t>
  </si>
  <si>
    <t>葡萄酒;烈酒（饮料）;含酒精蛋奶酒;预先混合的酒精饮料（以啤酒为主的除外）;除啤酒外的酒精饮料;⻩酒;果酒;果酒（含酒精）;含酒精的鸡尾酒混合饮品;⽩酒</t>
  </si>
  <si>
    <t>1178</t>
  </si>
  <si>
    <t>77521535</t>
  </si>
  <si>
    <t>马镕杰</t>
  </si>
  <si>
    <t>洪锋会</t>
  </si>
  <si>
    <t>⽩酒;⽶酒;鸡尾酒;葡萄酒;清酒（⽇本⽶酒）;酒精饮料（啤酒除外）;果酒（含酒精）;⻩酒;烧酒;烈酒（饮料）</t>
  </si>
  <si>
    <t>1179</t>
  </si>
  <si>
    <t>77521716</t>
  </si>
  <si>
    <t>胡向兴</t>
  </si>
  <si>
    <t>鑫舟信息</t>
  </si>
  <si>
    <t>蒸馏⽶酒（泡盛酒）;威⼠忌;⽶酒;烧酒;⾼粱酒;葡萄酒;⽩酒;含酒精的饮料（啤酒除外）;⻩酒;⻘稞酒</t>
  </si>
  <si>
    <t>1180</t>
  </si>
  <si>
    <t>77521728</t>
  </si>
  <si>
    <t>江苏宿迁喜韵泉酒业有限公司</t>
  </si>
  <si>
    <t>鼎齐香</t>
  </si>
  <si>
    <t>⽶酒;葡萄酒;⻩酒;含酒精的饮料（啤酒除外）;酒精饮料原汁;⽩酒;由⾕物蒸馏的⽩酒;烧酒（烈酒）;烧酒;烈酒</t>
  </si>
  <si>
    <t>1181</t>
  </si>
  <si>
    <t>77521784</t>
  </si>
  <si>
    <t>山西聚庆泉酒业有限公司</t>
  </si>
  <si>
    <t>览晋红灯笼</t>
  </si>
  <si>
    <t>⽼酒（中国蒸馏烈酒）;烈酒;果酒;⽩酒;⽶酒;⻩酒;⽩⼲酒（中国⽩酒）;⾼粱酒;葡萄酒;酒精饮料（啤酒除外）</t>
  </si>
  <si>
    <t>1182</t>
  </si>
  <si>
    <t>77521883</t>
  </si>
  <si>
    <t>翟世峰</t>
  </si>
  <si>
    <t>清紫华荆</t>
  </si>
  <si>
    <t>⽶酒;酒精饮料（啤酒除外）;果酒;烈酒;⻩酒;利⼝酒;清酒;烧酒;葡萄酒;⽩酒</t>
  </si>
  <si>
    <t>1183</t>
  </si>
  <si>
    <t>77522502</t>
  </si>
  <si>
    <t>宜宾市叙州区惠美印刷厂</t>
  </si>
  <si>
    <t>叙洲春</t>
  </si>
  <si>
    <t>果酒;葡萄酒;烈酒（饮料）;酒精饮料（啤酒除外）;⽩兰地;⽶酒;烧酒;⻩酒;汽酒;⽩酒</t>
  </si>
  <si>
    <t>1184</t>
  </si>
  <si>
    <t>77522709</t>
  </si>
  <si>
    <t>赵桐</t>
  </si>
  <si>
    <t>MONY CC</t>
  </si>
  <si>
    <t>威⼠忌;⽩酒;以葡萄酒为主的饮料;果酒（含酒精）;酒精饮料（啤酒除外）;⾷⽤酒精;⽩兰地;⻩酒;朗姆酒;烈酒（饮料）</t>
  </si>
  <si>
    <t>1185</t>
  </si>
  <si>
    <t>77522720</t>
  </si>
  <si>
    <t>张娜</t>
  </si>
  <si>
    <t>CHAFULANE</t>
  </si>
  <si>
    <t>蒸馏饮料;烧酒;⽶酒;⽩酒;酒精饮料（啤酒除外）;鸡尾酒;葡萄酒;汽酒;烈酒（饮料）;果酒（含酒精）</t>
  </si>
  <si>
    <t>1186</t>
  </si>
  <si>
    <t>77523982</t>
  </si>
  <si>
    <t>五华区智榜百货店</t>
  </si>
  <si>
    <t>岁骄子</t>
  </si>
  <si>
    <t>果酒（含酒精）;酒精饮料（啤酒除外）;威⼠忌;鸡尾酒;烈酒;清酒（⽇本⽶酒）;⽩酒;葡萄酒;开胃酒;⻩酒</t>
  </si>
  <si>
    <t>1187</t>
  </si>
  <si>
    <t>77523986</t>
  </si>
  <si>
    <t>心之骄子</t>
  </si>
  <si>
    <t>清酒（⽇本⽶酒）;⻩酒;开胃酒;果酒（含酒精）;鸡尾酒;烈酒;威⼠忌;葡萄酒;酒精饮料（啤酒除外）;⽩酒</t>
  </si>
  <si>
    <t>1188</t>
  </si>
  <si>
    <t>77524269</t>
  </si>
  <si>
    <t>北大荒集团黑龙江庆阳农场有限公司</t>
  </si>
  <si>
    <t>墨香四季</t>
  </si>
  <si>
    <t>⻩酒;果酒;⽶酒;含酒精的饮料（啤酒除外）;葡萄酒;⽼酒（中国蒸馏烈酒）;清酒;⽩酒;汽酒;威⼠忌</t>
  </si>
  <si>
    <t>1189</t>
  </si>
  <si>
    <t>77524376</t>
  </si>
  <si>
    <t>吉林省乾鹿堂鹿业有限公司</t>
  </si>
  <si>
    <t>乾鹿祥</t>
  </si>
  <si>
    <t>苹果酒;葡萄酒;蒸馏饮料;⻘稞酒;果酒（含酒精）;鸡尾酒;酸酒（低等葡萄酒）;⽩酒;⽶酒;开胃酒</t>
  </si>
  <si>
    <t>1455</t>
  </si>
  <si>
    <t>77567930</t>
  </si>
  <si>
    <t>河东区品纯商贸店</t>
  </si>
  <si>
    <t>幂宫廷</t>
  </si>
  <si>
    <t>蒸馏饮料;鸡尾酒;烈酒（饮料）;⽩酒;⾷⽤酒精;葡萄酒;⽩兰地;果酒（含酒精）;⽶酒;含酒精⽔果饮料</t>
  </si>
  <si>
    <t>1829</t>
  </si>
  <si>
    <t>77625569</t>
  </si>
  <si>
    <t>河间市源城厚酿酒有限公司</t>
  </si>
  <si>
    <t>京禧隆仓</t>
  </si>
  <si>
    <t>酒精饮料原汁;⽶酒;预先混合的酒精饮料（以啤酒为主的除外）;酒精饮料浓缩汁;含⽔果酒精饮料;烈酒（饮料）;烧酒;清酒;⽩酒;酒精饮料（啤酒除外）</t>
  </si>
  <si>
    <t>1830</t>
  </si>
  <si>
    <t>77625799</t>
  </si>
  <si>
    <t>听瓣</t>
  </si>
  <si>
    <t>酒精饮料（啤酒除外）;烧酒;⻩酒;葡萄酒;果酒;⽶酒;⽩酒;清酒;⾼粱酒;露酒</t>
  </si>
  <si>
    <t>1831</t>
  </si>
  <si>
    <t>77625802</t>
  </si>
  <si>
    <t>海南云通智联科技有限公司</t>
  </si>
  <si>
    <t>恩多贝贝</t>
  </si>
  <si>
    <t>⽩兰地;威⼠忌;清酒（⽇本⽶酒）;酒精饮料原汁;⽶酒;⻩酒;⽩酒;果酒（含酒精）;烧酒;烈酒（饮料）</t>
  </si>
  <si>
    <t>1832</t>
  </si>
  <si>
    <t>77625828</t>
  </si>
  <si>
    <t>福建酒业通网络科技有限公司</t>
  </si>
  <si>
    <t>万通台</t>
  </si>
  <si>
    <t>⽩酒;⽶酒;葡萄酒;果酒（含酒精）;烈酒（饮料）;烧酒;⻩酒;⽢蔗制烈酒;鸡尾酒;酒精饮料（啤酒除外）</t>
  </si>
  <si>
    <t>1833</t>
  </si>
  <si>
    <t>77625847</t>
  </si>
  <si>
    <t>山东济宁心心酒业有限公司</t>
  </si>
  <si>
    <t>合悦心酒</t>
  </si>
  <si>
    <t>葡萄酒;酒精饮料浓缩汁;酒精饮料（啤酒除外）;⾕物制蒸馏酒精饮料;含⽔果酒精饮料;烈酒（饮料）;⽶酒;⾷⽤酒精;⽩酒;利⼝酒</t>
  </si>
  <si>
    <t>1834</t>
  </si>
  <si>
    <t>77625911</t>
  </si>
  <si>
    <t>史秋吓</t>
  </si>
  <si>
    <t>宴九五</t>
  </si>
  <si>
    <t>餐后酒（利⼝酒和烈酒）;⾼粱酒;⽩酒;⽶酒;⾕物制蒸馏酒精饮料;⽼酒（中国蒸馏烈酒）;汽酒;果酒;由⾕物蒸馏的⽩酒;⽩⼲酒（中国⽩酒）</t>
  </si>
  <si>
    <t>1835</t>
  </si>
  <si>
    <t>77626327</t>
  </si>
  <si>
    <t>上海豆里豆外文化创意有限公司</t>
  </si>
  <si>
    <t>SENSE DANCE</t>
  </si>
  <si>
    <t>苦味酒;烧酒;葡萄酒;⽶酒;柑⾹酒;樱桃酒;⽩酒;苹果酒;利⼝酒;薄荷酒</t>
  </si>
  <si>
    <t>1836</t>
  </si>
  <si>
    <t>77626389</t>
  </si>
  <si>
    <t>FINERHMP</t>
  </si>
  <si>
    <t>蒸馏饮料;葡萄酒;⽼酒（中国蒸馏烈酒）;果酒（含酒精）;酒精饮料（啤酒除外）;⽶酒;预先混合的酒精饮料（以啤酒为主的除外）;⽩酒;酒精饮料原汁;蒸煮提取物（利⼝酒和烈酒）</t>
  </si>
  <si>
    <t>1837</t>
  </si>
  <si>
    <t>77626577</t>
  </si>
  <si>
    <t>四川蜀厦实业有限公司</t>
  </si>
  <si>
    <t>蜀途</t>
  </si>
  <si>
    <t>果酒（含酒精）;蒸馏饮料;葡萄酒;预先混合的酒精饮料（以啤酒为主的除外）;⽩酒;酒精饮料（啤酒除外）;酒精饮料原汁;⽶酒;鸡尾酒;烈酒（饮料）</t>
  </si>
  <si>
    <t>1838</t>
  </si>
  <si>
    <t>77626824</t>
  </si>
  <si>
    <t>江伟伟</t>
  </si>
  <si>
    <t>文江学海</t>
  </si>
  <si>
    <t>酒精饮料原汁;含酒精的⽓泡⽔;烧酒;汽酒;⽩酒;烈酒（饮料）;⽶酒;果酒（含酒精）;蒸馏饮料;⻩酒</t>
  </si>
  <si>
    <t>1839</t>
  </si>
  <si>
    <t>77626892</t>
  </si>
  <si>
    <t>安徽清醇窖酒业有限公司</t>
  </si>
  <si>
    <t>欧阳醉西湖</t>
  </si>
  <si>
    <t>鸡尾酒;含⽔果酒精饮料;⾷⽤酒精;⾼粱酒;烈酒;⽶酒;⻩酒;葡萄酒;⽩酒;果酒（含酒精）</t>
  </si>
  <si>
    <t>1840</t>
  </si>
  <si>
    <t>77627079</t>
  </si>
  <si>
    <t>中盈将府</t>
  </si>
  <si>
    <t>烧酒;果酒（含酒精）;⽶酒;甜酒;⻩酒;烈酒（饮料）;⽩酒;⽩⼲酒（中国⽩酒）;⽼酒（中国蒸馏烈酒）;葡萄酒</t>
  </si>
  <si>
    <t>1841</t>
  </si>
  <si>
    <t>77627358</t>
  </si>
  <si>
    <t>仁怀市无上酒业有限公司</t>
  </si>
  <si>
    <t>沉淀者</t>
  </si>
  <si>
    <t>果酒（含酒精）;蒸馏饮料;⽶酒;⻩酒;葡萄酒;酒精饮料（啤酒除外）;威⼠忌;烧酒;蒸煮提取物（利⼝酒和烈酒）;⽩酒</t>
  </si>
  <si>
    <t>2201</t>
  </si>
  <si>
    <t>77735765</t>
  </si>
  <si>
    <t>张家口晟瑞机械制造有限公司</t>
  </si>
  <si>
    <t>活力龙</t>
  </si>
  <si>
    <t>⽶酒;葡萄酒;利⼝酒;烧酒;酒精饮料原汁;烈酒（饮料）;⻩酒;果酒（含酒精）;汽酒;⽩酒</t>
  </si>
  <si>
    <t>2024年04月03日</t>
  </si>
  <si>
    <t>2202</t>
  </si>
  <si>
    <t>77736994</t>
  </si>
  <si>
    <t>王露露</t>
  </si>
  <si>
    <t>威⼠忌;伏特加酒;果酒（含酒精）;⾷⽤酒精;⽩兰地;烈酒（饮料）;朗姆酒;⽩酒;葡萄酒</t>
  </si>
  <si>
    <t>2203</t>
  </si>
  <si>
    <t>77737283</t>
  </si>
  <si>
    <t>内蒙古奇领商贸有限公司</t>
  </si>
  <si>
    <t>十里珍</t>
  </si>
  <si>
    <t>蜂蜜酒;葡萄酒;苹果酒;⾷⽤酒精;梨酒;以葡萄酒为主的饮料;⽶酒;⻩酒;烧酒;⽩酒</t>
  </si>
  <si>
    <t>2204</t>
  </si>
  <si>
    <t>77737346</t>
  </si>
  <si>
    <t>岳阳市河泊潭酒业有限公司</t>
  </si>
  <si>
    <t>沉沙港</t>
  </si>
  <si>
    <t>烧酒;⽩⼲酒（中国⽩酒）;⽶酒;果酒（含酒精）;酒精饮料（啤酒除外）;烈酒（饮料）;⽩酒;⻩酒;⽩兰地;葡萄酒</t>
  </si>
  <si>
    <t>2205</t>
  </si>
  <si>
    <t>77737861</t>
  </si>
  <si>
    <t>山东鑫泰莲食品有限公司</t>
  </si>
  <si>
    <t>含酒精⽔果饮料;⽩酒;鸡尾酒;果酒（含酒精）;⽶酒;含酒精的⽓泡⽔;⽩兰地;葡萄酒;蒸馏饮料;已调味的⻨芽酿制的酒精饮料（啤酒除外）</t>
  </si>
  <si>
    <t>2206</t>
  </si>
  <si>
    <t>77738043</t>
  </si>
  <si>
    <t>山东科派诺健康管理有限公司</t>
  </si>
  <si>
    <t>薇达琳</t>
  </si>
  <si>
    <t>蜂蜜酒;烈酒（饮料）;鸡尾酒;⽩酒;⽼酒（中国蒸馏烈酒）;⻘稞酒;⻩酒;⽶酒;葡萄酒;果酒（含酒精）</t>
  </si>
  <si>
    <t>2207</t>
  </si>
  <si>
    <t>77738837</t>
  </si>
  <si>
    <t>德宏合光文化传播有限公司</t>
  </si>
  <si>
    <t>象雀</t>
  </si>
  <si>
    <t>果酒（含酒精）;葡萄酒;朗姆酒;⻩酒;开胃酒;烧酒;清酒;⽶酒;烈酒;⽩酒</t>
  </si>
  <si>
    <t>2208</t>
  </si>
  <si>
    <t>77739167</t>
  </si>
  <si>
    <t>青海省陕西商会</t>
  </si>
  <si>
    <t>秦聚昆仑</t>
  </si>
  <si>
    <t>⾼粱酒;⽶酒;⻩酒;梅酒;⽩酒;烧酒;果酒（含酒精）;开胃酒;⽩⼲酒（中国⽩酒）;葡萄酒</t>
  </si>
  <si>
    <t>2209</t>
  </si>
  <si>
    <t>77739412</t>
  </si>
  <si>
    <t>北京万方英和文化科技有限公司</t>
  </si>
  <si>
    <t>晶灵犀</t>
  </si>
  <si>
    <t>威⼠忌;葡萄酒;⽶酒;汽酒;⻩酒;烧酒;清酒（⽇本⽶酒）;⽩酒;果酒（含酒精）;⽩兰地</t>
  </si>
  <si>
    <t>2210</t>
  </si>
  <si>
    <t>77739685</t>
  </si>
  <si>
    <t>左海兵</t>
  </si>
  <si>
    <t>台福爷</t>
  </si>
  <si>
    <t>⽶酒;汽酒;⽩酒;葡萄酒;蒸馏饮料;鸡尾酒;烈酒（饮料）;⻩酒;果酒（含酒精）;酒精饮料（啤酒除外）</t>
  </si>
  <si>
    <t>2211</t>
  </si>
  <si>
    <t>77739782</t>
  </si>
  <si>
    <t>吕淑琴</t>
  </si>
  <si>
    <t>敏虎</t>
  </si>
  <si>
    <t>汽酒;清酒;烈酒（饮料）;⻩酒;⽶酒;烧酒;⽩酒;果酒（含酒精）;葡萄酒;酒精饮料原汁</t>
  </si>
  <si>
    <t>2212</t>
  </si>
  <si>
    <t>77739961</t>
  </si>
  <si>
    <t>天津市乐林堂生物科技有限公司</t>
  </si>
  <si>
    <t>九芝萃</t>
  </si>
  <si>
    <t>果酒（含酒精）;⽶酒;⻩酒;开胃酒;葡萄酒;鸡尾酒;⽩酒;烈酒（饮料）;酒精饮料（啤酒除外）;烧酒</t>
  </si>
  <si>
    <t>2213</t>
  </si>
  <si>
    <t>77739990</t>
  </si>
  <si>
    <t>河之潭</t>
  </si>
  <si>
    <t>葡萄酒;烈酒（饮料）;米酒;白兰地;烧酒;白干酒（中国白酒）;酒精饮料（啤酒除外）;黄酒;白酒;果酒（含酒精）</t>
  </si>
  <si>
    <t>2214</t>
  </si>
  <si>
    <t>77740101</t>
  </si>
  <si>
    <t>武汉餐丽环保有限公司</t>
  </si>
  <si>
    <t>悟丘蔬</t>
  </si>
  <si>
    <t>蒸馏米酒（泡盛酒）;已调味的蒸馏酒;以蒸馏酒为主的开胃酒;米酒;谷物制蒸馏酒精饮料;由谷物蒸馏的白酒;老酒（中国蒸馏烈酒）;蒸煮提取物（利口酒和烈酒）;白酒;黄酒</t>
  </si>
  <si>
    <t>920</t>
  </si>
  <si>
    <t>77486323</t>
  </si>
  <si>
    <t>江苏花好月圆酒业有限公司</t>
  </si>
  <si>
    <t>青暮从山</t>
  </si>
  <si>
    <t>⽩酒;鸡尾酒;烈酒（饮料）;预先混合的酒精饮料（以啤酒为主的除外）;烧酒;酒精饮料（啤酒除外）;⾕物制蒸馏酒精饮料;果酒（含酒精）;利⼝酒;汽酒</t>
  </si>
  <si>
    <t>921</t>
  </si>
  <si>
    <t>77486543</t>
  </si>
  <si>
    <t>罗权441481********0015</t>
  </si>
  <si>
    <t>罗阿姨</t>
  </si>
  <si>
    <t>果酒;烈酒;⾷⽤酒精;⽶酒;⻩酒;烧酒;烈酒（饮料）;酒精饮料（啤酒除外）;⽩酒;蒸馏饮料</t>
  </si>
  <si>
    <t>922</t>
  </si>
  <si>
    <t>77486710</t>
  </si>
  <si>
    <t>彭晓庆</t>
  </si>
  <si>
    <t>中岳临</t>
  </si>
  <si>
    <t>鸡尾酒;烈酒;⽶酒;威⼠忌;烧酒;⽩兰地;⽩酒;葡萄酒;⻘稞酒;⻩酒</t>
  </si>
  <si>
    <t>923</t>
  </si>
  <si>
    <t>77486720</t>
  </si>
  <si>
    <t>中井贤</t>
  </si>
  <si>
    <t>⻘稞酒;⽩兰地;烈酒;威⼠忌;烧酒;鸡尾酒;葡萄酒;⽩酒;⻩酒;⽶酒</t>
  </si>
  <si>
    <t>924</t>
  </si>
  <si>
    <t>77486985</t>
  </si>
  <si>
    <t>广州味美优品食品科技有限公司</t>
  </si>
  <si>
    <t>汤朝面世</t>
  </si>
  <si>
    <t>以葡萄酒为主的饮料;伏特加酒;烧酒;葡萄酒;果酒;威⼠忌;鸡尾酒;含⽜奶的鸡尾酒;⻘梅酒;含酒精的⽔果鸡尾酒饮料</t>
  </si>
  <si>
    <t>925</t>
  </si>
  <si>
    <t>77487205</t>
  </si>
  <si>
    <t>榆林利雅新能源科技有限公司</t>
  </si>
  <si>
    <t>芳馥祥</t>
  </si>
  <si>
    <t>含酒精⽔果饮料;⾼粱酒;清酒;烧酒;⻩酒;⽩⼲酒（中国⽩酒）;⽩酒;果酒;葡萄酒;烈酒（饮料）</t>
  </si>
  <si>
    <t>926</t>
  </si>
  <si>
    <t>77487276</t>
  </si>
  <si>
    <t>北京八达岭酒业有限公司</t>
  </si>
  <si>
    <t>八道岭</t>
  </si>
  <si>
    <t>葡萄酒;烧酒;⽶酒;果酒（含酒精）;苹果酒;蒸煮提取物（利⼝酒和烈酒）;⽩酒;⻩酒;樱桃酒;蜂蜜酒</t>
  </si>
  <si>
    <t>927</t>
  </si>
  <si>
    <t>77487353</t>
  </si>
  <si>
    <t>罗静</t>
  </si>
  <si>
    <t>宋赐黔窖</t>
  </si>
  <si>
    <t>⽶酒;清酒（⽇本⽶酒）;果酒;⽩酒;酒精饮料（啤酒除外）;烧酒;蒸煮提取物（利⼝酒和烈酒）;葡萄酒;开胃酒;⻩酒</t>
  </si>
  <si>
    <t>928</t>
  </si>
  <si>
    <t>77487504</t>
  </si>
  <si>
    <t>成都华馨万佳商贸有限责任公司</t>
  </si>
  <si>
    <t>惊梅引</t>
  </si>
  <si>
    <t>开胃酒;酒精饮料（啤酒除外）;以葡萄酒为主的饮料;烧酒;⽶酒;⾕物制蒸馏酒精饮料;果酒（含酒精）;苹果酒;鸡尾酒;⽩酒;⻩酒;烈酒（饮料）;含⽔果酒精饮料</t>
  </si>
  <si>
    <t>929</t>
  </si>
  <si>
    <t>77487557</t>
  </si>
  <si>
    <t>广州市锦华食品有限公司</t>
  </si>
  <si>
    <t>开胃酒;预先混合的酒精饮料（以啤酒为主的除外）;⽶酒;果酒（含酒精）;⽩兰地;葡萄酒;⻩酒;⾷⽤酒精;烈酒（饮料）;酒精饮料原汁</t>
  </si>
  <si>
    <t>930</t>
  </si>
  <si>
    <t>77488097</t>
  </si>
  <si>
    <t>敖特更其其格</t>
  </si>
  <si>
    <t>开胃酒;含⽔果酒精饮料;⻘稞酒;葡萄酒;⻩酒;烈酒（饮料）;⽩兰地;酒精饮料（啤酒除外）;⽩酒;⽶酒</t>
  </si>
  <si>
    <t>931</t>
  </si>
  <si>
    <t>77488378</t>
  </si>
  <si>
    <t>贵州省赤水河畔酱香型白酒研究中心</t>
  </si>
  <si>
    <t>贵研智酒</t>
  </si>
  <si>
    <t>蒸馏饮料;五加⽪酒（中国混合烈酒）;含酒精⽔果饮料;含⽔果酒精饮料;⽩酒;果酒（含酒精）;葡萄酒;烈酒（饮料）;酒精饮料（啤酒除外）;⽼酒（中国蒸馏烈酒）</t>
  </si>
  <si>
    <t>932</t>
  </si>
  <si>
    <t>77488380</t>
  </si>
  <si>
    <t>王亚</t>
  </si>
  <si>
    <t>哩彝山</t>
  </si>
  <si>
    <t>葡萄酒;烈酒;⽩⼲酒（中国⽩酒）;⾼粱酒;果酒（含酒精）;酒精饮料（啤酒除外）;烈酒（饮料）;⽶酒;烧酒;⽩酒</t>
  </si>
  <si>
    <t>933</t>
  </si>
  <si>
    <t>77488455</t>
  </si>
  <si>
    <t>厦门叁拾而蛎海洋科技有限公司</t>
  </si>
  <si>
    <t>乐养乐效</t>
  </si>
  <si>
    <t>⻩酒;葡萄酒;⽩兰地;⽩酒;蒸煮提取物（利⼝酒和烈酒）;甜酒;开胃酒;果酒;除啤酒外的酒精饮料;烧酒</t>
  </si>
  <si>
    <t>934</t>
  </si>
  <si>
    <t>77488529</t>
  </si>
  <si>
    <t>酿门骄子</t>
  </si>
  <si>
    <t>清酒（⽇本⽶酒）;烈酒;开胃酒;威⼠忌;鸡尾酒;果酒（含酒精）;⽩酒;葡萄酒;⻩酒;酒精饮料（啤酒除外）</t>
  </si>
  <si>
    <t>949</t>
  </si>
  <si>
    <t>77491364</t>
  </si>
  <si>
    <t>温州凯途国际贸易有限公司</t>
  </si>
  <si>
    <t>PLANSEL SELECTA</t>
  </si>
  <si>
    <t>威⼠忌;⽶酒;伏特加酒;果酒;朗姆酒;鸡尾酒;⻩酒;⽩兰地;酒精饮料（啤酒除外）;葡萄酒</t>
  </si>
  <si>
    <t>950</t>
  </si>
  <si>
    <t>77491386</t>
  </si>
  <si>
    <t>粮滋粱味</t>
  </si>
  <si>
    <t>酒精饮料（啤酒除外）;⽩酒;酒精饮料原汁;含⽔果酒精饮料;⻩酒;烧酒;⽩兰地;酒精饮料浓缩汁;汽酒;果酒（含酒精）</t>
  </si>
  <si>
    <t>951</t>
  </si>
  <si>
    <t>77491490</t>
  </si>
  <si>
    <t>黔品潭</t>
  </si>
  <si>
    <t>⽩酒;烈酒（饮料）;烧酒;开胃酒;利⼝酒;葡萄酒;⽶酒;含⽔果酒精饮料;鸡尾酒;⻩酒</t>
  </si>
  <si>
    <t>952</t>
  </si>
  <si>
    <t>77491693</t>
  </si>
  <si>
    <t>盐城市亭湖区辉业食品有限公司</t>
  </si>
  <si>
    <t>妙芙之吻</t>
  </si>
  <si>
    <t>开胃酒;葡萄酒;⽩兰地;威⼠忌;⻩酒;果酒（含酒精）;烈酒（饮料）;酒精饮料（啤酒除外）;烧酒;含⽔果酒精饮料</t>
  </si>
  <si>
    <t>953</t>
  </si>
  <si>
    <t>77491718</t>
  </si>
  <si>
    <t>买买提艾力·哈斯木</t>
  </si>
  <si>
    <t>责乐责乐 ZIILL-ZIILL</t>
  </si>
  <si>
    <t>果酒（含酒精）;威⼠忌;⽩酒;葡萄酒;⻩酒;⽩兰地;清酒（⽇本⽶酒）;烧酒;鸡尾酒;烈酒（饮料）</t>
  </si>
  <si>
    <t>954</t>
  </si>
  <si>
    <t>77491733</t>
  </si>
  <si>
    <t>江西人像记忆永恒工贸有限公司</t>
  </si>
  <si>
    <t>今遀</t>
  </si>
  <si>
    <t>⽩⼲酒（中国⽩酒）;开胃酒;威⼠忌;⽩酒;果酒（含酒精）;鸡尾酒;葡萄酒;酒精饮料浓缩汁;⽶酒;烧酒</t>
  </si>
  <si>
    <t>955</t>
  </si>
  <si>
    <t>77491769</t>
  </si>
  <si>
    <t>精遀</t>
  </si>
  <si>
    <t>葡萄酒;鸡尾酒;⽩酒;⽩⼲酒（中国⽩酒）;烧酒;酒精饮料浓缩汁;开胃酒;威⼠忌;⽶酒;果酒（含酒精）</t>
  </si>
  <si>
    <t>956</t>
  </si>
  <si>
    <t>77492468</t>
  </si>
  <si>
    <t>肖生华（362424********6431）</t>
  </si>
  <si>
    <t>江财情</t>
  </si>
  <si>
    <t>⽶酒;酒精饮料（啤酒除外）;果酒（含酒精）;⻩酒;⽩酒;蒸馏饮料;含⽔果酒精饮料;葡萄酒;烈酒（饮料）;⾷⽤酒精</t>
  </si>
  <si>
    <t>957</t>
  </si>
  <si>
    <t>77493014</t>
  </si>
  <si>
    <t>派芽数字科技（杭州）有限公司</t>
  </si>
  <si>
    <t>派芽</t>
  </si>
  <si>
    <t>果酒（含酒精）;鸡尾酒;⽶酒;清酒;⽩酒;开胃酒;⻩酒;⾷⽤酒精;威⼠忌;烧酒</t>
  </si>
  <si>
    <t>958</t>
  </si>
  <si>
    <t>77493229</t>
  </si>
  <si>
    <t>王玉霞</t>
  </si>
  <si>
    <t>宁莎</t>
  </si>
  <si>
    <t>⽩兰地;威⼠忌;果酒（含酒精）;酒精饮料（啤酒除外）;鸡尾酒;烈酒（饮料）;葡萄酒;⻩酒;⾷⽤酒精;⽩酒</t>
  </si>
  <si>
    <t>959</t>
  </si>
  <si>
    <t>77493402</t>
  </si>
  <si>
    <t>王贵连</t>
  </si>
  <si>
    <t>御腾祥</t>
  </si>
  <si>
    <t>烈酒（饮料）;清酒（⽇本⽶酒）;烧酒;⻩酒;威⼠忌;葡萄酒;酒精饮料（啤酒除外）;⽶酒;⽩酒;果酒（含酒精）</t>
  </si>
  <si>
    <t>960</t>
  </si>
  <si>
    <t>77493620</t>
  </si>
  <si>
    <t>王绍杰</t>
  </si>
  <si>
    <t>果酒（含酒精）;烈酒（饮料）;⽩酒;蒸馏饮料;⽶酒;酒精饮料（啤酒除外）;烧酒;鸡尾酒;葡萄酒;威⼠忌</t>
  </si>
  <si>
    <t>961</t>
  </si>
  <si>
    <t>77493974</t>
  </si>
  <si>
    <t>泰盛福</t>
  </si>
  <si>
    <t>⽶酒;果酒（含酒精）;⽩酒;烧酒;⽩兰地;⾷⽤酒精;⻩酒;葡萄酒;酒精饮料（啤酒除外）;威⼠忌</t>
  </si>
  <si>
    <t>962</t>
  </si>
  <si>
    <t>77494270</t>
  </si>
  <si>
    <t>戴宝宽</t>
  </si>
  <si>
    <t>圭峰泉</t>
  </si>
  <si>
    <t>果酒（含酒精）;葡萄酒;鸡尾酒;⽩兰地;酒精饮料（啤酒除外）;⽩酒;⻩酒;蒸馏饮料;烈酒（饮料）;预先混合的酒精饮料（以啤酒为主的除外）</t>
  </si>
  <si>
    <t>963</t>
  </si>
  <si>
    <t>77494473</t>
  </si>
  <si>
    <t>成都妙牌照明科技有限公司</t>
  </si>
  <si>
    <t>燕含春</t>
  </si>
  <si>
    <t>烈酒（饮料）;⽩酒;果酒（含酒精）;葡萄酒;⾷⽤酒精;烧酒;汽酒;含⽔果酒精饮料;⽶酒;酒精饮料原汁</t>
  </si>
  <si>
    <t>964</t>
  </si>
  <si>
    <t>77494687</t>
  </si>
  <si>
    <t>贵州茅屋老酒业股份有限公司</t>
  </si>
  <si>
    <t>赤河长歌</t>
  </si>
  <si>
    <t>果酒（含酒精）;威⼠忌;⽩⼲酒（中国⽩酒）;开胃酒;伏特加酒;⽩兰地;酒精饮料（啤酒除外）;汽酒;烈酒（饮料）;葡萄酒</t>
  </si>
  <si>
    <t>965</t>
  </si>
  <si>
    <t>77494970</t>
  </si>
  <si>
    <t>襄阳孔明广告有限责任公司</t>
  </si>
  <si>
    <t>隆中湖</t>
  </si>
  <si>
    <t>威⼠忌;烧酒;酒精饮料（啤酒除外）;鸡尾酒;⽩酒;果酒（含酒精）;葡萄酒;利⼝酒;⽶酒</t>
  </si>
  <si>
    <t>966</t>
  </si>
  <si>
    <t>77494979</t>
  </si>
  <si>
    <t>陕西古韵新香文化用品有限公司</t>
  </si>
  <si>
    <t>丝萝 馥.瑶</t>
  </si>
  <si>
    <t>威⼠忌;⽶酒;果酒（含酒精）;伏特加酒;鸡尾酒;⽩酒;⻩酒;⾷⽤酒精;烧酒;葡萄酒</t>
  </si>
  <si>
    <t>967</t>
  </si>
  <si>
    <t>77494991</t>
  </si>
  <si>
    <t>绵竹丰淳酒业有限责任公司</t>
  </si>
  <si>
    <t>丰淳老作坊</t>
  </si>
  <si>
    <t>葡萄酒;烈酒（饮料）;酒精饮料（啤酒除外）;汽酒;⽶酒;果酒（含酒精）;⽩酒;⽩⼲酒（中国⽩酒）;烧酒;⾼粱酒</t>
  </si>
  <si>
    <t>968</t>
  </si>
  <si>
    <t>77495320</t>
  </si>
  <si>
    <t>宜宾新青年电子商务有限公司</t>
  </si>
  <si>
    <t>和美金玉</t>
  </si>
  <si>
    <t>威⼠忌;酒精饮料（啤酒除外）;伏特加酒;⽩酒;⽶酒;葡萄酒;烈酒（饮料）;果酒（含酒精）;鸡尾酒;苹果酒</t>
  </si>
  <si>
    <t>969</t>
  </si>
  <si>
    <t>77495460</t>
  </si>
  <si>
    <t>崔友</t>
  </si>
  <si>
    <t>已石会友</t>
  </si>
  <si>
    <t>餐后酒（利⼝酒和烈酒）;葡萄酒;果酒（含酒精）;⽶酒;苹果酒;⽩酒;露酒;⾕物制蒸馏酒精饮料;蒸馏饮料;烈酒（饮料）</t>
  </si>
  <si>
    <t>970</t>
  </si>
  <si>
    <t>77495543</t>
  </si>
  <si>
    <t>山西磉磴健康科技有限公司</t>
  </si>
  <si>
    <t>振鹊</t>
  </si>
  <si>
    <t>已调味的蒸馏酒;由⾕物蒸馏的⽩酒;⽶酒;⽼酒（中国蒸馏烈酒）;开胃酒;⻩酒;⽩酒</t>
  </si>
  <si>
    <t>971</t>
  </si>
  <si>
    <t>77495581</t>
  </si>
  <si>
    <t>刘伟</t>
  </si>
  <si>
    <t>重耀</t>
  </si>
  <si>
    <t>果酒（含酒精）;烈酒（饮料）;白酒;葡萄酒;米酒;鸡尾酒;黄酒;含水果酒精饮料;酒精饮料（啤酒除外）;威士忌</t>
  </si>
  <si>
    <t>972</t>
  </si>
  <si>
    <t>77495627</t>
  </si>
  <si>
    <t>扬州聚福电子商务有限公司</t>
  </si>
  <si>
    <t>茸大侠</t>
  </si>
  <si>
    <t>果酒（含酒精）;葡萄酒;清酒;⻩酒;果酒;利⼝酒;威⼠忌;含酒精的饮料（啤酒除外）;以葡萄酒为主的饮料;⽩酒</t>
  </si>
  <si>
    <t>973</t>
  </si>
  <si>
    <t>77495769</t>
  </si>
  <si>
    <t>徐伟国</t>
  </si>
  <si>
    <t>贵鲜纪</t>
  </si>
  <si>
    <t>果酒;汽酒;清酒;⽩酒;葡萄酒;开胃酒;⻩酒;甜酒;⽶酒;⾷⽤酒精</t>
  </si>
  <si>
    <t>974</t>
  </si>
  <si>
    <t>77495830</t>
  </si>
  <si>
    <t>天码云</t>
  </si>
  <si>
    <t>果酒（含酒精）;⽶酒;⽩酒;酒精饮料（啤酒除外）;烧酒;葡萄酒;⻩酒;⾷⽤酒精;含⽔果酒精饮料;⻘稞酒</t>
  </si>
  <si>
    <t>975</t>
  </si>
  <si>
    <t>77496026</t>
  </si>
  <si>
    <t>泸州老参林商贸有限公司</t>
  </si>
  <si>
    <t>⻩酒;果酒（含酒精）;烈酒（饮料）;烧酒;含⽔果酒精饮料;开胃酒;葡萄酒;⽶酒;⽩酒;蒸煮提取物（利⼝酒和烈酒）</t>
  </si>
  <si>
    <t>976</t>
  </si>
  <si>
    <t>77496621</t>
  </si>
  <si>
    <t>邓余成</t>
  </si>
  <si>
    <t>粤聚黔都</t>
  </si>
  <si>
    <t>鸡尾酒;⻩酒;⽩酒;葡萄酒;⽩兰地;烧酒;以葡萄酒为主的饮料;果酒（含酒精）;烈酒（饮料）;⽶酒</t>
  </si>
  <si>
    <t>977</t>
  </si>
  <si>
    <t>77496739</t>
  </si>
  <si>
    <t>王泽斌</t>
  </si>
  <si>
    <t>王缘记</t>
  </si>
  <si>
    <t>含⽔果酒精饮料;开胃酒;⽶酒;蒸馏饮料;⻩酒;汽酒;⽩酒;果酒（含酒精）;酒精饮料（啤酒除外）;葡萄酒</t>
  </si>
  <si>
    <t>978</t>
  </si>
  <si>
    <t>77496999</t>
  </si>
  <si>
    <t>张玉鸿</t>
  </si>
  <si>
    <t>汉黔纪</t>
  </si>
  <si>
    <t>烧酒;⽩酒;果酒（含酒精）;鸡尾酒;蜂蜜酒;⽶酒;威⼠忌;⻩酒;葡萄酒;酒精饮料（啤酒除外）</t>
  </si>
  <si>
    <t>979</t>
  </si>
  <si>
    <t>77497060</t>
  </si>
  <si>
    <t>上海横沙农林实业发展有限公司</t>
  </si>
  <si>
    <t>蒸馏饮料;烈酒（饮料）;酒精饮料（啤酒除外）;⾕物制蒸馏酒精饮料;以葡萄酒为主的饮料;烧酒;果酒（含酒精）;⽶酒;⾷⽤酒精;⽩酒</t>
  </si>
  <si>
    <t>980</t>
  </si>
  <si>
    <t>77497539</t>
  </si>
  <si>
    <t>半醺酒业（河北）有限公司</t>
  </si>
  <si>
    <t>老定们</t>
  </si>
  <si>
    <t>蒸馏饮料;酒精饮料（啤酒除外）;⽶酒;⻩酒;烧酒;⽩酒;⽩兰地;果酒（含酒精）;葡萄酒;⾷⽤酒精</t>
  </si>
  <si>
    <t>981</t>
  </si>
  <si>
    <t>77497767</t>
  </si>
  <si>
    <t>深圳市鹰君酒业有限公司</t>
  </si>
  <si>
    <t>世斟叁拾而立</t>
  </si>
  <si>
    <t>苹果酒;鸡尾酒;威⼠忌;含⽔果酒精饮料;利⼝酒;果酒（含酒精）;葡萄酒;⽩兰地;朗姆酒;⽩酒</t>
  </si>
  <si>
    <t>982</t>
  </si>
  <si>
    <t>77497783</t>
  </si>
  <si>
    <t>王丽峰</t>
  </si>
  <si>
    <t>CHEVERE ESTATE</t>
  </si>
  <si>
    <t>葡萄酒;烈酒（饮料）;果酒（含酒精）;⻩酒;红葡萄酒;蒸馏饮料;鸡尾酒;⽩酒;威⼠忌;清酒（⽇本⽶酒）</t>
  </si>
  <si>
    <t>983</t>
  </si>
  <si>
    <t>77497829</t>
  </si>
  <si>
    <t>宁夏利思葡萄酒庄有限公司</t>
  </si>
  <si>
    <t>利思福寿</t>
  </si>
  <si>
    <t>果酒（含酒精）;⽩兰地;⾕物制蒸馏酒精饮料;烈酒（饮料）;⻘稞酒;开胃酒;葡萄酒;红葡萄酒;烧酒;⽩酒</t>
  </si>
  <si>
    <t>984</t>
  </si>
  <si>
    <t>77498064</t>
  </si>
  <si>
    <t>东方启元（北京）酒业有限公司</t>
  </si>
  <si>
    <t>竖心旁</t>
  </si>
  <si>
    <t>蒸煮提取物（利⼝酒和烈酒）;⽩兰地;开胃酒;⻩酒;⽶酒;⽩酒;烧酒;果酒（含酒精）;葡萄酒;酒精饮料（啤酒除外）</t>
  </si>
  <si>
    <t>985</t>
  </si>
  <si>
    <t>77498212</t>
  </si>
  <si>
    <t>贵州畚台酒业有限公司</t>
  </si>
  <si>
    <t>酕乡味</t>
  </si>
  <si>
    <t>⽩酒;葡萄酒;蝮蛇酒;⽼酒（中国蒸馏烈酒）;烧酒;苦味酒;开胃酒;⾷⽤酒精;杨梅酒;⾼粱酒</t>
  </si>
  <si>
    <t>986</t>
  </si>
  <si>
    <t>77498309</t>
  </si>
  <si>
    <t>成都掌廷商业管理有限公司</t>
  </si>
  <si>
    <t>⽩酒;果酒（含酒精）;烧酒;⽶酒;鸡尾酒;烈酒（饮料）;酒精饮料原汁;葡萄酒;蒸馏饮料;伏特加酒</t>
  </si>
  <si>
    <t>987</t>
  </si>
  <si>
    <t>77498323</t>
  </si>
  <si>
    <t>孟献利</t>
  </si>
  <si>
    <t>康百万豫商</t>
  </si>
  <si>
    <t>薄荷酒;⽩酒;苹果酒;利⼝酒;汽酒;烧酒;鸡尾酒;葡萄酒;威⼠忌;烈酒（饮料）</t>
  </si>
  <si>
    <t>988</t>
  </si>
  <si>
    <t>77498489</t>
  </si>
  <si>
    <t>徐召军</t>
  </si>
  <si>
    <t>粟满人间</t>
  </si>
  <si>
    <t>⻩酒;⽩酒;开胃酒;⽶酒;⻘稞酒;酒精饮料（啤酒除外）;烧酒;鸡尾酒;蒸煮提取物（利⼝酒和烈酒）;果酒（含酒精）</t>
  </si>
  <si>
    <t>989</t>
  </si>
  <si>
    <t>77498744</t>
  </si>
  <si>
    <t>程建聪</t>
  </si>
  <si>
    <t>果酒（含酒精）;利⼝酒;⽩兰地;烧酒;⽩酒;酒精饮料原汁;葡萄酒;⽶酒;⻩酒;酒精饮料（啤酒除外）</t>
  </si>
  <si>
    <t>990</t>
  </si>
  <si>
    <t>77499276</t>
  </si>
  <si>
    <t>泸州赖族酒业有限公司</t>
  </si>
  <si>
    <t>赖族酒庄</t>
  </si>
  <si>
    <t>⻘稞酒;⽩兰地;鸡尾酒;⽩酒;威⼠忌;⻩酒;蒸馏饮料;⽶酒;葡萄酒;果酒</t>
  </si>
  <si>
    <t>991</t>
  </si>
  <si>
    <t>77499362</t>
  </si>
  <si>
    <t>贵州老茅酒业有限公司</t>
  </si>
  <si>
    <t>祥和丙乾</t>
  </si>
  <si>
    <t>葡萄酒;⽩酒;果酒（含酒精）;烈酒（饮料）;⻩酒;⻘稞酒;烧酒;威⼠忌;⽶酒;⽩兰地</t>
  </si>
  <si>
    <t>992</t>
  </si>
  <si>
    <t>77499379</t>
  </si>
  <si>
    <t>贵州汉醺酒业有限公司</t>
  </si>
  <si>
    <t>汉醺至尊</t>
  </si>
  <si>
    <t>烈酒（饮料）;⻩酒;⽩兰地;⽶酒;威⼠忌;开胃酒;薄荷酒;果酒（含酒精）;鸡尾酒;⽩酒</t>
  </si>
  <si>
    <t>993</t>
  </si>
  <si>
    <t>77499423</t>
  </si>
  <si>
    <t>邓正群</t>
  </si>
  <si>
    <t>本茨迈巴赫</t>
  </si>
  <si>
    <t>开胃酒;果酒（含酒精）;餐后酒（利⼝酒和烈酒）;威⼠忌;葡萄酒;酒精饮料（啤酒除外）;鸡尾酒;含⽔果酒精饮料;⽩兰地;⽩酒</t>
  </si>
  <si>
    <t>994</t>
  </si>
  <si>
    <t>77499528</t>
  </si>
  <si>
    <t>乾醉美</t>
  </si>
  <si>
    <t>烧酒;威⼠忌;⽶酒;果酒;清酒;汽酒;⽩兰地;葡萄酒;⻩酒;⽩酒</t>
  </si>
  <si>
    <t>995</t>
  </si>
  <si>
    <t>77499533</t>
  </si>
  <si>
    <t>葡萄酒;烧酒;⽩⼲酒（中国⽩酒）;含⽔果酒精饮料;⽶酒;⻘稞酒;⽩酒;⾼粱酒;开胃酒;⻩酒</t>
  </si>
  <si>
    <t>996</t>
  </si>
  <si>
    <t>77499644</t>
  </si>
  <si>
    <t>程大方</t>
  </si>
  <si>
    <t>快消镜鉴</t>
  </si>
  <si>
    <t>果酒（含酒精）;露酒;酒精饮料（啤酒除外）;⽩兰地;⽶酒;威⼠忌;⻩酒;烧酒;⽩酒;清酒（⽇本⽶酒）</t>
  </si>
  <si>
    <t>997</t>
  </si>
  <si>
    <t>77499781</t>
  </si>
  <si>
    <t>深圳市橙果包装设计有限公司</t>
  </si>
  <si>
    <t>澳宝爵</t>
  </si>
  <si>
    <t>含⽔果酒精饮料;⽩酒;酒精饮料（啤酒除外）;伏特加酒;威⼠忌;⽩兰地;葡萄酒;烈酒（饮料）;⻨芽威⼠忌;以葡萄酒为主的饮料</t>
  </si>
  <si>
    <t>998</t>
  </si>
  <si>
    <t>77499784</t>
  </si>
  <si>
    <t>纳缇维（陵水）国际葡萄酒业有限公司</t>
  </si>
  <si>
    <t>意酝伍叁</t>
  </si>
  <si>
    <t>伏特加酒;⽼酒（中国蒸馏烈酒）;⽩酒;⽶酒;葡萄酒;利⼝酒;烧酒（烈酒）;⽩兰地;威⼠忌;开胃酒</t>
  </si>
  <si>
    <t>999</t>
  </si>
  <si>
    <t>77500249</t>
  </si>
  <si>
    <t>王琮凯</t>
  </si>
  <si>
    <t>达摩克里斯 DAMOCLES</t>
  </si>
  <si>
    <t>清酒（⽇本⽶酒）;⽶酒;⽩酒;葡萄酒;威⼠忌;果酒（含酒精）;⽩兰地;烧酒;鸡尾酒;酒精饮料（啤酒除外）</t>
  </si>
  <si>
    <t>1000</t>
  </si>
  <si>
    <t>77500590</t>
  </si>
  <si>
    <t>青岛贞醴态度文创有限公司</t>
  </si>
  <si>
    <t>心机之蛙</t>
  </si>
  <si>
    <t>果酒（含酒精）;葡萄酒;烧酒;⽩酒;⻩酒;烈酒（饮料）;酒精饮料原汁;蜂蜜酒;樱桃酒;鸡尾酒</t>
  </si>
  <si>
    <t>1001</t>
  </si>
  <si>
    <t>77500631</t>
  </si>
  <si>
    <t>陕西意统果酿酒业有限公司</t>
  </si>
  <si>
    <t>江北郎</t>
  </si>
  <si>
    <t>烧酒;卡沙萨酒;⽼酒（中国蒸馏烈酒）;梨酒;苦荞酒;薄荷酒;利⼝酒;威⼠忌;酒精饮料（啤酒除外）;⻘稞酒;⾼粱酒;含酒精的⽔果鸡尾酒饮料;苦味酒;⻘梅酒;甜酒;⽩⼲酒（中国⽩酒）;⽩兰地;清酒;伏特加酒;⾕物制蒸馏酒精饮料;烈酒;苹果酒;汽酒;杨梅酒;樱桃酒;⽩酒</t>
  </si>
  <si>
    <t>26</t>
  </si>
  <si>
    <t>1002</t>
  </si>
  <si>
    <t>77500897</t>
  </si>
  <si>
    <t>龙川金鹤农业科技发展有限公司</t>
  </si>
  <si>
    <t>尉佗</t>
  </si>
  <si>
    <t>⽩兰地;威⼠忌;烈酒（饮料）;烧酒;⻩酒;葡萄酒;鸡尾酒;⽩酒;清酒（⽇本⽶酒）;⽶酒</t>
  </si>
  <si>
    <t>1003</t>
  </si>
  <si>
    <t>77501138</t>
  </si>
  <si>
    <t>寿骄子</t>
  </si>
  <si>
    <t>烈酒;开胃酒;⽩酒;葡萄酒;⻩酒;鸡尾酒;威⼠忌;果酒（含酒精）;清酒（⽇本⽶酒）;酒精饮料（啤酒除外）</t>
  </si>
  <si>
    <t>1004</t>
  </si>
  <si>
    <t>77501258</t>
  </si>
  <si>
    <t>泸州老泥池酒业有限公司</t>
  </si>
  <si>
    <t>麟现山</t>
  </si>
  <si>
    <t>烧酒;⽩酒;已调味的蒸馏酒;露酒;果酒（含酒精）;⻩酒;葡萄酒;⽶酒;⾼粱酒;预先混合的酒精饮料（以啤酒为主的除外）</t>
  </si>
  <si>
    <t>1005</t>
  </si>
  <si>
    <t>77501299</t>
  </si>
  <si>
    <t>福裕凤</t>
  </si>
  <si>
    <t>⽩酒;开胃酒;⽶酒;⻩酒;利⼝酒;烈酒（饮料）;烧酒;含⽔果酒精饮料;鸡尾酒;葡萄酒</t>
  </si>
  <si>
    <t>1006</t>
  </si>
  <si>
    <t>77501307</t>
  </si>
  <si>
    <t>富彩凤</t>
  </si>
  <si>
    <t>⽩酒;含⽔果酒精饮料;鸡尾酒;⽶酒;烧酒;烈酒（饮料）;开胃酒;⻩酒;利⼝酒;葡萄酒</t>
  </si>
  <si>
    <t>1007</t>
  </si>
  <si>
    <t>77501345</t>
  </si>
  <si>
    <t>富品凤</t>
  </si>
  <si>
    <t>⻩酒;烈酒（饮料）;开胃酒;葡萄酒;烧酒;⽩酒;⽶酒;含⽔果酒精饮料;利⼝酒;鸡尾酒</t>
  </si>
  <si>
    <t>1008</t>
  </si>
  <si>
    <t>77501460</t>
  </si>
  <si>
    <t>世斟</t>
  </si>
  <si>
    <t>含⽔果酒精饮料;朗姆酒;果酒（含酒精）;葡萄酒;⽩酒;苹果酒;鸡尾酒;⽩兰地;威⼠忌;利⼝酒</t>
  </si>
  <si>
    <t>1009</t>
  </si>
  <si>
    <t>77501533</t>
  </si>
  <si>
    <t>陈伟鸿</t>
  </si>
  <si>
    <t>蜀酿师</t>
  </si>
  <si>
    <t>开胃酒;酒精饮料原汁;⽩酒;果酒（含酒精）;利⼝酒;葡萄酒;烈酒（饮料）;苹果酒;⽶酒;餐后酒（利⼝酒和烈酒）</t>
  </si>
  <si>
    <t>1010</t>
  </si>
  <si>
    <t>77501618</t>
  </si>
  <si>
    <t>深圳市燕鹿科技有限公司</t>
  </si>
  <si>
    <t>恒慧烧坊</t>
  </si>
  <si>
    <t>酒精饮料（啤酒除外）;⽩酒;⾼粱酒;⽩⼲酒（中国⽩酒）;露酒;⾷⽤酒精;苦荞酒;⻘梅酒;⽼酒（中国蒸馏烈酒）;葡萄酒</t>
  </si>
  <si>
    <t>1011</t>
  </si>
  <si>
    <t>77501877</t>
  </si>
  <si>
    <t>范夫星</t>
  </si>
  <si>
    <t>向云间</t>
  </si>
  <si>
    <t>⻩酒;清酒（⽇本⽶酒）;⽩酒;葡萄酒;伏特加酒;朗姆酒;果酒（含酒精）;⾷⽤酒精;酒精饮料（啤酒除外）;⽶酒</t>
  </si>
  <si>
    <t>1012</t>
  </si>
  <si>
    <t>77502191</t>
  </si>
  <si>
    <t>上海鏊裕文化传媒有限公司</t>
  </si>
  <si>
    <t>橙煶</t>
  </si>
  <si>
    <t>烈酒;⽶酒;⾷⽤酒精;清酒;开胃酒;含酒精的⽓泡⽔;⽩酒;⻩酒;葡萄酒;含⽔果酒精饮料</t>
  </si>
  <si>
    <t>1013</t>
  </si>
  <si>
    <t>77502337</t>
  </si>
  <si>
    <t>贵州酱造贵标技术服务有限公司</t>
  </si>
  <si>
    <t>溯秘</t>
  </si>
  <si>
    <t>露酒;⾕物制蒸馏酒精饮料;蒸馏饮料;果酒（含酒精）;烈酒（饮料）;餐后酒（利⼝酒和烈酒）;⽩酒;⽶酒;葡萄酒;苹果酒</t>
  </si>
  <si>
    <t>1014</t>
  </si>
  <si>
    <t>77502735</t>
  </si>
  <si>
    <t>郭双奇</t>
  </si>
  <si>
    <t>厦抱金</t>
  </si>
  <si>
    <t>⽩酒;葡萄酒;⽩兰地;露酒;预先混合的酒精饮料（以啤酒为主的除外）;鸡尾酒;⽶酒;威⼠忌;⻩酒;果酒</t>
  </si>
  <si>
    <t>1015</t>
  </si>
  <si>
    <t>77502773</t>
  </si>
  <si>
    <t>孙鲜花</t>
  </si>
  <si>
    <t>延奶奶</t>
  </si>
  <si>
    <t>果酒;酒精饮料原汁;⾷⽤酒精;⽶酒;⽩酒;⽼酒（中国蒸馏烈酒）;清酒;烧酒;开胃酒;清酒（⽇本⽶酒）</t>
  </si>
  <si>
    <t>1016</t>
  </si>
  <si>
    <t>77502861</t>
  </si>
  <si>
    <t>重庆宏当商贸有限公司</t>
  </si>
  <si>
    <t>稻中村 INAZUKA VILLAGE</t>
  </si>
  <si>
    <t>烧酒;果酒（含酒精）;⽶酒;预先混合的酒精饮料（以啤酒为主的除外）;⻩酒;开胃酒;葡萄酒;⾕物制蒸馏酒精饮料;烈酒（饮料）;⽩酒</t>
  </si>
  <si>
    <t>1017</t>
  </si>
  <si>
    <t>77503017</t>
  </si>
  <si>
    <t>张永青</t>
  </si>
  <si>
    <t>⻘稞酒;蒸馏饮料;含⽔果酒精饮料;葡萄酒;开胃酒;⽩酒;果酒（含酒精）;⽶酒;酒精饮料（啤酒除外）;烈酒（饮料）</t>
  </si>
  <si>
    <t>1018</t>
  </si>
  <si>
    <t>77503266</t>
  </si>
  <si>
    <t>大连阔神生物发酵制品有限公司</t>
  </si>
  <si>
    <t>阔神的酒</t>
  </si>
  <si>
    <t>清酒（⽇本⽶酒）;葡萄酒;果酒（含酒精）;酒精饮料（啤酒除外）;⽩酒;烈酒（饮料）;⻩酒;烧酒;⽶酒;⾷⽤酒精</t>
  </si>
  <si>
    <t>1019</t>
  </si>
  <si>
    <t>77503272</t>
  </si>
  <si>
    <t>青岛负负得正贸易有限公司</t>
  </si>
  <si>
    <t>祝玺康</t>
  </si>
  <si>
    <t>果酒（含酒精）;清酒（⽇本⽶酒）;⽶酒;蒸馏饮料;⽩酒;酒精饮料（啤酒除外）;烧酒;⽩⼲酒（中国⽩酒）;⾕物制蒸馏酒精饮料;鸡尾酒</t>
  </si>
  <si>
    <t>1020</t>
  </si>
  <si>
    <t>77503310</t>
  </si>
  <si>
    <t>陕西熙米卉食品有限公司</t>
  </si>
  <si>
    <t>钟呈吉</t>
  </si>
  <si>
    <t>葡萄酒;烈酒（饮料）;预先混合的酒精饮料（以啤酒为主的除外）;汽酒;⽩酒;甜酒;酒精饮料（啤酒除外）;⽶酒;鸡尾酒;利⼝酒</t>
  </si>
  <si>
    <t>1021</t>
  </si>
  <si>
    <t>77503406</t>
  </si>
  <si>
    <t>谭红峰</t>
  </si>
  <si>
    <t>九壮志</t>
  </si>
  <si>
    <t>⽩酒;烈酒;酒精饮料（啤酒除外）;鸡尾酒;果酒（含酒精）;开胃酒;清酒（⽇本⽶酒）;威⼠忌;葡萄酒;⻩酒</t>
  </si>
  <si>
    <t>1022</t>
  </si>
  <si>
    <t>77503461</t>
  </si>
  <si>
    <t>内蒙古百味家商贸有限公司</t>
  </si>
  <si>
    <t>锦百润</t>
  </si>
  <si>
    <t>酒精饮料（啤酒除外）;⽶酒;⾼粱酒;酒精饮料原汁;⽩酒;含酒精的饮料（啤酒除外）;鸡尾酒;烧酒;⻩酒;含⽔果酒精饮料</t>
  </si>
  <si>
    <t>1023</t>
  </si>
  <si>
    <t>77503531</t>
  </si>
  <si>
    <t>贵州梅鲸酒业有限公司</t>
  </si>
  <si>
    <t>梅鲸龙涎</t>
  </si>
  <si>
    <t>果酒（含酒精）;烧酒;蒸馏⽶酒（泡盛酒）;朗姆酒（酒精饮料）;露酒;⽩酒;⽶酒;⽩⼲酒（中国⽩酒）;烧酒（烈酒）;由⾕物蒸馏的⽩酒</t>
  </si>
  <si>
    <t>1024</t>
  </si>
  <si>
    <t>77503592</t>
  </si>
  <si>
    <t>漳州高新区星斗文化有限公司</t>
  </si>
  <si>
    <t>幸运魁</t>
  </si>
  <si>
    <t>⽩兰地;蒸馏饮料;以葡萄酒为主的饮料;⻩酒;⽩酒;酒精饮料（啤酒除外）;⾕物制蒸馏酒精饮料;烧酒;⽶酒;果酒（含酒精）</t>
  </si>
  <si>
    <t>1025</t>
  </si>
  <si>
    <t>77503655</t>
  </si>
  <si>
    <t>金酒洞</t>
  </si>
  <si>
    <t>葡萄酒;⽶酒;烈酒;清酒;⽼酒（中国蒸馏烈酒）;烧酒;⻩酒;⽩酒;果酒;酒精饮料（啤酒除外）</t>
  </si>
  <si>
    <t>1026</t>
  </si>
  <si>
    <t>77503693</t>
  </si>
  <si>
    <t>天水华通恒达商贸有限公司</t>
  </si>
  <si>
    <t>华通恒达</t>
  </si>
  <si>
    <t>酒精饮料（啤酒除外）;果酒（含酒精）;烈酒（饮料）;含⽔果酒精饮料;⽩酒;清酒;⽶酒;⻩酒;蒸馏饮料;汽酒</t>
  </si>
  <si>
    <t>1027</t>
  </si>
  <si>
    <t>77503716</t>
  </si>
  <si>
    <t>山西晋上晋酒业有限责任公司</t>
  </si>
  <si>
    <t>晋上晋</t>
  </si>
  <si>
    <t>清酒;⾼粱酒;⽼酒（中国蒸馏烈酒）;酒精饮料（啤酒除外）;⽶酒;葡萄酒;⽩酒;⻩酒;果酒;烧酒</t>
  </si>
  <si>
    <t>1028</t>
  </si>
  <si>
    <t>77503834</t>
  </si>
  <si>
    <t>WLYMVP</t>
  </si>
  <si>
    <t>⽩酒;葡萄酒;开胃酒;果酒（含酒精）;威⼠忌;蜂蜜酒;⽶酒;鸡尾酒;清酒;酒精饮料（啤酒除外）</t>
  </si>
  <si>
    <t>1029</t>
  </si>
  <si>
    <t>77503955</t>
  </si>
  <si>
    <t>河北沛薷健康科技有限公司</t>
  </si>
  <si>
    <t>沛薷</t>
  </si>
  <si>
    <t>葡萄酒;烈酒（饮料）;⽩酒;果酒（含酒精）;⽩兰地;汽酒;酒精饮料（啤酒除外）;威⼠忌;含⽔果酒精饮料;开胃酒</t>
  </si>
  <si>
    <t>1030</t>
  </si>
  <si>
    <t>77503984</t>
  </si>
  <si>
    <t>今息酌兮</t>
  </si>
  <si>
    <t>果酒（含酒精）;烈酒（饮料）;鸡尾酒;⾕物制蒸馏酒精饮料;烧酒;预先混合的酒精饮料（以啤酒为主的除外）;汽酒;⽩酒;酒精饮料（啤酒除外）;利⼝酒</t>
  </si>
  <si>
    <t>1031</t>
  </si>
  <si>
    <t>77503992</t>
  </si>
  <si>
    <t>汉醉鼎</t>
  </si>
  <si>
    <t>⽩兰地;威⼠忌;烧酒;葡萄酒;汽酒;⽶酒;⻩酒;果酒;⽩酒;清酒</t>
  </si>
  <si>
    <t>1032</t>
  </si>
  <si>
    <t>77504131</t>
  </si>
  <si>
    <t>唐国友</t>
  </si>
  <si>
    <t>圆梦格</t>
  </si>
  <si>
    <t>葡萄酒;酒精饮料（啤酒除外）;烈酒（饮料）;果酒（含酒精）;⾷⽤酒精;开胃酒;清酒（⽇本⽶酒）;⽶酒;烧酒;⽩酒</t>
  </si>
  <si>
    <t>1033</t>
  </si>
  <si>
    <t>77504202</t>
  </si>
  <si>
    <t>杨娇</t>
  </si>
  <si>
    <t>龙印山</t>
  </si>
  <si>
    <t>⻩酒;⽩酒;鸡尾酒;⽩兰地;葡萄酒;⽶酒;蒸馏饮料;烧酒;果酒（含酒精）;威⼠忌</t>
  </si>
  <si>
    <t>1034</t>
  </si>
  <si>
    <t>77504321</t>
  </si>
  <si>
    <t>贵州山格庄酒业有限公司</t>
  </si>
  <si>
    <t>山格庄</t>
  </si>
  <si>
    <t>⻩酒;⽩酒;⽶酒;清酒（⽇本⽶酒）;葡萄酒;烧酒;鸡尾酒;烈酒（饮料）;开胃酒;⽩兰地</t>
  </si>
  <si>
    <t>1035</t>
  </si>
  <si>
    <t>77504642</t>
  </si>
  <si>
    <t>真亦道（上海）健康管理有限公司</t>
  </si>
  <si>
    <t>梦真阳</t>
  </si>
  <si>
    <t>⽩兰地;果酒（含酒精）;⽶酒;威⼠忌;烧酒;⾼粱酒;清酒;⽩酒;⻩酒;葡萄酒</t>
  </si>
  <si>
    <t>1036</t>
  </si>
  <si>
    <t>77504647</t>
  </si>
  <si>
    <t>望龙潭</t>
  </si>
  <si>
    <t>果酒（含酒精）;餐后酒（利⼝酒和烈酒）;⻩酒;葡萄酒;⽩酒;酒精饮料（啤酒除外）;⽶酒;烈酒（饮料）;烧酒;酒精饮料原汁</t>
  </si>
  <si>
    <t>1037</t>
  </si>
  <si>
    <t>77504826</t>
  </si>
  <si>
    <t>滮师</t>
  </si>
  <si>
    <t>清酒（⽇本⽶酒）;威⼠忌;酒精饮料（啤酒除外）;烈酒（饮料）;⻩酒;葡萄酒;⽩酒;⽶酒;烧酒;果酒（含酒精）</t>
  </si>
  <si>
    <t>1038</t>
  </si>
  <si>
    <t>77504964</t>
  </si>
  <si>
    <t>潍坊玖淼商贸有限公司</t>
  </si>
  <si>
    <t>益北原</t>
  </si>
  <si>
    <t>蒸馏饮料;果酒（含酒精）;苹果酒;露酒;餐后酒（利⼝酒和烈酒）;烈酒（饮料）;⽶酒;葡萄酒;⽩酒;⾕物制蒸馏酒精饮料</t>
  </si>
  <si>
    <t>1039</t>
  </si>
  <si>
    <t>77505068</t>
  </si>
  <si>
    <t>李小毛</t>
  </si>
  <si>
    <t>酒精饮料（啤酒除外）;⽩⼲酒（中国⽩酒）;果酒;⽼酒（中国蒸馏烈酒）;⽩酒;由⾕物蒸馏的⽩酒;⾼粱酒;⽶酒;⻩酒;烧酒（烈酒）</t>
  </si>
  <si>
    <t>1040</t>
  </si>
  <si>
    <t>77505149</t>
  </si>
  <si>
    <t>海静境宁</t>
  </si>
  <si>
    <t>苹果酒;⽶酒;含⽔果酒精饮料;⽩酒;⻩酒;酒精饮料（啤酒除外）;果酒（含酒精）;葡萄酒;利⼝酒;烧酒</t>
  </si>
  <si>
    <t>1041</t>
  </si>
  <si>
    <t>77505282</t>
  </si>
  <si>
    <t>仁怀市巾帼酒业（集团）有限公司</t>
  </si>
  <si>
    <t>博味</t>
  </si>
  <si>
    <t>酒精饮料（啤酒除外）;⻩酒;威⼠忌;烧酒;伏特加酒;⽩酒;⾷⽤酒精;朗姆酒;⽶酒;⻘稞酒</t>
  </si>
  <si>
    <t>1042</t>
  </si>
  <si>
    <t>77505284</t>
  </si>
  <si>
    <t>赤峰市永元食品有限公司</t>
  </si>
  <si>
    <t>札木合</t>
  </si>
  <si>
    <t>酸酒（低等葡萄酒）;⽩酒;⽶酒;果酒（含酒精）;烈酒（饮料）;酒精饮料（啤酒除外）;⻩酒;烧酒;含⽔果酒精饮料;葡萄酒</t>
  </si>
  <si>
    <t>1043</t>
  </si>
  <si>
    <t>77505355</t>
  </si>
  <si>
    <t>四川荃银生物科技股份有限公司</t>
  </si>
  <si>
    <t>种芝酿</t>
  </si>
  <si>
    <t>烧酒;⾼粱酒;果酒（含酒精）;⽩酒;⽩⼲酒（中国⽩酒）;由⾕物蒸馏的⽩酒;⽼酒（中国蒸馏烈酒）;红葡萄酒;⽶酒;利⼝酒</t>
  </si>
  <si>
    <t>1044</t>
  </si>
  <si>
    <t>77505378</t>
  </si>
  <si>
    <t>东莞市意酒浓商贸有限公司</t>
  </si>
  <si>
    <t>FELTRINA</t>
  </si>
  <si>
    <t>餐后酒（利⼝酒和烈酒）;⽩兰地;汽酒;烈酒（饮料）;葡萄酒;果酒（含酒精）;预先混合的酒精饮料（以啤酒为主的除外）;开胃酒;鸡尾酒;以葡萄酒为主的饮料</t>
  </si>
  <si>
    <t>1045</t>
  </si>
  <si>
    <t>77505415</t>
  </si>
  <si>
    <t>河南川豫酒业发展有限公司</t>
  </si>
  <si>
    <t>蜂蜜酒;果酒（含酒精）;伏特加酒;⽼酒（中国蒸馏烈酒）;⻩酒;开胃酒;⽩酒;葡萄酒;利⼝酒;烧酒</t>
  </si>
  <si>
    <t>1046</t>
  </si>
  <si>
    <t>77505421</t>
  </si>
  <si>
    <t>四川省中晟腾远集团有限公司</t>
  </si>
  <si>
    <t>衡然堂</t>
  </si>
  <si>
    <t>以葡萄酒为主的饮料;⻩酒;果酒;酒精饮料原汁;葡萄酒;⽩酒;⽶酒;⾕物制蒸馏酒精饮料;开胃酒;果酒（含酒精）</t>
  </si>
  <si>
    <t>1061</t>
  </si>
  <si>
    <t>77507028</t>
  </si>
  <si>
    <t>辽宁糖潮盛世食品有限公司</t>
  </si>
  <si>
    <t>菲兰骑士 SIRAN KNIGHT</t>
  </si>
  <si>
    <t>果酒;果酒（含酒精）;蒸馏饮料;⽩兰地;鸡尾酒;烈酒（饮料）;葡萄酒;烧酒;⽩酒;⽶酒</t>
  </si>
  <si>
    <t>1062</t>
  </si>
  <si>
    <t>77507041</t>
  </si>
  <si>
    <t>汪特勇</t>
  </si>
  <si>
    <t>赤伯伯</t>
  </si>
  <si>
    <t>果酒（含酒精）;蒸馏饮料;鸡尾酒;⽶酒;⽩兰地;⽩酒;烈酒（饮料）;果酒;葡萄酒;烧酒</t>
  </si>
  <si>
    <t>1063</t>
  </si>
  <si>
    <t>77507094</t>
  </si>
  <si>
    <t>大同市印象忘忧食品开发有限公司</t>
  </si>
  <si>
    <t>喜嗨嗨</t>
  </si>
  <si>
    <t>果酒（含酒精）;烧酒;汽酒;葡萄酒;⻩酒;鸡尾酒;朗姆酒;苹果酒;⽩酒;⽶酒</t>
  </si>
  <si>
    <t>1064</t>
  </si>
  <si>
    <t>77507153</t>
  </si>
  <si>
    <t>大连盛世华酒业有限公司</t>
  </si>
  <si>
    <t>恒鑫荣文酒</t>
  </si>
  <si>
    <t>⽩酒;⽶酒;鸡尾酒;⽢蔗制烈酒;烧酒;葡萄酒;酒精饮料（啤酒除外）;⻩酒;烈酒（饮料）;果酒（含酒精）</t>
  </si>
  <si>
    <t>1065</t>
  </si>
  <si>
    <t>77507532</t>
  </si>
  <si>
    <t>湖南天耐建材有限公司</t>
  </si>
  <si>
    <t>细思极美</t>
  </si>
  <si>
    <t>⾕物制蒸馏酒精饮料;汽酒;蜂蜜酒;鸡尾酒;烧酒;含⽔果酒精饮料;清酒（⽇本⽶酒）;葡萄酒;⽶酒;酒精饮料（啤酒除外）</t>
  </si>
  <si>
    <t>1066</t>
  </si>
  <si>
    <t>77507568</t>
  </si>
  <si>
    <t>隆中泉</t>
  </si>
  <si>
    <t>烧酒;⽶酒;果酒（含酒精）;酒精饮料（啤酒除外）;威⼠忌;葡萄酒;鸡尾酒;⽩酒;利⼝酒</t>
  </si>
  <si>
    <t>1067</t>
  </si>
  <si>
    <t>77507835</t>
  </si>
  <si>
    <t>闽侯县绍与鉴湖酒业有限公司</t>
  </si>
  <si>
    <t>福达老</t>
  </si>
  <si>
    <t>梅酒;⻩酒;⽩酒;⽼酒（中国蒸馏烈酒）;清酒;⻘梅酒;⽶酒;烧酒;甜酒;果酒</t>
  </si>
  <si>
    <t>1068</t>
  </si>
  <si>
    <t>77507875</t>
  </si>
  <si>
    <t>张旭</t>
  </si>
  <si>
    <t>战鼓</t>
  </si>
  <si>
    <t>⽼酒（中国蒸馏烈酒）;葡萄酒;酒精饮料（啤酒除外）;果酒（含酒精）;梅酒;⾼粱酒;露酒;⾕物制蒸馏酒精饮料;⽩酒;⽶酒</t>
  </si>
  <si>
    <t>1069</t>
  </si>
  <si>
    <t>77507943</t>
  </si>
  <si>
    <t>王祖铭餐饮管理（吉林省）有限公司</t>
  </si>
  <si>
    <t>玖品东北</t>
  </si>
  <si>
    <t>果酒（含酒精）;汽酒;⽩酒;⾼粱酒;⻩酒;葡萄酒;⽶酒;含酒精⽔果饮料;烧酒;果酒</t>
  </si>
  <si>
    <t>1070</t>
  </si>
  <si>
    <t>77507986</t>
  </si>
  <si>
    <t>中锡</t>
  </si>
  <si>
    <t>蒸馏饮料;鸡尾酒;葡萄酒;⽶酒;烈酒（饮料）;果酒（含酒精）;利⼝酒;亚⼒酒;餐后酒（利⼝酒和烈酒）;⽩酒</t>
  </si>
  <si>
    <t>1071</t>
  </si>
  <si>
    <t>77508014</t>
  </si>
  <si>
    <t>福建印象宁洋文化旅游开发有限公司</t>
  </si>
  <si>
    <t>宁洋龙韵</t>
  </si>
  <si>
    <t>⻩酒;蒸馏饮料;果酒;葡萄酒;⽩酒;⽶酒;汽酒;烧酒;含⽔果酒精饮料;酒精饮料原汁</t>
  </si>
  <si>
    <t>1072</t>
  </si>
  <si>
    <t>77508073</t>
  </si>
  <si>
    <t>贵州京华万疆酒业（集团）有限公司</t>
  </si>
  <si>
    <t>京华乾</t>
  </si>
  <si>
    <t>酒精饮料（啤酒除外）;⽶酒;⾷⽤酒精;⻘稞酒;烧酒;果酒（含酒精）;蒸馏饮料;鸡尾酒;葡萄酒;⽩酒</t>
  </si>
  <si>
    <t>1073</t>
  </si>
  <si>
    <t>77508205</t>
  </si>
  <si>
    <t>何文胜</t>
  </si>
  <si>
    <t>威⼠忌;⽶酒;⽩兰地;烈酒;鸡尾酒;⻩酒;⽩酒;果酒;除啤酒外的酒精饮料;清酒</t>
  </si>
  <si>
    <t>1074</t>
  </si>
  <si>
    <t>77508212</t>
  </si>
  <si>
    <t>宽義</t>
  </si>
  <si>
    <t>蒸馏饮料;葡萄酒;米酒;露酒;白酒;果酒（含酒精）;苹果酒;烈酒（饮料）;谷物制蒸馏酒精饮料;餐后酒（利口酒和烈酒）</t>
  </si>
  <si>
    <t>1075</t>
  </si>
  <si>
    <t>77508331</t>
  </si>
  <si>
    <t>西宁恩润商贸有限公司</t>
  </si>
  <si>
    <t>唐观青录</t>
  </si>
  <si>
    <t>⻘稞酒;甜酒;⾼粱酒;⽶酒;⽩酒;含酒精的饮料（啤酒除外）;葡萄酒;果酒（含酒精）;蜂蜜酒;清酒</t>
  </si>
  <si>
    <t>1076</t>
  </si>
  <si>
    <t>77508428</t>
  </si>
  <si>
    <t>成都拐枣巷餐饮管理有限公司</t>
  </si>
  <si>
    <t>拐枣巷</t>
  </si>
  <si>
    <t>果酒（含酒精）;开胃酒;葡萄酒;含⽔果酒精饮料;烧酒;⻘稞酒;⽩酒;鸡尾酒;烈酒（饮料）;⽶酒</t>
  </si>
  <si>
    <t>1077</t>
  </si>
  <si>
    <t>77508657</t>
  </si>
  <si>
    <t>汾阳市杏花村镇协盛源瓷业有限公司</t>
  </si>
  <si>
    <t>杏福仓</t>
  </si>
  <si>
    <t>⻘稞酒;⻩酒;烧酒;⽩酒;蜂蜜酒;汽酒;樱桃酒;烈酒（饮料）;⾷⽤酒精;利⼝酒</t>
  </si>
  <si>
    <t>1078</t>
  </si>
  <si>
    <t>77508701</t>
  </si>
  <si>
    <t>山东和美华农牧科技股份有限公司</t>
  </si>
  <si>
    <t>九邦仙</t>
  </si>
  <si>
    <t>酒精饮料原汁;清酒（⽇本⽶酒）;⽩酒;⽩兰地;利⼝酒;⽩⼲酒（中国⽩酒）;果酒（含酒精）;葡萄酒;威⼠忌;⻩酒</t>
  </si>
  <si>
    <t>1079</t>
  </si>
  <si>
    <t>77508778</t>
  </si>
  <si>
    <t>广东省钟爱一生科技有限公司</t>
  </si>
  <si>
    <t>花仙诺</t>
  </si>
  <si>
    <t>利⼝酒;鸡尾酒;含⽔果酒精饮料;烈酒（饮料）;⽩酒;烧酒;⻩酒;⽶酒;葡萄酒;威⼠忌</t>
  </si>
  <si>
    <t>1080</t>
  </si>
  <si>
    <t>77508795</t>
  </si>
  <si>
    <t>何传勋</t>
  </si>
  <si>
    <t>恋小二</t>
  </si>
  <si>
    <t>⻩酒;葡萄酒;汽酒;⽩酒;威⼠忌;烧酒;⽶酒;⽼酒（中国蒸馏烈酒）;果酒;含酒精的饮料（啤酒除外）</t>
  </si>
  <si>
    <t>1081</t>
  </si>
  <si>
    <t>77509048</t>
  </si>
  <si>
    <t>庐山市庐泉建筑劳务有限公司</t>
  </si>
  <si>
    <t>庐山杏林园</t>
  </si>
  <si>
    <t>⻩酒;葡萄酒;开胃酒;烧酒;果酒（含酒精）;⽩酒;清酒（⽇本⽶酒）;⽶酒;⾷⽤酒精;利⼝酒</t>
  </si>
  <si>
    <t>1082</t>
  </si>
  <si>
    <t>77509126</t>
  </si>
  <si>
    <t>李才碧</t>
  </si>
  <si>
    <t>小沓槟</t>
  </si>
  <si>
    <t>开胃酒;⽶酒;⻩酒;果酒（含酒精）;⽩酒;鸡尾酒;以葡萄酒为主的饮料;汽酒;⻘稞酒;葡萄酒</t>
  </si>
  <si>
    <t>1083</t>
  </si>
  <si>
    <t>77509337</t>
  </si>
  <si>
    <t>六盘水建发伟业商贸有限公司</t>
  </si>
  <si>
    <t>宽载</t>
  </si>
  <si>
    <t>薄荷酒;果酒（含酒精）;清酒（⽇本⽶酒）;⻩酒;⾼粱酒;⽩酒;⽶酒;⽩兰地;威⼠忌;伏特加酒</t>
  </si>
  <si>
    <t>1084</t>
  </si>
  <si>
    <t>77509367</t>
  </si>
  <si>
    <t>云潭云礼</t>
  </si>
  <si>
    <t>葡萄酒;⽶酒;烧酒;蒸馏饮料;⽩酒;酒精饮料原汁;酒精饮料（啤酒除外）;蒸煮提取物（利⼝酒和烈酒）;⻩酒;烈酒（饮料）</t>
  </si>
  <si>
    <t>1085</t>
  </si>
  <si>
    <t>77509736</t>
  </si>
  <si>
    <t>蔡姣仲</t>
  </si>
  <si>
    <t>佳速</t>
  </si>
  <si>
    <t>开胃酒;果酒;⽩酒;⽶酒;⾷⽤酒精;清酒;汽酒;甜酒;葡萄酒;⻩酒</t>
  </si>
  <si>
    <t>1086</t>
  </si>
  <si>
    <t>77509778</t>
  </si>
  <si>
    <t>龙标轩元国际文化发展（北京）有限公司</t>
  </si>
  <si>
    <t>龙标福</t>
  </si>
  <si>
    <t>威⼠忌;⽩葡萄酒;⻩酒;⽩酒;⽩兰地;预先混合的酒精饮料（以啤酒为主的除外）;红葡萄酒;葡萄酒;⽶酒;混合威⼠忌酒</t>
  </si>
  <si>
    <t>1087</t>
  </si>
  <si>
    <t>77509919</t>
  </si>
  <si>
    <t>衡昌适品</t>
  </si>
  <si>
    <t>⽩酒;含⽔果酒精饮料;开胃酒;⽩⼲酒（中国⽩酒）;⻩酒;烧酒;葡萄酒;⽶酒;⻘稞酒;⾼粱酒</t>
  </si>
  <si>
    <t>1088</t>
  </si>
  <si>
    <t>77510053</t>
  </si>
  <si>
    <t>开胃酒;烈酒（饮料）;酒精饮料（啤酒除外）;⾷⽤酒精;含⽔果酒精饮料;汽酒;⽩酒;利⼝酒;烧酒;果酒（含酒精）</t>
  </si>
  <si>
    <t>1089</t>
  </si>
  <si>
    <t>77510315</t>
  </si>
  <si>
    <t>深圳市汇享未来科技有限公司</t>
  </si>
  <si>
    <t>汇享未来</t>
  </si>
  <si>
    <t>蒸馏饮料;酒精饮料（啤酒除外）;汽酒;果酒（含酒精）;⽩酒;酸酒（低等葡萄酒）;含⽔果酒精饮料;⻩酒;⽶酒;葡萄酒</t>
  </si>
  <si>
    <t>1090</t>
  </si>
  <si>
    <t>77510330</t>
  </si>
  <si>
    <t>海南同瑞进出口贸易有限公司</t>
  </si>
  <si>
    <t>琼来御品</t>
  </si>
  <si>
    <t>蒸馏饮料;含⽔果酒精饮料;葡萄酒;苦味酒;烈酒（饮料）;果酒（含酒精）;餐后酒（利⼝酒和烈酒）;鸡尾酒;⾕物制蒸馏酒精饮料;薄荷酒</t>
  </si>
  <si>
    <t>1091</t>
  </si>
  <si>
    <t>77510608</t>
  </si>
  <si>
    <t>山东鲁公王酒业有限公司</t>
  </si>
  <si>
    <t>钟罗山</t>
  </si>
  <si>
    <t>⻩酒;酒精饮料浓缩汁;葡萄酒;⽶酒;⽩酒;烧酒;⽼酒（中国蒸馏烈酒）;⽩⼲酒（中国⽩酒）;烈酒;⾼粱酒</t>
  </si>
  <si>
    <t>1092</t>
  </si>
  <si>
    <t>77510812</t>
  </si>
  <si>
    <t>万重山</t>
  </si>
  <si>
    <t>利⼝酒;⽩酒;果酒（含酒精）;烧酒;开胃酒;葡萄酒;含酒精的饮料（啤酒除外）;⽶酒;⻩酒;烈酒（饮料）</t>
  </si>
  <si>
    <t>1093</t>
  </si>
  <si>
    <t>77511126</t>
  </si>
  <si>
    <t>陈峰</t>
  </si>
  <si>
    <t>芸海剑</t>
  </si>
  <si>
    <t>烧酒;鸡尾酒;⻩酒;烈酒（饮料）;酒精饮料（啤酒除外）;⽩酒;⾼粱酒;葡萄酒;⾷⽤酒精;果酒（含酒精）</t>
  </si>
  <si>
    <t>1094</t>
  </si>
  <si>
    <t>77511138</t>
  </si>
  <si>
    <t>潞城市亚红鑫商贸有限公司</t>
  </si>
  <si>
    <t>梨红利</t>
  </si>
  <si>
    <t>葡萄酒;烧酒;烈酒（饮料）;⽶酒;鸡尾酒;⽩酒;果酒（含酒精）;酒精饮料（啤酒除外）;⻩酒;⾼粱酒</t>
  </si>
  <si>
    <t>1095</t>
  </si>
  <si>
    <t>77511466</t>
  </si>
  <si>
    <t>广州乐厨科技有限公司</t>
  </si>
  <si>
    <t>柔寐</t>
  </si>
  <si>
    <t>果酒（含酒精）;烈酒（饮料）;开胃酒;葡萄酒;⽶酒;威⼠忌;⽩酒;鸡尾酒;⻩酒;⽩兰地</t>
  </si>
  <si>
    <t>1096</t>
  </si>
  <si>
    <t>77511593</t>
  </si>
  <si>
    <t>叶礼平</t>
  </si>
  <si>
    <t>闽越官</t>
  </si>
  <si>
    <t>⽩酒;烧酒;酒精饮料（啤酒除外）;⽶酒;伏特加酒;⾷⽤酒精;鸡尾酒;葡萄酒;⽩兰地;⻩酒</t>
  </si>
  <si>
    <t>1097</t>
  </si>
  <si>
    <t>77511605</t>
  </si>
  <si>
    <t>深圳炊南记餐饮管理有限公司</t>
  </si>
  <si>
    <t>炊南记</t>
  </si>
  <si>
    <t>鸡尾酒;⽩酒;清酒（⽇本⽶酒）;果酒;葡萄酒;⻩酒;开胃酒;烈酒;酒精饮料（啤酒除外）;威⼠忌</t>
  </si>
  <si>
    <t>1098</t>
  </si>
  <si>
    <t>77511650</t>
  </si>
  <si>
    <t>广州市法禧乐酒业有限公司</t>
  </si>
  <si>
    <t>XILER</t>
  </si>
  <si>
    <t>⽶酒;果酒（含酒精）;⽩兰地;以葡萄酒为主的饮料;⽩酒;⻩酒;⾷⽤酒精;葡萄酒;酒精饮料（啤酒除外）;鸡尾酒</t>
  </si>
  <si>
    <t>1099</t>
  </si>
  <si>
    <t>77511738</t>
  </si>
  <si>
    <t>MTMVP</t>
  </si>
  <si>
    <t>酒精饮料（啤酒除外）;威⼠忌;蜂蜜酒;葡萄酒;鸡尾酒;清酒;果酒（含酒精）;开胃酒;⽶酒;⽩酒</t>
  </si>
  <si>
    <t>1100</t>
  </si>
  <si>
    <t>77511743</t>
  </si>
  <si>
    <t>王彩红</t>
  </si>
  <si>
    <t>玖芸达</t>
  </si>
  <si>
    <t>葡萄酒;⾷⽤酒精;朗姆酒;⽩兰地;酒精饮料（啤酒除外）;果酒（含酒精）;烈酒（饮料）;⽩酒;利⼝酒;威⼠忌</t>
  </si>
  <si>
    <t>1101</t>
  </si>
  <si>
    <t>77511760</t>
  </si>
  <si>
    <t>上海静释科技集团有限公司</t>
  </si>
  <si>
    <t>雁翔</t>
  </si>
  <si>
    <t>苦味酒;利⼝酒;威⼠忌;露酒;鸡尾酒;果酒（含酒精）;⽩兰地;清酒（⽇本⽶酒）;⽶酒;蒸煮提取物（利⼝酒和烈酒）;⽩酒;葡萄酒</t>
  </si>
  <si>
    <t>1102</t>
  </si>
  <si>
    <t>77511780</t>
  </si>
  <si>
    <t>横沙金甲 HENGSHA GOLDEN ARMOR</t>
  </si>
  <si>
    <t>以葡萄酒为主的饮料;果酒（含酒精）;酒精饮料（啤酒除外）;⾕物制蒸馏酒精饮料;蒸馏饮料;⽩酒;烈酒（饮料）;⽶酒;⾷⽤酒精;烧酒</t>
  </si>
  <si>
    <t>1103</t>
  </si>
  <si>
    <t>77511782</t>
  </si>
  <si>
    <t>饭好棒科技（广州）有限公司</t>
  </si>
  <si>
    <t>范好棒</t>
  </si>
  <si>
    <t xml:space="preserve">	酒精饮料（啤酒除外）; 酒精饮料原汁; 预先混合的酒精饮料（以啤酒为主的除外）; 除啤酒外的酒精饮料; 含酒精的饮料（啤酒除外）; 蜂蜜酒; 甜酒; 汽酒; 蒸馏饮料; 餐后酒（利口酒和烈酒）; 含水果酒精饮料; 葡萄酒</t>
  </si>
  <si>
    <t>1104</t>
  </si>
  <si>
    <t>77511974</t>
  </si>
  <si>
    <t>成都明屋大慧堂传统文化传播有限公司</t>
  </si>
  <si>
    <t>刘氏墨庄堂</t>
  </si>
  <si>
    <t>⽶酒;酒精饮料（啤酒除外）;⻩酒;薄荷酒;含酒精的⽓泡⽔;烈酒（饮料）;⾷⽤酒精;葡萄酒;⽩酒;果酒（含酒精）</t>
  </si>
  <si>
    <t>1105</t>
  </si>
  <si>
    <t>77511990</t>
  </si>
  <si>
    <t>贵州汉华樽酒业有限公司</t>
  </si>
  <si>
    <t>汉华樽氿</t>
  </si>
  <si>
    <t>蒸馏饮料;果酒（含酒精）;苹果酒;烈酒（饮料）;⾕物制蒸馏酒精饮料;⽩酒;餐后酒（利⼝酒和烈酒）;⽶酒;露酒;葡萄酒</t>
  </si>
  <si>
    <t>1106</t>
  </si>
  <si>
    <t>77512016</t>
  </si>
  <si>
    <t>新疆迈尔谷商贸发展有限公司</t>
  </si>
  <si>
    <t>迈尔谷 MARGHUL</t>
  </si>
  <si>
    <t>鸡尾酒;⽩兰地;威⼠忌;⽩酒;⾼粱酒;蜂蜜酒;果酒;⽩葡萄酒;酒精饮料浓缩汁;红葡萄酒</t>
  </si>
  <si>
    <t>1107</t>
  </si>
  <si>
    <t>77512099</t>
  </si>
  <si>
    <t>周艳红</t>
  </si>
  <si>
    <t>坤将黄金叶</t>
  </si>
  <si>
    <t>鸡尾酒;烧酒;⽶酒;葡萄酒;⻩酒;⽩酒;樱桃酒;果酒（含酒精）;⽩⼲酒（中国⽩酒）;⻘稞酒</t>
  </si>
  <si>
    <t>1108</t>
  </si>
  <si>
    <t>77512119</t>
  </si>
  <si>
    <t>内蒙古自治区呼伦贝尔市根河市森野家园食品有限责任公司</t>
  </si>
  <si>
    <t>森野嘉源</t>
  </si>
  <si>
    <t>苹果酒;葡萄酒;樱桃酒;酸酒（低等葡萄酒）;柑⾹酒;⽶酒;蜂蜜酒;含⽔果酒精饮料;蒸馏饮料;果酒（含酒精）</t>
  </si>
  <si>
    <t>1109</t>
  </si>
  <si>
    <t>77512122</t>
  </si>
  <si>
    <t>大瓷坊听风</t>
  </si>
  <si>
    <t>⽶酒;果酒;⽩酒;⻩酒;⽼酒（中国蒸馏烈酒）;⽩⼲酒（中国⽩酒）;⾼粱酒;烈酒;烧酒;烈性⼲酒</t>
  </si>
  <si>
    <t>1110</t>
  </si>
  <si>
    <t>77512275</t>
  </si>
  <si>
    <t>隋员外</t>
  </si>
  <si>
    <t>烈酒;⽶酒;⽩兰地;烧酒;鸡尾酒;葡萄酒;威⼠忌;⻘稞酒;⽩酒;⻩酒</t>
  </si>
  <si>
    <t>1111</t>
  </si>
  <si>
    <t>77512293</t>
  </si>
  <si>
    <t>森野佳源</t>
  </si>
  <si>
    <t>⽶酒;苹果酒;柑⾹酒;含⽔果酒精饮料;果酒（含酒精）;葡萄酒;蜂蜜酒;樱桃酒;酸酒（低等葡萄酒）;蒸馏饮料</t>
  </si>
  <si>
    <t>1112</t>
  </si>
  <si>
    <t>77512297</t>
  </si>
  <si>
    <t>观澜帝</t>
  </si>
  <si>
    <t>葡萄酒;威⼠忌;⽶酒;烈酒;烧酒;⽩兰地;鸡尾酒;⻘稞酒;⻩酒;⽩酒</t>
  </si>
  <si>
    <t>1113</t>
  </si>
  <si>
    <t>77512515</t>
  </si>
  <si>
    <t>爱情假日</t>
  </si>
  <si>
    <t>果酒;果酒（含酒精）;葡萄酒;蒸馏饮料;⽩酒;鸡尾酒;⽩兰地;⽶酒;烧酒;烈酒（饮料）</t>
  </si>
  <si>
    <t>1114</t>
  </si>
  <si>
    <t>77512672</t>
  </si>
  <si>
    <t>郑州融之源环保科技有限公司</t>
  </si>
  <si>
    <t>佚名谈</t>
  </si>
  <si>
    <t>果酒（含酒精）;利⼝酒;开胃酒;餐后酒（利⼝酒和烈酒）;烧酒;葡萄酒;含⽔果酒精饮料;⽩酒;烈酒（饮料）;酒精饮料（啤酒除外）</t>
  </si>
  <si>
    <t>1115</t>
  </si>
  <si>
    <t>77512754</t>
  </si>
  <si>
    <t>宁纱</t>
  </si>
  <si>
    <t>果酒（含酒精）;⾷⽤酒精;葡萄酒;⽩酒;鸡尾酒;烈酒（饮料）;酒精饮料（啤酒除外）;⽩兰地;⻩酒;威⼠忌</t>
  </si>
  <si>
    <t>1116</t>
  </si>
  <si>
    <t>77513033</t>
  </si>
  <si>
    <t>龙口市程芃商贸有限公司</t>
  </si>
  <si>
    <t>兰斯特尔</t>
  </si>
  <si>
    <t>加烈葡萄酒;利⼝酒;汽酒;果酒;苹果酒;威⼠忌;葡萄酒;朗姆酒;烧酒;⽩兰地</t>
  </si>
  <si>
    <t>1117</t>
  </si>
  <si>
    <t>77513072</t>
  </si>
  <si>
    <t>晋粮侯</t>
  </si>
  <si>
    <t>酒精饮料原汁; 黄酒; 果酒（含酒精）; 酒精饮料（啤酒除外）; 白兰地; 烧酒; 汽酒; 白酒; 酒精饮料浓缩汁; 含水果酒精饮料</t>
  </si>
  <si>
    <t>1118</t>
  </si>
  <si>
    <t>77513115</t>
  </si>
  <si>
    <t>广州观自斋文化传播有限公司</t>
  </si>
  <si>
    <t>玄元池</t>
  </si>
  <si>
    <t>⽩酒;开胃酒;烈酒;⽩兰地;⽶酒;葡萄酒;蒸馏饮料;鸡尾酒;⻩酒;含酒精的饮料（啤酒除外）</t>
  </si>
  <si>
    <t>1119</t>
  </si>
  <si>
    <t>77513148</t>
  </si>
  <si>
    <t>叶定荟品牌管理（惠州）有限公司</t>
  </si>
  <si>
    <t>果酒（含酒精）;⽶酒;露酒;⻩酒;酒精饮料（啤酒除外）;⽩兰地;⽩酒;葡萄酒;蒸馏饮料;含⽔果酒精饮料</t>
  </si>
  <si>
    <t>1120</t>
  </si>
  <si>
    <t>77513272</t>
  </si>
  <si>
    <t>杨永峰</t>
  </si>
  <si>
    <t>尊台龙凤呈祥</t>
  </si>
  <si>
    <t>果酒;酒精饮料（啤酒除外）;⻩酒;⽼酒（中国蒸馏烈酒）;⽶酒;露酒;⾼粱酒;葡萄酒;⽩酒;⻘稞酒</t>
  </si>
  <si>
    <t>1121</t>
  </si>
  <si>
    <t>77513385</t>
  </si>
  <si>
    <t>陈敬桥</t>
  </si>
  <si>
    <t>厚正将享</t>
  </si>
  <si>
    <t>酒精饮料（啤酒除外）;烧酒;五加⽪酒（中国混合烈酒）;烈性⼲酒;烈酒;⽼酒（中国蒸馏烈酒）;露酒;烧酒（烈酒）;由⾕物蒸馏的⽩酒;⽩酒</t>
  </si>
  <si>
    <t>1122</t>
  </si>
  <si>
    <t>77513410</t>
  </si>
  <si>
    <t>四川省宜宾市荔枝绿酒业有限公司</t>
  </si>
  <si>
    <t>川老会</t>
  </si>
  <si>
    <t>葡萄酒;烧酒;⽩酒;⽶酒;⽩兰地;伏特加酒;威⼠忌;⻩酒;果酒（含酒精）;鸡尾酒</t>
  </si>
  <si>
    <t>1123</t>
  </si>
  <si>
    <t>77513477</t>
  </si>
  <si>
    <t>锦州德米纳生物科技有限公司</t>
  </si>
  <si>
    <t>德米纳</t>
  </si>
  <si>
    <t>烧酒（烈酒）;⽩⼲酒（中国⽩酒）;已调味的蒸馏酒;葡萄酒;果酒;⽩酒;⻩酒;⾼粱酒;⽼酒（中国蒸馏烈酒）;⽶酒</t>
  </si>
  <si>
    <t>1124</t>
  </si>
  <si>
    <t>77513560</t>
  </si>
  <si>
    <t>乔治迈巴赫</t>
  </si>
  <si>
    <t>⽩酒;含⽔果酒精饮料;⽩兰地;酒精饮料（啤酒除外）;鸡尾酒;威⼠忌;开胃酒;果酒（含酒精）;葡萄酒;餐后酒（利⼝酒和烈酒）</t>
  </si>
  <si>
    <t>1125</t>
  </si>
  <si>
    <t>77513840</t>
  </si>
  <si>
    <t>李军</t>
  </si>
  <si>
    <t>敖罕</t>
  </si>
  <si>
    <t>⻘稞酒;烧酒;烈酒;开胃酒;果酒（含酒精）;⽩酒;酒精饮料（啤酒除外）;⽶酒;蒸馏饮料;⻩酒</t>
  </si>
  <si>
    <t>1126</t>
  </si>
  <si>
    <t>77514020</t>
  </si>
  <si>
    <t>康建丽</t>
  </si>
  <si>
    <t>金梁泉</t>
  </si>
  <si>
    <t>⽶酒;⽩兰地;⽩酒;果酒（含酒精）;⻩酒;鸡尾酒;葡萄酒;威⼠忌;烧酒;蒸馏饮料</t>
  </si>
  <si>
    <t>1127</t>
  </si>
  <si>
    <t>77515035</t>
  </si>
  <si>
    <t>晋璨</t>
  </si>
  <si>
    <t>⽩酒;⾼粱酒;⻩酒;果酒;⽼酒（中国蒸馏烈酒）;烧酒;葡萄酒;清酒;酒精饮料（啤酒除外）;⽶酒</t>
  </si>
  <si>
    <t>1128</t>
  </si>
  <si>
    <t>77515173</t>
  </si>
  <si>
    <t>艾宁</t>
  </si>
  <si>
    <t>合家庆</t>
  </si>
  <si>
    <t>开胃酒;甜酒;葡萄酒;清酒;⻩酒;⽶酒;果酒;汽酒;⾷⽤酒精;⽩酒</t>
  </si>
  <si>
    <t>1129</t>
  </si>
  <si>
    <t>77515276</t>
  </si>
  <si>
    <t>绵阳羊角花农业科技发展有限公司</t>
  </si>
  <si>
    <t>羌城禹乡泉</t>
  </si>
  <si>
    <t>⽶酒;烈酒（饮料）;酒精饮料原汁;⽩酒;⾷⽤酒精;以葡萄酒为主的饮料;烧酒;果酒（含酒精）;蒸馏饮料;酒精饮料（啤酒除外）</t>
  </si>
  <si>
    <t>1130</t>
  </si>
  <si>
    <t>77515285</t>
  </si>
  <si>
    <t>千坛梦</t>
  </si>
  <si>
    <t>⻩酒;鸡尾酒;果酒（含酒精）;清酒（⽇本⽶酒）;烈酒;酒精饮料（啤酒除外）;葡萄酒;⽩酒;开胃酒;威⼠忌</t>
  </si>
  <si>
    <t>1131</t>
  </si>
  <si>
    <t>77515315</t>
  </si>
  <si>
    <t>许广涵</t>
  </si>
  <si>
    <t>加机</t>
  </si>
  <si>
    <t>⾕物制蒸馏酒精饮料;威⼠忌;葡萄酒;⽩酒;汽酒;果酒（含酒精）;⽶酒;⻩酒;烧酒</t>
  </si>
  <si>
    <t>1132</t>
  </si>
  <si>
    <t>77515333</t>
  </si>
  <si>
    <t>纪故元</t>
  </si>
  <si>
    <t>恭客</t>
  </si>
  <si>
    <t>威⼠忌;烧酒;果酒;⽩兰地;葡萄酒;⽩酒;汽酒;清酒;⻩酒;⽶酒</t>
  </si>
  <si>
    <t>1133</t>
  </si>
  <si>
    <t>77515442</t>
  </si>
  <si>
    <t>青岛雅登欧食品有限公司</t>
  </si>
  <si>
    <t>湘世鉴</t>
  </si>
  <si>
    <t>果酒（含酒精）;清酒（⽇本⽶酒）;烧酒;蒸馏饮料;⽩⼲酒（中国⽩酒）;⾕物制蒸馏酒精饮料;⽩酒;鸡尾酒;⽶酒;酒精饮料（啤酒除外）</t>
  </si>
  <si>
    <t>1134</t>
  </si>
  <si>
    <t>77515605</t>
  </si>
  <si>
    <t>铂皇</t>
  </si>
  <si>
    <t>鸡尾酒;⽶酒;果酒（含酒精）;亚⼒酒;酒精饮料原汁;利⼝酒;威⼠忌;⽩酒;烈酒（饮料）;葡萄酒</t>
  </si>
  <si>
    <t>1135</t>
  </si>
  <si>
    <t>77515728</t>
  </si>
  <si>
    <t>何亚平</t>
  </si>
  <si>
    <t>荣河福</t>
  </si>
  <si>
    <t>⽩酒;葡萄酒;蒸煮提取物（利⼝酒和烈酒）;酒精饮料原汁;⽶酒;烧酒;鸡尾酒;果酒（含酒精）;烈酒（饮料）;清酒（⽇本⽶酒）</t>
  </si>
  <si>
    <t>1136</t>
  </si>
  <si>
    <t>77515736</t>
  </si>
  <si>
    <t>福祥潭</t>
  </si>
  <si>
    <t>⽩酒;含⽔果酒精饮料;葡萄酒;⽶酒;利⼝酒;鸡尾酒;烧酒;开胃酒;⻩酒;烈酒（饮料）</t>
  </si>
  <si>
    <t>1137</t>
  </si>
  <si>
    <t>77515821</t>
  </si>
  <si>
    <t>肖皓植</t>
  </si>
  <si>
    <t>赋春台</t>
  </si>
  <si>
    <t>开胃酒;酒精饮料原汁;⻘稞酒;朗姆酒;果酒（含酒精）;葡萄酒;烧酒;⽩酒;蜂蜜酒</t>
  </si>
  <si>
    <t>1138</t>
  </si>
  <si>
    <t>77515828</t>
  </si>
  <si>
    <t>广州揽艺文化有限公司</t>
  </si>
  <si>
    <t>鱼仔哥</t>
  </si>
  <si>
    <t>混合威⼠忌酒;烈酒（饮料）;⽶酒;葡萄酒;甜果酒;含酒精的⽔果鸡尾酒饮料;⽩酒;含⽔果酒精饮料;除啤酒外的酒精饮料;酒精饮料（啤酒除外）</t>
  </si>
  <si>
    <t>1139</t>
  </si>
  <si>
    <t>77515847</t>
  </si>
  <si>
    <t>长沙焙鲜说食品有限公司</t>
  </si>
  <si>
    <t>焙鲜说</t>
  </si>
  <si>
    <t>开胃酒;酒精饮料浓缩汁;⾕物制蒸馏酒精饮料;含酒精的⽓泡⽔;清酒;蒸馏饮料;含⽔果酒精饮料;鸡尾酒;酒精饮料原汁;果酒（含酒精）</t>
  </si>
  <si>
    <t>1140</t>
  </si>
  <si>
    <t>77516424</t>
  </si>
  <si>
    <t>吉林省德丰酿酒有限公司</t>
  </si>
  <si>
    <t>雅鲁沟</t>
  </si>
  <si>
    <t>烧酒;⽩酒;鸡尾酒;蜂蜜酒;伏特加酒;⽶酒;⾷⽤酒精;葡萄酒;酒精饮料（啤酒除外）;果酒（含酒精）</t>
  </si>
  <si>
    <t>1141</t>
  </si>
  <si>
    <t>77516468</t>
  </si>
  <si>
    <t>贵州晟禾农产品加工有限责任公司</t>
  </si>
  <si>
    <t>吉宣曲</t>
  </si>
  <si>
    <t>烈酒（饮料）;⽩酒;葡萄酒;⽶酒;⽩兰地;清酒;开胃酒;⻘稞酒;鸡尾酒;利⼝酒</t>
  </si>
  <si>
    <t>1142</t>
  </si>
  <si>
    <t>77516655</t>
  </si>
  <si>
    <t>汕尾市绿源桑椹红酒有限公司</t>
  </si>
  <si>
    <t>金桑银桑  GINSENWINSENJOY</t>
  </si>
  <si>
    <t>利⼝酒;酒精饮料（啤酒除外）;⻩酒;⽩酒;酒精饮料浓缩汁;烈酒;汽酒;⽶酒;果酒;威⼠忌</t>
  </si>
  <si>
    <t>1143</t>
  </si>
  <si>
    <t>77517013</t>
  </si>
  <si>
    <t>泉酒仙</t>
  </si>
  <si>
    <t>烈酒（饮料）;威⼠忌;果酒（含酒精）;鸡尾酒;酒精饮料原汁;⽶酒;⽩酒;利⼝酒;开胃酒;葡萄酒</t>
  </si>
  <si>
    <t>1144</t>
  </si>
  <si>
    <t>77517017</t>
  </si>
  <si>
    <t>知了远传(上海)文化科技有限公司</t>
  </si>
  <si>
    <t>仓颉之眼</t>
  </si>
  <si>
    <t>果酒（含酒精）;葡萄酒;开胃酒;烈酒（饮料）;含⽔果酒精饮料;⽩酒;鸡尾酒;⽶酒;蜂蜜酒;酒精饮料原汁</t>
  </si>
  <si>
    <t>1145</t>
  </si>
  <si>
    <t>77517052</t>
  </si>
  <si>
    <t>珍驾</t>
  </si>
  <si>
    <t>⽶酒;果酒（含酒精）;烈酒（饮料）;⽩兰地;烧酒;果酒;蒸馏饮料;鸡尾酒;葡萄酒;⽩酒</t>
  </si>
  <si>
    <t>1146</t>
  </si>
  <si>
    <t>77517171</t>
  </si>
  <si>
    <t>曹潘</t>
  </si>
  <si>
    <t>仙子坪</t>
  </si>
  <si>
    <t>⽩酒;⾷⽤酒精;酒精饮料（啤酒除外）;果酒;⽶酒;烈酒（饮料）;杨梅酒;梅酒;由⾕物蒸馏的⽩酒;葡萄酒</t>
  </si>
  <si>
    <t>1147</t>
  </si>
  <si>
    <t>77517189</t>
  </si>
  <si>
    <t>贵州华台名府酒业有限公司</t>
  </si>
  <si>
    <t>HUA TAI MING FU</t>
  </si>
  <si>
    <t>开胃酒;酒精饮料（啤酒除外）;⻩酒;⽶酒;蒸馏饮料;果酒（含酒精）;清酒（⽇本⽶酒）;葡萄酒;⽩兰地;⽩酒</t>
  </si>
  <si>
    <t>1148</t>
  </si>
  <si>
    <t>77517211</t>
  </si>
  <si>
    <t>孙静涛</t>
  </si>
  <si>
    <t>槐乡造父官庄</t>
  </si>
  <si>
    <t>威⼠忌;酒精饮料（啤酒除外）;清酒（⽇本⽶酒）;鸡尾酒;⻩酒;⾷⽤酒精;⽶酒;⽩兰地;⽩酒;果酒（含酒精）</t>
  </si>
  <si>
    <t>1149</t>
  </si>
  <si>
    <t>77517644</t>
  </si>
  <si>
    <t>杨志合</t>
  </si>
  <si>
    <t>塑源王家烧坊</t>
  </si>
  <si>
    <t>开胃酒;清酒（⽇本⽶酒）;⽩酒;⽶酒;⻩酒;烧酒;果酒（含酒精）;烈酒（饮料）;酒精饮料（啤酒除外）;⾕物制蒸馏酒精饮料</t>
  </si>
  <si>
    <t>1150</t>
  </si>
  <si>
    <t>77517835</t>
  </si>
  <si>
    <t>金笙达</t>
  </si>
  <si>
    <t>⽩兰地;⽩酒;朗姆酒;烈酒（饮料）;酒精饮料（啤酒除外）;葡萄酒;威⼠忌;利⼝酒;⾷⽤酒精;果酒（含酒精）</t>
  </si>
  <si>
    <t>1151</t>
  </si>
  <si>
    <t>77517882</t>
  </si>
  <si>
    <t>徐国江</t>
  </si>
  <si>
    <t>当歌盈香</t>
  </si>
  <si>
    <t>威⼠忌;葡萄酒;果酒;伏特加酒;⽩酒;⻩酒;⻘稞酒;⽩兰地;开胃酒;鸡尾酒</t>
  </si>
  <si>
    <t>1152</t>
  </si>
  <si>
    <t>77518002</t>
  </si>
  <si>
    <t>田单相牛</t>
  </si>
  <si>
    <t>含⽔果酒精饮料;⽩酒;⾷⽤酒精;⻩酒;红葡萄酒;⽩⼲酒（中国⽩酒）;⽩葡萄酒;⽼酒（中国蒸馏烈酒）;酒精饮料（啤酒除外）;含酒精⽔果饮料</t>
  </si>
  <si>
    <t>1153</t>
  </si>
  <si>
    <t>77518327</t>
  </si>
  <si>
    <t>付恩碧</t>
  </si>
  <si>
    <t>黔新人</t>
  </si>
  <si>
    <t>汽酒;鸡尾酒;葡萄酒;含⽔果酒精饮料;⽶酒;⽩酒;开胃酒;果酒（含酒精）;烈酒（饮料）;烧酒</t>
  </si>
  <si>
    <t>1154</t>
  </si>
  <si>
    <t>77518572</t>
  </si>
  <si>
    <t>武汉库瑞斯科技有限公司</t>
  </si>
  <si>
    <t>POGGI MART</t>
  </si>
  <si>
    <t>鸡尾酒;⽩兰地;威⼠忌;烧酒（烈酒）;⽇式甜⽶酒;果酒（含酒精）;葡萄酒;⽩酒;桃红葡萄酒;⾷⽤酒精</t>
  </si>
  <si>
    <t>1155</t>
  </si>
  <si>
    <t>77518584</t>
  </si>
  <si>
    <t>何元香</t>
  </si>
  <si>
    <t>黔鸿禧</t>
  </si>
  <si>
    <t>薄荷酒;蒸馏饮料;⽩酒;含⽔果酒精饮料;⻩酒;开胃酒;葡萄酒;威⼠忌;酒精饮料（啤酒除外）;果酒（含酒精）</t>
  </si>
  <si>
    <t>1156</t>
  </si>
  <si>
    <t>77518628</t>
  </si>
  <si>
    <t>镇江慕梵食品有限公司</t>
  </si>
  <si>
    <t>糯克恬恬</t>
  </si>
  <si>
    <t>薄荷酒;果酒（含酒精）;葡萄酒;⽩兰地;伏特加酒;利⼝酒;烧酒（烈酒）;⽶酒;开胃酒;鸡尾酒</t>
  </si>
  <si>
    <t>1157</t>
  </si>
  <si>
    <t>77518763</t>
  </si>
  <si>
    <t>山东慧美生物医药科技有限公司</t>
  </si>
  <si>
    <t>天清正</t>
  </si>
  <si>
    <t>⾷⽤酒精;威⼠忌;⽩酒;葡萄酒;酒精饮料原汁;⻩酒;⽶酒;烧酒;鸡尾酒;开胃酒</t>
  </si>
  <si>
    <t>1158</t>
  </si>
  <si>
    <t>77518930</t>
  </si>
  <si>
    <t>祧荣聚晟（浙江）品牌管理有限公司</t>
  </si>
  <si>
    <t>傲馥</t>
  </si>
  <si>
    <t>⽩兰地;烈酒（饮料）;开胃酒;葡萄酒;威⼠忌;朗姆酒;⽩酒;果酒（含酒精）;鸡尾酒;酒精饮料（啤酒除外）</t>
  </si>
  <si>
    <t>1159</t>
  </si>
  <si>
    <t>77518995</t>
  </si>
  <si>
    <t>范译元</t>
  </si>
  <si>
    <t>窑瑞</t>
  </si>
  <si>
    <t>开胃酒;烈酒;葡萄酒;⻩酒;清酒（⽇本⽶酒）;酒精饮料（啤酒除外）;鸡尾酒;威⼠忌;⽩酒;果酒（含酒精）</t>
  </si>
  <si>
    <t>1160</t>
  </si>
  <si>
    <t>77519024</t>
  </si>
  <si>
    <t>江西众成农业发展有限公司</t>
  </si>
  <si>
    <t>众成益坊</t>
  </si>
  <si>
    <t>威⼠忌;⽩酒;烧酒;鸡尾酒;果酒（含酒精）;葡萄酒;烈酒（饮料）;⽶酒;酒精饮料（啤酒除外）;蒸馏饮料</t>
  </si>
  <si>
    <t>1161</t>
  </si>
  <si>
    <t>77519070</t>
  </si>
  <si>
    <t>杨明宝</t>
  </si>
  <si>
    <t>冀蒙大地</t>
  </si>
  <si>
    <t>威⼠忌;烧酒;⻩酒;葡萄酒;汽酒;鸡尾酒;⽶酒;⽩酒;烈酒（饮料）;果酒（含酒精）</t>
  </si>
  <si>
    <t>1190</t>
  </si>
  <si>
    <t>77524414</t>
  </si>
  <si>
    <t>合肥禄品医科生物科技有限公司</t>
  </si>
  <si>
    <t>明康御禄</t>
  </si>
  <si>
    <t>⽩酒;加烈葡萄酒;含酒精蛋奶酒;清酒;烈酒;⽩⼲酒（中国⽩酒）;果酒;⾼粱酒;⾕物制蒸馏酒精饮料;佐餐酒</t>
  </si>
  <si>
    <t>1191</t>
  </si>
  <si>
    <t>77524466</t>
  </si>
  <si>
    <t>建德市娇岱服饰经营部(个体工商户)</t>
  </si>
  <si>
    <t>酩明日</t>
  </si>
  <si>
    <t>葡萄酒;⽶酒;果酒（含酒精）;威⼠忌;⻩酒;鸡尾酒;酒精饮料（啤酒除外）;⽩酒;⽩兰地;预先混合的酒精饮料（以啤酒为主的除外）</t>
  </si>
  <si>
    <t>1192</t>
  </si>
  <si>
    <t>77524603</t>
  </si>
  <si>
    <t>山东多礼电子商务有限公司</t>
  </si>
  <si>
    <t>九福瑞</t>
  </si>
  <si>
    <t>果酒（含酒精）;含酒精的鸡尾酒混合饮品;调制好的葡萄酒鸡尾酒;以朗姆酒为主的饮料;⽶酒;利⼝酒;含酒精⽔果饮料;蒸煮提取物（利⼝酒和烈酒）;⽩酒;酒精饮料（啤酒除外）</t>
  </si>
  <si>
    <t>1193</t>
  </si>
  <si>
    <t>77524702</t>
  </si>
  <si>
    <t>杨荣丽</t>
  </si>
  <si>
    <t>露烤溪</t>
  </si>
  <si>
    <t>酒精饮料（啤酒除外）;⾼粱酒;果酒;苦荞酒;甜酒;⻘稞酒;⽶酒;⽩酒;清酒;葡萄酒</t>
  </si>
  <si>
    <t>1194</t>
  </si>
  <si>
    <t>77524704</t>
  </si>
  <si>
    <t>八达将</t>
  </si>
  <si>
    <t>⽩酒;⻩酒;⽶酒;蜂蜜酒;苹果酒;蒸煮提取物（利⼝酒和烈酒）;烧酒;樱桃酒;果酒（含酒精）;葡萄酒</t>
  </si>
  <si>
    <t>1195</t>
  </si>
  <si>
    <t>77524918</t>
  </si>
  <si>
    <t>郑换勤</t>
  </si>
  <si>
    <t>嘉速</t>
  </si>
  <si>
    <t>果酒;清酒;⽶酒;葡萄酒;甜酒;汽酒;⽩酒;开胃酒;⻩酒;⾷⽤酒精</t>
  </si>
  <si>
    <t>1196</t>
  </si>
  <si>
    <t>77525035</t>
  </si>
  <si>
    <t>吴猛</t>
  </si>
  <si>
    <t>昌沧</t>
  </si>
  <si>
    <t>⽩酒;葡萄酒;⻩酒;⾷⽤酒精;果酒;烈酒;清酒;⻘稞酒;烧酒;利⼝酒</t>
  </si>
  <si>
    <t>1197</t>
  </si>
  <si>
    <t>77525294</t>
  </si>
  <si>
    <t>中舰笑脸</t>
  </si>
  <si>
    <t>⽩酒;葡萄酒;⽶酒;⻩酒;威⼠忌;利⼝酒;鸡尾酒;果酒;⻘稞酒;烧酒</t>
  </si>
  <si>
    <t>1198</t>
  </si>
  <si>
    <t>77525327</t>
  </si>
  <si>
    <t>宁夏嘉之兰葡萄酒庄有限公司</t>
  </si>
  <si>
    <t>咤单</t>
  </si>
  <si>
    <t>烈酒;桃红葡萄酒;红葡萄酒;果酒;烈酒浓缩汁;烧酒;⽩⼲酒（中国⽩酒）;⽼酒（中国蒸馏烈酒）;葡萄酒;⽩葡萄酒</t>
  </si>
  <si>
    <t>1199</t>
  </si>
  <si>
    <t>77525868</t>
  </si>
  <si>
    <t>张云锋</t>
  </si>
  <si>
    <t>张士渊亚明</t>
  </si>
  <si>
    <t>⽩酒;开胃酒;葡萄酒;威⼠忌;伏特加酒;烧酒;⽩兰地;果酒（含酒精）;⽶酒;酒精饮料（啤酒除外）</t>
  </si>
  <si>
    <t>1200</t>
  </si>
  <si>
    <t>77526170</t>
  </si>
  <si>
    <t>青海互助久丰青稞酒酿造有限公司</t>
  </si>
  <si>
    <t>八坊水冰之蓝</t>
  </si>
  <si>
    <t>⻘稞酒;⽩酒;⻩酒;烧酒;烈酒（饮料）;清酒;汽酒;⽩⼲酒（中国⽩酒）;果酒（含酒精）;葡萄酒</t>
  </si>
  <si>
    <t>1201</t>
  </si>
  <si>
    <t>77526194</t>
  </si>
  <si>
    <t>夏大富</t>
  </si>
  <si>
    <t>大方伯</t>
  </si>
  <si>
    <t>含酒精的⽓泡⽔;烈性⼲酒;杨梅酒;红葡萄酒;⽶酒;⽼酒（中国蒸馏烈酒）;⽩⼲酒（中国⽩酒）;清酒（⽇本⽶酒）;⾷⽤酒精;⽔果汽酒</t>
  </si>
  <si>
    <t>1202</t>
  </si>
  <si>
    <t>77526421</t>
  </si>
  <si>
    <t>中孚健康管理有限公司</t>
  </si>
  <si>
    <t>孚中酉</t>
  </si>
  <si>
    <t>烧酒;果酒;伏特加酒;鸡尾酒;⽩兰地;⽶酒;葡萄酒;威⼠忌;⽩酒;⾷⽤酒精</t>
  </si>
  <si>
    <t>1203</t>
  </si>
  <si>
    <t>77526556</t>
  </si>
  <si>
    <t>古醉村</t>
  </si>
  <si>
    <t>开胃酒;鸡尾酒;烧酒;蜂蜜酒;⻩酒;清酒（⽇本⽶酒）;烈酒（饮料）;⽩酒;葡萄酒;预先混合的酒精饮料（以啤酒为主的除外）</t>
  </si>
  <si>
    <t>1204</t>
  </si>
  <si>
    <t>77526557</t>
  </si>
  <si>
    <t>甬宋都酒务</t>
  </si>
  <si>
    <t>⽶酒;烧酒;⻩酒;果酒（含酒精）;酒精饮料（啤酒除外）;苹果酒;葡萄酒;利⼝酒;含⽔果酒精饮料;⽩酒</t>
  </si>
  <si>
    <t>1205</t>
  </si>
  <si>
    <t>77526572</t>
  </si>
  <si>
    <t>广东仑酒销售有限公司</t>
  </si>
  <si>
    <t>仑酒</t>
  </si>
  <si>
    <t>烈酒;葡萄酒;清酒（⽇本⽶酒）;⽶酒;梅酒;⽩酒;⻩酒;烧酒;果酒;⻘稞酒</t>
  </si>
  <si>
    <t>1206</t>
  </si>
  <si>
    <t>77526634</t>
  </si>
  <si>
    <t>贵州万酌酒业集团有限公司</t>
  </si>
  <si>
    <t>家三爷</t>
  </si>
  <si>
    <t>烈酒（饮料）;⽼酒（中国蒸馏烈酒）;威⼠忌;利⼝酒;葡萄酒;⽩酒;薄荷酒;苹果酒;鸡尾酒;烧酒</t>
  </si>
  <si>
    <t>1207</t>
  </si>
  <si>
    <t>77526722</t>
  </si>
  <si>
    <t>威⼠忌;⻩酒;果酒;鸡尾酒;蒸馏饮料;⻘稞酒;⽶酒;⽩酒;⽩兰地;葡萄酒</t>
  </si>
  <si>
    <t>1208</t>
  </si>
  <si>
    <t>77526795</t>
  </si>
  <si>
    <t>上海玺优投资管理有限公司</t>
  </si>
  <si>
    <t>玺优健源</t>
  </si>
  <si>
    <t>由⾕物蒸馏的⽩酒;苹果酒;含酒精的饮料（啤酒除外）;酒精饮料（啤酒除外）;⽶酒;酒精饮料原汁;⻩酒;⽩酒;含酒精⽔果饮料;葡萄酒</t>
  </si>
  <si>
    <t>1209</t>
  </si>
  <si>
    <t>77526821</t>
  </si>
  <si>
    <t>WILHELM MAYBACH</t>
  </si>
  <si>
    <t>酒精饮料（啤酒除外）;朗姆酒;果酒;葡萄酒;⻩酒;蒸煮提取物（利⼝酒和烈酒）;⽩兰地;⽩酒;威⼠忌;鸡尾酒</t>
  </si>
  <si>
    <t>1210</t>
  </si>
  <si>
    <t>77526988</t>
  </si>
  <si>
    <t>隋太师</t>
  </si>
  <si>
    <t>鸡尾酒;烈酒;威⼠忌;烧酒;⻩酒;⽩兰地;⽩酒;⻘稞酒;葡萄酒;⽶酒</t>
  </si>
  <si>
    <t>1211</t>
  </si>
  <si>
    <t>77527078</t>
  </si>
  <si>
    <t>博赛简化股份公司-优质的葡萄酒家庭</t>
  </si>
  <si>
    <t>BOISSET LA FAMILLE DES GRANDS VINS</t>
  </si>
  <si>
    <t>葡萄酒;酒精饮料（啤酒除外）</t>
  </si>
  <si>
    <t>1212</t>
  </si>
  <si>
    <t>77527120</t>
  </si>
  <si>
    <t>黄振波</t>
  </si>
  <si>
    <t>矗起</t>
  </si>
  <si>
    <t>威⼠忌;⾷⽤酒精;酒精饮料（啤酒除外）;⽩兰地;烧酒;果酒（含酒精）;⽩酒;⻩酒;葡萄酒;⽶酒</t>
  </si>
  <si>
    <t>1213</t>
  </si>
  <si>
    <t>77527279</t>
  </si>
  <si>
    <t>上海启泰企业管理咨询有限公司</t>
  </si>
  <si>
    <t>诗意归谷</t>
  </si>
  <si>
    <t>蒸煮提取物（利⼝酒和烈酒）;烈酒（饮料）;葡萄酒;⽩兰地;⾷⽤酒精;威⼠忌;果酒（含酒精）;⽩酒;烧酒;酒精饮料（啤酒除外）</t>
  </si>
  <si>
    <t>1214</t>
  </si>
  <si>
    <t>77527887</t>
  </si>
  <si>
    <t>李文亮</t>
  </si>
  <si>
    <t>牧河春</t>
  </si>
  <si>
    <t>⻘稞酒;⻘梅酒;果酒（含酒精）;樱桃酒;⾼粱酒;⽩酒;葡萄酒;⽶酒;杨梅酒;⻩酒</t>
  </si>
  <si>
    <t>1215</t>
  </si>
  <si>
    <t>77527936</t>
  </si>
  <si>
    <t>裴保琴</t>
  </si>
  <si>
    <t>沉年华</t>
  </si>
  <si>
    <t>⽶酒;朗姆酒;⽩酒;以葡萄酒为主的饮料;酒精饮料（啤酒除外）;蒸馏饮料;含⽔果酒精饮料;烧酒;果酒（含酒精）;⾷⽤酒精</t>
  </si>
  <si>
    <t>1216</t>
  </si>
  <si>
    <t>77527999</t>
  </si>
  <si>
    <t>贵州贵阳乐尚餐饮服务有限公司</t>
  </si>
  <si>
    <t>浮霞九碗</t>
  </si>
  <si>
    <t>⽩⼲酒（中国⽩酒）;⻩酒;汽酒;威⼠忌;⽶酒;⽼酒（中国蒸馏烈酒）;果酒（含酒精）;葡萄酒;利⼝酒;鸡尾酒</t>
  </si>
  <si>
    <t>1217</t>
  </si>
  <si>
    <t>77528137</t>
  </si>
  <si>
    <t>重庆云集龙商贸有限公司</t>
  </si>
  <si>
    <t>吻化</t>
  </si>
  <si>
    <t>烧酒;⽶酒;⽩酒;果酒（含酒精）;⾷⽤酒精;鸡尾酒;葡萄酒;蒸馏⽶酒（泡盛酒）;⻩酒;烈酒（饮料）</t>
  </si>
  <si>
    <t>1218</t>
  </si>
  <si>
    <t>77528257</t>
  </si>
  <si>
    <t>穗门关</t>
  </si>
  <si>
    <t>清酒（⽇本⽶酒）;开胃酒;威⼠忌;酒精饮料（啤酒除外）;葡萄酒;⻩酒;鸡尾酒;⽩酒;果酒（含酒精）;烈酒</t>
  </si>
  <si>
    <t>1219</t>
  </si>
  <si>
    <t>77528420</t>
  </si>
  <si>
    <t>杭州晓拍文化有限公司</t>
  </si>
  <si>
    <t>晓拍 SMALL AUCTION</t>
  </si>
  <si>
    <t>⻩酒;樱桃酒;威⼠忌;预先混合的酒精饮料（以啤酒为主的除外）;甜果酒;清酒（⽇本⽶酒）;酒精饮料（啤酒除外）;果酒（含酒精）;⽩酒;葡萄酒</t>
  </si>
  <si>
    <t>1220</t>
  </si>
  <si>
    <t>77528837</t>
  </si>
  <si>
    <t>贵州靓寨果源农业有限公司</t>
  </si>
  <si>
    <t>靓寨果源</t>
  </si>
  <si>
    <t>⽔果汽酒;甜果酒;含酒精⽔果饮料;含酒精的饮料（啤酒除外）;果酒（含酒精）;含⽔果酒精饮料;葡萄酒;⽶酒;利⼝酒;鸡尾酒</t>
  </si>
  <si>
    <t>1221</t>
  </si>
  <si>
    <t>77528870</t>
  </si>
  <si>
    <t>馨心芳</t>
  </si>
  <si>
    <t>烈酒（饮料）;葡萄酒;鸡尾酒;烧酒;⽩兰地;⻩酒;酒精饮料（啤酒除外）;⽩酒;⽶酒;果酒（含酒精）</t>
  </si>
  <si>
    <t>1222</t>
  </si>
  <si>
    <t>77528877</t>
  </si>
  <si>
    <t>衡昌红韵</t>
  </si>
  <si>
    <t>⽩酒;⻘稞酒;⽩⼲酒（中国⽩酒）;含⽔果酒精饮料;葡萄酒;⽶酒;烧酒;开胃酒;⾼粱酒;⻩酒</t>
  </si>
  <si>
    <t>1223</t>
  </si>
  <si>
    <t>77528918</t>
  </si>
  <si>
    <t>宜宾华采堂酒业有限公司</t>
  </si>
  <si>
    <t>华春韵</t>
  </si>
  <si>
    <t>⽶酒;果酒（含酒精）;鸡尾酒;葡萄酒;烈酒（饮料）;酒精饮料（啤酒除外）;⻩酒;⽩酒;烧酒;清酒（⽇本⽶酒）</t>
  </si>
  <si>
    <t>1224</t>
  </si>
  <si>
    <t>77528952</t>
  </si>
  <si>
    <t>唐山振石企业管理服务有限公司</t>
  </si>
  <si>
    <t>聚能中星</t>
  </si>
  <si>
    <t>含⽔果酒精饮料;樱桃酒;酒精饮料（啤酒除外）;⽩酒;⾷⽤酒精;果酒;苹果酒;葡萄酒;⽶酒;⻩酒</t>
  </si>
  <si>
    <t>1225</t>
  </si>
  <si>
    <t>77528974</t>
  </si>
  <si>
    <t>王瑜</t>
  </si>
  <si>
    <t>黔王湖</t>
  </si>
  <si>
    <t>葡萄酒;蜂蜜酒;⻩酒;⽩酒;烧酒;烈酒（饮料）;鸡尾酒;开胃酒;清酒（⽇本⽶酒）;预先混合的酒精饮料（以啤酒为主的除外）</t>
  </si>
  <si>
    <t>1226</t>
  </si>
  <si>
    <t>77528993</t>
  </si>
  <si>
    <t>星火辉煌</t>
  </si>
  <si>
    <t>烈酒（饮料）;威⼠忌;酒精饮料（啤酒除外）;⽶酒;⻩酒;葡萄酒;烧酒;⽩酒;果酒（含酒精）;鸡尾酒</t>
  </si>
  <si>
    <t>1227</t>
  </si>
  <si>
    <t>77529390</t>
  </si>
  <si>
    <t>麻二嘴</t>
  </si>
  <si>
    <t>鸡尾酒;烈酒（饮料）;葡萄酒;⾷⽤酒精;蒸馏⽶酒（泡盛酒）;⻩酒;⽩酒;烧酒;⽶酒;果酒（含酒精）</t>
  </si>
  <si>
    <t>1228</t>
  </si>
  <si>
    <t>77529525</t>
  </si>
  <si>
    <t>宁沙</t>
  </si>
  <si>
    <t>果酒（含酒精）;⻩酒;鸡尾酒;⽩兰地;威⼠忌;⾷⽤酒精;葡萄酒;⽩酒;酒精饮料（啤酒除外）;烈酒（饮料）</t>
  </si>
  <si>
    <t>1229</t>
  </si>
  <si>
    <t>77529531</t>
  </si>
  <si>
    <t>裴希薇</t>
  </si>
  <si>
    <t>南泉南酒</t>
  </si>
  <si>
    <t>果酒（含酒精）;烧酒;⽩兰地;含⽔果酒精饮料;⽶酒;⻩酒;威⼠忌;⽩酒;鸡尾酒;朗姆酒</t>
  </si>
  <si>
    <t>1230</t>
  </si>
  <si>
    <t>77529550</t>
  </si>
  <si>
    <t>七甲半</t>
  </si>
  <si>
    <t>烧酒;果酒（含酒精）;鸡尾酒;⽩兰地;朗姆酒;⻩酒;⽩酒;含⽔果酒精饮料;⽶酒;威⼠忌</t>
  </si>
  <si>
    <t>1231</t>
  </si>
  <si>
    <t>77529588</t>
  </si>
  <si>
    <t>⽩兰地;酒精饮料（啤酒除外）;⻩酒;⽶酒;果酒（含酒精）;清酒（⽇本⽶酒）;⽩酒;蒸馏饮料;开胃酒;葡萄酒</t>
  </si>
  <si>
    <t>1232</t>
  </si>
  <si>
    <t>77529713</t>
  </si>
  <si>
    <t>四川旅创云顶文化旅游开发有限责任公司</t>
  </si>
  <si>
    <t>榄懒</t>
  </si>
  <si>
    <t>果酒;鸡尾酒;烧酒;酒精饮料（啤酒除外）;蒸馏饮料;威⼠忌;葡萄酒;清酒;⽩酒;⽩兰地</t>
  </si>
  <si>
    <t>1233</t>
  </si>
  <si>
    <t>77529960</t>
  </si>
  <si>
    <t>宋玉珍</t>
  </si>
  <si>
    <t>熊猫太忙</t>
  </si>
  <si>
    <t>鸡尾酒;汽酒;预先混合的酒精饮料（以啤酒为主的除外）;威⼠忌;⽶酒;葡萄酒;果酒（含酒精）;⽩酒;⻩酒;酒精饮料（啤酒除外）</t>
  </si>
  <si>
    <t>1234</t>
  </si>
  <si>
    <t>77530051</t>
  </si>
  <si>
    <t>七稻乡</t>
  </si>
  <si>
    <t>⽩酒;果酒（含酒精）;鸡尾酒;威⼠忌;葡萄酒;开胃酒;酒精饮料（啤酒除外）;⻩酒;清酒（⽇本⽶酒）;烈酒</t>
  </si>
  <si>
    <t>1235</t>
  </si>
  <si>
    <t>77530266</t>
  </si>
  <si>
    <t>吉林省子阳酒业有限公司</t>
  </si>
  <si>
    <t>鸿运谷</t>
  </si>
  <si>
    <t>刺五加酒;露酒;果酒（含酒精）;⾼粱酒;⽼酒（中国蒸馏烈酒）;烧酒;⽩⼲酒（中国⽩酒）;含酒精⽔果饮料;⽩酒;酒精饮料（啤酒除外）</t>
  </si>
  <si>
    <t>1236</t>
  </si>
  <si>
    <t>77530280</t>
  </si>
  <si>
    <t>黑龙江交投路域资源开发有限公司</t>
  </si>
  <si>
    <t>交投路遇</t>
  </si>
  <si>
    <t>烧酒;果酒（含酒精）;含⽔果酒精饮料;⽶酒;葡萄酒;朝鲜族⽶酒;⽩酒;已调味的⻨芽酿制的酒精饮料（啤酒除外）;含酒精的⽓泡⽔;威⼠忌</t>
  </si>
  <si>
    <t>1237</t>
  </si>
  <si>
    <t>77530296</t>
  </si>
  <si>
    <t>祁显温</t>
  </si>
  <si>
    <t>淘胖东</t>
  </si>
  <si>
    <t>威⼠忌;烧酒;果酒（含酒精）;⾷⽤酒精;⽩酒;以葡萄酒为主的饮料;含酒精的⽓泡⽔;⻘稞酒;⻩酒;⽶酒</t>
  </si>
  <si>
    <t>1238</t>
  </si>
  <si>
    <t>77530962</t>
  </si>
  <si>
    <t>施田垒</t>
  </si>
  <si>
    <t>蜂动</t>
  </si>
  <si>
    <t>酒精饮料原汁;⾷⽤酒精;葡萄酒;蜂蜜酒;烧酒;⽩酒;鸡尾酒;清酒（⽇本⽶酒）;预先混合的酒精饮料（以啤酒为主的除外）;果酒（含酒精）</t>
  </si>
  <si>
    <t>1239</t>
  </si>
  <si>
    <t>77530971</t>
  </si>
  <si>
    <t>朱德富</t>
  </si>
  <si>
    <t>兼品</t>
  </si>
  <si>
    <t>烧酒;蒸煮提取物（利⼝酒和烈酒）;葡萄酒;⽩酒;⻩酒;烈酒（饮料）;清酒;果酒（含酒精）;酒精饮料（啤酒除外）;开胃酒</t>
  </si>
  <si>
    <t>1240</t>
  </si>
  <si>
    <t>77531026</t>
  </si>
  <si>
    <t>肖丽雪</t>
  </si>
  <si>
    <t>赣名传</t>
  </si>
  <si>
    <t>烈酒（饮料）;⽩酒;⽼酒（中国蒸馏烈酒）;⽶酒;烧酒;⽩兰地;五加⽪酒（中国混合烈酒）;⾼粱酒;果酒（含酒精）;⻩酒</t>
  </si>
  <si>
    <t>1241</t>
  </si>
  <si>
    <t>77531027</t>
  </si>
  <si>
    <t>河南省宋河酒业股份有限公司</t>
  </si>
  <si>
    <t>宋河粮液问鼎</t>
  </si>
  <si>
    <t>⽩酒;酒精饮料原汁;薄荷酒;鸡尾酒;清酒（⽇本⽶酒）;⽶酒;果酒（含酒精）;酒精饮料（啤酒除外）;开胃酒;葡萄酒</t>
  </si>
  <si>
    <t>1242</t>
  </si>
  <si>
    <t>77531091</t>
  </si>
  <si>
    <t>深圳市安安吉环保科技有限公司</t>
  </si>
  <si>
    <t>尊贤泽</t>
  </si>
  <si>
    <t>果酒（含酒精）;⾕物制蒸馏酒精饮料;⽼酒（中国蒸馏烈酒）;含酒精的鸡尾酒混合饮品;苦荞酒;⽶酒;露酒;⾼粱酒;酒精饮料（啤酒除外）;⽩酒</t>
  </si>
  <si>
    <t>1243</t>
  </si>
  <si>
    <t>77531121</t>
  </si>
  <si>
    <t>科吕瑟实业（上海）有限公司</t>
  </si>
  <si>
    <t>味之斑斓</t>
  </si>
  <si>
    <t>葡萄酒;朗姆酒;威⼠忌;⽩酒;红葡萄酒;伏特加酒;⽩葡萄酒;蒸馏饮料;餐后酒（利⼝酒和烈酒）;果酒（含酒精）</t>
  </si>
  <si>
    <t>1244</t>
  </si>
  <si>
    <t>77531312</t>
  </si>
  <si>
    <t>深圳市星火云商贸企业</t>
  </si>
  <si>
    <t>LULISSA</t>
  </si>
  <si>
    <t>⽶酒;烧酒;葡萄酒;⻩酒;⽩酒;烈酒（饮料）;酒精饮料（啤酒除外）;清酒;果酒;鸡尾酒</t>
  </si>
  <si>
    <t>1245</t>
  </si>
  <si>
    <t>77531756</t>
  </si>
  <si>
    <t>四川林鹿公子生态农业有限公司</t>
  </si>
  <si>
    <t>林鹿公子</t>
  </si>
  <si>
    <t>果酒;烧酒;⽶酒;预先混合的酒精饮料（以啤酒为主的除外）;鸡尾酒;⽩酒;⻩酒;⾼粱酒;含⽔果酒精饮料;葡萄酒</t>
  </si>
  <si>
    <t>1274</t>
  </si>
  <si>
    <t>77538062</t>
  </si>
  <si>
    <t>盈草堂</t>
  </si>
  <si>
    <t>清酒;⽩酒;⽶酒;⾼粱酒;朝鲜烧酒;伏特加酒;⽩兰地;杜松⼦酒;果酒（含酒精）;⽇本梅⼦酒</t>
  </si>
  <si>
    <t>1275</t>
  </si>
  <si>
    <t>77538326</t>
  </si>
  <si>
    <t>山东省陈王酒业有限公司</t>
  </si>
  <si>
    <t>陈王双粮</t>
  </si>
  <si>
    <t>烧酒;果酒（含酒精）;蒸馏饮料;酒精饮料（啤酒除外）;⽩酒;⻩酒;开胃酒;烈酒（饮料）;⾷⽤酒精;含⽔果酒精饮料</t>
  </si>
  <si>
    <t>1276</t>
  </si>
  <si>
    <t>77538634</t>
  </si>
  <si>
    <t>醉三秋地蕴</t>
  </si>
  <si>
    <t>含⽔果酒精饮料;葡萄酒;烈酒（饮料）;⽩酒;酒精饮料浓缩汁;鸡尾酒;⽶酒;果酒（含酒精）;烧酒;⻩酒</t>
  </si>
  <si>
    <t>1277</t>
  </si>
  <si>
    <t>77538736</t>
  </si>
  <si>
    <t>太康县米禾农业发展有限公司</t>
  </si>
  <si>
    <t>柠霜</t>
  </si>
  <si>
    <t>烈酒（饮料）;酒精饮料（啤酒除外）;葡萄酒;含⽔果酒精饮料;鸡尾酒;果酒（含酒精）;开胃酒;⻩酒;蒸馏饮料;⽩酒</t>
  </si>
  <si>
    <t>1278</t>
  </si>
  <si>
    <t>77539414</t>
  </si>
  <si>
    <t>乐山妙山调子酒业有限公司</t>
  </si>
  <si>
    <t>渡三才</t>
  </si>
  <si>
    <t>⻩酒;⾷⽤酒精;朗姆酒;薄荷酒;⽶酒;果酒（含酒精）;伏特加酒;⾕物制蒸馏酒精饮料;⻘稞酒;苦味酒</t>
  </si>
  <si>
    <t>1279</t>
  </si>
  <si>
    <t>77539492</t>
  </si>
  <si>
    <t>史全牛</t>
  </si>
  <si>
    <t>每添优</t>
  </si>
  <si>
    <t>果酒;⽩酒;甜酒;⽶酒;⾷⽤酒精;开胃酒;清酒;汽酒;葡萄酒;⻩酒</t>
  </si>
  <si>
    <t>1280</t>
  </si>
  <si>
    <t>77539780</t>
  </si>
  <si>
    <t>杭州奋斗之露品牌管理有限公司</t>
  </si>
  <si>
    <t>镖族易物</t>
  </si>
  <si>
    <t>谷物制蒸馏酒精饮料;烧酒;白干酒（中国白酒）;水果汽酒;烧酒（烈酒）;含酒精的气泡水;高粱酒;烈酒;葡萄酒;蒸煮提取物（利口酒和烈酒）</t>
  </si>
  <si>
    <t>1281</t>
  </si>
  <si>
    <t>77539845</t>
  </si>
  <si>
    <t>荞乡古韵</t>
  </si>
  <si>
    <t>蒸馏饮料;鸡尾酒;酒精饮料（啤酒除外）;果酒（含酒精）;伏特加酒;葡萄酒;烧酒;威⼠忌;⽩酒;⽶酒</t>
  </si>
  <si>
    <t>1282</t>
  </si>
  <si>
    <t>77540183</t>
  </si>
  <si>
    <t>昆明醉美农业科技有限公司</t>
  </si>
  <si>
    <t>遗忘的部落</t>
  </si>
  <si>
    <t>红葡萄酒;汽酒;果酒（含酒精）;⽩酒;梅酒;⻘稞酒;露酒;含酒精的饮料（啤酒除外）;⽶酒;开胃酒</t>
  </si>
  <si>
    <t>1283</t>
  </si>
  <si>
    <t>77540281</t>
  </si>
  <si>
    <t>希妍态生物科技（烟台）有限公司</t>
  </si>
  <si>
    <t>师湙</t>
  </si>
  <si>
    <t>⽩酒;果酒;⽶酒;葡萄酒;餐后酒（利⼝酒和烈酒）;烈酒（饮料）;酒精饮料（啤酒除外）;⻩酒;⾷⽤酒精;烧酒</t>
  </si>
  <si>
    <t>1284</t>
  </si>
  <si>
    <t>77540337</t>
  </si>
  <si>
    <t>汤泽涌泉</t>
  </si>
  <si>
    <t>⽩酒;烧酒（烈酒）;⾼粱酒;⻩酒;⾕物制蒸馏酒精饮料;由⾕物蒸馏的⽩酒;烈酒（饮料）;果酒（含酒精）;⽼酒（中国蒸馏烈酒）;酒精饮料（啤酒除外）</t>
  </si>
  <si>
    <t>1285</t>
  </si>
  <si>
    <t>77540404</t>
  </si>
  <si>
    <t>何新明</t>
  </si>
  <si>
    <t>酩羌</t>
  </si>
  <si>
    <t>⽩酒;烈酒;含酒精的饮料（啤酒除外）;由⾕物蒸馏的⽩酒;果酒;⽶酒;烧酒;⾼粱酒;⻘稞酒;葡萄酒</t>
  </si>
  <si>
    <t>1286</t>
  </si>
  <si>
    <t>77540424</t>
  </si>
  <si>
    <t>北京怡福康宝商贸有限公司</t>
  </si>
  <si>
    <t>黄河之魂·龙礼</t>
  </si>
  <si>
    <t>果酒（含酒精）;⻩酒;⾷⽤酒精;餐后酒（利⼝酒和烈酒）;⻘稞酒;汽酒;⾕物制蒸馏酒精饮料;⽩酒;酒精饮料（啤酒除外）;葡萄酒</t>
  </si>
  <si>
    <t>1287</t>
  </si>
  <si>
    <t>77540535</t>
  </si>
  <si>
    <t>四川丰坛酒业有限公司</t>
  </si>
  <si>
    <t>蜀涛坊</t>
  </si>
  <si>
    <t>果酒（含酒精）;烧酒;葡萄酒;⽩兰地;威⼠忌;开胃酒;含⽔果酒精饮料;⽩酒;⽶酒;酒精饮料（啤酒除外）</t>
  </si>
  <si>
    <t>1288</t>
  </si>
  <si>
    <t>77540635</t>
  </si>
  <si>
    <t>银泰汇安（海南）投资有限公司</t>
  </si>
  <si>
    <t>MESTES</t>
  </si>
  <si>
    <t>汽酒;蒸馏饮料;餐后酒（利⼝酒和烈酒）;⽩酒;⾕物制蒸馏酒精饮料;⽶酒;开胃酒;酒精饮料（啤酒除外）;预先混合的酒精饮料（以啤酒为主的除外）;⾷⽤酒精</t>
  </si>
  <si>
    <t>1289</t>
  </si>
  <si>
    <t>77540706</t>
  </si>
  <si>
    <t>司清华</t>
  </si>
  <si>
    <t>莱恩红天</t>
  </si>
  <si>
    <t>开胃酒;果酒（含酒精）;⽩兰地;⽩酒;烈酒（饮料）;威⼠忌;汽酒;葡萄酒;利⼝酒;鸡尾酒</t>
  </si>
  <si>
    <t>1290</t>
  </si>
  <si>
    <t>77540928</t>
  </si>
  <si>
    <t>吴月亮</t>
  </si>
  <si>
    <t>剑刺酒</t>
  </si>
  <si>
    <t>烧酒;甜酒;果酒（含酒精）;⾼粱酒;烧酒（烈酒）;⽼酒（中国蒸馏烈酒）;⻩酒;⽩酒;烈酒</t>
  </si>
  <si>
    <t>1291</t>
  </si>
  <si>
    <t>77541127</t>
  </si>
  <si>
    <t>爱行天下文化传播（重庆）有限公司</t>
  </si>
  <si>
    <t>爱的圣殿</t>
  </si>
  <si>
    <t>⽩酒;甜酒;烧酒;⽩⼲酒（中国⽩酒）;⽶酒;鸡尾酒;⾷⽤酒精;开胃酒;葡萄酒;果酒</t>
  </si>
  <si>
    <t>1292</t>
  </si>
  <si>
    <t>77541195</t>
  </si>
  <si>
    <t>百里杜鹃菊轩酒坊（个人独资）</t>
  </si>
  <si>
    <t>菊轩</t>
  </si>
  <si>
    <t>鸡尾酒;杜松⼦酒;⻘稞酒;⽩酒;柑⾹酒;⾷⽤酒精;葡萄酒;汽酒;⻩酒;苹果酒</t>
  </si>
  <si>
    <t>1293</t>
  </si>
  <si>
    <t>77541218</t>
  </si>
  <si>
    <t>罗永周</t>
  </si>
  <si>
    <t>FLKL</t>
  </si>
  <si>
    <t>⻩酒;葡萄酒;⽩兰地;威⼠忌;伏特加酒;⽩酒;⾷⽤酒精;果酒（含酒精）;烈酒（饮料）;酒精饮料（啤酒除外）</t>
  </si>
  <si>
    <t>1294</t>
  </si>
  <si>
    <t>77541450</t>
  </si>
  <si>
    <t>湖南华兴酒业有限公司</t>
  </si>
  <si>
    <t>欧士盾</t>
  </si>
  <si>
    <t>朗姆酒;⽩兰地;杜松⼦酒;威⼠忌;果酒;伏特加酒;蜂蜜酒;⽩酒;鸡尾酒;利⼝酒</t>
  </si>
  <si>
    <t>1295</t>
  </si>
  <si>
    <t>77541611</t>
  </si>
  <si>
    <t>⻘稞酒;⾕物制蒸馏酒精饮料;餐后酒（利⼝酒和烈酒）;果酒（含酒精）;⽩酒;酒精饮料（啤酒除外）;汽酒;⾷⽤酒精;⻩酒;葡萄酒</t>
  </si>
  <si>
    <t>1296</t>
  </si>
  <si>
    <t>77541710</t>
  </si>
  <si>
    <t>宜君县科技工业园区发展有限公司</t>
  </si>
  <si>
    <t>药谷奇遇记</t>
  </si>
  <si>
    <t>白兰地; 蒸馏饮料; 白酒; 已调味的麦芽酿制的酒精饮料（啤酒除外）; 威士忌; 葡萄酒; 酒精饮料原汁; 黄酒; 伏特加酒; 薄荷酒</t>
  </si>
  <si>
    <t>1297</t>
  </si>
  <si>
    <t>77541941</t>
  </si>
  <si>
    <t>中吉康商业有限公司</t>
  </si>
  <si>
    <t>中吉康炫彩</t>
  </si>
  <si>
    <t>汽酒;⽩酒;鸡尾酒;清酒（⽇本⽶酒）;⻩酒;果酒（含酒精）;烧酒（烈酒）;酒精饮料（啤酒除外）;葡萄酒;烧酒</t>
  </si>
  <si>
    <t>1298</t>
  </si>
  <si>
    <t>77541983</t>
  </si>
  <si>
    <t>璞窖天下</t>
  </si>
  <si>
    <t>威⼠忌;朗姆酒;烈酒（饮料）;⾷⽤酒精;葡萄酒;⽩酒;⻩酒;伏特加酒;果酒（含酒精）;⽩兰地</t>
  </si>
  <si>
    <t>1299</t>
  </si>
  <si>
    <t>77542187</t>
  </si>
  <si>
    <t>中卫市泰龙农业科技有限公司</t>
  </si>
  <si>
    <t>骆小甜</t>
  </si>
  <si>
    <t>葡萄酒;含⽔果酒精饮料;⾕物制蒸馏酒精饮料;苹果酒;开胃酒;酒精饮料原汁;利⼝酒;果酒（含酒精）;汽酒;樱桃酒</t>
  </si>
  <si>
    <t>1300</t>
  </si>
  <si>
    <t>77542938</t>
  </si>
  <si>
    <t>商君子</t>
  </si>
  <si>
    <t>⽩酒;⻩酒;烧酒;酒精饮料原汁;餐后酒（利⼝酒和烈酒）;⽶酒;果酒（含酒精）;葡萄酒;酒精饮料（啤酒除外）;烈酒（饮料）</t>
  </si>
  <si>
    <t>1301</t>
  </si>
  <si>
    <t>77543543</t>
  </si>
  <si>
    <t>舒思伟</t>
  </si>
  <si>
    <t>舒坡醇酿</t>
  </si>
  <si>
    <t>⽩酒;酒精饮料（啤酒除外）;⻩酒;薄荷酒;含⽔果酒精饮料;果酒（含酒精）;开胃酒;蒸馏饮料;威⼠忌;葡萄酒</t>
  </si>
  <si>
    <t>1302</t>
  </si>
  <si>
    <t>77544292</t>
  </si>
  <si>
    <t>贵州省仁怀市茅台镇东泰酒业有限公司</t>
  </si>
  <si>
    <t>东泰小花厂</t>
  </si>
  <si>
    <t>烈酒（饮料）;⽶酒;烧酒;⽩兰地;果酒（含酒精）;⽩酒;鸡尾酒;开胃酒;酒精饮料（啤酒除外）;伏特加酒</t>
  </si>
  <si>
    <t>1303</t>
  </si>
  <si>
    <t>77544345</t>
  </si>
  <si>
    <t>四川省川崃香酒业有限公司</t>
  </si>
  <si>
    <t>钻石马赫</t>
  </si>
  <si>
    <t>⽩酒;葡萄酒;露酒;开胃酒;蒸馏饮料;⾕物制蒸馏酒精饮料;酒精饮料（啤酒除外）;含⽔果酒精饮料;果酒（含酒精）;餐后酒（利⼝酒和烈酒）</t>
  </si>
  <si>
    <t>1304</t>
  </si>
  <si>
    <t>77544423</t>
  </si>
  <si>
    <t>安达信贸易（莆田城厢）有限公司</t>
  </si>
  <si>
    <t>景隆号</t>
  </si>
  <si>
    <t>果酒（含酒精）;烧酒;⽩酒;葡萄酒;鸡尾酒;⻩酒;甜酒;汽酒;⽶酒;酒精饮料（啤酒除外）</t>
  </si>
  <si>
    <t>1305</t>
  </si>
  <si>
    <t>77545216</t>
  </si>
  <si>
    <t>贵州古脉酒业有限公司</t>
  </si>
  <si>
    <t>古脉基</t>
  </si>
  <si>
    <t>酒精饮料（啤酒除外）;⽶酒;伏特加酒;预先混合的酒精饮料（以啤酒为主的除外）;⻩酒;烧酒;烈酒（饮料）;⽩酒;⻘稞酒;⾷⽤酒精</t>
  </si>
  <si>
    <t>1306</t>
  </si>
  <si>
    <t>77545323</t>
  </si>
  <si>
    <t>寻世明</t>
  </si>
  <si>
    <t>读遵</t>
  </si>
  <si>
    <t>果酒（含酒精）;⽩酒;清酒;烧酒;烈酒;⾼粱酒;⾷⽤酒精;葡萄酒;⽶酒;⻩酒</t>
  </si>
  <si>
    <t>1307</t>
  </si>
  <si>
    <t>77545667</t>
  </si>
  <si>
    <t>海口龙华幻椰贸易商行（个体工商户）</t>
  </si>
  <si>
    <t>喊风</t>
  </si>
  <si>
    <t>鸡尾酒;以葡萄酒为主的饮料;含⽔果酒精饮料;清酒（⽇本⽶酒）;烧酒;梨酒;⽩酒;威⼠忌;果酒（含酒精）;⻩酒</t>
  </si>
  <si>
    <t>1308</t>
  </si>
  <si>
    <t>77545746</t>
  </si>
  <si>
    <t>衡昌珍露</t>
  </si>
  <si>
    <t>烧酒;⽩酒;⽩⼲酒（中国⽩酒）;含⽔果酒精饮料;⻩酒;蒸煮提取物（利⼝酒和烈酒）;开胃酒;⽶酒;⻘稞酒;⾼粱酒</t>
  </si>
  <si>
    <t>1309</t>
  </si>
  <si>
    <t>77545855</t>
  </si>
  <si>
    <t>小马智能科技（山东）有限公司</t>
  </si>
  <si>
    <t>浯潭</t>
  </si>
  <si>
    <t>⾷⽤酒精;烧酒;开胃酒;⽩酒;⽩⼲酒（中国⽩酒）;鸡尾酒;预先混合的酒精饮料（以啤酒为主的除外）;餐后酒（利⼝酒和烈酒）;蜂蜜酒;⽼酒（中国蒸馏烈酒）</t>
  </si>
  <si>
    <t>1310</t>
  </si>
  <si>
    <t>77546070</t>
  </si>
  <si>
    <t>天津元易技术有限公司</t>
  </si>
  <si>
    <t>中海元易</t>
  </si>
  <si>
    <t>葡萄酒;清酒（⽇本⽶酒）;⾷⽤酒精;⻩酒;烧酒;预先混合的酒精饮料（以啤酒为主的除外）;果酒;⽶酒;尼⽡（以⽢蔗为主的酒精饮料）;⽩酒</t>
  </si>
  <si>
    <t>1311</t>
  </si>
  <si>
    <t>77546170</t>
  </si>
  <si>
    <t>上海龙梦国际贸易有限公司</t>
  </si>
  <si>
    <t>LEMOTE</t>
  </si>
  <si>
    <t>⻩酒;果酒（含酒精）;威⼠忌;清酒;利⼝酒;葡萄酒;⽩兰地;朗姆酒;⽩酒;伏特加酒</t>
  </si>
  <si>
    <t>1312</t>
  </si>
  <si>
    <t>77546416</t>
  </si>
  <si>
    <t>彭军</t>
  </si>
  <si>
    <t>丐味</t>
  </si>
  <si>
    <t>⽶酒;威⼠忌;烧酒;葡萄酒;鸡尾酒;⻩酒;⽩酒;甜酒;果酒;⽩兰地</t>
  </si>
  <si>
    <t>1313</t>
  </si>
  <si>
    <t>77546761</t>
  </si>
  <si>
    <t>海南木瑶科技有限公司</t>
  </si>
  <si>
    <t>瑶壹方</t>
  </si>
  <si>
    <t>⽩兰地;威⼠忌;伏特加酒;烧酒;⽩酒;葡萄酒;⽶酒;果酒（含酒精）;酒精饮料（啤酒除外）;⻩酒</t>
  </si>
  <si>
    <t>1314</t>
  </si>
  <si>
    <t>77547014</t>
  </si>
  <si>
    <t>深圳毓秀文化科技有限公司</t>
  </si>
  <si>
    <t>媚川都</t>
  </si>
  <si>
    <t>⽩酒;⻩酒;甜酒;含酒精⽔果饮料;葡萄酒;含酒精的鸡尾酒混合饮品;酒精饮料原汁;⽶酒;⽼酒（中国蒸馏烈酒）</t>
  </si>
  <si>
    <t>1315</t>
  </si>
  <si>
    <t>77547054</t>
  </si>
  <si>
    <t>李强</t>
  </si>
  <si>
    <t>兰唤</t>
  </si>
  <si>
    <t>蒸馏饮料;葡萄酒;清酒;⽩酒;⽶酒;果酒;烧酒;预调甜酒;梅酒;⾼粱酒</t>
  </si>
  <si>
    <t>1316</t>
  </si>
  <si>
    <t>77547119</t>
  </si>
  <si>
    <t>北京华鑫海源酒业有限责任公司</t>
  </si>
  <si>
    <t>京子龙</t>
  </si>
  <si>
    <t>果酒（含酒精）;葡萄酒;酒精饮料原汁;⽶酒;⽩酒;威⼠忌;⻩酒;酒精饮料（啤酒除外）;汽酒;烧酒</t>
  </si>
  <si>
    <t>1317</t>
  </si>
  <si>
    <t>77547272</t>
  </si>
  <si>
    <t>贵州弘福蓉酒业有限公司</t>
  </si>
  <si>
    <t>弘福蓉</t>
  </si>
  <si>
    <t>⽩酒;酒精饮料（啤酒除外）;利⼝酒;烧酒;朝鲜族⽶酒;果酒（含酒精）;葡萄酒;烈酒;⾷⽤酒精;蒸煮提取物（利⼝酒和烈酒）</t>
  </si>
  <si>
    <t>1318</t>
  </si>
  <si>
    <t>77547498</t>
  </si>
  <si>
    <t>河南美度国际贸易有限公司</t>
  </si>
  <si>
    <t>汉象酒东家</t>
  </si>
  <si>
    <t>葡萄酒;烧酒;果酒（含酒精）;⽩酒;⽩兰地;酒精饮料（啤酒除外）;威⼠忌;⽶酒;清酒;⻩酒</t>
  </si>
  <si>
    <t>1319</t>
  </si>
  <si>
    <t>77547526</t>
  </si>
  <si>
    <t>贵州承珍酒业有限公司</t>
  </si>
  <si>
    <t>承珍上品</t>
  </si>
  <si>
    <t>酒精饮料（啤酒除外）;开胃酒;清酒（⽇本⽶酒）;⽩酒;⻩酒;蒸煮提取物（利⼝酒和烈酒）;果酒;烧酒;葡萄酒;⽶酒</t>
  </si>
  <si>
    <t>1320</t>
  </si>
  <si>
    <t>77547875</t>
  </si>
  <si>
    <t>蜀国春酒业股份有限公司</t>
  </si>
  <si>
    <t>川辣妹</t>
  </si>
  <si>
    <t>⽩酒;杨梅酒;蜂蜜酒;烈酒（饮料）;酒精饮料（啤酒除外）;⻘稞酒;⻘梅酒;露酒;⽩兰地;清酒（⽇本⽶酒）</t>
  </si>
  <si>
    <t>1321</t>
  </si>
  <si>
    <t>77547931</t>
  </si>
  <si>
    <t>种子酒祥和</t>
  </si>
  <si>
    <t>含⽔果酒精饮料;⽩酒;烧酒;鸡尾酒;酒精饮料浓缩汁;果酒（含酒精）;烈酒（饮料）;葡萄酒;⽶酒;⻩酒</t>
  </si>
  <si>
    <t>1322</t>
  </si>
  <si>
    <t>77547986</t>
  </si>
  <si>
    <t>扬州可以美科技有限公司</t>
  </si>
  <si>
    <t>可以美</t>
  </si>
  <si>
    <t>果酒;苦荞酒;鸡尾酒;⽶酒;杨梅酒;⾼粱酒;⻘稞酒;苹果酒;葡萄酒;⽩酒</t>
  </si>
  <si>
    <t>1323</t>
  </si>
  <si>
    <t>77548219</t>
  </si>
  <si>
    <t>欢聚巴蜀</t>
  </si>
  <si>
    <t>酒精饮料浓缩汁;含⽔果酒精饮料;⾷⽤酒精;葡萄酒;蒸煮提取物（利⼝酒和烈酒）;蒸馏饮料;⽩酒;鸡尾酒;果酒;⽶酒</t>
  </si>
  <si>
    <t>1324</t>
  </si>
  <si>
    <t>77548641</t>
  </si>
  <si>
    <t>R-SKY</t>
  </si>
  <si>
    <t>⽩酒;果酒（含酒精）;清酒（⽇本⽶酒）;酒精饮料（啤酒除外）;开胃酒;⻩酒;鸡尾酒;威⼠忌;烈酒;葡萄酒</t>
  </si>
  <si>
    <t>1325</t>
  </si>
  <si>
    <t>77549058</t>
  </si>
  <si>
    <t>湖北怡垚商贸有限公司</t>
  </si>
  <si>
    <t>怡垚贡</t>
  </si>
  <si>
    <t>⽩兰地;伏特加酒;⽩酒;葡萄酒;⽶酒;⾷⽤酒精;果酒（含酒精）;鸡尾酒;酒精饮料（啤酒除外）;烈酒（饮料）</t>
  </si>
  <si>
    <t>1326</t>
  </si>
  <si>
    <t>77549221</t>
  </si>
  <si>
    <t>贵州第壹悠选网络科技有限公司</t>
  </si>
  <si>
    <t>第E悠选</t>
  </si>
  <si>
    <t>开胃酒;汽酒;⾷⽤酒精;⻩酒;甜酒;果酒;葡萄酒;⽩酒;⽶酒;清酒</t>
  </si>
  <si>
    <t>1327</t>
  </si>
  <si>
    <t>77549257</t>
  </si>
  <si>
    <t>北京喜庆宏通科技有限公司</t>
  </si>
  <si>
    <t>帝沿</t>
  </si>
  <si>
    <t>葡萄酒;烧酒;⾼粱酒;果酒;含酒精的饮料（啤酒除外）;清酒;⽶酒;⽩酒;汽酒;⻩酒</t>
  </si>
  <si>
    <t>1328</t>
  </si>
  <si>
    <t>77549269</t>
  </si>
  <si>
    <t>贵公道</t>
  </si>
  <si>
    <t>⻩酒;果酒（含酒精）;⾕物制蒸馏酒精饮料;威⼠忌;⽩酒;⽶酒;葡萄酒;烈酒（饮料）;烧酒;酒精饮料（啤酒除外）</t>
  </si>
  <si>
    <t>1329</t>
  </si>
  <si>
    <t>77549284</t>
  </si>
  <si>
    <t>徐文明</t>
  </si>
  <si>
    <t>竹明小窖</t>
  </si>
  <si>
    <t>烈酒（饮料）;鸡尾酒;酒精饮料原汁;酒精饮料（啤酒除外）;⾷⽤酒精;⽶酒;⻩酒;果酒（含酒精）;烧酒;⽩酒</t>
  </si>
  <si>
    <t>1609</t>
  </si>
  <si>
    <t>77590965</t>
  </si>
  <si>
    <t>凌选华</t>
  </si>
  <si>
    <t>瀚京绝</t>
  </si>
  <si>
    <t>烈酒（饮料）;⽶酒;朗姆酒;⾕物制蒸馏酒精饮料;酒精饮料（啤酒除外）;葡萄酒;伏特加酒;⻩酒;⽩酒;⽩兰地</t>
  </si>
  <si>
    <t>1610</t>
  </si>
  <si>
    <t>77591145</t>
  </si>
  <si>
    <t>屈子舟</t>
  </si>
  <si>
    <t>烈酒（饮料）;开胃酒;鸡尾酒;利⼝酒;葡萄酒;含⽔果酒精饮料;⽶酒;烧酒;⻩酒;⽩酒</t>
  </si>
  <si>
    <t>1611</t>
  </si>
  <si>
    <t>77591303</t>
  </si>
  <si>
    <t>贵州省仁怀市方圆酒业销售有限公司</t>
  </si>
  <si>
    <t>半自安</t>
  </si>
  <si>
    <t>利⼝酒;威⼠忌;预先混合的酒精饮料（以啤酒为主的除外）;⻩酒;烈酒（饮料）;⽩酒;葡萄酒;⽶酒;果酒（含酒精）;烧酒</t>
  </si>
  <si>
    <t>1612</t>
  </si>
  <si>
    <t>77591353</t>
  </si>
  <si>
    <t>亳州中支酒业有限公司</t>
  </si>
  <si>
    <t>中健玖香</t>
  </si>
  <si>
    <t>苹果酒;⻩酒;果酒（含酒精）;樱桃酒;⽩酒;开胃酒;烧酒;蜂蜜酒;梨酒;葡萄酒</t>
  </si>
  <si>
    <t>1613</t>
  </si>
  <si>
    <t>77591641</t>
  </si>
  <si>
    <t>斟禄（上海）国际贸易有限公司</t>
  </si>
  <si>
    <t>亭雅城堡</t>
  </si>
  <si>
    <t>预先混合的酒精饮料（以啤酒为主的除外）;葡萄酒;⾕物制蒸馏酒精饮料;酸酒（低等葡萄酒）;甜果酒;威⼠忌;含⽔果酒精饮料;酒精饮料原汁;酒精饮料（啤酒除外）;酒精饮料浓缩汁</t>
  </si>
  <si>
    <t>1614</t>
  </si>
  <si>
    <t>77591861</t>
  </si>
  <si>
    <t>日光葡萄酒有限责任公司</t>
  </si>
  <si>
    <t>AMMUNITION</t>
  </si>
  <si>
    <t>已调味的蒸馏酒;酒精饮料（啤酒除外）;葡萄酒;⾷⽤酒精;⽼酒（中国蒸馏烈酒）;蒸馏饮料;烈酒</t>
  </si>
  <si>
    <t>1615</t>
  </si>
  <si>
    <t>77591924</t>
  </si>
  <si>
    <t>吴志永</t>
  </si>
  <si>
    <t>BETTADOL</t>
  </si>
  <si>
    <t>鸡尾酒;⽩酒;烧酒;⽶酒;酒精饮料（啤酒除外）;葡萄酒;⻩酒;威⼠忌;烈酒（饮料）;果酒（含酒精）</t>
  </si>
  <si>
    <t>1616</t>
  </si>
  <si>
    <t>77591927</t>
  </si>
  <si>
    <t>兰坪金利酒业有限责任公司</t>
  </si>
  <si>
    <t>⽩酒;葡萄酒;⽶酒;烧酒;苦荞酒;果酒;开胃酒;利⼝酒;⾼粱酒;⻘稞酒</t>
  </si>
  <si>
    <t>1945</t>
  </si>
  <si>
    <t>77657718</t>
  </si>
  <si>
    <t>严爱玲</t>
  </si>
  <si>
    <t>根嫂</t>
  </si>
  <si>
    <t>葡萄酒;⽩兰地;伏特加酒;⻩酒;烧酒;⻘稞酒;朗姆酒;⽶酒;清酒;⽩酒</t>
  </si>
  <si>
    <t>1946</t>
  </si>
  <si>
    <t>77658041</t>
  </si>
  <si>
    <t>雄武帝</t>
  </si>
  <si>
    <t>汽酒;⻩酒;葡萄酒;果酒（含酒精）;酒精饮料（啤酒除外）;鸡尾酒;威⼠忌;⾷⽤酒精;开胃酒;⽩酒</t>
  </si>
  <si>
    <t>1947</t>
  </si>
  <si>
    <t>77658327</t>
  </si>
  <si>
    <t>上海库能企业管理有限公司</t>
  </si>
  <si>
    <t>库能</t>
  </si>
  <si>
    <t>果酒（含酒精）;酒精饮料原汁;含⽔果酒精饮料;汽酒;含酒精⽔果饮料;含酒精的充⽓饮料（啤酒除外）;含酒精的⽔果鸡尾酒饮料;酒精饮料（啤酒除外）;⽔果汽酒;含酒精的鸡尾酒混合饮品</t>
  </si>
  <si>
    <t>1948</t>
  </si>
  <si>
    <t>77658461</t>
  </si>
  <si>
    <t>南京夏悦贸易有限公司</t>
  </si>
  <si>
    <t>悠珂思</t>
  </si>
  <si>
    <t>樱桃酒;⽶酒;葡萄酒;鸡尾酒;预先混合的酒精饮料（以啤酒为主的除外）;酒精饮料（啤酒除外）;⻩酒;薄荷酒;含⽔果酒精饮料;果酒（含酒精）</t>
  </si>
  <si>
    <t>1949</t>
  </si>
  <si>
    <t>77658826</t>
  </si>
  <si>
    <t>湖南弘联供应链管理有限公司</t>
  </si>
  <si>
    <t>贰零湘</t>
  </si>
  <si>
    <t>薄荷酒;⾕物制蒸馏酒精饮料;以葡萄酒为主的饮料;⽶酒;果酒（含酒精）;含⽔果酒精饮料;汽酒;⽩酒</t>
  </si>
  <si>
    <t>1950</t>
  </si>
  <si>
    <t>77659702</t>
  </si>
  <si>
    <t>黄邵云</t>
  </si>
  <si>
    <t>贵百苗</t>
  </si>
  <si>
    <t>⻩酒;酒精饮料（啤酒除外）;酒精饮料原汁;烧酒;⽶酒;烈酒（饮料）;葡萄酒;餐后酒（利⼝酒和烈酒）;⽩酒;果酒（含酒精）</t>
  </si>
  <si>
    <t>2024年03月30日</t>
  </si>
  <si>
    <t>1951</t>
  </si>
  <si>
    <t>77659755</t>
  </si>
  <si>
    <t>湖北麒麟优品科技有限公司</t>
  </si>
  <si>
    <t>时珍药仙堂</t>
  </si>
  <si>
    <t>烈酒（饮料）;预先混合的酒精饮料（以啤酒为主的除外）;汽酒;⻩酒;葡萄酒;果酒（含酒精）;开胃酒;含⽔果酒精饮料;⽶酒;⽩酒</t>
  </si>
  <si>
    <t>1952</t>
  </si>
  <si>
    <t>77660032</t>
  </si>
  <si>
    <t>张启云</t>
  </si>
  <si>
    <t>宋坊典</t>
  </si>
  <si>
    <t>清酒（⽇本⽶酒）;酒精饮料（啤酒除外）;⻩酒;开胃酒;烈酒;鸡尾酒;⽩酒;果酒（含酒精）;威⼠忌;葡萄酒</t>
  </si>
  <si>
    <t>1953</t>
  </si>
  <si>
    <t>77660134</t>
  </si>
  <si>
    <t>江苏中香酒业商贸有限公司</t>
  </si>
  <si>
    <t>扬子港</t>
  </si>
  <si>
    <t>烈酒（饮料）;⽩酒;葡萄酒;⽶酒;果酒（含酒精）;酒精饮料（啤酒除外）;清酒（⽇本⽶酒）;⻩酒;⾼粱酒;蒸煮提取物（利⼝酒和烈酒）;烧酒</t>
  </si>
  <si>
    <t>1954</t>
  </si>
  <si>
    <t>77660952</t>
  </si>
  <si>
    <t>山东竹叶酒业有限公司</t>
  </si>
  <si>
    <t>竹江景苑</t>
  </si>
  <si>
    <t>⽩⼲酒（中国⽩酒）;清酒;酒精饮料（啤酒除外）;果酒;⽼酒（中国蒸馏烈酒）;⽩酒;⽶酒;烧酒;⾷⽤酒精;烈酒</t>
  </si>
  <si>
    <t>1955</t>
  </si>
  <si>
    <t>77661358</t>
  </si>
  <si>
    <t>吕梁渣渣邸餐饮有限公司</t>
  </si>
  <si>
    <t>峪口沟</t>
  </si>
  <si>
    <t>薄荷酒;烧酒;⽩酒;葡萄酒;烧酒（烈酒）;葡萄汽酒;利⼝酒;⽶酒;⽩⼲酒（中国⽩酒）;⽼酒（中国蒸馏烈酒）</t>
  </si>
  <si>
    <t>1956</t>
  </si>
  <si>
    <t>77661427</t>
  </si>
  <si>
    <t>安徽省科妍贝生物科技有限公司</t>
  </si>
  <si>
    <t>科妍贝</t>
  </si>
  <si>
    <t>⽩酒;酒精饮料浓缩汁;酒精饮料（啤酒除外）;汽酒;果酒（含酒精）;含⽔果酒精饮料;酒精饮料原汁;葡萄酒;⻩酒;以葡萄酒为主的饮料</t>
  </si>
  <si>
    <t>1957</t>
  </si>
  <si>
    <t>77661449</t>
  </si>
  <si>
    <t>青岛太和春酒业有限公司</t>
  </si>
  <si>
    <t>华泰龙涎春</t>
  </si>
  <si>
    <t>⾼粱酒;甜酒;清酒;烧酒;⽩酒;含酒精的饮料（啤酒除外）;露酒;葡萄酒;樱桃酒;果酒</t>
  </si>
  <si>
    <t>1958</t>
  </si>
  <si>
    <t>77662181</t>
  </si>
  <si>
    <t>竹江韵</t>
  </si>
  <si>
    <t>烈酒;酒精饮料（啤酒除外）;⽩酒;⽼酒（中国蒸馏烈酒）;清酒;⽩⼲酒（中国⽩酒）;果酒;⽶酒;⾷⽤酒精;烧酒</t>
  </si>
  <si>
    <t>1959</t>
  </si>
  <si>
    <t>77662297</t>
  </si>
  <si>
    <t>中阳县泰信印章科技有限公司</t>
  </si>
  <si>
    <t>晋时空</t>
  </si>
  <si>
    <t>梨酒;苦荞酒;露酒;鸡尾酒;葡萄酒;⽩酒;⽶酒;烧酒;烈酒（饮料）;果酒（含酒精）</t>
  </si>
  <si>
    <t>1960</t>
  </si>
  <si>
    <t>77662342</t>
  </si>
  <si>
    <t>宫红娇</t>
  </si>
  <si>
    <t>御来福</t>
  </si>
  <si>
    <t>果酒（含酒精）;葡萄酒;⽶酒;⾼粱酒;露酒;⻘稞酒;烧酒;⽩酒;⻩酒;酒精饮料（啤酒除外）</t>
  </si>
  <si>
    <t>1961</t>
  </si>
  <si>
    <t>77662382</t>
  </si>
  <si>
    <t>合肥有人网络科技有限公司</t>
  </si>
  <si>
    <t>崇旭</t>
  </si>
  <si>
    <t>清酒（⽇本⽶酒）;含酒精的鸡尾酒混合饮品;⾼粱酒;⽩酒;⻩酒;以葡萄酒为主的饮料;威⼠忌;⽩⼲酒（中国⽩酒）;伏特加酒;葡萄酒</t>
  </si>
  <si>
    <t>1962</t>
  </si>
  <si>
    <t>77663030</t>
  </si>
  <si>
    <t>北京世纪广茂国际影视文化发展有限公司</t>
  </si>
  <si>
    <t>新史迹</t>
  </si>
  <si>
    <t>茴⾹酒（利⼝酒）;葡萄酒;酒精饮料（啤酒除外）;酒精饮料原汁;⽩兰地;威⼠忌;鸡尾酒;⽩酒;果酒（含酒精）;烈酒（饮料）</t>
  </si>
  <si>
    <t>1963</t>
  </si>
  <si>
    <t>77663093</t>
  </si>
  <si>
    <t>易燕花</t>
  </si>
  <si>
    <t>桂西施</t>
  </si>
  <si>
    <t>烈酒（饮料）;果酒（含酒精）;⽶酒;威⼠忌;鸡尾酒;葡萄酒;⽩酒;⻩酒;蜂蜜酒;清酒（⽇本⽶酒）</t>
  </si>
  <si>
    <t>1964</t>
  </si>
  <si>
    <t>77663263</t>
  </si>
  <si>
    <t>罗良坤</t>
  </si>
  <si>
    <t>蔚帝</t>
  </si>
  <si>
    <t>酒精饮料（啤酒除外）;⻩酒;葡萄酒;果酒（含酒精）;烈酒;开胃酒;鸡尾酒;威⼠忌;⽩酒;清酒（⽇本⽶酒）</t>
  </si>
  <si>
    <t>1965</t>
  </si>
  <si>
    <t>77663296</t>
  </si>
  <si>
    <t>湖南省和湘商贸有限公司</t>
  </si>
  <si>
    <t>和小黑</t>
  </si>
  <si>
    <t>果酒;含酒精的饮料（啤酒除外）;⻩酒;⽶酒;葡萄酒;⽩⼲酒（中国⽩酒）;甜酒;⽩酒;⽼酒（中国蒸馏烈酒）;烧酒</t>
  </si>
  <si>
    <t>1966</t>
  </si>
  <si>
    <t>77663434</t>
  </si>
  <si>
    <t>明府大明湖</t>
  </si>
  <si>
    <t>威⼠忌;果酒（含酒精）;酒精饮料（啤酒除外）;⽩酒;烧酒;清酒（⽇本⽶酒）;葡萄酒;鸡尾酒;⽶酒;⽩兰地</t>
  </si>
  <si>
    <t>1967</t>
  </si>
  <si>
    <t>77663528</t>
  </si>
  <si>
    <t>中堉建设集团有限公司</t>
  </si>
  <si>
    <t>果酒（含酒精）;烧酒;酒精饮料浓缩汁;⽶酒;⽩酒;酒精饮料（啤酒除外）;蒸馏饮料;烈酒（饮料）;葡萄酒;含⽔果酒精饮料</t>
  </si>
  <si>
    <t>1968</t>
  </si>
  <si>
    <t>77663734</t>
  </si>
  <si>
    <t>崂贡龙涎春</t>
  </si>
  <si>
    <t>樱桃酒;烧酒;⾼粱酒;葡萄酒;甜酒;含酒精的饮料（啤酒除外）;清酒;果酒;露酒;⽩酒</t>
  </si>
  <si>
    <t>1969</t>
  </si>
  <si>
    <t>77663843</t>
  </si>
  <si>
    <t>一杯沧海</t>
  </si>
  <si>
    <t>⽶酒;鸡尾酒;果酒（含酒精）;烧酒;葡萄酒;酒精饮料（啤酒除外）;威⼠忌;清酒（⽇本⽶酒）;⽩兰地;⽩酒</t>
  </si>
  <si>
    <t>1970</t>
  </si>
  <si>
    <t>77664245</t>
  </si>
  <si>
    <t>罗建帮</t>
  </si>
  <si>
    <t>故人愿</t>
  </si>
  <si>
    <t>开胃酒;葡萄酒;⻩酒;⽩酒;酒精饮料（啤酒除外）;鸡尾酒;清酒（⽇本⽶酒）;果酒（含酒精）;威⼠忌;烈酒</t>
  </si>
  <si>
    <t>1971</t>
  </si>
  <si>
    <t>77664289</t>
  </si>
  <si>
    <t>千妮</t>
  </si>
  <si>
    <t>⽩⼲酒（中国⽩酒）;⾼粱酒;以葡萄酒为主的饮料;清酒（⽇本⽶酒）;葡萄酒;⻩酒;威⼠忌;含酒精的鸡尾酒混合饮品;⽩酒;伏特加酒</t>
  </si>
  <si>
    <t>1972</t>
  </si>
  <si>
    <t>77664391</t>
  </si>
  <si>
    <t>沿河土家族自治县强村富民发展有限责任公司</t>
  </si>
  <si>
    <t>土巴娜</t>
  </si>
  <si>
    <t>以葡萄酒为主的饮料;⽩酒;汽酒;利⼝酒;鸡尾酒;⻩酒;⽩兰地;⻨芽威⼠忌;果酒（含酒精）;预先混合的酒精饮料（以啤酒为主的除外）</t>
  </si>
  <si>
    <t>1973</t>
  </si>
  <si>
    <t>77664584</t>
  </si>
  <si>
    <t>赤璀</t>
  </si>
  <si>
    <t>果酒（含酒精）;威⼠忌;开胃酒;⽩酒;⻩酒;清酒（⽇本⽶酒）;葡萄酒;鸡尾酒;酒精饮料（啤酒除外）;烈酒</t>
  </si>
  <si>
    <t>1974</t>
  </si>
  <si>
    <t>77664915</t>
  </si>
  <si>
    <t>丁欢乐</t>
  </si>
  <si>
    <t>苗长森</t>
  </si>
  <si>
    <t>⽩酒;⻩酒;烈酒（饮料）;酒精饮料（啤酒除外）;酒精饮料原汁;餐后酒（利⼝酒和烈酒）;果酒（含酒精）;烧酒;⽶酒;葡萄酒</t>
  </si>
  <si>
    <t>1351</t>
  </si>
  <si>
    <t>77551682</t>
  </si>
  <si>
    <t>王国福</t>
  </si>
  <si>
    <t>荆紫甘</t>
  </si>
  <si>
    <t>苦荞酒;葡萄酒;⽩酒;⽢蔗制烈酒;草莓酒;蜂蜜酒;⻩酒;由⾕物蒸馏的⽩酒;杨梅酒;⾼粱酒</t>
  </si>
  <si>
    <t>1352</t>
  </si>
  <si>
    <t>77551804</t>
  </si>
  <si>
    <t>通化市雨润商贸有限公司</t>
  </si>
  <si>
    <t>通秋</t>
  </si>
  <si>
    <t>含⽔果酒精饮料;烧酒;预先混合的酒精饮料（以啤酒为主的除外）;⽩酒;蒸馏饮料;果酒（含酒精）;酒精饮料（啤酒除外）;烈酒;⽶酒;葡萄酒</t>
  </si>
  <si>
    <t>1353</t>
  </si>
  <si>
    <t>77551865</t>
  </si>
  <si>
    <t>贵州品诗仙酒业有限公司</t>
  </si>
  <si>
    <t>八艺兿琴棋书画</t>
  </si>
  <si>
    <t>开胃酒;葡萄酒;威⼠忌;清酒（⽇本⽶酒）;⽩酒;烧酒;果酒（含酒精）;烈酒（饮料）;酒精饮料（啤酒除外）;⾕物制蒸馏酒精饮料</t>
  </si>
  <si>
    <t>1354</t>
  </si>
  <si>
    <t>77551954</t>
  </si>
  <si>
    <t>岐稷</t>
  </si>
  <si>
    <t>果酒（含酒精）;鸡尾酒;烧酒;⻘稞酒;⽩酒;⻩酒;酒精饮料浓缩汁;葡萄酒;⽶酒;酒精饮料（啤酒除外）</t>
  </si>
  <si>
    <t>1383</t>
  </si>
  <si>
    <t>77556016</t>
  </si>
  <si>
    <t>山东洛诗优集生物科技有限公司</t>
  </si>
  <si>
    <t>肆玖陆肆</t>
  </si>
  <si>
    <t>烈酒（饮料）;烧酒;⽩酒;葡萄酒;开胃酒;果酒（含酒精）;⽶酒;⾷⽤酒精;⻩酒;鸡尾酒</t>
  </si>
  <si>
    <t>1384</t>
  </si>
  <si>
    <t>77556221</t>
  </si>
  <si>
    <t>宋广</t>
  </si>
  <si>
    <t>清酒;威⼠忌;酒精饮料（啤酒除外）;⽔果汽酒;⽩⼲酒（中国⽩酒）;苹果酒;⽶酒;⻩酒;⽩酒;杨梅酒</t>
  </si>
  <si>
    <t>1385</t>
  </si>
  <si>
    <t>77556240</t>
  </si>
  <si>
    <t>湖北钟聚祥瑞酒业有限公司</t>
  </si>
  <si>
    <t>嘉之初</t>
  </si>
  <si>
    <t>威⼠忌;烧酒;葡萄酒;⻩酒;⽶酒;烈酒;⻘稞酒;酒精饮料（啤酒除外）;果酒（含酒精）;清酒（⽇本⽶酒）</t>
  </si>
  <si>
    <t>1386</t>
  </si>
  <si>
    <t>77556342</t>
  </si>
  <si>
    <t>甘肃天慕远方文化旅游发展有限责任公司</t>
  </si>
  <si>
    <t>云山泥瓮香</t>
  </si>
  <si>
    <t>葡萄酒;预先混合的酒精饮料（以啤酒为主的除外）;烧酒;⽩酒;⾼粱酒;果酒;烈酒;酒精饮料（啤酒除外）;甜酒;蒸馏饮料</t>
  </si>
  <si>
    <t>1387</t>
  </si>
  <si>
    <t>77556448</t>
  </si>
  <si>
    <t>小花厂富</t>
  </si>
  <si>
    <t>⽶酒;开胃酒;果酒（含酒精）;鸡尾酒;伏特加酒;⽩兰地;⽩酒;酒精饮料（啤酒除外）;烧酒;烈酒（饮料）</t>
  </si>
  <si>
    <t>1388</t>
  </si>
  <si>
    <t>77556518</t>
  </si>
  <si>
    <t>湖北翰森实业有限公司</t>
  </si>
  <si>
    <t>竹满天</t>
  </si>
  <si>
    <t>⽩酒;烈酒;⻩酒;酒精饮料（啤酒除外）;由⾕物蒸馏的⽩酒;⾷⽤酒精;蒸馏饮料;烧酒;清酒;⽶酒</t>
  </si>
  <si>
    <t>1389</t>
  </si>
  <si>
    <t>77556621</t>
  </si>
  <si>
    <t>宿迁京一企业管理咨询有限公司</t>
  </si>
  <si>
    <t>海棠天子</t>
  </si>
  <si>
    <t>果酒;清酒;烧酒;鸡尾酒;露酒;⻩酒;⽩兰地;⽶酒;葡萄酒;⽩酒</t>
  </si>
  <si>
    <t>1390</t>
  </si>
  <si>
    <t>77556720</t>
  </si>
  <si>
    <t>成都非凡生物高新科技有限公司</t>
  </si>
  <si>
    <t>KING VITALITY</t>
  </si>
  <si>
    <t>葡萄酒;烧酒;烈酒（饮料）;预先混合的酒精饮料（以啤酒为主的除外）;⽩酒;果酒;蒸馏饮料;酒精饮料原汁;酒精饮料（啤酒除外）;已调味的蒸馏酒</t>
  </si>
  <si>
    <t>1391</t>
  </si>
  <si>
    <t>77556957</t>
  </si>
  <si>
    <t>宿州市驰名商贸有限公司</t>
  </si>
  <si>
    <t>AOEIUU</t>
  </si>
  <si>
    <t>清酒（⽇本⽶酒）;葡萄酒;烈酒（饮料）;威⼠忌;⽶酒;烧酒;⽩兰地;⽩酒;果酒（含酒精）;酒精饮料（啤酒除外）</t>
  </si>
  <si>
    <t>1392</t>
  </si>
  <si>
    <t>77557006</t>
  </si>
  <si>
    <t>利⼝酒;威⼠忌;果酒（含酒精）;烈酒（饮料）;鸡尾酒;葡萄酒;酸酒（低等葡萄酒）;伏特加酒;汽酒;⽩兰地</t>
  </si>
  <si>
    <t>1393</t>
  </si>
  <si>
    <t>77557125</t>
  </si>
  <si>
    <t>西安金惠国际会展集团有限公司</t>
  </si>
  <si>
    <t>终南和悦</t>
  </si>
  <si>
    <t>果酒（含酒精）;清酒（⽇本⽶酒）;酒精饮料原汁;⽶酒;烈酒（饮料）;⽩兰地;葡萄酒;⽩酒;开胃酒;⻩酒</t>
  </si>
  <si>
    <t>1394</t>
  </si>
  <si>
    <t>77557141</t>
  </si>
  <si>
    <t>苏州昱麦食品科技有限公司</t>
  </si>
  <si>
    <t>江南可采桑</t>
  </si>
  <si>
    <t>⻩酒;⽩酒;清酒;果酒;烧酒;葡萄酒;⽶酒;⻘稞酒;蒸馏饮料;酒精饮料（啤酒除外）</t>
  </si>
  <si>
    <t>1395</t>
  </si>
  <si>
    <t>77557395</t>
  </si>
  <si>
    <t>陈美香</t>
  </si>
  <si>
    <t>悟天命</t>
  </si>
  <si>
    <t>威⼠忌;果酒（含酒精）;⽶酒;⻩酒;汽酒;⽩酒;⾕物制蒸馏酒精饮料;烧酒;葡萄酒</t>
  </si>
  <si>
    <t>1396</t>
  </si>
  <si>
    <t>77557753</t>
  </si>
  <si>
    <t>新疆启斯特商贸有限公司</t>
  </si>
  <si>
    <t>QIST</t>
  </si>
  <si>
    <t>烈酒（饮料）;蜂蜜酒;果酒（含酒精）;樱桃酒;葡萄酒;⽩酒;薄荷酒;威⼠忌;伏特加酒;⽩兰地</t>
  </si>
  <si>
    <t>1397</t>
  </si>
  <si>
    <t>77558197</t>
  </si>
  <si>
    <t>魏素芳</t>
  </si>
  <si>
    <t>池窖明珠 酒</t>
  </si>
  <si>
    <t>鸡尾酒;伏特加酒;葡萄酒;果酒（含酒精）;⽩酒;⽶酒;烧酒;清酒;果酒;威⼠忌</t>
  </si>
  <si>
    <t>1398</t>
  </si>
  <si>
    <t>77558567</t>
  </si>
  <si>
    <t>叶尔克西</t>
  </si>
  <si>
    <t>金山德瓦</t>
  </si>
  <si>
    <t>酒精饮料（啤酒除外）;朗姆酒;预先混合的酒精饮料（以啤酒为主的除外）;含酒精蛋奶酒;⽶酒;⽩酒;以朗姆酒为主的饮料;⻘稞酒;奶油利⼝酒;果酒（含酒精）</t>
  </si>
  <si>
    <t>1399</t>
  </si>
  <si>
    <t>77558595</t>
  </si>
  <si>
    <t>贵州生丰食品有限公司</t>
  </si>
  <si>
    <t>班嗯仕</t>
  </si>
  <si>
    <t>⽩酒;⾼粱酒;果酒;鸡尾酒;⻩酒;⻘稞酒;烧酒;威⼠忌;⽶酒;由⾕物蒸馏的⽩酒</t>
  </si>
  <si>
    <t>1400</t>
  </si>
  <si>
    <t>77558695</t>
  </si>
  <si>
    <t>富迎财禧</t>
  </si>
  <si>
    <t>葡萄酒;烧酒;⽩酒;利⼝酒;开胃酒;⽩兰地;烈酒（饮料）;⽶酒;含⽔果酒精饮料;⻩酒</t>
  </si>
  <si>
    <t>1401</t>
  </si>
  <si>
    <t>77558891</t>
  </si>
  <si>
    <t>许进禄</t>
  </si>
  <si>
    <t>粮典子均</t>
  </si>
  <si>
    <t>葡萄酒;⽩兰地;烧酒;蒸馏饮料;威⼠忌;⽶酒;⽩酒;开胃酒;鸡尾酒;利⼝酒</t>
  </si>
  <si>
    <t>1402</t>
  </si>
  <si>
    <t>77559101</t>
  </si>
  <si>
    <t>中海一品</t>
  </si>
  <si>
    <t>⽶酒;葡萄酒;尼⽡（以⽢蔗为主的酒精饮料）;⽩酒;⾷⽤酒精;预先混合的酒精饮料（以啤酒为主的除外）;果酒;清酒（⽇本⽶酒）;烧酒;⻩酒</t>
  </si>
  <si>
    <t>1403</t>
  </si>
  <si>
    <t>77560266</t>
  </si>
  <si>
    <t>傅琪琪</t>
  </si>
  <si>
    <t>祝秋</t>
  </si>
  <si>
    <t>果酒（含酒精）;葡萄酒;酒精饮料原汁;烈酒（饮料）;⽩酒;烧酒;酒精饮料（啤酒除外）;餐后酒（利⼝酒和烈酒）;⻩酒;⽶酒</t>
  </si>
  <si>
    <t>1404</t>
  </si>
  <si>
    <t>77560520</t>
  </si>
  <si>
    <t>四川厚润天卓企业管理有限公司</t>
  </si>
  <si>
    <t>京康安</t>
  </si>
  <si>
    <t>烧酒;葡萄酒;⻩酒;果酒（含酒精）;酒精饮料（啤酒除外）;⽩酒;烈酒（饮料）;⽶酒;鸡尾酒;清酒（⽇本⽶酒）</t>
  </si>
  <si>
    <t>1405</t>
  </si>
  <si>
    <t>77560545</t>
  </si>
  <si>
    <t>任邦良</t>
  </si>
  <si>
    <t>灌区印象</t>
  </si>
  <si>
    <t>伏特加酒;威⼠忌;清酒（⽇本⽶酒）;酒精饮料原汁;酒精饮料（啤酒除外）;烈酒（饮料）;⽩酒;葡萄酒;⽶酒;鸡尾酒</t>
  </si>
  <si>
    <t>1406</t>
  </si>
  <si>
    <t>77560625</t>
  </si>
  <si>
    <t>李旭</t>
  </si>
  <si>
    <t>鄂仙</t>
  </si>
  <si>
    <t>⻩酒;酒精饮料（啤酒除外）;鸡尾酒;威⼠忌;果酒（含酒精）;开胃酒;清酒（⽇本⽶酒）;烈酒;葡萄酒;⽩酒</t>
  </si>
  <si>
    <t>1407</t>
  </si>
  <si>
    <t>77560661</t>
  </si>
  <si>
    <t>连瑞香</t>
  </si>
  <si>
    <t>瑞来香</t>
  </si>
  <si>
    <t>⽩酒;果酒;威⼠忌;鸡尾酒;果酒（含酒精）;⽶酒;葡萄酒;⻘梅酒;含酒精的饮料（啤酒除外）;⾼粱酒</t>
  </si>
  <si>
    <t>1408</t>
  </si>
  <si>
    <t>77560860</t>
  </si>
  <si>
    <t>沈红平</t>
  </si>
  <si>
    <t>越之霖</t>
  </si>
  <si>
    <t>酒精饮料（啤酒除外）;烧酒;⻩酒;⽩酒;⽼酒（中国蒸馏烈酒）;⽶酒;⾼粱酒;果酒（含酒精）;汽酒;烈酒（饮料）</t>
  </si>
  <si>
    <t>1409</t>
  </si>
  <si>
    <t>77560870</t>
  </si>
  <si>
    <t>贵州贵仁宝生物科技有限公司</t>
  </si>
  <si>
    <t>箔丞</t>
  </si>
  <si>
    <t>果酒（含酒精）;⽶酒;烧酒（烈酒）;⻩酒;⽩酒;五加⽪酒（中国混合烈酒）;⽩⼲酒（中国⽩酒）;⾼粱酒;苦荞酒;烈酒（饮料）</t>
  </si>
  <si>
    <t>1410</t>
  </si>
  <si>
    <t>77560919</t>
  </si>
  <si>
    <t>菏泽新动力电子商务有限公司</t>
  </si>
  <si>
    <t>王健火车</t>
  </si>
  <si>
    <t>果酒;樱桃酒;汽酒;鸡尾酒;樱桃⽩兰地;苹果酒;葡萄酒;酒精饮料原汁;果酒（含酒精）;开胃酒</t>
  </si>
  <si>
    <t>1411</t>
  </si>
  <si>
    <t>77561003</t>
  </si>
  <si>
    <t>海南山河云咨询管理有限公司</t>
  </si>
  <si>
    <t>添福路</t>
  </si>
  <si>
    <t>⽶酒;甜酒;除啤酒外的酒精饮料;鸡尾酒;⽩酒;⾷⽤酒精;果酒;葡萄酒;⻩酒;威⼠忌</t>
  </si>
  <si>
    <t>1412</t>
  </si>
  <si>
    <t>77561033</t>
  </si>
  <si>
    <t>姚道猛</t>
  </si>
  <si>
    <t>国王的舌尖</t>
  </si>
  <si>
    <t>酒精饮料浓缩汁;⽶酒;葡萄酒;柑⾹酒;清酒（⽇本⽶酒）;酸酒（低等葡萄酒）;酒精饮料（啤酒除外）;⽩酒;鸡尾酒;⻩酒</t>
  </si>
  <si>
    <t>1413</t>
  </si>
  <si>
    <t>77561171</t>
  </si>
  <si>
    <t>烟台白洋河酿酒有限责任公司</t>
  </si>
  <si>
    <t>樽奢 NOBLELUXURY</t>
  </si>
  <si>
    <t>葡萄酒;含⽔果酒精饮料;利⼝酒;伏特加酒;汽酒;酒精饮料（啤酒除外）;果酒（含酒精）;威⼠忌;⽩兰地;开胃酒</t>
  </si>
  <si>
    <t>1414</t>
  </si>
  <si>
    <t>77561455</t>
  </si>
  <si>
    <t>河南润瀚玻璃有限公司</t>
  </si>
  <si>
    <t>烧酒;葡萄酒;鸡尾酒;⾼粱酒;开胃酒;果酒;⽩酒;蜂蜜酒;梨酒;⻩酒</t>
  </si>
  <si>
    <t>1415</t>
  </si>
  <si>
    <t>77561760</t>
  </si>
  <si>
    <t>禄昌烧坊</t>
  </si>
  <si>
    <t>⽩酒;⻩酒;葡萄酒;烈酒（饮料）;烧酒;⽶酒;威⼠忌;果酒（含酒精）;酒精饮料（啤酒除外）;⾕物制蒸馏酒精饮料</t>
  </si>
  <si>
    <t>1416</t>
  </si>
  <si>
    <t>77561773</t>
  </si>
  <si>
    <t>贵红娘</t>
  </si>
  <si>
    <t>白酒;葡萄酒;谷物制蒸馏酒精饮料;烧酒;米酒;酒精饮料（啤酒除外）;黄酒;果酒（含酒精）;烈酒（饮料）;威士忌</t>
  </si>
  <si>
    <t>1417</t>
  </si>
  <si>
    <t>77561887</t>
  </si>
  <si>
    <t>商海经济资讯（上饶）有限公司</t>
  </si>
  <si>
    <t>商海津</t>
  </si>
  <si>
    <t>⾕物制蒸馏酒精饮料;利⼝酒;酒精饮料（啤酒除外）;烧酒;⾷⽤酒精;葡萄酒;⻩酒;烈酒（饮料）;⽶酒;⽩酒</t>
  </si>
  <si>
    <t>1418</t>
  </si>
  <si>
    <t>77561977</t>
  </si>
  <si>
    <t>罗斌</t>
  </si>
  <si>
    <t>大唐承运</t>
  </si>
  <si>
    <t>⽩酒;清酒;烧酒;杨梅酒;甜酒;⻘稞酒;⻩酒;以葡萄酒为主的开胃酒;果酒;⻘梅酒</t>
  </si>
  <si>
    <t>1419</t>
  </si>
  <si>
    <t>77562183</t>
  </si>
  <si>
    <t>云南金康实业有限公司</t>
  </si>
  <si>
    <t>波多菲尔</t>
  </si>
  <si>
    <t>⽶酒;利⼝酒;葡萄酒;朗姆酒;威⼠忌;薄荷酒;汽酒;酒精饮料（啤酒除外）;蜂蜜酒;果酒（含酒精）</t>
  </si>
  <si>
    <t>1420</t>
  </si>
  <si>
    <t>77562253</t>
  </si>
  <si>
    <t>山西汾州府酒业集团有限公司</t>
  </si>
  <si>
    <t>锦波酌霞</t>
  </si>
  <si>
    <t>葡萄酒;⽩酒;烧酒;酒精饮料（啤酒除外）;⽶酒;⽼酒（中国蒸馏烈酒）;⾼粱酒;⻩酒;威⼠忌;鸡尾酒</t>
  </si>
  <si>
    <t>1421</t>
  </si>
  <si>
    <t>77562589</t>
  </si>
  <si>
    <t>北京昭阳日晟商贸有限公司</t>
  </si>
  <si>
    <t>巍澜</t>
  </si>
  <si>
    <t>果酒（含酒精）;含⽔果酒精饮料;烈酒（饮料）;利⼝酒;⾕物制蒸馏酒精饮料;⽶酒;⻩酒;清酒（⽇本⽶酒）;烧酒;⽩酒</t>
  </si>
  <si>
    <t>1422</t>
  </si>
  <si>
    <t>77562741</t>
  </si>
  <si>
    <t>变富祥</t>
  </si>
  <si>
    <t>利⼝酒;含⽔果酒精饮料;开胃酒;葡萄酒;⽶酒;⽩酒;⻩酒;烈酒（饮料）;烧酒;⽩兰地</t>
  </si>
  <si>
    <t>1423</t>
  </si>
  <si>
    <t>77562785</t>
  </si>
  <si>
    <t>妙凤富祥</t>
  </si>
  <si>
    <t>烧酒;⽩酒;烈酒（饮料）;开胃酒;⽩兰地;⻩酒;利⼝酒;含⽔果酒精饮料;葡萄酒;⽶酒</t>
  </si>
  <si>
    <t>1424</t>
  </si>
  <si>
    <t>77562789</t>
  </si>
  <si>
    <t>汪兴江</t>
  </si>
  <si>
    <t>季台御</t>
  </si>
  <si>
    <t>⽩酒;餐后酒（利⼝酒和烈酒）;果酒（含酒精）;⽶酒;⾷⽤酒精;烧酒;开胃酒;葡萄酒;烈酒（饮料）;⾕物制蒸馏酒精饮料</t>
  </si>
  <si>
    <t>1425</t>
  </si>
  <si>
    <t>77562964</t>
  </si>
  <si>
    <t>干沟杨山洞</t>
  </si>
  <si>
    <t>果酒（含酒精）;汽酒;⾷⽤酒精;⻩酒;甜酒;由⾕物蒸馏的⽩酒;⽩酒;葡萄酒;开胃酒;含酒精的饮料（啤酒除外）</t>
  </si>
  <si>
    <t>1426</t>
  </si>
  <si>
    <t>77562971</t>
  </si>
  <si>
    <t>罗艳冰</t>
  </si>
  <si>
    <t>皋盛</t>
  </si>
  <si>
    <t>清酒;利⼝酒;烈酒（饮料）;⻩酒;清酒（⽇本⽶酒）;果酒;⽶酒;烧酒;葡萄酒;⻘稞酒</t>
  </si>
  <si>
    <t>1427</t>
  </si>
  <si>
    <t>77563183</t>
  </si>
  <si>
    <t>云幄</t>
  </si>
  <si>
    <t>伏特加酒;鸡尾酒;⽩兰地;威⼠忌;酒精饮料（啤酒除外）;葡萄酒;烈酒（饮料）;朗姆酒;利⼝酒;果酒（含酒精）</t>
  </si>
  <si>
    <t>1428</t>
  </si>
  <si>
    <t>77563416</t>
  </si>
  <si>
    <t>河北滴溜酒业有限公司</t>
  </si>
  <si>
    <t>大名府古都瓷</t>
  </si>
  <si>
    <t>利⼝酒;伏特加酒;含⽔果酒精饮料;葡萄酒;蜂蜜酒;蒸馏饮料;蒸煮提取物（利⼝酒和烈酒）;⽩酒;果酒（含酒精）;酒精饮料（啤酒除外）</t>
  </si>
  <si>
    <t>1429</t>
  </si>
  <si>
    <t>77563440</t>
  </si>
  <si>
    <t>遵义嘉越汽车服务有限公司</t>
  </si>
  <si>
    <t>辞玉</t>
  </si>
  <si>
    <t>烈酒（饮料）;葡萄酒;果酒（含酒精）;⽶酒;⽢蔗制烈酒;⽩酒;酒精饮料（啤酒除外）;烧酒;鸡尾酒;⻩酒</t>
  </si>
  <si>
    <t>1430</t>
  </si>
  <si>
    <t>77563653</t>
  </si>
  <si>
    <t>河北健鸿科技有限公司</t>
  </si>
  <si>
    <t>和食仙</t>
  </si>
  <si>
    <t>蒸馏饮料;⻩酒;果酒;蒸煮提取物（利⼝酒和烈酒）;烧酒;鸡尾酒;⽶酒;⽩酒;⾷⽤酒精;葡萄酒</t>
  </si>
  <si>
    <t>1431</t>
  </si>
  <si>
    <t>77563800</t>
  </si>
  <si>
    <t>贵州高山流水酒业有限公司</t>
  </si>
  <si>
    <t>村知音</t>
  </si>
  <si>
    <t>葡萄酒;酒精饮料（啤酒除外）;⽶酒;开胃酒;⾷⽤酒精;烧酒;⽩酒;⽼酒（中国蒸馏烈酒）;⾼粱酒;果酒（含酒精）</t>
  </si>
  <si>
    <t>1432</t>
  </si>
  <si>
    <t>77564244</t>
  </si>
  <si>
    <t>贵州汇通酒业有限公司</t>
  </si>
  <si>
    <t>坚陞</t>
  </si>
  <si>
    <t>烈酒（饮料）;⽶酒;葡萄酒;⾷⽤酒精;⽩酒;开胃酒;餐后酒（利⼝酒和烈酒）;⾕物制蒸馏酒精饮料;烧酒;果酒（含酒精）</t>
  </si>
  <si>
    <t>1433</t>
  </si>
  <si>
    <t>77564474</t>
  </si>
  <si>
    <t>徽蕴金种子</t>
  </si>
  <si>
    <t>烈酒（饮料）;葡萄酒;⽶酒;果酒（含酒精）;鸡尾酒;含⽔果酒精饮料;⽩酒;烧酒;酒精饮料浓缩汁;⻩酒</t>
  </si>
  <si>
    <t>1434</t>
  </si>
  <si>
    <t>77564547</t>
  </si>
  <si>
    <t>黄皓</t>
  </si>
  <si>
    <t>黄昊</t>
  </si>
  <si>
    <t>⽩酒;鸡尾酒;清酒（⽇本⽶酒）;果酒（含酒精）;⻩酒;⽶酒;葡萄酒;烈酒（饮料）;酒精饮料（啤酒除外）;烧酒</t>
  </si>
  <si>
    <t>1435</t>
  </si>
  <si>
    <t>77564661</t>
  </si>
  <si>
    <t>丁铁家（412725********3518）</t>
  </si>
  <si>
    <t>丁老铁</t>
  </si>
  <si>
    <t>开胃酒;果酒（含酒精）;樱桃酒;蜂蜜酒;⻩酒;烧酒;⽩酒;苹果酒;葡萄酒;梨酒</t>
  </si>
  <si>
    <t>1436</t>
  </si>
  <si>
    <t>77564857</t>
  </si>
  <si>
    <t>廊坊嘉洋达商贸有限公司</t>
  </si>
  <si>
    <t>双清韵</t>
  </si>
  <si>
    <t>⻩酒;⽼酒（中国蒸馏烈酒）;⽩酒;清酒;⾼粱酒;含⽔果酒精饮料;烈酒;利⼝酒;酒精饮料（啤酒除外）;葡萄酒;烈酒（饮料）;烧酒;果酒（含酒精）</t>
  </si>
  <si>
    <t>1437</t>
  </si>
  <si>
    <t>77565048</t>
  </si>
  <si>
    <t>POWER TIME</t>
  </si>
  <si>
    <t>樱桃酒;樱桃⽩兰地;果酒（含酒精）;苹果酒;葡萄酒;果酒;开胃酒;鸡尾酒;汽酒;酒精饮料原汁</t>
  </si>
  <si>
    <t>1438</t>
  </si>
  <si>
    <t>77565088</t>
  </si>
  <si>
    <t>拉迪菲尔</t>
  </si>
  <si>
    <t>酒精饮料（啤酒除外）;汽酒;果酒（含酒精）;⽩酒;含⽔果酒精饮料;开胃酒;鸡尾酒;葡萄酒;利⼝酒;以葡萄酒为主的饮料</t>
  </si>
  <si>
    <t>1439</t>
  </si>
  <si>
    <t>77565184</t>
  </si>
  <si>
    <t>房之露株式会社</t>
  </si>
  <si>
    <t>房之红福</t>
  </si>
  <si>
    <t>酒精饮料（啤酒除外）;含⽔果酒精饮料;烧酒;杜松⼦酒;⽶酒;威⼠忌;蒸馏饮料;葡萄酒;利⼝酒;清酒（⽇本⽶酒）</t>
  </si>
  <si>
    <t>1440</t>
  </si>
  <si>
    <t>77565217</t>
  </si>
  <si>
    <t>温柔梦</t>
  </si>
  <si>
    <t>⻩酒;果酒（含酒精）;烧酒;葡萄酒;汽酒;⽩酒;⾕物制蒸馏酒精饮料;威⼠忌;⽶酒</t>
  </si>
  <si>
    <t>1441</t>
  </si>
  <si>
    <t>77565398</t>
  </si>
  <si>
    <t>季台御府</t>
  </si>
  <si>
    <t>开胃酒;⽶酒;⾷⽤酒精;葡萄酒;⾕物制蒸馏酒精饮料;果酒（含酒精）;烈酒（饮料）;⽩酒;餐后酒（利⼝酒和烈酒）;烧酒</t>
  </si>
  <si>
    <t>1442</t>
  </si>
  <si>
    <t>77565500</t>
  </si>
  <si>
    <t>干沟羊山洞</t>
  </si>
  <si>
    <t>汽酒;⽩酒;葡萄酒;含酒精的饮料（啤酒除外）;⾷⽤酒精;开胃酒;由⾕物蒸馏的⽩酒;果酒（含酒精）;甜酒;⻩酒</t>
  </si>
  <si>
    <t>1443</t>
  </si>
  <si>
    <t>77565550</t>
  </si>
  <si>
    <t>田野无界（上海）文化旅游发展有限公司</t>
  </si>
  <si>
    <t>田野无界</t>
  </si>
  <si>
    <t>蒸馏⽶酒（泡盛酒）;烧酒;清酒;葡萄酒;以葡萄酒为主的饮料;伏特加酒;果酒;开胃酒;⽶酒;⽩酒</t>
  </si>
  <si>
    <t>1444</t>
  </si>
  <si>
    <t>77565566</t>
  </si>
  <si>
    <t>尚浩</t>
  </si>
  <si>
    <t>尚康缘</t>
  </si>
  <si>
    <t>果酒;烧酒;⽩酒;酒精饮料（啤酒除外）;葡萄酒;清酒;鸡尾酒;⻩酒;烈酒（饮料）;⽶酒</t>
  </si>
  <si>
    <t>1445</t>
  </si>
  <si>
    <t>77565586</t>
  </si>
  <si>
    <t>古脉老</t>
  </si>
  <si>
    <t>酒精饮料（啤酒除外）;⻘稞酒;⾷⽤酒精;预先混合的酒精饮料（以啤酒为主的除外）;烧酒;伏特加酒;⽶酒;⽩酒;⻩酒;烈酒（饮料）</t>
  </si>
  <si>
    <t>1446</t>
  </si>
  <si>
    <t>77565937</t>
  </si>
  <si>
    <t>武汉市奥希电子商务有限公司</t>
  </si>
  <si>
    <t>懿补拾光</t>
  </si>
  <si>
    <t>鸡尾酒;烈酒（饮料）;⽶酒;⽩酒;⾷⽤酒精;威⼠忌;朗姆酒;⻩酒;果酒（含酒精）;葡萄酒</t>
  </si>
  <si>
    <t>1447</t>
  </si>
  <si>
    <t>77566023</t>
  </si>
  <si>
    <t>河南荷花酒业有限公司</t>
  </si>
  <si>
    <t>徽知味</t>
  </si>
  <si>
    <t>⽩酒;桃红葡萄酒;⽩葡萄酒;葡萄酒;清酒（⽇本⽶酒）;⻩酒;⾼粱酒;露酒;⽶酒;清酒;果酒;红葡萄酒;果酒（含酒精）</t>
  </si>
  <si>
    <t>1448</t>
  </si>
  <si>
    <t>77566337</t>
  </si>
  <si>
    <t>林梅珍</t>
  </si>
  <si>
    <t>女儿妆</t>
  </si>
  <si>
    <t>葡萄酒;梨酒;酒精饮料（啤酒除外）;预先混合的酒精饮料（以啤酒为主的除外）;鸡尾酒;烧酒;⽩酒;蒸馏饮料;⽶酒;⾕物制蒸馏酒精饮料</t>
  </si>
  <si>
    <t>1449</t>
  </si>
  <si>
    <t>77566610</t>
  </si>
  <si>
    <t>呈凤福祥</t>
  </si>
  <si>
    <t>烈酒（饮料）;⽩酒;开胃酒;葡萄酒;含⽔果酒精饮料;⻩酒;⽩兰地;烧酒;利⼝酒;⽶酒</t>
  </si>
  <si>
    <t>1450</t>
  </si>
  <si>
    <t>77567051</t>
  </si>
  <si>
    <t>梁林敏</t>
  </si>
  <si>
    <t>涯隘</t>
  </si>
  <si>
    <t>葡萄酒;蜂蜜酒;烈酒（饮料）;⽶酒;⻩酒;蒸馏饮料;蒸煮提取物（利⼝酒和烈酒）;烧酒;果酒（含酒精）;⽩酒</t>
  </si>
  <si>
    <t>1451</t>
  </si>
  <si>
    <t>77567241</t>
  </si>
  <si>
    <t>新疆名诺酒厂</t>
  </si>
  <si>
    <t>名小诺</t>
  </si>
  <si>
    <t>酒精饮料（啤酒除外）;⽶酒;鸡尾酒;⻘稞酒;葡萄酒;蜂蜜酒;⽩酒;预先混合的酒精饮料（以啤酒为主的除外）;酒精饮料原汁;果酒（含酒精）</t>
  </si>
  <si>
    <t>1452</t>
  </si>
  <si>
    <t>77567519</t>
  </si>
  <si>
    <t>肖秀莲</t>
  </si>
  <si>
    <t>华答卷</t>
  </si>
  <si>
    <t>威⼠忌;酒精饮料原汁;⻩酒;⾷⽤酒精;鸡尾酒;含⽔果酒精饮料;开胃酒;烈酒（饮料）;⽩酒;烧酒</t>
  </si>
  <si>
    <t>1453</t>
  </si>
  <si>
    <t>77567522</t>
  </si>
  <si>
    <t>贵州首部酒业有限公司</t>
  </si>
  <si>
    <t>天福谨造</t>
  </si>
  <si>
    <t>⽶酒;葡萄酒;餐后酒（利⼝酒和烈酒）;⻩酒;开胃酒;梨酒;烧酒;鸡尾酒;⽩兰地;⽩酒</t>
  </si>
  <si>
    <t>1454</t>
  </si>
  <si>
    <t>77567847</t>
  </si>
  <si>
    <t>徐俊刚</t>
  </si>
  <si>
    <t>憨小台</t>
  </si>
  <si>
    <t>⽶酒;⻩酒;烧酒（烈酒）;葡萄酒;果酒;酒精饮料（啤酒除外）;⽩酒;⾼粱酒;露酒;蒸煮提取物（利⼝酒和烈酒）</t>
  </si>
  <si>
    <t>1470</t>
  </si>
  <si>
    <t>77570622</t>
  </si>
  <si>
    <t>重庆北纬贰拾捌度食品开发有限公司</t>
  </si>
  <si>
    <t>乔小二</t>
  </si>
  <si>
    <t>含酒精的充⽓饮料（啤酒除外）;酒精饮料（啤酒除外）;⾼粱酒;含⽔果酒精饮料;含酒精⽔果饮料;果酒;⽩酒;⽶酒;葡萄酒;烈酒</t>
  </si>
  <si>
    <t>1486</t>
  </si>
  <si>
    <t>77573061</t>
  </si>
  <si>
    <t>佛山行韵科技有限公司</t>
  </si>
  <si>
    <t>畅元时刻</t>
  </si>
  <si>
    <t>开胃酒;薄荷酒;苦味酒;⾷⽤酒精;⽶酒;烈酒（饮料）;汽酒;蒸馏饮料;葡萄酒;鸡尾酒</t>
  </si>
  <si>
    <t>1487</t>
  </si>
  <si>
    <t>77573256</t>
  </si>
  <si>
    <t>北京君佑福缘商贸有限公司</t>
  </si>
  <si>
    <t>倾浊</t>
  </si>
  <si>
    <t>⽩酒;⽶酒;甜酒;烈酒;清酒;果酒;⽔果汽酒;朗姆酒;葡萄酒;⾼粱酒</t>
  </si>
  <si>
    <t>1488</t>
  </si>
  <si>
    <t>77573501</t>
  </si>
  <si>
    <t>赵勇</t>
  </si>
  <si>
    <t>槐蕴</t>
  </si>
  <si>
    <t>葡萄酒;⻩酒;⽩酒;蒸馏饮料;烧酒;⽶酒;果酒（含酒精）;鸡尾酒;酒精饮料（啤酒除外）;烈酒（饮料）</t>
  </si>
  <si>
    <t>1489</t>
  </si>
  <si>
    <t>77573819</t>
  </si>
  <si>
    <t>青岛彬图酒业有限公司</t>
  </si>
  <si>
    <t>陇域福</t>
  </si>
  <si>
    <t>⽶酒;⾕物制蒸馏酒精饮料;清酒（⽇本⽶酒）;酒精饮料（啤酒除外）;鸡尾酒;蒸馏饮料;烧酒;果酒（含酒精）;⽩酒;⽩⼲酒（中国⽩酒）</t>
  </si>
  <si>
    <t>1490</t>
  </si>
  <si>
    <t>77573862</t>
  </si>
  <si>
    <t>刘常禹</t>
  </si>
  <si>
    <t>臻市窖</t>
  </si>
  <si>
    <t>烈酒;⽶酒;威⼠忌;葡萄酒;酒精饮料（啤酒除外）;⽼酒（中国蒸馏烈酒）;⽩酒;烧酒;⾼粱酒;鸡尾酒</t>
  </si>
  <si>
    <t>1491</t>
  </si>
  <si>
    <t>77573935</t>
  </si>
  <si>
    <t>孙思含</t>
  </si>
  <si>
    <t>中百良百岁泉</t>
  </si>
  <si>
    <t>葡萄酒;酒精饮料（啤酒除外）;威⼠忌;果酒（含酒精）;⽶酒;⾷⽤酒精;开胃酒;⽩酒;⻩酒;烧酒</t>
  </si>
  <si>
    <t>1492</t>
  </si>
  <si>
    <t>77574112</t>
  </si>
  <si>
    <t>SMILE MORE</t>
  </si>
  <si>
    <t>鸡尾酒;⽩酒;葡萄酒;⻨芽威⼠忌;威⼠忌;果酒;起泡红葡萄酒;红葡萄酒;加烈葡萄酒</t>
  </si>
  <si>
    <t>1493</t>
  </si>
  <si>
    <t>77574175</t>
  </si>
  <si>
    <t>费县朋悦日用小百货零售店</t>
  </si>
  <si>
    <t>杏束</t>
  </si>
  <si>
    <t>含酒精⽔果饮料;鸡尾酒;⽩兰地;⾷⽤酒精;⽩酒;蒸馏饮料;葡萄酒;烈酒（饮料）;⽶酒;果酒（含酒精）</t>
  </si>
  <si>
    <t>1494</t>
  </si>
  <si>
    <t>77574315</t>
  </si>
  <si>
    <t>中食民安（北京）科技产业有限公司</t>
  </si>
  <si>
    <t>稻满虾堂</t>
  </si>
  <si>
    <t>果酒（含酒精）;烈酒（饮料）;⾷⽤酒精;⻩酒;苹果酒;⽩酒;⾕物制蒸馏酒精饮料;⻘稞酒;鸡尾酒;开胃酒</t>
  </si>
  <si>
    <t>1495</t>
  </si>
  <si>
    <t>77574689</t>
  </si>
  <si>
    <t>酒级文明（北京）酒业有限公司</t>
  </si>
  <si>
    <t>言史</t>
  </si>
  <si>
    <t>伏特加酒;⻩酒;烈酒（饮料）;⽩酒;⽩兰地;葡萄酒;⽶酒;果酒（含酒精）;鸡尾酒;清酒（⽇本⽶酒）</t>
  </si>
  <si>
    <t>1496</t>
  </si>
  <si>
    <t>77574859</t>
  </si>
  <si>
    <t>山东三多酒业有限公司</t>
  </si>
  <si>
    <t>薯实</t>
  </si>
  <si>
    <t>烈酒;⽩酒;除啤酒外的酒精饮料;烧酒（烈酒）;⾼粱酒;烧酒;⻩酒;烈酒（饮料）</t>
  </si>
  <si>
    <t>1497</t>
  </si>
  <si>
    <t>77575029</t>
  </si>
  <si>
    <t>宝岛台龙（厦门）酒业有限公司</t>
  </si>
  <si>
    <t>台颖</t>
  </si>
  <si>
    <t>酒精饮料（啤酒除外）;烧酒;⽩兰地;⽩酒;果酒;伏特加酒;威⼠忌;⽶酒;葡萄酒;鸡尾酒</t>
  </si>
  <si>
    <t>1498</t>
  </si>
  <si>
    <t>77575156</t>
  </si>
  <si>
    <t>张琬琳</t>
  </si>
  <si>
    <t>喜乐汉礼</t>
  </si>
  <si>
    <t>含酒精的⽓泡⽔;⽶酒;⻩酒;⾕物制蒸馏酒精饮料;果酒（含酒精）;⻘稞酒;以葡萄酒为主的饮料;蜂蜜酒;含⽔果酒精饮料;⽩酒</t>
  </si>
  <si>
    <t>1499</t>
  </si>
  <si>
    <t>77575262</t>
  </si>
  <si>
    <t>信阳鸡公山酒业技术开发有限公司</t>
  </si>
  <si>
    <t>鸡公山东方一叶</t>
  </si>
  <si>
    <t>⽩酒;鸡尾酒;梨酒;⻩酒;⽩兰地;⽶酒;烧酒;葡萄酒;樱桃酒;开胃酒</t>
  </si>
  <si>
    <t>1500</t>
  </si>
  <si>
    <t>77575430</t>
  </si>
  <si>
    <t>黄山市汉酒文化有限公司</t>
  </si>
  <si>
    <t>禧黍</t>
  </si>
  <si>
    <t>果酒（含酒精）;葡萄酒;烈酒（饮料）;⾕物制蒸馏酒精饮料;露酒;⽶酒;蒸馏饮料;餐后酒（利⼝酒和烈酒）;苹果酒;⽩酒</t>
  </si>
  <si>
    <t>1501</t>
  </si>
  <si>
    <t>77575707</t>
  </si>
  <si>
    <t>上海细胞治疗集团股份有限公司</t>
  </si>
  <si>
    <t>上细</t>
  </si>
  <si>
    <t>酒精饮料原汁;酒精饮料（啤酒除外）;含⽔果酒精饮料;烧酒;预先混合的酒精饮料（以啤酒为主的除外）;烈酒（饮料）;清酒（⽇本⽶酒）;酒精饮料浓缩汁;果酒（含酒精）;⽩酒</t>
  </si>
  <si>
    <t>1502</t>
  </si>
  <si>
    <t>77575881</t>
  </si>
  <si>
    <t>俏古京</t>
  </si>
  <si>
    <t>⽶酒;威⼠忌;清酒（⽇本⽶酒）;烧酒;⽩酒;葡萄酒;⽩兰地;⻩酒;果酒;烈酒（饮料）</t>
  </si>
  <si>
    <t>1503</t>
  </si>
  <si>
    <t>77575891</t>
  </si>
  <si>
    <t>东古京</t>
  </si>
  <si>
    <t>⽩酒;烧酒;果酒;葡萄酒;烈酒（饮料）;⻩酒;威⼠忌;清酒（⽇本⽶酒）;⽶酒;⽩兰地</t>
  </si>
  <si>
    <t>1504</t>
  </si>
  <si>
    <t>77575979</t>
  </si>
  <si>
    <t>付荣</t>
  </si>
  <si>
    <t>薏丰烧坊</t>
  </si>
  <si>
    <t>清酒;⽩酒;果酒（含酒精）;烧酒;⻩酒;葡萄酒;威⼠忌;⽩兰地;烈酒（饮料）;⾼粱酒</t>
  </si>
  <si>
    <t>1505</t>
  </si>
  <si>
    <t>77576007</t>
  </si>
  <si>
    <t>内蒙古蒙辉食品有限公司</t>
  </si>
  <si>
    <t>蒙辉良品</t>
  </si>
  <si>
    <t>⽩酒;烈酒（饮料）;⻩酒;果酒（含酒精）;酒精饮料（啤酒除外）;鸡尾酒;⽼酒（中国蒸馏烈酒）;⽶酒;葡萄酒;烧酒</t>
  </si>
  <si>
    <t>1506</t>
  </si>
  <si>
    <t>77576086</t>
  </si>
  <si>
    <t>肇庆市伦大农业有限公司</t>
  </si>
  <si>
    <t>伦太太</t>
  </si>
  <si>
    <t>烈酒（饮料）;⽶酒;葡萄酒;⾕物制蒸馏酒精饮料;威⼠忌;酒精饮料（啤酒除外）;⾷⽤酒精;含⽔果酒精饮料;果酒（含酒精）</t>
  </si>
  <si>
    <t>1507</t>
  </si>
  <si>
    <t>77576087</t>
  </si>
  <si>
    <t>华粤铭品电子商务（广州）有限公司</t>
  </si>
  <si>
    <t>大师龙辞</t>
  </si>
  <si>
    <t>葡萄酒;开胃酒;清酒（⽇本⽶酒）;⽶酒;⻘稞酒;烧酒;威⼠忌;⽩兰地;⽩酒;⻩酒</t>
  </si>
  <si>
    <t>1508</t>
  </si>
  <si>
    <t>77576444</t>
  </si>
  <si>
    <t>牛国娥</t>
  </si>
  <si>
    <t>卓越清花</t>
  </si>
  <si>
    <t>开胃酒;果酒;葡萄酒;汽酒;烈酒;⽼酒（中国蒸馏烈酒）;⾼粱酒;⽩酒;利⼝酒;由⾕物蒸馏的⽩酒</t>
  </si>
  <si>
    <t>1509</t>
  </si>
  <si>
    <t>77576490</t>
  </si>
  <si>
    <t>鸿运江南文士</t>
  </si>
  <si>
    <t>蒸馏饮料;⽩酒;苹果酒;清酒（⽇本⽶酒）;⻩酒;果酒（含酒精）;鸡尾酒;葡萄酒;烈酒（饮料）;⽶酒</t>
  </si>
  <si>
    <t>1510</t>
  </si>
  <si>
    <t>77576534</t>
  </si>
  <si>
    <t>君品江南文士</t>
  </si>
  <si>
    <t>⽩酒;果酒（含酒精）;葡萄酒;烈酒（饮料）;⽶酒;⻩酒;蒸馏饮料;苹果酒;鸡尾酒;清酒（⽇本⽶酒）</t>
  </si>
  <si>
    <t>1511</t>
  </si>
  <si>
    <t>77576544</t>
  </si>
  <si>
    <t>HELLO PENGYOU</t>
  </si>
  <si>
    <t>含⽔果酒精饮料;⾷⽤酒精;开胃酒;烧酒;汽酒;酒精饮料（啤酒除外）;蒸馏饮料;鸡尾酒;⽶酒;果酒（含酒精）</t>
  </si>
  <si>
    <t>1512</t>
  </si>
  <si>
    <t>77576591</t>
  </si>
  <si>
    <t>陕西国粹凤香酿酒有限公司</t>
  </si>
  <si>
    <t>粹凤香</t>
  </si>
  <si>
    <t>果酒（含酒精）;烧酒;⽩酒;蒸煮提取物（利⼝酒和烈酒）;⾷⽤酒精;葡萄酒;烈酒（饮料）;开胃酒;利⼝酒;酒精饮料原汁</t>
  </si>
  <si>
    <t>1513</t>
  </si>
  <si>
    <t>77576727</t>
  </si>
  <si>
    <t>周镇星</t>
  </si>
  <si>
    <t>水梦湾</t>
  </si>
  <si>
    <t>伏特加酒;⽩兰地;⻩酒;葡萄酒;果酒（含酒精）;威⼠忌;酒精饮料（啤酒除外）;⽶酒;以朗姆酒为主的饮料;⽩酒</t>
  </si>
  <si>
    <t>1514</t>
  </si>
  <si>
    <t>77577046</t>
  </si>
  <si>
    <t>庞月园</t>
  </si>
  <si>
    <t>玉雕玺</t>
  </si>
  <si>
    <t>⽩酒;果酒;⻩酒;⾼粱酒;清酒;含⽔果酒精饮料;⽶酒;烧酒;⾷⽤酒精;葡萄酒</t>
  </si>
  <si>
    <t>1515</t>
  </si>
  <si>
    <t>77577315</t>
  </si>
  <si>
    <t>鸡公山天尖</t>
  </si>
  <si>
    <t>鸡尾酒;白兰地;梨酒;米酒;樱桃酒;开胃酒;烧酒;白酒;葡萄酒;黄酒</t>
  </si>
  <si>
    <t>1516</t>
  </si>
  <si>
    <t>77577441</t>
  </si>
  <si>
    <t>蒙城县润尔颜食品有限公司</t>
  </si>
  <si>
    <t>润尔颜</t>
  </si>
  <si>
    <t>葡萄酒;酒精饮料（啤酒除外）;朗姆酒;⾷⽤酒精;含⽔果酒精饮料;清酒;果酒（含酒精）;烧酒;⽶酒</t>
  </si>
  <si>
    <t>1517</t>
  </si>
  <si>
    <t>77577681</t>
  </si>
  <si>
    <t>四川夏多利酒业有限公司</t>
  </si>
  <si>
    <t>言来</t>
  </si>
  <si>
    <t>⾕物制蒸馏酒精饮料;⻩酒;酒精饮料（啤酒除外）;⽩酒;⾷⽤酒精</t>
  </si>
  <si>
    <t>1518</t>
  </si>
  <si>
    <t>77577877</t>
  </si>
  <si>
    <t>贵州世代同宗酒业有限公司</t>
  </si>
  <si>
    <t>每代相根</t>
  </si>
  <si>
    <t>⽶酒;烧酒;⻩酒;果酒（含酒精）;⽩酒;酒精饮料（啤酒除外）;蒸馏⽶酒（泡盛酒）;⽼酒（中国蒸馏烈酒）;葡萄酒;蜂蜜酒</t>
  </si>
  <si>
    <t>1519</t>
  </si>
  <si>
    <t>77578010</t>
  </si>
  <si>
    <t>张文革</t>
  </si>
  <si>
    <t>千酩福</t>
  </si>
  <si>
    <t>烈酒;⽩酒;酒精饮料（啤酒除外）;果酒（含酒精）;⻩酒;鸡尾酒;葡萄酒;清酒（⽇本⽶酒）;威⼠忌;开胃酒</t>
  </si>
  <si>
    <t>1520</t>
  </si>
  <si>
    <t>77578042</t>
  </si>
  <si>
    <t>邯郸市公共交通集团有限公司</t>
  </si>
  <si>
    <t>郸硕优鲜</t>
  </si>
  <si>
    <t>⽶酒;⻩酒;鸡尾酒;⽩酒;果酒（含酒精）;含⽔果酒精饮料;烈酒（饮料）;烧酒;酒精饮料（啤酒除外）;葡萄酒</t>
  </si>
  <si>
    <t>1521</t>
  </si>
  <si>
    <t>77578121</t>
  </si>
  <si>
    <t>臻市</t>
  </si>
  <si>
    <t>烈酒;鸡尾酒;⽼酒（中国蒸馏烈酒）;烧酒;威⼠忌;⽶酒;酒精饮料（啤酒除外）;⽩酒;⾼粱酒;葡萄酒</t>
  </si>
  <si>
    <t>1522</t>
  </si>
  <si>
    <t>77578125</t>
  </si>
  <si>
    <t>刘浩</t>
  </si>
  <si>
    <t>祝乎</t>
  </si>
  <si>
    <t>葡萄酒;威⼠忌;酒精饮料（啤酒除外）;烈酒;⽩酒;果酒（含酒精）;开胃酒;鸡尾酒;⻩酒;清酒（⽇本⽶酒）</t>
  </si>
  <si>
    <t>1523</t>
  </si>
  <si>
    <t>77578236</t>
  </si>
  <si>
    <t>贵州省仁怀市飞天盛世酒业有限公司</t>
  </si>
  <si>
    <t>麒胜</t>
  </si>
  <si>
    <t>⽩⼲酒（中国⽩酒）;果酒;⽶酒;⾼粱酒;威⼠忌;鸡尾酒;⽩酒;⻩酒;烈酒;葡萄酒</t>
  </si>
  <si>
    <t>1524</t>
  </si>
  <si>
    <t>77578262</t>
  </si>
  <si>
    <t>江涛</t>
  </si>
  <si>
    <t>蓥兴</t>
  </si>
  <si>
    <t>酒精饮料（啤酒除外）;薄荷酒;⻩酒;蜂蜜酒;茴⾹酒;⽩酒;葡萄酒;苹果酒;⻘稞酒;烈酒（饮料）</t>
  </si>
  <si>
    <t>1525</t>
  </si>
  <si>
    <t>77578378</t>
  </si>
  <si>
    <t>河南豫坡酒业有限责任公司</t>
  </si>
  <si>
    <t>豫坡海棠花开</t>
  </si>
  <si>
    <t>酒精饮料（啤酒除外）;果酒（含酒精）;葡萄酒;含⽔果酒精饮料;酒精饮料原汁;⽩酒;⾷⽤酒精;蒸馏饮料;⽶酒;⻩酒</t>
  </si>
  <si>
    <t>1526</t>
  </si>
  <si>
    <t>77578446</t>
  </si>
  <si>
    <t>上海醉墨商贸有限公司</t>
  </si>
  <si>
    <t>拉美迩</t>
  </si>
  <si>
    <t>果酒（含酒精）;鸡尾酒;葡萄酒;烈酒（饮料）;清酒（⽇本⽶酒）;⻩酒;烧酒;⽩酒;酒精饮料（啤酒除外）;⽶酒</t>
  </si>
  <si>
    <t>1527</t>
  </si>
  <si>
    <t>77578575</t>
  </si>
  <si>
    <t>贵州省仁怀市百韧酒业有限公司</t>
  </si>
  <si>
    <t>声自远</t>
  </si>
  <si>
    <t>⽩酒;烈酒（饮料）;⻩酒;⽩兰地;开胃酒;鸡尾酒;⽶酒;果酒（含酒精）;威⼠忌;薄荷酒</t>
  </si>
  <si>
    <t>1528</t>
  </si>
  <si>
    <t>77579113</t>
  </si>
  <si>
    <t>敦煌市康源惠商贸有限公司</t>
  </si>
  <si>
    <t>梦敦</t>
  </si>
  <si>
    <t>葡萄酒;伏特加酒;⽩酒;⾼粱酒;⻘稞酒;⽩⼲酒（中国⽩酒）;由⾕物蒸馏的⽩酒</t>
  </si>
  <si>
    <t>1529</t>
  </si>
  <si>
    <t>77579196</t>
  </si>
  <si>
    <t>小黔堆</t>
  </si>
  <si>
    <t>汽酒;清酒（⽇本⽶酒）;烧酒;⽩兰地;⽩酒;⽶酒;葡萄酒;鸡尾酒;果酒（含酒精）;威⼠忌</t>
  </si>
  <si>
    <t>1530</t>
  </si>
  <si>
    <t>77579216</t>
  </si>
  <si>
    <t>东莞中乐环境科技有限公司</t>
  </si>
  <si>
    <t>傅胡诚</t>
  </si>
  <si>
    <t>⽩酒;⾷⽤酒精;烈酒（饮料）;酒精饮料（啤酒除外）;餐后酒（利⼝酒和烈酒）;⽶酒;葡萄酒;烈酒;果酒（含酒精）;酸酒（低等葡萄酒）</t>
  </si>
  <si>
    <t>1531</t>
  </si>
  <si>
    <t>77579582</t>
  </si>
  <si>
    <t>麻城市何阿林百货店</t>
  </si>
  <si>
    <t>世星</t>
  </si>
  <si>
    <t>⻘稞酒;果酒;开胃酒;⻩酒;清酒;鸡尾酒;葡萄酒;烈酒（饮料）;含酒精的充⽓饮料（啤酒除外）;⽩酒</t>
  </si>
  <si>
    <t>1532</t>
  </si>
  <si>
    <t>77579945</t>
  </si>
  <si>
    <t>李浩浩</t>
  </si>
  <si>
    <t>唐宫华府</t>
  </si>
  <si>
    <t>烧酒（烈酒）;⽶酒;⾕物制蒸馏酒精饮料;⻩酒;烧酒;⽼酒（中国蒸馏烈酒）;⽩酒;由⾕物蒸馏的⽩酒;⽩⼲酒（中国⽩酒）;⾼粱酒</t>
  </si>
  <si>
    <t>1533</t>
  </si>
  <si>
    <t>77579949</t>
  </si>
  <si>
    <t>梦古京</t>
  </si>
  <si>
    <t>果酒;清酒（⽇本⽶酒）;烧酒;⻩酒;葡萄酒;烈酒（饮料）;威⼠忌;⽩兰地;⽶酒;⽩酒</t>
  </si>
  <si>
    <t>1534</t>
  </si>
  <si>
    <t>77580059</t>
  </si>
  <si>
    <t>贵州君品酒业有限责任公司</t>
  </si>
  <si>
    <t>福满鸿</t>
  </si>
  <si>
    <t>开胃酒;葡萄酒;果酒（含酒精）;⽶酒;威⼠忌;酒精饮料原汁;鸡尾酒;⽩酒;酒精饮料（啤酒除外）;烧酒</t>
  </si>
  <si>
    <t>1535</t>
  </si>
  <si>
    <t>77580120</t>
  </si>
  <si>
    <t>贵州省仁怀市叁酱酒业有限公司</t>
  </si>
  <si>
    <t>仟犟</t>
  </si>
  <si>
    <t>烈酒（饮料）;⾕物制蒸馏酒精饮料;蒸馏饮料;含⽔果酒精饮料;⽩酒;⻩酒;⽶酒;⾼粱酒;蜂蜜酒;烧酒</t>
  </si>
  <si>
    <t>1536</t>
  </si>
  <si>
    <t>77580323</t>
  </si>
  <si>
    <t>上海旷繁花艺工作室(个人独资)</t>
  </si>
  <si>
    <t>旷野繁花</t>
  </si>
  <si>
    <t>⾷⽤酒精;⽩酒;威⼠忌;伏特加酒;⽶酒;含⽔果酒精饮料;含酒精的⽓泡⽔;酒精饮料浓缩汁;朗姆酒;酒精饮料（啤酒除外）</t>
  </si>
  <si>
    <t>1537</t>
  </si>
  <si>
    <t>77580409</t>
  </si>
  <si>
    <t>广汉市湔江古酿文化传播工作室（个体工商户）</t>
  </si>
  <si>
    <t>汉广赋</t>
  </si>
  <si>
    <t>果酒;酒精饮料（啤酒除外）;葡萄酒;开胃酒;⽶酒;⽩酒;烧酒;烈酒;威⼠忌;鸡尾酒</t>
  </si>
  <si>
    <t>1538</t>
  </si>
  <si>
    <t>77580841</t>
  </si>
  <si>
    <t>万诗豪360123********0739</t>
  </si>
  <si>
    <t>幽兰人富</t>
  </si>
  <si>
    <t>蒸馏饮料;鸡尾酒;⻩酒;甜酒;⽩酒;烈酒（饮料）;⽶酒;预先混合的酒精饮料（以啤酒为主的除外）;烧酒;果酒（含酒精）</t>
  </si>
  <si>
    <t>1539</t>
  </si>
  <si>
    <t>77580909</t>
  </si>
  <si>
    <t>吴兴岭</t>
  </si>
  <si>
    <t>环山客</t>
  </si>
  <si>
    <t>酒精饮料（啤酒除外）;烧酒;葡萄酒;⽶酒;开胃酒;含⽔果酒精饮料;⽩酒;⻩酒;烈酒（饮料）;鸡尾酒</t>
  </si>
  <si>
    <t>1540</t>
  </si>
  <si>
    <t>77580958</t>
  </si>
  <si>
    <t>馥丽诗</t>
  </si>
  <si>
    <t>酒精饮料（啤酒除外）;鸡尾酒;⽶酒;葡萄酒;含⽔果酒精饮料;⽩兰地;威⼠忌;酒精饮料原汁;酒精饮料浓缩汁;果酒（含酒精）</t>
  </si>
  <si>
    <t>1541</t>
  </si>
  <si>
    <t>77581295</t>
  </si>
  <si>
    <t>南通市哲凡生物科技有限公司</t>
  </si>
  <si>
    <t>愉拂堂</t>
  </si>
  <si>
    <t>蒸馏饮料;酒精饮料（啤酒除外）;含⽔果酒精饮料;⽩酒;葡萄酒;威⼠忌;⻩酒;果酒（含酒精）;薄荷酒;开胃酒</t>
  </si>
  <si>
    <t>1542</t>
  </si>
  <si>
    <t>77581525</t>
  </si>
  <si>
    <t>黑龙江省鹤溪泉酒厂</t>
  </si>
  <si>
    <t>百香竹</t>
  </si>
  <si>
    <t>烈酒（饮料）;烧酒;果酒（含酒精）;蒸馏饮料;⻩酒;五加⽪酒（中国混合烈酒）;含⽔果酒精饮料;⽶酒;⽼酒（中国蒸馏烈酒）;⽩酒</t>
  </si>
  <si>
    <t>1543</t>
  </si>
  <si>
    <t>77581542</t>
  </si>
  <si>
    <t>郭清华</t>
  </si>
  <si>
    <t>凡天下</t>
  </si>
  <si>
    <t>果酒;葡萄酒;鸡尾酒;⾼粱酒;蜂蜜酒;梨酒;⻩酒;⽩酒;烧酒;开胃酒</t>
  </si>
  <si>
    <t>1544</t>
  </si>
  <si>
    <t>77581549</t>
  </si>
  <si>
    <t>须天下</t>
  </si>
  <si>
    <t>葡萄酒;开胃酒;烧酒;鸡尾酒;⻩酒;⽩酒;蜂蜜酒;⾼粱酒;梨酒;果酒</t>
  </si>
  <si>
    <t>1545</t>
  </si>
  <si>
    <t>77581561</t>
  </si>
  <si>
    <t>以著烧坊</t>
  </si>
  <si>
    <t>果酒;⽩酒;葡萄酒;开胃酒;⻩酒;⾼粱酒;梨酒;蜂蜜酒;鸡尾酒;烧酒</t>
  </si>
  <si>
    <t>1546</t>
  </si>
  <si>
    <t>77581730</t>
  </si>
  <si>
    <t>张文</t>
  </si>
  <si>
    <t>大济舟</t>
  </si>
  <si>
    <t>⽶酒;酒精饮料（啤酒除外）;⽩酒;果酒（含酒精）;烧酒;⻩酒;蜂蜜酒;烈酒（饮料）;预先混合的酒精饮料（以啤酒为主的除外）;⾕物制蒸馏酒精饮料</t>
  </si>
  <si>
    <t>1547</t>
  </si>
  <si>
    <t>77581992</t>
  </si>
  <si>
    <t>江苏永牛安全技术工程有限公司</t>
  </si>
  <si>
    <t>画间</t>
  </si>
  <si>
    <t>清酒;⽩酒;葡萄酒;酒精饮料（啤酒除外）;⽶酒;⾷⽤酒精;⻩酒;果酒（含酒精）;烈酒（饮料）;烧酒</t>
  </si>
  <si>
    <t>1548</t>
  </si>
  <si>
    <t>77582039</t>
  </si>
  <si>
    <t>晋粹柔韵</t>
  </si>
  <si>
    <t>烈酒（饮料）;烧酒;⽶酒;蜂蜜酒;⽩酒;⻩酒;⾷⽤酒精;鸡尾酒;葡萄酒;预先混合的酒精饮料（以啤酒为主的除外）</t>
  </si>
  <si>
    <t>1549</t>
  </si>
  <si>
    <t>77582045</t>
  </si>
  <si>
    <t>晋粹清境</t>
  </si>
  <si>
    <t>蜂蜜酒;预先混合的酒精饮料（以啤酒为主的除外）;烧酒;⾷⽤酒精;⻩酒;鸡尾酒;葡萄酒;烈酒（饮料）;⽶酒;⽩酒</t>
  </si>
  <si>
    <t>1550</t>
  </si>
  <si>
    <t>77582097</t>
  </si>
  <si>
    <t>吕之粱</t>
  </si>
  <si>
    <t>开胃酒;利⼝酒;由⾕物蒸馏的⽩酒;⽼酒（中国蒸馏烈酒）;葡萄酒;果酒;汽酒;⾼粱酒;⽩酒;烈酒</t>
  </si>
  <si>
    <t>1551</t>
  </si>
  <si>
    <t>77582268</t>
  </si>
  <si>
    <t>徐宏</t>
  </si>
  <si>
    <t>宏姐</t>
  </si>
  <si>
    <t>开胃酒;苹果酒;薄荷酒;蒸馏饮料;鸡尾酒;苦味酒;茴⾹酒（利⼝酒）;茴芹酒（利⼝酒）;亚⼒酒;果酒（含酒精）</t>
  </si>
  <si>
    <t>1552</t>
  </si>
  <si>
    <t>77582342</t>
  </si>
  <si>
    <t>西上曲</t>
  </si>
  <si>
    <t>⻩酒;鸡尾酒;⽶酒;葡萄酒;⻘稞酒;⽩酒;烧酒;烈酒（饮料）;果酒（含酒精）;酒精饮料（啤酒除外）</t>
  </si>
  <si>
    <t>1553</t>
  </si>
  <si>
    <t>77582349</t>
  </si>
  <si>
    <t>宴齐云</t>
  </si>
  <si>
    <t>⽶酒;烧酒;烈酒（饮料）;⽩酒;酒精饮料（啤酒除外）;果酒（含酒精）;⻘稞酒;⻩酒;葡萄酒;鸡尾酒</t>
  </si>
  <si>
    <t>1554</t>
  </si>
  <si>
    <t>77582674</t>
  </si>
  <si>
    <t>留侯爷</t>
  </si>
  <si>
    <t>蜂蜜酒;果酒（含酒精）;⽩酒;烧酒;⻩酒;开胃酒;酒精饮料（啤酒除外）;黑醋栗酒;葡萄酒;汽酒</t>
  </si>
  <si>
    <t>1555</t>
  </si>
  <si>
    <t>77583085</t>
  </si>
  <si>
    <t>龙浩</t>
  </si>
  <si>
    <t>醉道远</t>
  </si>
  <si>
    <t>清酒（日本米酒）;白兰地;米酒;葡萄酒;白酒;黄酒;果酒（含酒精）;烈酒（饮料）;威士忌;烧酒</t>
  </si>
  <si>
    <t>1556</t>
  </si>
  <si>
    <t>77583184</t>
  </si>
  <si>
    <t>徐玮</t>
  </si>
  <si>
    <t>喜吾徐</t>
  </si>
  <si>
    <t>蒸馏饮料;果酒（含酒精）;葡萄酒;含水果酒精饮料;白酒;开胃酒;酒精饮料（啤酒除外）;黄酒;威士忌;薄荷酒</t>
  </si>
  <si>
    <t>1557</t>
  </si>
  <si>
    <t>77583287</t>
  </si>
  <si>
    <t>戴兰地</t>
  </si>
  <si>
    <t xml:space="preserve">	白酒; 米酒; 酒精饮料（啤酒除外）; 黄酒; 鸡尾酒; 苹果酒; 葡萄酒; 果酒（含酒精）; 烧酒; 烈酒（饮料）</t>
  </si>
  <si>
    <t>1558</t>
  </si>
  <si>
    <t>77583453</t>
  </si>
  <si>
    <t>彭显忠</t>
  </si>
  <si>
    <t>原玺</t>
  </si>
  <si>
    <t>葡萄酒;⽩酒;果酒（含酒精）;薄荷酒;开胃酒;威⼠忌;酒精饮料（啤酒除外）;⻩酒;含⽔果酒精饮料;蒸馏饮料</t>
  </si>
  <si>
    <t>1559</t>
  </si>
  <si>
    <t>77583529</t>
  </si>
  <si>
    <t>史言</t>
  </si>
  <si>
    <t>⽩酒;⽩兰地;⽶酒;果酒（含酒精）;清酒（⽇本⽶酒）;烈酒（饮料）;伏特加酒;⻩酒;鸡尾酒;葡萄酒</t>
  </si>
  <si>
    <t>1560</t>
  </si>
  <si>
    <t>77583791</t>
  </si>
  <si>
    <t>南古京</t>
  </si>
  <si>
    <t>烈酒（饮料）;果酒;葡萄酒;清酒（⽇本⽶酒）;威⼠忌;⽩兰地;⽩酒;烧酒;⽶酒;⻩酒</t>
  </si>
  <si>
    <t>1561</t>
  </si>
  <si>
    <t>77583817</t>
  </si>
  <si>
    <t>陕西环新节能科技有限公司</t>
  </si>
  <si>
    <t>亿万大喜</t>
  </si>
  <si>
    <t>白葡萄酒;除啤酒外的酒精饮料;白酒;果酒（含酒精）</t>
  </si>
  <si>
    <t>1562</t>
  </si>
  <si>
    <t>77583885</t>
  </si>
  <si>
    <t>更好遇见（青岛）酒店管理有限公司</t>
  </si>
  <si>
    <t>影都圈儿</t>
  </si>
  <si>
    <t>预调甜酒;鸡尾酒;烧酒;⻩酒;朗姆酒;果酒（含酒精）;葡萄酒;含⽔果酒精饮料;⽶酒;⽩酒</t>
  </si>
  <si>
    <t>1563</t>
  </si>
  <si>
    <t>77583911</t>
  </si>
  <si>
    <t>西咸新区沣东新城联花百货店</t>
  </si>
  <si>
    <t>烧酒;果酒（含酒精）;⾼粱酒;⽩⼲酒（中国⽩酒）;⻩酒;葡萄酒;酒精饮料（啤酒除外）;烈酒;⽶酒;⽩酒</t>
  </si>
  <si>
    <t>1564</t>
  </si>
  <si>
    <t>77584432</t>
  </si>
  <si>
    <t>陈天机</t>
  </si>
  <si>
    <t>融潭</t>
  </si>
  <si>
    <t>⾼粱酒;⻩酒;⽶酒;威⼠忌;⽩⼲酒（中国⽩酒）;果酒;⽩酒;鸡尾酒;葡萄酒;烈酒</t>
  </si>
  <si>
    <t>1565</t>
  </si>
  <si>
    <t>77584652</t>
  </si>
  <si>
    <t>海月谣</t>
  </si>
  <si>
    <t>⻩酒;⽶酒;烧酒;烈酒（饮料）;酒精饮料（啤酒除外）;鸡尾酒;⻘稞酒;⽩酒;葡萄酒;果酒（含酒精）</t>
  </si>
  <si>
    <t>1566</t>
  </si>
  <si>
    <t>77584728</t>
  </si>
  <si>
    <t>金水根</t>
  </si>
  <si>
    <t>同山金世醇</t>
  </si>
  <si>
    <t>⽼酒（中国蒸馏烈酒）;葡萄酒;⽩酒;果酒;酒精饮料（啤酒除外）;烧酒;鸡尾酒;蒸馏饮料;⻩酒;汽酒</t>
  </si>
  <si>
    <t>1567</t>
  </si>
  <si>
    <t>77585169</t>
  </si>
  <si>
    <t>深圳市东江制药有限公司</t>
  </si>
  <si>
    <t>正野山</t>
  </si>
  <si>
    <t>葡萄酒;露酒;苦艾酒;蜂蜜酒;⻘梅酒;果酒;樱桃酒;⻩酒;蝮蛇酒;⽩酒</t>
  </si>
  <si>
    <t>1568</t>
  </si>
  <si>
    <t>77585172</t>
  </si>
  <si>
    <t>广州黄飞鸿品牌推广有限公司</t>
  </si>
  <si>
    <t>果酒（含酒精）;利⼝酒;苦味酒;葡萄酒;蜂蜜酒;烈酒（饮料）;⽶酒;酒精饮料（啤酒除外）;含⽔果酒精饮料;⽩酒</t>
  </si>
  <si>
    <t>1569</t>
  </si>
  <si>
    <t>77585735</t>
  </si>
  <si>
    <t>福州世莉之选广告传媒有限责任公司</t>
  </si>
  <si>
    <t>世莉百货</t>
  </si>
  <si>
    <t>威⼠忌;⻩酒;蒸馏饮料;烈酒（饮料）;葡萄酒;酒精饮料（啤酒除外）;含⽔果酒精饮料;⽶酒;伏特加酒;⽩酒</t>
  </si>
  <si>
    <t>1570</t>
  </si>
  <si>
    <t>77585768</t>
  </si>
  <si>
    <t>圣峤（上海）国际贸易有限公司</t>
  </si>
  <si>
    <t>乔薇纳</t>
  </si>
  <si>
    <t>威⼠忌;果酒（含酒精）;苹果酒;鸡尾酒;烈酒（饮料）;⽩兰地;利⼝酒;朗姆酒;含⽔果酒精饮料;葡萄酒</t>
  </si>
  <si>
    <t>1571</t>
  </si>
  <si>
    <t>77585804</t>
  </si>
  <si>
    <t>宝马王子（中国）有限公司</t>
  </si>
  <si>
    <t>宝马醇</t>
  </si>
  <si>
    <t>⽩兰地;烧酒;⽩酒;清酒;威⼠忌;含⽔果酒精饮料;汽酒;鸡尾酒;⻩酒;葡萄酒</t>
  </si>
  <si>
    <t>1572</t>
  </si>
  <si>
    <t>77585925</t>
  </si>
  <si>
    <t>婺源县鸿大茶叶有限责任公司</t>
  </si>
  <si>
    <t>鸿盛婺</t>
  </si>
  <si>
    <t>开胃酒;烧酒;葡萄酒;含⽔果酒精饮料;鸡尾酒;⽶酒;⽩酒;⻩酒;蜂蜜酒;果酒（含酒精）</t>
  </si>
  <si>
    <t>1573</t>
  </si>
  <si>
    <t>77586194</t>
  </si>
  <si>
    <t>上海九灵重工科技有限公司</t>
  </si>
  <si>
    <t>JOOLINN</t>
  </si>
  <si>
    <t>杜松⼦酒;清酒（⽇本⽶酒）;⽢蔗制酒精饮料;朗姆酒;开胃酒;含⽔果酒精饮料;预先混合的酒精饮料（以啤酒为主的除外）;以葡萄酒为主的饮料;薄荷酒;酒精饮料原汁</t>
  </si>
  <si>
    <t>1574</t>
  </si>
  <si>
    <t>77586208</t>
  </si>
  <si>
    <t>临沂市河东区丁齐元日用品综合店</t>
  </si>
  <si>
    <t>杏雾</t>
  </si>
  <si>
    <t>烈酒（饮料）;⽩酒;⽩兰地;⾷⽤酒精;葡萄酒;蒸馏饮料;⽶酒;含酒精⽔果饮料;鸡尾酒;果酒（含酒精）</t>
  </si>
  <si>
    <t>1575</t>
  </si>
  <si>
    <t>77586578</t>
  </si>
  <si>
    <t>上海银城佳煜酒业有限公司</t>
  </si>
  <si>
    <t>CKJKYINCHENGJIAYU</t>
  </si>
  <si>
    <t>利⼝酒;⻩酒;⽩酒;烈酒（饮料）;烧酒;开胃酒;⽩兰地;果酒（含酒精）;⽶酒;威⼠忌</t>
  </si>
  <si>
    <t>1576</t>
  </si>
  <si>
    <t>77586656</t>
  </si>
  <si>
    <t>泸舞</t>
  </si>
  <si>
    <t>⽩酒;酒精饮料（啤酒除外）;⾷⽤酒精;⾕物制蒸馏酒精饮料;⻩酒</t>
  </si>
  <si>
    <t>1577</t>
  </si>
  <si>
    <t>77586710</t>
  </si>
  <si>
    <t>贵州君曲酒业有限公司</t>
  </si>
  <si>
    <t>君曲名</t>
  </si>
  <si>
    <t>⽩酒;葡萄酒;鸡尾酒;⻩酒;威⼠忌;伏特加酒;烧酒;朗姆酒;含⽔果酒精饮料;⽶酒</t>
  </si>
  <si>
    <t>1578</t>
  </si>
  <si>
    <t>77586856</t>
  </si>
  <si>
    <t>潘明惠</t>
  </si>
  <si>
    <t>店下农惠酒坊</t>
  </si>
  <si>
    <t>酒精饮料（啤酒除外）;⽼酒（中国蒸馏烈酒）;果酒;葡萄酒;⽶酒;⻩酒;烈酒（饮料）;烧酒;甜酒;⾼粱酒</t>
  </si>
  <si>
    <t>1579</t>
  </si>
  <si>
    <t>77587023</t>
  </si>
  <si>
    <t>刘宏</t>
  </si>
  <si>
    <t>始足</t>
  </si>
  <si>
    <t>酒精饮料（啤酒除外）;⾼粱酒;鸡尾酒;葡萄酒;烈酒;⾷⽤酒精;⽩酒;⽩⼲酒（中国⽩酒）;果酒</t>
  </si>
  <si>
    <t>1580</t>
  </si>
  <si>
    <t>77587041</t>
  </si>
  <si>
    <t>成都彼岸尚品商贸有限公司</t>
  </si>
  <si>
    <t>葡萄酒;⽩酒;伏特加酒;⽩⼲酒（中国⽩酒）;⽼酒（中国蒸馏烈酒）;烈性⼲酒;红葡萄酒;果酒;果酒（含酒精）;⽩葡萄酒;由⾕物蒸馏的⽩酒;⽶酒</t>
  </si>
  <si>
    <t>1581</t>
  </si>
  <si>
    <t>77587264</t>
  </si>
  <si>
    <t>山西泰昌顺商贸有限公司</t>
  </si>
  <si>
    <t>⽩兰地;⽩酒;蜂蜜酒;葡萄酒;⻩酒;威⼠忌;鸡尾酒;果酒（含酒精）;蒸煮提取物（利⼝酒和烈酒）;含⽔果酒精饮料</t>
  </si>
  <si>
    <t>1582</t>
  </si>
  <si>
    <t>77587352</t>
  </si>
  <si>
    <t>尊品江南文士</t>
  </si>
  <si>
    <t>⽩酒;果酒（含酒精）;清酒（⽇本⽶酒）;⽶酒;鸡尾酒;葡萄酒;烈酒（饮料）;苹果酒;⻩酒;蒸馏饮料</t>
  </si>
  <si>
    <t>1583</t>
  </si>
  <si>
    <t>77587382</t>
  </si>
  <si>
    <t>云上梯田元之梦</t>
  </si>
  <si>
    <t>⽶酒;葡萄酒;烈酒（饮料）;烧酒;酒精饮料（啤酒除外）;⽩酒;果酒（含酒精）;鸡尾酒;清酒（⽇本⽶酒）;⻩酒</t>
  </si>
  <si>
    <t>1584</t>
  </si>
  <si>
    <t>77587409</t>
  </si>
  <si>
    <t>阿不都克尤木·阿吉</t>
  </si>
  <si>
    <t>伊克巴力</t>
  </si>
  <si>
    <t>烈酒（饮料）;酒精饮料浓缩汁;利⼝酒;伏特加酒;鸡尾酒;苦味酒;酒精饮料（啤酒除外）;果酒（含酒精）;⽩兰地;威⼠忌</t>
  </si>
  <si>
    <t>1585</t>
  </si>
  <si>
    <t>77587796</t>
  </si>
  <si>
    <t>深圳市金佳利宏业贸易有限公司</t>
  </si>
  <si>
    <t>斯莫莉</t>
  </si>
  <si>
    <t>⽩酒;鸡尾酒;以葡萄酒为主的饮料;葡萄酒;⽩兰地;烈酒;威⼠忌;朗姆酒;伏特加酒;酒精饮料（啤酒除外）</t>
  </si>
  <si>
    <t>1586</t>
  </si>
  <si>
    <t>77587913</t>
  </si>
  <si>
    <t>广西鹿呦山生态养殖有限责任公司</t>
  </si>
  <si>
    <t>鹿呦山鹿鸣泉</t>
  </si>
  <si>
    <t>⽶酒;蒸馏饮料;葡萄酒;酒精饮料（啤酒除外）;⽩酒;清酒;利⼝酒;预先混合的酒精饮料（以啤酒为主的除外）;⻩酒;烧酒</t>
  </si>
  <si>
    <t>1587</t>
  </si>
  <si>
    <t>77588002</t>
  </si>
  <si>
    <t>岳松</t>
  </si>
  <si>
    <t>京公燥老爷</t>
  </si>
  <si>
    <t>⻩酒;⽩酒;葡萄酒;威⼠忌;酒精饮料浓缩汁;⽶酒;含⽔果酒精饮料;烧酒;朗姆酒;烈酒（饮料）</t>
  </si>
  <si>
    <t>1588</t>
  </si>
  <si>
    <t>77588425</t>
  </si>
  <si>
    <t>欣古京</t>
  </si>
  <si>
    <t>烈酒（饮料）;葡萄酒;威⼠忌;烧酒;清酒（⽇本⽶酒）;⽩酒;果酒;⽶酒;⽩兰地;⻩酒</t>
  </si>
  <si>
    <t>1589</t>
  </si>
  <si>
    <t>77588440</t>
  </si>
  <si>
    <t>西古京</t>
  </si>
  <si>
    <t>⽩酒;⽶酒;⻩酒;威⼠忌;葡萄酒;清酒（⽇本⽶酒）;烧酒;烈酒（饮料）;果酒;⽩兰地</t>
  </si>
  <si>
    <t>1590</t>
  </si>
  <si>
    <t>77588590</t>
  </si>
  <si>
    <t>中酒巡（深圳）国际进出口贸易有限公司</t>
  </si>
  <si>
    <t>香柰尔城堡</t>
  </si>
  <si>
    <t>果酒;鸡尾酒;葡萄酒;⽩兰地;⾷⽤酒精;汽酒;⻩酒;⽶酒;⽩酒;威⼠忌</t>
  </si>
  <si>
    <t>1591</t>
  </si>
  <si>
    <t>77588747</t>
  </si>
  <si>
    <t>恭贺新禧有限公司</t>
  </si>
  <si>
    <t>播叭精选</t>
  </si>
  <si>
    <t>蜂蜜酒;⽩酒;蒸馏饮料;⻩酒;含⽔果酒精饮料;蒸煮提取物（利⼝酒和烈酒）;葡萄酒;烧酒;⽶酒;酒精饮料（啤酒除外）</t>
  </si>
  <si>
    <t>1592</t>
  </si>
  <si>
    <t>77588749</t>
  </si>
  <si>
    <t>波尔多吉洛（厦门）进出口有限公司</t>
  </si>
  <si>
    <t>卡宴</t>
  </si>
  <si>
    <t>朗姆酒;⽩酒;利⼝酒;伏特加酒;酒精饮料（啤酒除外）;葡萄酒;烈酒（饮料）;⽩兰地;威⼠忌;清酒</t>
  </si>
  <si>
    <t>1593</t>
  </si>
  <si>
    <t>77588794</t>
  </si>
  <si>
    <t>王旭庆</t>
  </si>
  <si>
    <t>锐小白</t>
  </si>
  <si>
    <t>清酒（⽇本⽶酒）;葡萄酒;威⼠忌;⽩酒;果酒（含酒精）;酒精饮料（啤酒除外）;⻩酒;烈酒;鸡尾酒;开胃酒</t>
  </si>
  <si>
    <t>1594</t>
  </si>
  <si>
    <t>77588874</t>
  </si>
  <si>
    <t>吴志伟管理咨询（上海）有限公司</t>
  </si>
  <si>
    <t>吴志伟</t>
  </si>
  <si>
    <t>葡萄酒;清酒（⽇本⽶酒）;酒精饮料原汁;果酒（含酒精）;威⼠忌;烈酒（饮料）;烧酒;含⽔果酒精饮料;⽶酒;蒸馏饮料</t>
  </si>
  <si>
    <t>1595</t>
  </si>
  <si>
    <t>77588954</t>
  </si>
  <si>
    <t>成都风汇酒业有限公司</t>
  </si>
  <si>
    <t>醴崃</t>
  </si>
  <si>
    <t>由⾕物蒸馏的⽩酒;红葡萄酒;⽩葡萄酒;葡萄酒;⾼粱酒;⽼酒（中国蒸馏烈酒）;烧酒;烈酒;⽩酒;⽩⼲酒（中国⽩酒）</t>
  </si>
  <si>
    <t>1596</t>
  </si>
  <si>
    <t>77589079</t>
  </si>
  <si>
    <t>喜湃</t>
  </si>
  <si>
    <t>威⼠忌;⽶酒;烈酒;⾼粱酒;葡萄酒;果酒;⽩酒;⻩酒;鸡尾酒;⽩⼲酒（中国⽩酒）</t>
  </si>
  <si>
    <t>1597</t>
  </si>
  <si>
    <t>77589093</t>
  </si>
  <si>
    <t>百韧</t>
  </si>
  <si>
    <t>⻩酒;⽶酒;⽩酒;果酒（含酒精）;烈酒（饮料）;开胃酒;鸡尾酒;⽩兰地;威⼠忌;薄荷酒</t>
  </si>
  <si>
    <t>1598</t>
  </si>
  <si>
    <t>77589550</t>
  </si>
  <si>
    <t>道八方 酒</t>
  </si>
  <si>
    <t>鸡尾酒;⽩酒;威⼠忌;⽶酒;⽩兰地;烧酒;葡萄酒;果酒（含酒精）;烈酒（饮料）;酒精饮料（啤酒除外）</t>
  </si>
  <si>
    <t>1599</t>
  </si>
  <si>
    <t>77589687</t>
  </si>
  <si>
    <t>福鼎市嵛山岛茶业有限公司</t>
  </si>
  <si>
    <t>WDLC</t>
  </si>
  <si>
    <t>酒精饮料（啤酒除外）;烧酒;⻩酒;⽩酒;葡萄酒;烈酒（饮料）;清酒（⽇本⽶酒）;⽶酒;甜酒;果酒（含酒精）</t>
  </si>
  <si>
    <t>1600</t>
  </si>
  <si>
    <t>77589782</t>
  </si>
  <si>
    <t>贵州省仁怀市茂达酒业有限公司</t>
  </si>
  <si>
    <t>林小勇江君</t>
  </si>
  <si>
    <t>果酒（含酒精）;鸡尾酒;烧酒（烈酒）;葡萄酒;⾼粱酒;⽩酒;酒精饮料（啤酒除外）;⽼酒（中国蒸馏烈酒）;⽶酒;利⼝酒</t>
  </si>
  <si>
    <t>1601</t>
  </si>
  <si>
    <t>77589919</t>
  </si>
  <si>
    <t>呼伦贝尔扬程食品销售有限责任公司</t>
  </si>
  <si>
    <t>隆威佰岁</t>
  </si>
  <si>
    <t>果酒（含酒精）;鸡尾酒;酒精饮料（啤酒除外）;⻩酒;清酒（⽇本⽶酒）;葡萄酒;烈酒（饮料）;烧酒;⽩酒;⽶酒</t>
  </si>
  <si>
    <t>1617</t>
  </si>
  <si>
    <t>77592033</t>
  </si>
  <si>
    <t>深圳贝思投资有限公司</t>
  </si>
  <si>
    <t>年小满</t>
  </si>
  <si>
    <t>⽶酒;汽酒;⽩酒;葡萄酒;烈酒（饮料）;果酒（含酒精）;蒸馏饮料;清酒（⽇本⽶酒）;酒精饮料（啤酒除外）;⾷⽤酒精</t>
  </si>
  <si>
    <t>1618</t>
  </si>
  <si>
    <t>77592080</t>
  </si>
  <si>
    <t>陕西杜泉酒业有限公司</t>
  </si>
  <si>
    <t>陕北硬汉</t>
  </si>
  <si>
    <t>蒸馏饮料;⽶酒;清酒（⽇本⽶酒）;⾷⽤酒精;⻘稞酒;果酒（含酒精）;葡萄酒;烧酒;酒精饮料（啤酒除外）;⽩酒</t>
  </si>
  <si>
    <t>1619</t>
  </si>
  <si>
    <t>77592139</t>
  </si>
  <si>
    <t>⽩酒;烧酒（烈酒）;烧酒;⽩⼲酒（中国⽩酒）;苦味酒;开胃酒;鸡尾酒;果酒;葡萄酒;含⽔果酒精饮料</t>
  </si>
  <si>
    <t>1620</t>
  </si>
  <si>
    <t>77592229</t>
  </si>
  <si>
    <t>江西龙亮酒业有限公司</t>
  </si>
  <si>
    <t>龙亮富山陈</t>
  </si>
  <si>
    <t>⾼粱酒;⻩酒;烧酒;⾷⽤酒精;⽶酒;烈酒;果酒;蒸馏饮料;酒精饮料（啤酒除外）;⽩酒</t>
  </si>
  <si>
    <t>1621</t>
  </si>
  <si>
    <t>77592244</t>
  </si>
  <si>
    <t>云南建投物流有限公司</t>
  </si>
  <si>
    <t>INJA 云上营家</t>
  </si>
  <si>
    <t>清酒（⽇本⽶酒）;由⾕物蒸馏的⽩酒;葡萄酒;⽩酒;果酒（含酒精）;⾷⽤酒精;含酒精的鸡尾酒混合饮品;酒精饮料原汁;⻩酒;酒精饮料（啤酒除外）</t>
  </si>
  <si>
    <t>1622</t>
  </si>
  <si>
    <t>77592613</t>
  </si>
  <si>
    <t>飞彩仕女</t>
  </si>
  <si>
    <t>葡萄酒;⽩酒;开胃酒;清酒（⽇本⽶酒）;苦味酒;苹果酒;蒸煮提取物（利⼝酒和烈酒）;⻩酒;果酒（含酒精）;含⽔果酒精饮料</t>
  </si>
  <si>
    <t>1623</t>
  </si>
  <si>
    <t>77592729</t>
  </si>
  <si>
    <t>潼享酒</t>
  </si>
  <si>
    <t>⽩酒;威⼠忌;烈酒;果酒（含酒精）;葡萄酒;酒精饮料（啤酒除外）;开胃酒;鸡尾酒;⻩酒;清酒（⽇本⽶酒）</t>
  </si>
  <si>
    <t>1624</t>
  </si>
  <si>
    <t>77592942</t>
  </si>
  <si>
    <t>王忠秀</t>
  </si>
  <si>
    <t>酝九天</t>
  </si>
  <si>
    <t>酒精饮料（啤酒除外）;清酒（⽇本⽶酒）;⽩酒;威⼠忌;葡萄酒;开胃酒;烈酒;⻩酒;果酒（含酒精）;鸡尾酒</t>
  </si>
  <si>
    <t>1625</t>
  </si>
  <si>
    <t>77593277</t>
  </si>
  <si>
    <t>朱万国</t>
  </si>
  <si>
    <t>沈远台</t>
  </si>
  <si>
    <t>伏特加酒;⽶酒;果酒;苦味酒;开胃酒;⻩酒;烧酒;⽩酒;葡萄酒;⽩兰地</t>
  </si>
  <si>
    <t>1626</t>
  </si>
  <si>
    <t>77593496</t>
  </si>
  <si>
    <t>广东国锦酒业有限公司</t>
  </si>
  <si>
    <t>壹锦坊</t>
  </si>
  <si>
    <t>烈酒（饮料）; 果酒（含酒精）; 鸡尾酒; 黄酒; 白酒; 葡萄酒; 米酒; 烧酒; 酒精饮料（啤酒除外）; 开胃酒</t>
  </si>
  <si>
    <t>1641</t>
  </si>
  <si>
    <t>77595880</t>
  </si>
  <si>
    <t>邯郸市老五酿酒有限公司</t>
  </si>
  <si>
    <t>老五偏脸</t>
  </si>
  <si>
    <t>蒸煮提取物（利⼝酒和烈酒）;果酒;⽩酒;⽶酒;葡萄酒;酒精饮料（啤酒除外）;蒸馏饮料;含酒精⽔果饮料;⾕物制蒸馏酒精饮料;⾷⽤酒精</t>
  </si>
  <si>
    <t>1642</t>
  </si>
  <si>
    <t>77595966</t>
  </si>
  <si>
    <t>华商海</t>
  </si>
  <si>
    <t>开胃酒;烧酒;果酒（含酒精）;蜂蜜酒;梨酒;葡萄酒;白酒;苹果酒;黄酒;樱桃酒</t>
  </si>
  <si>
    <t>1643</t>
  </si>
  <si>
    <t>77596123</t>
  </si>
  <si>
    <t>勋善烧坊</t>
  </si>
  <si>
    <t>鸡尾酒;⻩酒;⽩酒;⾼粱酒;葡萄酒;梨酒;烧酒;开胃酒;果酒;蜂蜜酒</t>
  </si>
  <si>
    <t>1644</t>
  </si>
  <si>
    <t>77596169</t>
  </si>
  <si>
    <t>湖北省郧西县供销合作社联合社</t>
  </si>
  <si>
    <t>郧七昧</t>
  </si>
  <si>
    <t>果酒（含酒精）;酒精饮料（啤酒除外）;烧酒;葡萄酒;⽩酒;⻩酒;⾷⽤酒精;鸡尾酒;汽酒;红葡萄酒</t>
  </si>
  <si>
    <t>1645</t>
  </si>
  <si>
    <t>77596173</t>
  </si>
  <si>
    <t>四川博通汇商贸有限公司</t>
  </si>
  <si>
    <t>KIKIYOYO</t>
  </si>
  <si>
    <t>⽩酒;⻩酒;⾼粱酒;果酒（含酒精）;葡萄酒;鸡尾酒;⻘梅酒;以葡萄酒为主的饮料;⽶酒;烧酒</t>
  </si>
  <si>
    <t>1646</t>
  </si>
  <si>
    <t>77596205</t>
  </si>
  <si>
    <t>贵州极铭酒业有限公司</t>
  </si>
  <si>
    <t>木及铭</t>
  </si>
  <si>
    <t>含⽔果酒精饮料;⽩酒;鸡尾酒;葡萄酒;⾕物制蒸馏酒精饮料;果酒（含酒精）;⽶酒;烈酒（饮料）;⻩酒;烧酒</t>
  </si>
  <si>
    <t>1647</t>
  </si>
  <si>
    <t>77596309</t>
  </si>
  <si>
    <t>含酒精的鸡尾酒混合饮品;⾷⽤酒精;葡萄酒;酒精饮料原汁;酒精饮料（啤酒除外）;⻩酒;果酒（含酒精）;清酒（⽇本⽶酒）;⽩酒;由⾕物蒸馏的⽩酒</t>
  </si>
  <si>
    <t>1648</t>
  </si>
  <si>
    <t>77596444</t>
  </si>
  <si>
    <t>温州市园博嘉瑞酒店管理有限公司</t>
  </si>
  <si>
    <t>瞿溪春</t>
  </si>
  <si>
    <t>⽶酒;果酒（含酒精）;⻩酒;除啤酒外的酒精饮料;葡萄酒;⽩酒;含⽔果酒精饮料;烧酒;果酒;⽼酒（中国蒸馏烈酒）</t>
  </si>
  <si>
    <t>1649</t>
  </si>
  <si>
    <t>77596615</t>
  </si>
  <si>
    <t>刘大阳</t>
  </si>
  <si>
    <t>黔贺</t>
  </si>
  <si>
    <t>⽩酒;含酒精的饮料（啤酒除外）;烧酒（烈酒）;⽩⼲酒（中国⽩酒）;⽼酒（中国蒸馏烈酒）;果酒;已调味的蒸馏酒;由⾕物蒸馏的⽩酒;酒精饮料（啤酒除外）;⾼粱酒</t>
  </si>
  <si>
    <t>1650</t>
  </si>
  <si>
    <t>77597011</t>
  </si>
  <si>
    <t>张春彦232103********1930</t>
  </si>
  <si>
    <t>永兴门</t>
  </si>
  <si>
    <t>烧酒;蒸馏饮料;⻩酒;果酒（含酒精）;⽩酒;威⼠忌;酒精饮料（啤酒除外）;葡萄酒;蒸煮提取物（利⼝酒和烈酒）;⽶酒</t>
  </si>
  <si>
    <t>1651</t>
  </si>
  <si>
    <t>77597292</t>
  </si>
  <si>
    <t>李月园</t>
  </si>
  <si>
    <t>突大泉屯</t>
  </si>
  <si>
    <t>威⼠忌;⽩兰地;⽼酒（中国蒸馏烈酒）;葡萄酒;⻩酒;清酒;⽩酒;⽶酒;蒸煮提取物（利⼝酒和烈酒）;果酒</t>
  </si>
  <si>
    <t>1652</t>
  </si>
  <si>
    <t>77597392</t>
  </si>
  <si>
    <t>徐德成</t>
  </si>
  <si>
    <t>梅竺</t>
  </si>
  <si>
    <t>⽩兰地;酒精饮料（啤酒除外）;烈酒（饮料）;⽩酒;⻩酒;鸡尾酒;威⼠忌;葡萄酒;⽶酒;⾷⽤酒精</t>
  </si>
  <si>
    <t>1653</t>
  </si>
  <si>
    <t>77597446</t>
  </si>
  <si>
    <t>灯汇</t>
  </si>
  <si>
    <t>1654</t>
  </si>
  <si>
    <t>77597742</t>
  </si>
  <si>
    <t>赵孟先</t>
  </si>
  <si>
    <t>槐楠木</t>
  </si>
  <si>
    <t>⽶酒;烧酒;蒸馏饮料;果酒（含酒精）;酒精饮料（啤酒除外）;⽩酒;鸡尾酒;葡萄酒;烈酒（饮料）;威⼠忌</t>
  </si>
  <si>
    <t>1655</t>
  </si>
  <si>
    <t>77597764</t>
  </si>
  <si>
    <t>黑龙江九峰山养心谷游览景区管理有限公司</t>
  </si>
  <si>
    <t>九峰山养心谷</t>
  </si>
  <si>
    <t>⾕物制蒸馏酒精饮料;烧酒;甜果酒;⾼粱酒;蒸馏饮料;已调味的蒸馏酒;⽼酒（中国蒸馏烈酒）;酒精饮料浓缩汁;蒸馏⽶酒（泡盛酒）;露酒</t>
  </si>
  <si>
    <t>1656</t>
  </si>
  <si>
    <t>77598108</t>
  </si>
  <si>
    <t>支敬36012********9301X</t>
  </si>
  <si>
    <t>范塘</t>
  </si>
  <si>
    <t>⻩酒;⾷⽤酒精;蒸馏饮料;果酒;⾼粱酒;烧酒;⽩酒;烈酒;酒精饮料（啤酒除外）;⽶酒</t>
  </si>
  <si>
    <t>1657</t>
  </si>
  <si>
    <t>77598138</t>
  </si>
  <si>
    <t>湖南盛世途台酒业有限公司</t>
  </si>
  <si>
    <t>途台</t>
  </si>
  <si>
    <t>以葡萄酒为主的饮料;烧酒;伏特加酒;⽩酒;⻩酒;酒精饮料原汁;汽酒;⾷⽤酒精;⽶酒;含⽔果酒精饮料</t>
  </si>
  <si>
    <t>1658</t>
  </si>
  <si>
    <t>77598193</t>
  </si>
  <si>
    <t>醉古京</t>
  </si>
  <si>
    <t>葡萄酒;⽩酒;果酒;威⼠忌;⽩兰地;烧酒;⻩酒;⽶酒;烈酒（饮料）;清酒（⽇本⽶酒）</t>
  </si>
  <si>
    <t>1659</t>
  </si>
  <si>
    <t>77598443</t>
  </si>
  <si>
    <t>赤秉</t>
  </si>
  <si>
    <t>⻩酒;葡萄酒;烈酒;威⼠忌;⽩酒;鸡尾酒;⽶酒;⽩⼲酒（中国⽩酒）;果酒;⾼粱酒</t>
  </si>
  <si>
    <t>1660</t>
  </si>
  <si>
    <t>77598471</t>
  </si>
  <si>
    <t>贵州民族酒业集团民族智酒业有限公司</t>
  </si>
  <si>
    <t>林娘子</t>
  </si>
  <si>
    <t>果酒（含酒精）;汽酒;含酒精⽔果饮料;甜酒;⽩酒;葡萄酒;⽶酒;烧酒;酒精饮料（啤酒除外）;开胃酒</t>
  </si>
  <si>
    <t>1661</t>
  </si>
  <si>
    <t>77598487</t>
  </si>
  <si>
    <t>蓥星</t>
  </si>
  <si>
    <t>酒精饮料（啤酒除外）;⽩酒;苹果酒;⻘稞酒;烈酒（饮料）;⻩酒;茴⾹酒;葡萄酒;蜂蜜酒;薄荷酒</t>
  </si>
  <si>
    <t>1662</t>
  </si>
  <si>
    <t>77598763</t>
  </si>
  <si>
    <t>张雅妮</t>
  </si>
  <si>
    <t>女君子悟</t>
  </si>
  <si>
    <t>⾼粱酒;烧酒（烈酒）;果酒（含酒精）;酒精饮料（啤酒除外）;⽼酒（中国蒸馏烈酒）;鸡尾酒;利⼝酒;葡萄酒;⽶酒;⽩酒</t>
  </si>
  <si>
    <t>1663</t>
  </si>
  <si>
    <t>77598875</t>
  </si>
  <si>
    <t>黑龙江省梅小哥酒业有限责任公司</t>
  </si>
  <si>
    <t>梅小哥</t>
  </si>
  <si>
    <t>果酒（含酒精）;蒸馏饮料;葡萄酒;清酒（⽇本⽶酒）;烧酒;酒精饮料（啤酒除外）;⽶酒;⻩酒;⽩酒;蒸煮提取物（利⼝酒和烈酒）</t>
  </si>
  <si>
    <t>1664</t>
  </si>
  <si>
    <t>77599146</t>
  </si>
  <si>
    <t>吉安市吉州区九旗机械有限公司</t>
  </si>
  <si>
    <t>山石汐水</t>
  </si>
  <si>
    <t>酒精饮料（啤酒除外）;烧酒;⻩酒;⽩酒;⾕物制蒸馏酒精饮料;汽酒;含⽔果酒精饮料;⽶酒;利⼝酒;葡萄酒</t>
  </si>
  <si>
    <t>1665</t>
  </si>
  <si>
    <t>77599195</t>
  </si>
  <si>
    <t>王金方</t>
  </si>
  <si>
    <t>九羽</t>
  </si>
  <si>
    <t>⻩酒;⾼粱酒;果酒（含酒精）;葡萄酒;露酒;酒精饮料（啤酒除外）;⽶酒;烧酒;⽩酒;⻘稞酒</t>
  </si>
  <si>
    <t>1666</t>
  </si>
  <si>
    <t>77599478</t>
  </si>
  <si>
    <t>贵州盛泰隆科技有限公司</t>
  </si>
  <si>
    <t>红饮小匠</t>
  </si>
  <si>
    <t>⽩酒</t>
  </si>
  <si>
    <t>1667</t>
  </si>
  <si>
    <t>77599480</t>
  </si>
  <si>
    <t>慧月贸易有限公司</t>
  </si>
  <si>
    <t>鹿阳安</t>
  </si>
  <si>
    <t>含⽔果酒精饮料;果酒（含酒精）;鸡尾酒;葡萄酒;⽩酒;酒精饮料（啤酒除外）;⽶酒;⻩酒;⾷⽤酒精;⽩兰地</t>
  </si>
  <si>
    <t>1668</t>
  </si>
  <si>
    <t>77599587</t>
  </si>
  <si>
    <t>烟台烟才网络科技有限公司</t>
  </si>
  <si>
    <t>名森虎</t>
  </si>
  <si>
    <t>桃红葡萄酒;朗姆酒;⽩酒;葡萄酒;威⼠忌;⽩葡萄酒;⽩兰地;果酒;甜酒;红葡萄酒</t>
  </si>
  <si>
    <t>1669</t>
  </si>
  <si>
    <t>77599723</t>
  </si>
  <si>
    <t>永康市踏趣工贸有限公司</t>
  </si>
  <si>
    <t>BOONHK</t>
  </si>
  <si>
    <t>⽼酒（中国蒸馏烈酒）;烈酒（饮料）;⽩酒;烈酒;刺五加酒;含酒精⽔果饮料;天然汽酒;⽶酒;⻩酒;露酒</t>
  </si>
  <si>
    <t>1670</t>
  </si>
  <si>
    <t>77600492</t>
  </si>
  <si>
    <t>杭州兰诵餐饮管理有限公司</t>
  </si>
  <si>
    <t>兰诵</t>
  </si>
  <si>
    <t>烧酒;⽩酒;含⽜奶的鸡尾酒;果酒（含酒精）;⽶酒;葡萄酒;烈酒（饮料）;酒精饮料（啤酒除外）;⻩酒;鸡尾酒</t>
  </si>
  <si>
    <t>1671</t>
  </si>
  <si>
    <t>77600621</t>
  </si>
  <si>
    <t>廖晓娟</t>
  </si>
  <si>
    <t>杏西施</t>
  </si>
  <si>
    <t>威⼠忌;⽶酒;葡萄酒;⽩酒;⻩酒;果酒（含酒精）;清酒（⽇本⽶酒）;鸡尾酒;蜂蜜酒;烈酒（饮料）</t>
  </si>
  <si>
    <t>1672</t>
  </si>
  <si>
    <t>77600749</t>
  </si>
  <si>
    <t>成都双喜纪餐饮管理有限公司</t>
  </si>
  <si>
    <t>双喜纪</t>
  </si>
  <si>
    <t>鸡尾酒;葡萄酒;酒精饮料（啤酒除外）;⽶酒;烧酒;⽩酒;果酒（含酒精）;清酒（⽇本⽶酒）;烈酒（饮料）;⻩酒</t>
  </si>
  <si>
    <t>1673</t>
  </si>
  <si>
    <t>77600972</t>
  </si>
  <si>
    <t>四川酒鼎源酒水商贸有限公司</t>
  </si>
  <si>
    <t>古粮渠</t>
  </si>
  <si>
    <t>威⼠忌;⽶酒;果酒（含酒精）;⽩酒;酒精饮料（啤酒除外）;葡萄酒;烈酒（饮料）;⽩兰地;鸡尾酒;烧酒</t>
  </si>
  <si>
    <t>1674</t>
  </si>
  <si>
    <t>77601102</t>
  </si>
  <si>
    <t>唯我曌</t>
  </si>
  <si>
    <t>含酒精⽔果饮料;餐后酒（利⼝酒和烈酒）;天然汽酒;果酒（含酒精）;酒精饮料（啤酒除外）;烧酒;以葡萄酒为主的饮料;⽩酒;果酒;⽶酒</t>
  </si>
  <si>
    <t>1675</t>
  </si>
  <si>
    <t>77601173</t>
  </si>
  <si>
    <t>重庆光耀酒业有限公司</t>
  </si>
  <si>
    <t>闻略</t>
  </si>
  <si>
    <t>葡萄酒;⽼酒（中国蒸馏烈酒）;烈酒（饮料）;烧酒;⽩酒;酒精饮料（啤酒除外）;⾼粱酒;果酒（含酒精）;⽶酒;⽩⼲酒（中国⽩酒）</t>
  </si>
  <si>
    <t>1676</t>
  </si>
  <si>
    <t>77601320</t>
  </si>
  <si>
    <t>晋粹</t>
  </si>
  <si>
    <t xml:space="preserve">	米酒; 黄酒; 露酒; 果酒（含酒精）; 烈酒; 葡萄酒; 蜂蜜酒; 烈酒（饮料）; 白酒; 烧酒</t>
  </si>
  <si>
    <t>1677</t>
  </si>
  <si>
    <t>77601407</t>
  </si>
  <si>
    <t>宋小伟</t>
  </si>
  <si>
    <t>菲茜雅</t>
  </si>
  <si>
    <t>⾷⽤酒精;烧酒;蒸馏饮料;酒精饮料（啤酒除外）;葡萄酒;⽩酒;⻘稞酒;果酒（含酒精）;鸡尾酒;⽶酒</t>
  </si>
  <si>
    <t>1678</t>
  </si>
  <si>
    <t>77601444</t>
  </si>
  <si>
    <t>安徽中堂酿酒有限责任公司</t>
  </si>
  <si>
    <t>中堂好客</t>
  </si>
  <si>
    <t>⽩兰地;苹果酒;果酒（含酒精）;威⼠忌;预先混合的酒精饮料（以啤酒为主的除外）;露酒;⽩酒;葡萄酒;酒精饮料（啤酒除外）;⽶酒</t>
  </si>
  <si>
    <t>1679</t>
  </si>
  <si>
    <t>77601681</t>
  </si>
  <si>
    <t>赖冬梅</t>
  </si>
  <si>
    <t>戏山海</t>
  </si>
  <si>
    <t>⻘稞酒;果酒（含酒精）;酒精饮料（啤酒除外）;烧酒;⽶酒;烈酒（饮料）;⾷⽤酒精;⽩酒;开胃酒;⻩酒</t>
  </si>
  <si>
    <t>1680</t>
  </si>
  <si>
    <t>77601741</t>
  </si>
  <si>
    <t>烈酒;烧酒（烈酒）;⾼粱酒;⻩酒;果酒;烧酒;⽩酒;烈酒（饮料）;⽼酒（中国蒸馏烈酒）;汽酒</t>
  </si>
  <si>
    <t>1681</t>
  </si>
  <si>
    <t>77601769</t>
  </si>
  <si>
    <t>河北太衡旅游开发有限公司</t>
  </si>
  <si>
    <t>太行人</t>
  </si>
  <si>
    <t>开胃酒;清酒;汽酒;果酒（含酒精）;烧酒;⾷⽤酒精;⽩兰地;酒精饮料（啤酒除外）;利⼝酒;葡萄酒</t>
  </si>
  <si>
    <t>1682</t>
  </si>
  <si>
    <t>77602032</t>
  </si>
  <si>
    <t>佳乡纪</t>
  </si>
  <si>
    <t>汽酒;果酒;⽩酒;⽶酒;葡萄酒;⾷⽤酒精;⻩酒;开胃酒;清酒;甜酒</t>
  </si>
  <si>
    <t>1683</t>
  </si>
  <si>
    <t>77602231</t>
  </si>
  <si>
    <t>江海同归</t>
  </si>
  <si>
    <t>果酒（含酒精）;蒸馏饮料;⽩酒;烈酒（饮料）;汽酒;⽶酒;酒精饮料原汁;含酒精的⽓泡⽔;⻩酒;烧酒</t>
  </si>
  <si>
    <t>1684</t>
  </si>
  <si>
    <t>77602254</t>
  </si>
  <si>
    <t>王占昌</t>
  </si>
  <si>
    <t>北力</t>
  </si>
  <si>
    <t>清酒（⽇本⽶酒）;⻩酒;含⽔果酒精饮料;⽩酒;烈酒（饮料）;酒精饮料（啤酒除外）;预先混合的酒精饮料（以啤酒为主的除外）;⾷⽤酒精;威⼠忌;葡萄酒</t>
  </si>
  <si>
    <t>1685</t>
  </si>
  <si>
    <t>77602425</t>
  </si>
  <si>
    <t>大秦英雄秦香</t>
  </si>
  <si>
    <t>果酒（含酒精）;烧酒;⻩酒;葡萄酒;预先混合的酒精饮料（以啤酒为主的除外）;⽶酒;鸡尾酒;含⽔果酒精饮料;⽩酒;⽩兰地</t>
  </si>
  <si>
    <t>1686</t>
  </si>
  <si>
    <t>77602481</t>
  </si>
  <si>
    <t>贵州鉴馆老酒业有限公司</t>
  </si>
  <si>
    <t>天彩仪品</t>
  </si>
  <si>
    <t>烧酒（烈酒）;清酒;⽼酒（中国蒸馏烈酒）;⾼粱酒;⽩酒;酒精饮料原汁;烈酒;⽶酒;甜酒;酒精饮料（啤酒除外）</t>
  </si>
  <si>
    <t>1687</t>
  </si>
  <si>
    <t>77602581</t>
  </si>
  <si>
    <t>靓美智能科技（上海）有限公司</t>
  </si>
  <si>
    <t>BEAUEVER</t>
  </si>
  <si>
    <t>⽩酒;清酒;朗姆酒;梅酒;威⼠忌;⽶酒;果酒;⽩兰地;葡萄酒;烧酒</t>
  </si>
  <si>
    <t>1688</t>
  </si>
  <si>
    <t>77602612</t>
  </si>
  <si>
    <t>江南亚明</t>
  </si>
  <si>
    <t>伏特加酒;烧酒;葡萄酒;⽩兰地;威⼠忌;⽩酒;果酒（含酒精）;开胃酒;⽶酒;酒精饮料（啤酒除外）</t>
  </si>
  <si>
    <t>1689</t>
  </si>
  <si>
    <t>77602726</t>
  </si>
  <si>
    <t>李月恒</t>
  </si>
  <si>
    <t>更上</t>
  </si>
  <si>
    <t>果酒（含酒精）;⻘稞酒;⻩酒;⾼粱酒;酒精饮料（啤酒除外）;葡萄酒;⽶酒;烧酒;⽩酒;露酒</t>
  </si>
  <si>
    <t>1690</t>
  </si>
  <si>
    <t>77602903</t>
  </si>
  <si>
    <t>郑州斛源香餐饮管理有限公司</t>
  </si>
  <si>
    <t>枫龙延生</t>
  </si>
  <si>
    <t>鸡尾酒;开胃酒;酒精饮料（啤酒除外）;葡萄酒;果酒（含酒精）;⽩酒;⻩酒;⽶酒;烈酒（饮料）;清酒（⽇本⽶酒）</t>
  </si>
  <si>
    <t>1691</t>
  </si>
  <si>
    <t>77602995</t>
  </si>
  <si>
    <t>贵州熊熊酱酒业有限公司</t>
  </si>
  <si>
    <t>果酒（含酒精）;⾷⽤酒精;开胃酒;威⼠忌;⽶酒;鸡尾酒;利⼝酒;清酒（⽇本⽶酒）;⽩酒;烈酒（饮料）</t>
  </si>
  <si>
    <t>1692</t>
  </si>
  <si>
    <t>77603076</t>
  </si>
  <si>
    <t>东芳绿野</t>
  </si>
  <si>
    <t>汽酒;⽶酒;葡萄酒;⻩酒;⾷⽤酒精;果酒;甜酒;⽩酒;清酒;开胃酒</t>
  </si>
  <si>
    <t>1693</t>
  </si>
  <si>
    <t>77603146</t>
  </si>
  <si>
    <t>彭小庆</t>
  </si>
  <si>
    <t>洪谷</t>
  </si>
  <si>
    <t>酒精饮料（啤酒除外）;青稞酒;白酒;高粱酒;烧酒;葡萄酒;米酒;黄酒;果酒（含酒精）;露酒</t>
  </si>
  <si>
    <t>1694</t>
  </si>
  <si>
    <t>77603261</t>
  </si>
  <si>
    <t>德珑皇冠简易股份公司</t>
  </si>
  <si>
    <t>DUFFAU</t>
  </si>
  <si>
    <t>⽩酒;利⼝酒;葡萄酒;烧酒;⽩葡萄酒;含酒精的⽔果鸡尾酒饮料;清酒;果酒;⽶酒;酒精饮料（啤酒除外）</t>
  </si>
  <si>
    <t>1695</t>
  </si>
  <si>
    <t>77603266</t>
  </si>
  <si>
    <t>陈奕君</t>
  </si>
  <si>
    <t>含酒精的饮料（啤酒除外）;威⼠忌;烈酒;清酒（⽇本⽶酒）;⽩酒;葡萄酒;烈酒（饮料）;⽩兰地;⽶酒;烧酒</t>
  </si>
  <si>
    <t>1696</t>
  </si>
  <si>
    <t>77603305</t>
  </si>
  <si>
    <t>梁起东</t>
  </si>
  <si>
    <t>圭心</t>
  </si>
  <si>
    <t>烈酒（饮料）;⻩酒;果酒（含酒精）;蒸煮提取物（利⼝酒和烈酒）;酒精饮料（啤酒除外）;⽶酒;⽩酒;烧酒;葡萄酒;利⼝酒</t>
  </si>
  <si>
    <t>1697</t>
  </si>
  <si>
    <t>77603327</t>
  </si>
  <si>
    <t>叶永春</t>
  </si>
  <si>
    <t>醉春吟</t>
  </si>
  <si>
    <t>烈酒（饮料）;⽶酒;果酒（含酒精）;⾷⽤酒精;酒精饮料（啤酒除外）;薄荷酒;⽩酒;葡萄酒;⻩酒;烧酒</t>
  </si>
  <si>
    <t>1698</t>
  </si>
  <si>
    <t>77603396</t>
  </si>
  <si>
    <t>贵州音悦才子教育咨询有限公司</t>
  </si>
  <si>
    <t>州天地仁</t>
  </si>
  <si>
    <t>鸡尾酒;葡萄酒;酒精饮料（啤酒除外）;含⽔果酒精饮料;⽩酒;烧酒;烈酒（饮料）;果酒（含酒精）;⻩酒;⽶酒</t>
  </si>
  <si>
    <t>1699</t>
  </si>
  <si>
    <t>77603506</t>
  </si>
  <si>
    <t>清远市海润汇贸易有限公司</t>
  </si>
  <si>
    <t>海润汇贸易 TRADING COMPANY LTD. HAIRUNHUI</t>
  </si>
  <si>
    <t>⽩酒;葡萄酒;⽩兰地;酒精饮料（啤酒除外）;汽酒;果酒;蒸馏饮料;鸡尾酒;威⼠忌;⽶酒</t>
  </si>
  <si>
    <t>1700</t>
  </si>
  <si>
    <t>77603880</t>
  </si>
  <si>
    <t>夏府家</t>
  </si>
  <si>
    <t>烈酒;利⼝酒;⽩⼲酒（中国⽩酒）;⽩酒;果酒;⽶酒;清酒;⾼粱酒;烧酒;⻩酒</t>
  </si>
  <si>
    <t>1701</t>
  </si>
  <si>
    <t>77603936</t>
  </si>
  <si>
    <t>董红显</t>
  </si>
  <si>
    <t>荞乡吟</t>
  </si>
  <si>
    <t>蒸馏饮料;烈酒（饮料）;清酒（⽇本⽶酒）;酒精饮料（啤酒除外）;⻩酒;⽩酒;果酒（含酒精）;葡萄酒;烧酒;⽶酒</t>
  </si>
  <si>
    <t>1702</t>
  </si>
  <si>
    <t>77604473</t>
  </si>
  <si>
    <t>珠海丹俊打印技术有限公司</t>
  </si>
  <si>
    <t>瑞庐</t>
  </si>
  <si>
    <t>果酒（含酒精）;蒸馏饮料;⽩酒;⻩酒;⾷⽤酒精;酒精饮料（啤酒除外）;⽶酒;葡萄酒;⽩兰地;威⼠忌</t>
  </si>
  <si>
    <t>1703</t>
  </si>
  <si>
    <t>77604788</t>
  </si>
  <si>
    <t>赵益平</t>
  </si>
  <si>
    <t>皮酉</t>
  </si>
  <si>
    <t>果酒（含酒精）;鸡尾酒;烈酒;⽩酒;清酒;烧酒;⻩酒;葡萄酒;酒精饮料（啤酒除外）;⽶酒</t>
  </si>
  <si>
    <t>1704</t>
  </si>
  <si>
    <t>77604864</t>
  </si>
  <si>
    <t>仁怀市接峰酒业有限公司</t>
  </si>
  <si>
    <t>祺玉</t>
  </si>
  <si>
    <t>果酒（含酒精）;开胃酒;预先混合的酒精饮料（以啤酒为主的除外）;葡萄酒;⽩酒;⾼粱酒;⽶酒;⻩酒;⾷⽤酒精;汽酒</t>
  </si>
  <si>
    <t>1705</t>
  </si>
  <si>
    <t>77604967</t>
  </si>
  <si>
    <t>玫尼世加（海南）国际贸易有限公司</t>
  </si>
  <si>
    <t>先我</t>
  </si>
  <si>
    <t>果酒（含酒精）;烧酒;⽩酒;⻩酒;清酒（⽇本⽶酒）;鸡尾酒;⽶酒;薄荷酒;葡萄酒;威⼠忌</t>
  </si>
  <si>
    <t>1706</t>
  </si>
  <si>
    <t>77604999</t>
  </si>
  <si>
    <t>道海</t>
  </si>
  <si>
    <t>酒精饮料（啤酒除外）;烧酒;⻘稞酒;⽶酒;露酒;⽩酒;果酒（含酒精）;葡萄酒;⾼粱酒;⻩酒</t>
  </si>
  <si>
    <t>1707</t>
  </si>
  <si>
    <t>77605544</t>
  </si>
  <si>
    <t>陕西合聚达商务服务有限公司</t>
  </si>
  <si>
    <t>泸杞源</t>
  </si>
  <si>
    <t>烈酒（饮料）;含⽔果酒精饮料;果酒（含酒精）;蒸馏饮料;⻘稞酒;⽶酒;苦味酒;酒精饮料（啤酒除外）;预先混合的酒精饮料（以啤酒为主的除外）;酒精饮料原汁</t>
  </si>
  <si>
    <t>1708</t>
  </si>
  <si>
    <t>77605583</t>
  </si>
  <si>
    <t>陈胜</t>
  </si>
  <si>
    <t>瓯江芳华</t>
  </si>
  <si>
    <t>含⽔果酒精饮料;预先混合的酒精饮料（以啤酒为主的除外）;⻩酒;果酒（含酒精）;蒸馏饮料;⽶酒;⽩酒;烈酒（饮料）;烧酒;葡萄酒</t>
  </si>
  <si>
    <t>1709</t>
  </si>
  <si>
    <t>77605622</t>
  </si>
  <si>
    <t>新华联酒业有限公司</t>
  </si>
  <si>
    <t>九清九</t>
  </si>
  <si>
    <t>清酒;⻩酒;含酒精的饮料（啤酒除外）;⽶酒;鸡尾酒;⽩酒;烧酒;烈酒;果酒;葡萄酒</t>
  </si>
  <si>
    <t>1710</t>
  </si>
  <si>
    <t>77605625</t>
  </si>
  <si>
    <t>广州市同途路国际贸易有限公司</t>
  </si>
  <si>
    <t>同途路</t>
  </si>
  <si>
    <t>果酒（含酒精）;蒸煮提取物（利⼝酒和烈酒）;⽩兰地;开胃酒;⻩酒;葡萄酒;烧酒;利⼝酒;含⽔果酒精饮料;鸡尾酒</t>
  </si>
  <si>
    <t>1711</t>
  </si>
  <si>
    <t>77605656</t>
  </si>
  <si>
    <t>唯我女王</t>
  </si>
  <si>
    <t>以葡萄酒为主的饮料;果酒;含酒精⽔果饮料;餐后酒（利⼝酒和烈酒）;⽶酒;烧酒;天然汽酒;⽩酒;果酒（含酒精）;酒精饮料（啤酒除外）</t>
  </si>
  <si>
    <t>1712</t>
  </si>
  <si>
    <t>77605999</t>
  </si>
  <si>
    <t>李满中</t>
  </si>
  <si>
    <t>浓魂</t>
  </si>
  <si>
    <t>酒精饮料（啤酒除外）;葡萄酒;蒸馏饮料;⽩酒;蒸煮提取物（利⼝酒和烈酒）;含酒精⽔果饮料;利⼝酒;烧酒;开胃酒;⾷⽤酒精</t>
  </si>
  <si>
    <t>1713</t>
  </si>
  <si>
    <t>77606128</t>
  </si>
  <si>
    <t>王杰</t>
  </si>
  <si>
    <t>裕腾</t>
  </si>
  <si>
    <t>⾼粱酒;葡萄酒;⽶酒;烧酒;⻩酒;⽩酒;露酒;果酒（含酒精）;酒精饮料（啤酒除外）;⻘稞酒</t>
  </si>
  <si>
    <t>1714</t>
  </si>
  <si>
    <t>77606399</t>
  </si>
  <si>
    <t>林广华</t>
  </si>
  <si>
    <t>SHBAOR</t>
  </si>
  <si>
    <t>红葡萄酒;蒸煮提取物（利⼝酒和烈酒）;葡萄酒;桃红葡萄酒;起泡红葡萄酒;果酒（含酒精）;⽶酒;⽩酒;鸡尾酒;以葡萄酒为主的开胃酒</t>
  </si>
  <si>
    <t>1715</t>
  </si>
  <si>
    <t>77606480</t>
  </si>
  <si>
    <t>程会连</t>
  </si>
  <si>
    <t>富登隆</t>
  </si>
  <si>
    <t>果酒（含酒精）;⻩酒;鸡尾酒;酒精饮料（啤酒除外）;餐后酒（利⼝酒和烈酒）;⽩酒;⽶酒;烧酒;⾕物制蒸馏酒精饮料;葡萄酒</t>
  </si>
  <si>
    <t>1716</t>
  </si>
  <si>
    <t>77606522</t>
  </si>
  <si>
    <t>陕西绿色通达信息科技有限公司</t>
  </si>
  <si>
    <t>总裁德光</t>
  </si>
  <si>
    <t>烈酒;葡萄酒;⽩酒;清酒;果酒（含酒精）;烧酒;⽶酒;⽼酒（中国蒸馏烈酒）;⻩酒;⾼粱酒</t>
  </si>
  <si>
    <t>1717</t>
  </si>
  <si>
    <t>77606665</t>
  </si>
  <si>
    <t>夏家胜</t>
  </si>
  <si>
    <t>夏氏砂</t>
  </si>
  <si>
    <t>含酒精蛋奶酒;⽩葡萄酒;⼲型苹果酒;鸡尾酒;果酒;蜂蜜酒;含酒精的⽓泡⽔;⽩酒;⾼粱酒;⻩酒</t>
  </si>
  <si>
    <t>1718</t>
  </si>
  <si>
    <t>77607102</t>
  </si>
  <si>
    <t>周口市淮阳区德润百货商行</t>
  </si>
  <si>
    <t>LISA MILLER</t>
  </si>
  <si>
    <t>果酒（含酒精）;⽩酒;葡萄酒;含⽔果酒精饮料;红葡萄酒;威⼠忌;酒精饮料（啤酒除外）;起泡红葡萄酒;⽩葡萄酒;⽶酒</t>
  </si>
  <si>
    <t>1719</t>
  </si>
  <si>
    <t>77607173</t>
  </si>
  <si>
    <t>上海蔚来汽车有限公司</t>
  </si>
  <si>
    <t>火地之歌</t>
  </si>
  <si>
    <t>⽶酒;酒精饮料（啤酒除外）;威⼠忌;红葡萄酒;甜果酒;清酒（⽇本⽶酒）;⽩兰地;鸡尾酒;含⽔果酒精饮料;甜酒;葡萄酒;汽酒;朗姆酒;利⼝酒;烈酒;伏特加酒;预先混合的酒精饮料（以啤酒为主的除外）;⽩葡萄酒</t>
  </si>
  <si>
    <t>1720</t>
  </si>
  <si>
    <t>77607298</t>
  </si>
  <si>
    <t>玺中王</t>
  </si>
  <si>
    <t>⻩酒;烈酒（饮料）;⽶酒;蜂蜜酒;葡萄酒;威⼠忌;果酒（含酒精）;⽩酒;鸡尾酒;清酒（⽇本⽶酒）</t>
  </si>
  <si>
    <t>1721</t>
  </si>
  <si>
    <t>77607381</t>
  </si>
  <si>
    <t>欧玉丰</t>
  </si>
  <si>
    <t>稻丰富满</t>
  </si>
  <si>
    <t>⽩酒;果酒（含酒精）;⽶酒;果酒;烈酒浓缩汁;鸡尾酒;⾼粱酒;烧酒（烈酒）;清酒;⻩酒</t>
  </si>
  <si>
    <t>1722</t>
  </si>
  <si>
    <t>77607510</t>
  </si>
  <si>
    <t>要层</t>
  </si>
  <si>
    <t>蜂蜜酒;鸡尾酒;果酒（含酒精）;葡萄酒;威⼠忌;开胃酒;⽶酒;⽩酒;酒精饮料（啤酒除外）;清酒</t>
  </si>
  <si>
    <t>1723</t>
  </si>
  <si>
    <t>77607720</t>
  </si>
  <si>
    <t>林伟嘉</t>
  </si>
  <si>
    <t>百杞宁</t>
  </si>
  <si>
    <t>开胃酒;鸡尾酒;酒精饮料（啤酒除外）;⻩酒;⽩酒;威⼠忌;烈酒;葡萄酒;清酒（⽇本⽶酒）;果酒（含酒精）</t>
  </si>
  <si>
    <t>1724</t>
  </si>
  <si>
    <t>77607736</t>
  </si>
  <si>
    <t>彭桂兰</t>
  </si>
  <si>
    <t>天梁将</t>
  </si>
  <si>
    <t>威⼠忌;烧酒;⽶酒;⽩酒;⽩兰地;烈酒（饮料）;鸡尾酒;酒精饮料（啤酒除外）;果酒（含酒精）;葡萄酒</t>
  </si>
  <si>
    <t>1725</t>
  </si>
  <si>
    <t>77607989</t>
  </si>
  <si>
    <t>武汉俊联商贸有限公司</t>
  </si>
  <si>
    <t>出渊酒业</t>
  </si>
  <si>
    <t>开胃酒;⽶酒;⾼粱酒;⽼酒（中国蒸馏烈酒）;⽩酒;⽩⼲酒（中国⽩酒）;烈酒（饮料）;烧酒;⻩酒;烈酒</t>
  </si>
  <si>
    <t>1726</t>
  </si>
  <si>
    <t>77608039</t>
  </si>
  <si>
    <t>商河县孙集镇杨八士村经济合作社</t>
  </si>
  <si>
    <t>杨八士</t>
  </si>
  <si>
    <t>鸡尾酒;葡萄酒;威⼠忌;果酒（含酒精）;⽩酒;⽩兰地;⽶酒;烧酒;⻩酒;蒸馏饮料</t>
  </si>
  <si>
    <t>1727</t>
  </si>
  <si>
    <t>77608290</t>
  </si>
  <si>
    <t>青岛啤酒股份有限公司</t>
  </si>
  <si>
    <t>贵妃迷蝶</t>
  </si>
  <si>
    <t>鸡尾酒;已调味的蒸馏酒;含⽔果酒精饮料;蒸馏⽶酒（泡盛酒）;⾕物制蒸馏酒精饮料;以蒸馏酒为主的开胃酒;汽酒;酒精饮料（啤酒除外）;伏特加酒;由⾕物蒸馏的⽩酒;⽼酒（中国蒸馏烈酒）;预先混合的酒精饮料（以啤酒为主的除外）;⽩酒;酒精饮料原汁;威⼠忌;清酒;果酒（含酒精）;蒸馏饮料</t>
  </si>
  <si>
    <t>1728</t>
  </si>
  <si>
    <t>77608373</t>
  </si>
  <si>
    <t>烟台瑞成国际贸易有限公司</t>
  </si>
  <si>
    <t>格兰波莉</t>
  </si>
  <si>
    <t>威⼠忌;朗姆酒;预先混合的酒精饮料（以啤酒为主的除外）;伏特加酒;汽酒;鸡尾酒;⽩兰地;葡萄酒;利⼝酒;果酒（含酒精）</t>
  </si>
  <si>
    <t>1729</t>
  </si>
  <si>
    <t>77608402</t>
  </si>
  <si>
    <t>贵州粮源商贸发展有限公司</t>
  </si>
  <si>
    <t>回艺</t>
  </si>
  <si>
    <t>鸡尾酒;果酒（含酒精）;⽶酒;烧酒;⽩酒;⻩酒;烈酒（饮料）;清酒（⽇本⽶酒）;酒精饮料（啤酒除外）;葡萄酒</t>
  </si>
  <si>
    <t>1730</t>
  </si>
  <si>
    <t>77608920</t>
  </si>
  <si>
    <t>济南慕尼黑斯塔法国际贸易有限公司</t>
  </si>
  <si>
    <t>MUSTAFA</t>
  </si>
  <si>
    <t>含⽔果酒精饮料;蒸馏饮料;利⼝酒;果酒（含酒精）;⽶酒;⽩兰地;⽩酒;葡萄酒;威⼠忌;⻩酒</t>
  </si>
  <si>
    <t>1731</t>
  </si>
  <si>
    <t>77609224</t>
  </si>
  <si>
    <t>杭州英鉴中医药健康科技有限公司</t>
  </si>
  <si>
    <t>汉白昱堂</t>
  </si>
  <si>
    <t>烈酒（饮料）;酒精饮料（啤酒除外）;伏特加酒;含⽔果酒精饮料;鸡尾酒;果酒（含酒精）;威⼠忌;葡萄酒;酒精饮料浓缩汁;⽩酒</t>
  </si>
  <si>
    <t>1732</t>
  </si>
  <si>
    <t>77609487</t>
  </si>
  <si>
    <t>贵州德邻众酒业有限公司</t>
  </si>
  <si>
    <t>兴酌桐窖</t>
  </si>
  <si>
    <t>⻩酒;葡萄酒;酒精饮料（啤酒除外）;烈酒（饮料）;⽶酒;烧酒;果酒（含酒精）;蒸煮提取物（利⼝酒和烈酒）;鸡尾酒;⽩酒</t>
  </si>
  <si>
    <t>1733</t>
  </si>
  <si>
    <t>77609699</t>
  </si>
  <si>
    <t>郑州一辉文化传媒有限公司</t>
  </si>
  <si>
    <t>途客</t>
  </si>
  <si>
    <t>果酒（含酒精）;清酒;烧酒;⽩酒;威⼠忌;⻩酒;烈酒（饮料）;⽶酒;鸡尾酒;葡萄酒</t>
  </si>
  <si>
    <t>1734</t>
  </si>
  <si>
    <t>77609719</t>
  </si>
  <si>
    <t>苏州宝臻文化艺术传播有限公司</t>
  </si>
  <si>
    <t>昆绣</t>
  </si>
  <si>
    <t>⽶酒;⻩酒;⽩酒;烧酒;烈酒（饮料）;果酒（含酒精）;酒精饮料（啤酒除外）;汽酒;葡萄酒;清酒</t>
  </si>
  <si>
    <t>1735</t>
  </si>
  <si>
    <t>77609773</t>
  </si>
  <si>
    <t>合肥绾春茶馆有限公司</t>
  </si>
  <si>
    <t>绾春</t>
  </si>
  <si>
    <t>利⼝酒;酒精饮料（啤酒除外）;⽶酒;果酒（含酒精）;烧酒;葡萄酒;汽酒;⻩酒;⽩酒;鸡尾酒</t>
  </si>
  <si>
    <t>1736</t>
  </si>
  <si>
    <t>77609787</t>
  </si>
  <si>
    <t>深圳市金利昌不锈钢装饰工程有限公司</t>
  </si>
  <si>
    <t>时宜长风</t>
  </si>
  <si>
    <t>⽶酒;⽩酒;鸡尾酒;烈酒（饮料）;⾼粱酒;⻩酒;⽔果汽酒;餐后酒（利⼝酒和烈酒）;由⾕物蒸馏的⽩酒;已调味的⻨芽酿制的酒精饮料（啤酒除外）</t>
  </si>
  <si>
    <t>1737</t>
  </si>
  <si>
    <t>77609809</t>
  </si>
  <si>
    <t>于晓枫</t>
  </si>
  <si>
    <t>飒虎</t>
  </si>
  <si>
    <t>烧酒;酒精饮料原汁;⽩酒;汽酒;利⼝酒;⽶酒;⻩酒;果酒（含酒精）;葡萄酒;烈酒（饮料）</t>
  </si>
  <si>
    <t>1738</t>
  </si>
  <si>
    <t>77610168</t>
  </si>
  <si>
    <t>王仕彦</t>
  </si>
  <si>
    <t>王曦梓</t>
  </si>
  <si>
    <t>预先混合的酒精饮料（以啤酒为主的除外）;⾷⽤酒精;烧酒;⻩酒;⽶酒;⽩酒;果酒（含酒精）;酒精饮料浓缩汁;酒精饮料（啤酒除外）;蒸煮提取物（利⼝酒和烈酒）</t>
  </si>
  <si>
    <t>1739</t>
  </si>
  <si>
    <t>77610417</t>
  </si>
  <si>
    <t>州红韵</t>
  </si>
  <si>
    <t>果酒（含酒精）;⽶酒;烈酒（饮料）;含⽔果酒精饮料;⽩酒;烧酒;葡萄酒;酒精饮料（啤酒除外）;鸡尾酒;⻩酒</t>
  </si>
  <si>
    <t>1740</t>
  </si>
  <si>
    <t>77610552</t>
  </si>
  <si>
    <t>蒋克辉</t>
  </si>
  <si>
    <t>美惠珍</t>
  </si>
  <si>
    <t>⽩酒;含⽔果酒精饮料;⻩酒;鸡尾酒;⽶酒;酒精饮料（啤酒除外）;果酒（含酒精）;⻘稞酒;酒精饮料浓缩汁;葡萄酒</t>
  </si>
  <si>
    <t>1741</t>
  </si>
  <si>
    <t>77610726</t>
  </si>
  <si>
    <t>上海申宝实业有限公司</t>
  </si>
  <si>
    <t>开胃酒;烧酒;葡萄酒;⽶酒;果酒（含酒精）;⻩酒;烈酒（饮料）;⾷⽤酒精;⽩酒;酒精饮料（啤酒除外）</t>
  </si>
  <si>
    <t>1742</t>
  </si>
  <si>
    <t>77610750</t>
  </si>
  <si>
    <t>澜笙</t>
  </si>
  <si>
    <t>葡萄酒;鸡尾酒;白酒;米酒;蒸馏饮料;果酒（含酒精）;酒精饮料（啤酒除外）;烧酒;黄酒;烈酒（饮料）</t>
  </si>
  <si>
    <t>1743</t>
  </si>
  <si>
    <t>77610898</t>
  </si>
  <si>
    <t>贵州省仁怀市茅台镇老字号酿酒厂</t>
  </si>
  <si>
    <t>旌旗</t>
  </si>
  <si>
    <t>含⽔果酒精饮料;⽩酒;酒精饮料（啤酒除外）;⻩酒;⾼粱酒;烧酒;⾷⽤酒精;⽼酒（中国蒸馏烈酒）;⽩⼲酒（中国⽩酒）</t>
  </si>
  <si>
    <t>1744</t>
  </si>
  <si>
    <t>77610912</t>
  </si>
  <si>
    <t>云南迪西建材有限公司</t>
  </si>
  <si>
    <t>仝行天下</t>
  </si>
  <si>
    <t>烈酒;果酒（含酒精）;葡萄酒;预先混合的酒精饮料（以啤酒为主的除外）;开胃酒;⾼粱酒;鸡尾酒;烧酒;⾕物制蒸馏酒精饮料;⽩酒</t>
  </si>
  <si>
    <t>1745</t>
  </si>
  <si>
    <t>77611110</t>
  </si>
  <si>
    <t>玉品潭</t>
  </si>
  <si>
    <t>含水果酒精饮料;黄酒;葡萄酒;利口酒;烈酒（饮料）;鸡尾酒;米酒;烧酒;白酒;开胃酒</t>
  </si>
  <si>
    <t>1746</t>
  </si>
  <si>
    <t>77611119</t>
  </si>
  <si>
    <t>黔子潭</t>
  </si>
  <si>
    <t>⽩酒;含⽔果酒精饮料;烈酒（饮料）;葡萄酒;⻩酒;⽶酒;开胃酒;利⼝酒;烧酒;鸡尾酒</t>
  </si>
  <si>
    <t>1747</t>
  </si>
  <si>
    <t>77611192</t>
  </si>
  <si>
    <t>山西悦太行文化旅游产业有限公司</t>
  </si>
  <si>
    <t>悦太行</t>
  </si>
  <si>
    <t>⽩酒;⻩酒;果酒（含酒精）;葡萄酒;⻘稞酒;开胃酒;利⼝酒;烧酒;⽼酒（中国蒸馏烈酒）;⽶酒</t>
  </si>
  <si>
    <t>1748</t>
  </si>
  <si>
    <t>77611654</t>
  </si>
  <si>
    <t>刘清刚</t>
  </si>
  <si>
    <t>众琪查布嘎</t>
  </si>
  <si>
    <t>烧酒;⽩酒;鸡尾酒;⽶酒;威⼠忌;⽩兰地;⻩酒;蒸馏饮料;果酒（含酒精）;葡萄酒</t>
  </si>
  <si>
    <t>1749</t>
  </si>
  <si>
    <t>77611767</t>
  </si>
  <si>
    <t>河南省春暖太行商贸有限公司</t>
  </si>
  <si>
    <t>春暖太行</t>
  </si>
  <si>
    <t>⻩酒;⽩酒;⾼粱酒;清酒;葡萄酒;酒精饮料（啤酒除外）;烧酒;果酒（含酒精）;⽶酒;⽼酒（中国蒸馏烈酒）</t>
  </si>
  <si>
    <t>1750</t>
  </si>
  <si>
    <t>77612024</t>
  </si>
  <si>
    <t>北京锐彬商贸有限公司</t>
  </si>
  <si>
    <t>魏小薰</t>
  </si>
  <si>
    <t>含酒精的饮料（啤酒除外）;蜂蜜酒;含⽔果酒精饮料;含酒精的⽓泡⽔;以葡萄酒为主的饮料;梨酒;果酒（含酒精）;葡萄酒;⾕物制蒸馏酒精饮料;⽢蔗制酒精饮料</t>
  </si>
  <si>
    <t>1751</t>
  </si>
  <si>
    <t>77612195</t>
  </si>
  <si>
    <t>肇庆市方亮教育咨询有限公司</t>
  </si>
  <si>
    <t>匚健</t>
  </si>
  <si>
    <t>⽶酒;⽩酒;⻩酒;烈酒（饮料）;酒精饮料（啤酒除外）;⽩兰地;酒精饮料原汁;果酒（含酒精）;烧酒;葡萄酒</t>
  </si>
  <si>
    <t>1752</t>
  </si>
  <si>
    <t>77612259</t>
  </si>
  <si>
    <t>雍国虎</t>
  </si>
  <si>
    <t>璟绣珑南</t>
  </si>
  <si>
    <t>⽩酒;⽶酒;⻩酒;鸡尾酒;含酒精⽔果饮料;杨梅酒;葡萄酒;清酒;烧酒;红葡萄酒</t>
  </si>
  <si>
    <t>1753</t>
  </si>
  <si>
    <t>77612500</t>
  </si>
  <si>
    <t>DOMAINE DE JUGLARON</t>
  </si>
  <si>
    <t>果酒;⽩酒;利⼝酒;⽩葡萄酒;酒精饮料（啤酒除外）;清酒;烧酒;含酒精的⽔果鸡尾酒饮料;葡萄酒;⽶酒</t>
  </si>
  <si>
    <t>1754</t>
  </si>
  <si>
    <t>77612508</t>
  </si>
  <si>
    <t>苏歌拉桐庄园</t>
  </si>
  <si>
    <t>果酒;烧酒;⽶酒;⽩酒;利⼝酒;含酒精的⽔果鸡尾酒饮料;⽩葡萄酒;葡萄酒;清酒;酒精饮料（啤酒除外）</t>
  </si>
  <si>
    <t>1755</t>
  </si>
  <si>
    <t>77612538</t>
  </si>
  <si>
    <t>宁波康莱纳贸易有限公司</t>
  </si>
  <si>
    <t>奢帘客</t>
  </si>
  <si>
    <t>薄荷酒; 茴芹酒（利口酒）; 开胃酒; 白酒; 果酒（含酒精）; 亚力酒; 烧酒; 苦味酒; 茴香酒（利口酒）; 米酒</t>
  </si>
  <si>
    <t xml:space="preserve">	2024年03月28日</t>
  </si>
  <si>
    <t>1756</t>
  </si>
  <si>
    <t>77613039</t>
  </si>
  <si>
    <t>廖氏家台</t>
  </si>
  <si>
    <t>⽩酒;烈酒（饮料）;葡萄酒;果酒（含酒精）;⽢蔗制烈酒;⽶酒;酒精饮料（啤酒除外）;⻩酒;鸡尾酒;烧酒</t>
  </si>
  <si>
    <t>1771</t>
  </si>
  <si>
    <t>77615057</t>
  </si>
  <si>
    <t>李翠萍</t>
  </si>
  <si>
    <t>普邑老县城</t>
  </si>
  <si>
    <t>葡萄酒;果酒（含酒精）;果酒;烈酒（饮料）;含酒精的⽔果鸡尾酒饮料;威⼠忌;⽩酒;⽩兰地;含酒精的⽓泡⽔;⻘稞酒</t>
  </si>
  <si>
    <t>1772</t>
  </si>
  <si>
    <t>77615079</t>
  </si>
  <si>
    <t>师雄飞</t>
  </si>
  <si>
    <t>槐乡聚</t>
  </si>
  <si>
    <t>葡萄酒;酒精饮料（啤酒除外）;蒸馏饮料;烧酒;⽶酒;威⼠忌;⽩酒;果酒（含酒精）;鸡尾酒;烈酒（饮料）</t>
  </si>
  <si>
    <t>1773</t>
  </si>
  <si>
    <t>77615140</t>
  </si>
  <si>
    <t>张金彪</t>
  </si>
  <si>
    <t>源荣</t>
  </si>
  <si>
    <t>葡萄酒;⽩酒;⾼粱酒;⽶酒;⻘稞酒;露酒;果酒（含酒精）;酒精饮料（啤酒除外）;烧酒;⻩酒</t>
  </si>
  <si>
    <t>1774</t>
  </si>
  <si>
    <t>77615176</t>
  </si>
  <si>
    <t>中酿中巢（浙江）酒业有限公司</t>
  </si>
  <si>
    <t>东不倒</t>
  </si>
  <si>
    <t>葡萄酒;露酒;⾼粱酒;含酒精的⽔果鸡尾酒饮料;烧酒（烈酒）;由⾕物蒸馏的⽩酒;已调味的蒸馏酒;清酒（⽇本⽶酒）;含⽔果酒精饮料;果酒（含酒精）;鸡尾酒;甜酒;预调甜酒;以蒸馏酒为主的开胃酒;蒸馏⽶酒（泡盛酒）;酒精饮料原汁;苦艾酒;苦荞酒;⻘稞酒;⽩酒;威⼠忌;烈酒（饮料）;⽼酒（中国蒸馏烈酒）;开胃酒;酒精饮...</t>
  </si>
  <si>
    <t>25</t>
  </si>
  <si>
    <t>1775</t>
  </si>
  <si>
    <t>77615631</t>
  </si>
  <si>
    <t>山西青花国酒厂股份有限公司</t>
  </si>
  <si>
    <t>天青小籣花</t>
  </si>
  <si>
    <t>果酒（含酒精）;开胃酒;⽶酒;烈酒（饮料）;烧酒;⽩酒;鸡尾酒;葡萄酒;含⽔果酒精饮料;酒精饮料（啤酒除外）</t>
  </si>
  <si>
    <t>1776</t>
  </si>
  <si>
    <t>77615876</t>
  </si>
  <si>
    <t>西域宝船（广东）品牌管理有限公司</t>
  </si>
  <si>
    <t>萌象宝宝</t>
  </si>
  <si>
    <t>烈酒（饮料）;威⼠忌;酒精饮料（啤酒除外）;⽶酒;蒸馏饮料;果酒（含酒精）;清酒（⽇本⽶酒）;葡萄酒;⽩酒;⻩酒</t>
  </si>
  <si>
    <t>1777</t>
  </si>
  <si>
    <t>77615929</t>
  </si>
  <si>
    <t>佛山市金满盈米业有限公司</t>
  </si>
  <si>
    <t>玉珍福</t>
  </si>
  <si>
    <t>酒精饮料（啤酒除外）;⽩酒;果酒（含酒精）;酒精饮料浓缩汁;餐后酒（利⼝酒和烈酒）;⽩兰地;开胃酒;鸡尾酒;葡萄酒;⽶酒</t>
  </si>
  <si>
    <t>1778</t>
  </si>
  <si>
    <t>77615976</t>
  </si>
  <si>
    <t>九庄梦</t>
  </si>
  <si>
    <t>果酒（含酒精）;⽩兰地;⽩酒;威⼠忌;葡萄酒;酒精饮料（啤酒除外）;烈酒（饮料）;烧酒;⽶酒;鸡尾酒</t>
  </si>
  <si>
    <t>1779</t>
  </si>
  <si>
    <t>77616177</t>
  </si>
  <si>
    <t>秦皇岛艾酷乐商贸有限公司</t>
  </si>
  <si>
    <t>AIKOLE</t>
  </si>
  <si>
    <t>预先混合的酒精饮料（以啤酒为主的除外）;天然汽酒;苹果酒;鸡尾酒;果酒（含酒精）;含⽔果酒精饮料;含酒精⽔果饮料;露酒;利⼝酒;清酒（⽇本⽶酒）</t>
  </si>
  <si>
    <t>1780</t>
  </si>
  <si>
    <t>77616270</t>
  </si>
  <si>
    <t>瑞金市满太屋欣欣酒业有限责任公司</t>
  </si>
  <si>
    <t>满太屋</t>
  </si>
  <si>
    <t>蒸馏⽶酒（泡盛酒）;已调味的⻨芽酿制的酒精饮料（啤酒除外）;⻘稞酒;烧酒;烈酒;⽩酒;⽶酒;酒精饮料（啤酒除外）;⾕物制蒸馏酒精饮料;⻩酒</t>
  </si>
  <si>
    <t>1781</t>
  </si>
  <si>
    <t>77616458</t>
  </si>
  <si>
    <t>朱永飞</t>
  </si>
  <si>
    <t>魁占盛</t>
  </si>
  <si>
    <t>果酒（含酒精）;葡萄酒;酒精饮料（啤酒除外）;⻩酒;汽酒;⻘稞酒;烧酒;⽩酒;清酒（⽇本⽶酒）;⽶酒</t>
  </si>
  <si>
    <t>1782</t>
  </si>
  <si>
    <t>77616595</t>
  </si>
  <si>
    <t>DRAON EDITION</t>
  </si>
  <si>
    <t>果酒（含酒精）;⾷⽤酒精;汽酒;酒精饮料（啤酒除外）;烧酒;⽶酒;⽩兰地;⻩酒;葡萄酒;⽩酒</t>
  </si>
  <si>
    <t>1783</t>
  </si>
  <si>
    <t>77616833</t>
  </si>
  <si>
    <t>卢斌</t>
  </si>
  <si>
    <t>兰青庄园</t>
  </si>
  <si>
    <t>⻩酒;果酒（含酒精）;酒精饮料（啤酒除外）;⽶酒;清酒（⽇本⽶酒）;⽩酒;葡萄酒;鸡尾酒;烈酒（饮料）;烧酒</t>
  </si>
  <si>
    <t>1784</t>
  </si>
  <si>
    <t>77617144</t>
  </si>
  <si>
    <t>晋米卒</t>
  </si>
  <si>
    <t>葡萄酒;蜂蜜酒;⽩酒;露酒;果酒（含酒精）;烈酒（饮料）;⽶酒;⻩酒;烈酒;烧酒</t>
  </si>
  <si>
    <t>1785</t>
  </si>
  <si>
    <t>77617211</t>
  </si>
  <si>
    <t>翟孟佳</t>
  </si>
  <si>
    <t>通帝天下</t>
  </si>
  <si>
    <t>⻩酒;烧酒;果酒;烈酒;⾼粱酒;⻘稞酒;⽩酒;葡萄酒;⽶酒;鸡尾酒</t>
  </si>
  <si>
    <t>1786</t>
  </si>
  <si>
    <t>77617250</t>
  </si>
  <si>
    <t>许冬香430681********7024</t>
  </si>
  <si>
    <t>香和湫</t>
  </si>
  <si>
    <t>烧酒;⽼酒（中国蒸馏烈酒）;⻩酒;烈酒（饮料）;果酒（含酒精）;酒精饮料（啤酒除外）;⽩酒;葡萄酒;甜酒;⽶酒</t>
  </si>
  <si>
    <t>1787</t>
  </si>
  <si>
    <t>77617608</t>
  </si>
  <si>
    <t>四川彦宏科技有限责任公司</t>
  </si>
  <si>
    <t>虞卤尚食</t>
  </si>
  <si>
    <t>鸡尾酒;⾷⽤酒精;⻘稞酒;⽶酒;果酒（含酒精）;葡萄酒;烧酒;威⼠忌;⽩兰地;⽩酒</t>
  </si>
  <si>
    <t>1788</t>
  </si>
  <si>
    <t>77617855</t>
  </si>
  <si>
    <t>郓城盛发玻璃制品有限公司</t>
  </si>
  <si>
    <t>爱劲动</t>
  </si>
  <si>
    <t>葡萄酒;⽩兰地;⽶酒;清酒;⽩酒;⻩酒;烧酒;烈酒（饮料）;果酒（含酒精）;汽酒</t>
  </si>
  <si>
    <t>1789</t>
  </si>
  <si>
    <t>77618105</t>
  </si>
  <si>
    <t>杭州苞谷地科技有限公司</t>
  </si>
  <si>
    <t>峰零</t>
  </si>
  <si>
    <t>果酒（含酒精）;葡萄酒;清酒（⽇本⽶酒）;⽶酒;梅酒;鸡尾酒;威⼠忌;露酒;酒精饮料（啤酒除外）;⽩酒</t>
  </si>
  <si>
    <t>1790</t>
  </si>
  <si>
    <t>77618171</t>
  </si>
  <si>
    <t>北京养衡堂十补酒文化有限公司</t>
  </si>
  <si>
    <t>东方三一七</t>
  </si>
  <si>
    <t>开胃酒;苦味酒;烧酒;果酒（含酒精）;⽩酒;⾷⽤酒精;酒精饮料（啤酒除外）;葡萄酒;酒精饮料原汁;汽酒</t>
  </si>
  <si>
    <t>1791</t>
  </si>
  <si>
    <t>77618203</t>
  </si>
  <si>
    <t>柏翠商贸（嘉兴）有限公司</t>
  </si>
  <si>
    <t>阿蒂爱丽丝</t>
  </si>
  <si>
    <t>鸡尾酒;威⼠忌;葡萄酒;烈酒（饮料）;⻩酒;⽩酒;酒精饮料（啤酒除外）;清酒（⽇本⽶酒）;蒸馏饮料;⽶酒</t>
  </si>
  <si>
    <t>1792</t>
  </si>
  <si>
    <t>77618555</t>
  </si>
  <si>
    <t>荞乡梦</t>
  </si>
  <si>
    <t>烧酒;⻩酒;清酒（⽇本⽶酒）;⽩酒;烈酒（饮料）;⽶酒;果酒（含酒精）;葡萄酒;酒精饮料（啤酒除外）;蒸馏饮料</t>
  </si>
  <si>
    <t>1793</t>
  </si>
  <si>
    <t>77618592</t>
  </si>
  <si>
    <t>范赫</t>
  </si>
  <si>
    <t>帝升</t>
  </si>
  <si>
    <t>⽩酒;⻘稞酒;葡萄酒;⾼粱酒;露酒;酒精饮料（啤酒除外）;⽶酒;烧酒;⻩酒;果酒（含酒精）</t>
  </si>
  <si>
    <t>1794</t>
  </si>
  <si>
    <t>77618744</t>
  </si>
  <si>
    <t>四川西蜀虹文影视传媒有限公司</t>
  </si>
  <si>
    <t>朋僰</t>
  </si>
  <si>
    <t>开胃酒;果酒（含酒精）;蒸煮提取物（利⼝酒和烈酒）;⻩酒;⽩酒;烧酒;葡萄酒;酒精饮料（啤酒除外）;⽶酒;含⽔果酒精饮料</t>
  </si>
  <si>
    <t>1795</t>
  </si>
  <si>
    <t>77619393</t>
  </si>
  <si>
    <t>上海鸿臣食品贸易有限公司</t>
  </si>
  <si>
    <t>好妈炖</t>
  </si>
  <si>
    <t>⽶酒;威⼠忌;⽩酒;蒸煮提取物（利⼝酒和烈酒）;⻩酒;清酒;葡萄酒;⽩兰地;⽼酒（中国蒸馏烈酒）;果酒</t>
  </si>
  <si>
    <t>1796</t>
  </si>
  <si>
    <t>77619697</t>
  </si>
  <si>
    <t>浙江全民猫电子商务有限公司</t>
  </si>
  <si>
    <t>飘香赤畔</t>
  </si>
  <si>
    <t>清酒（⽇本⽶酒）;⾷⽤酒精;⽩酒;起泡红葡萄酒;⻩酒;果酒（含酒精）;含酒精的鸡尾酒混合饮品;威⼠忌;烧酒;甜酒</t>
  </si>
  <si>
    <t>1797</t>
  </si>
  <si>
    <t>77619769</t>
  </si>
  <si>
    <t>莆田市蒲仙姑娘食品有限公司</t>
  </si>
  <si>
    <t>果酒（含酒精）;蒸馏饮料;蜂蜜酒;⽶酒;酒精饮料（啤酒除外）;梨酒;⽩酒;⻩酒;葡萄酒;含⽔果酒精饮料</t>
  </si>
  <si>
    <t>1798</t>
  </si>
  <si>
    <t>77619996</t>
  </si>
  <si>
    <t>武汉诺松科技有限公司</t>
  </si>
  <si>
    <t>洞言</t>
  </si>
  <si>
    <t>葡萄酒;酒精饮料（啤酒除外）;⽩酒;⾼粱酒;蒸馏饮料;烈酒;甜酒;⻩酒;威⼠忌;果酒</t>
  </si>
  <si>
    <t>1799</t>
  </si>
  <si>
    <t>77620056</t>
  </si>
  <si>
    <t>李林</t>
  </si>
  <si>
    <t>莞伦香</t>
  </si>
  <si>
    <t>利⼝酒;含⽔果酒精饮料;蜂蜜酒;烈酒;⻩酒;果酒（含酒精）;葡萄酒;⽩酒;⽶酒;柑⾹酒</t>
  </si>
  <si>
    <t>1800</t>
  </si>
  <si>
    <t>77620429</t>
  </si>
  <si>
    <t>济宁健和商贸有限公司</t>
  </si>
  <si>
    <t>什津堂</t>
  </si>
  <si>
    <t>果酒（含酒精）;⽩酒;开胃酒;葡萄酒;⻩酒;⾷⽤酒精;酒精饮料（啤酒除外）;蒸馏饮料;蜂蜜酒;⽶酒</t>
  </si>
  <si>
    <t>1801</t>
  </si>
  <si>
    <t>77620933</t>
  </si>
  <si>
    <t>兆鸿酒业（中山）有限公司</t>
  </si>
  <si>
    <t>天坑地缝</t>
  </si>
  <si>
    <t>⽶酒;烈酒（饮料）;烧酒;葡萄酒;酒精饮料（啤酒除外）;⾷⽤酒精;鸡尾酒;⻩酒;果酒（含酒精）;⽩酒</t>
  </si>
  <si>
    <t>1802</t>
  </si>
  <si>
    <t>77620960</t>
  </si>
  <si>
    <t>郑成斌</t>
  </si>
  <si>
    <t>成文思武</t>
  </si>
  <si>
    <t>⻩酒;酒精饮料（啤酒除外）;葡萄酒;鸡尾酒;⾷⽤酒精;⽩兰地;烈酒（饮料）;⽩酒;⽶酒;果酒（含酒精）</t>
  </si>
  <si>
    <t>1803</t>
  </si>
  <si>
    <t>77621356</t>
  </si>
  <si>
    <t>谢广才</t>
  </si>
  <si>
    <t>在树下</t>
  </si>
  <si>
    <t>汽酒;甜酒;⽩酒;⽶酒;⾷⽤酒精;开胃酒;果酒;清酒;葡萄酒;⻩酒</t>
  </si>
  <si>
    <t>1804</t>
  </si>
  <si>
    <t>77621571</t>
  </si>
  <si>
    <t>刘二锋</t>
  </si>
  <si>
    <t>琻品钰液</t>
  </si>
  <si>
    <t>⻩酒;果酒（含酒精）;酒精饮料（啤酒除外）;含⽔果酒精饮料;清酒（⽇本⽶酒）;烧酒;鸡尾酒;⽩酒;樱桃酒;葡萄酒</t>
  </si>
  <si>
    <t>1805</t>
  </si>
  <si>
    <t>77621587</t>
  </si>
  <si>
    <t>李玉东</t>
  </si>
  <si>
    <t>雁南山</t>
  </si>
  <si>
    <t>酒精饮料（啤酒除外）;露酒;葡萄酒;⾼粱酒;⽩酒;⽶酒;烧酒;⻘稞酒;⻩酒;果酒（含酒精）</t>
  </si>
  <si>
    <t>1806</t>
  </si>
  <si>
    <t>77621674</t>
  </si>
  <si>
    <t>龙口市三棋商贸有限公司</t>
  </si>
  <si>
    <t>西奥札德</t>
  </si>
  <si>
    <t>烈酒;桃红葡萄酒;不起泡葡萄酒;红葡萄酒;威⼠忌;⽩酒;⽩葡萄酒;⽩兰地;起泡⽩葡萄酒;⻨芽威⼠忌</t>
  </si>
  <si>
    <t>1807</t>
  </si>
  <si>
    <t>77621868</t>
  </si>
  <si>
    <t>仁怀市戴作玖白酒经营部(个体工商户)</t>
  </si>
  <si>
    <t>戴作玖烧坊</t>
  </si>
  <si>
    <t>鸡尾酒;⽩酒;含酒精的饮料（啤酒除外）;葡萄酒;⾼粱酒;餐后酒（利⼝酒和烈酒）;果酒（含酒精）;威⼠忌;⻘稞酒;⽶酒</t>
  </si>
  <si>
    <t>1808</t>
  </si>
  <si>
    <t>77621906</t>
  </si>
  <si>
    <t>旭拉新能源科技(重庆)有限公司</t>
  </si>
  <si>
    <t>山羊井</t>
  </si>
  <si>
    <t>由⾕物蒸馏的⽩酒;⽼酒（中国蒸馏烈酒）;⽩⼲酒（中国⽩酒）;⾕物制蒸馏酒精饮料;烧酒（烈酒）;苦荞酒;含酒精的⽓泡⽔;果酒（含酒精）;五加⽪酒（中国混合烈酒）;⽩酒</t>
  </si>
  <si>
    <t>1809</t>
  </si>
  <si>
    <t>77622010</t>
  </si>
  <si>
    <t>烟台市御生堂大药房有限公司</t>
  </si>
  <si>
    <t>森下芝</t>
  </si>
  <si>
    <t>⽼酒（中国蒸馏烈酒）;葡萄酒;⽶酒;预先混合的酒精饮料（以啤酒为主的除外）;除啤酒外的酒精饮料;含酒精⽔果饮料;⽩酒;⾼粱酒;果酒;⻩酒</t>
  </si>
  <si>
    <t>1810</t>
  </si>
  <si>
    <t>77622100</t>
  </si>
  <si>
    <t>宝鸡吉吉牛商贸有限公司</t>
  </si>
  <si>
    <t>吉吉牛</t>
  </si>
  <si>
    <t>⽶酒;葡萄酒;烈酒（饮料）;烧酒;⾕物制蒸馏酒精饮料;果酒（含酒精）;⽩酒;利⼝酒;开胃酒;⻩酒</t>
  </si>
  <si>
    <t>1811</t>
  </si>
  <si>
    <t>77622529</t>
  </si>
  <si>
    <t>北京尔虎品牌运营管理有限公司</t>
  </si>
  <si>
    <t>迩虎</t>
  </si>
  <si>
    <t>⽩酒;⽩兰地;清酒（⽇本⽶酒）;含⽜奶的鸡尾酒;含酒精蛋奶酒;葡萄酒;威⼠忌;⽶酒;⻩酒;鸡尾酒</t>
  </si>
  <si>
    <t>1812</t>
  </si>
  <si>
    <t>77622884</t>
  </si>
  <si>
    <t>高强</t>
  </si>
  <si>
    <t>今年华</t>
  </si>
  <si>
    <t>汽酒;清酒;⽶酒;⾷⽤酒精;果酒;开胃酒;甜酒;⽩酒;葡萄酒;⻩酒</t>
  </si>
  <si>
    <t>1813</t>
  </si>
  <si>
    <t>77623075</t>
  </si>
  <si>
    <t>裕泽</t>
  </si>
  <si>
    <t>葡萄酒;⽶酒;烧酒;⻘稞酒;露酒;果酒（含酒精）;⾼粱酒;⻩酒;酒精饮料（啤酒除外）;⽩酒</t>
  </si>
  <si>
    <t>1814</t>
  </si>
  <si>
    <t>77623269</t>
  </si>
  <si>
    <t>贵州省仁怀市醉龙锦酒业有限公司</t>
  </si>
  <si>
    <t>醉龙锦</t>
  </si>
  <si>
    <t>葡萄酒;⽩兰地;酒精饮料（啤酒除外）;烈酒（饮料）;果酒（含酒精）;鸡尾酒;⽩⼲酒（中国⽩酒）;⽼酒（中国蒸馏烈酒）;⽩酒;⾼粱酒</t>
  </si>
  <si>
    <t>1815</t>
  </si>
  <si>
    <t>77623624</t>
  </si>
  <si>
    <t>独我曌</t>
  </si>
  <si>
    <t>含酒精⽔果饮料;⽩酒;果酒（含酒精）;餐后酒（利⼝酒和烈酒）;⽶酒;烧酒;以葡萄酒为主的饮料;天然汽酒;果酒;酒精饮料（啤酒除外）</t>
  </si>
  <si>
    <t>1816</t>
  </si>
  <si>
    <t>77623846</t>
  </si>
  <si>
    <t>SONG OF FIRELAND</t>
  </si>
  <si>
    <t>⽶酒;伏特加酒;甜酒;甜果酒;酒精饮料（啤酒除外）;⽩兰地;含⽔果酒精饮料;葡萄酒;预先混合的酒精饮料（以啤酒为主的除外）;清酒（⽇本⽶酒）;鸡尾酒;利⼝酒;汽酒;威⼠忌;朗姆酒;红葡萄酒;烈酒;⽩葡萄酒</t>
  </si>
  <si>
    <t>1817</t>
  </si>
  <si>
    <t>77623982</t>
  </si>
  <si>
    <t>李贵英</t>
  </si>
  <si>
    <t>鼎粮</t>
  </si>
  <si>
    <t>烧酒;果酒（含酒精）;⽶酒;⾼粱酒;⻘稞酒;⻩酒;露酒;酒精饮料（啤酒除外）;⽩酒;葡萄酒</t>
  </si>
  <si>
    <t>1818</t>
  </si>
  <si>
    <t>77623988</t>
  </si>
  <si>
    <t>安徽金谷神韵酒业有限公司</t>
  </si>
  <si>
    <t>晶谷神韵</t>
  </si>
  <si>
    <t>⾼粱酒;开胃酒;蒸馏⽶酒（泡盛酒）;葡萄酒;蒸煮提取物（利⼝酒和烈酒）;由⾕物蒸馏的⽩酒;⽩酒;鸡尾酒;⻩酒;清酒（⽇本⽶酒）</t>
  </si>
  <si>
    <t>1819</t>
  </si>
  <si>
    <t>77623992</t>
  </si>
  <si>
    <t>周进</t>
  </si>
  <si>
    <t>此观</t>
  </si>
  <si>
    <t>烈酒（饮料）;⽩兰地;葡萄酒;⽩酒;鸡尾酒;酒精饮料（啤酒除外）;烧酒;红葡萄酒;果酒（含酒精）;⽶酒</t>
  </si>
  <si>
    <t>1820</t>
  </si>
  <si>
    <t>77624022</t>
  </si>
  <si>
    <t>荞乡紫</t>
  </si>
  <si>
    <t>⽶酒;果酒（含酒精）;葡萄酒;清酒（⽇本⽶酒）;⽩酒;烈酒（饮料）;酒精饮料（啤酒除外）;烧酒;⻩酒;蒸馏饮料</t>
  </si>
  <si>
    <t>1821</t>
  </si>
  <si>
    <t>77624067</t>
  </si>
  <si>
    <t>厦门唯思云酒商贸有限公司</t>
  </si>
  <si>
    <t>逐夏</t>
  </si>
  <si>
    <t>威⼠忌;含⽔果酒精饮料;⽩酒;⽩兰地;⽶酒;烧酒;⻩酒;果酒（含酒精）;鸡尾酒;葡萄酒</t>
  </si>
  <si>
    <t>1822</t>
  </si>
  <si>
    <t>77624325</t>
  </si>
  <si>
    <t>屠德民</t>
  </si>
  <si>
    <t>拾炉</t>
  </si>
  <si>
    <t>⽩酒;蜂蜜酒;果酒（含酒精）;烈酒（饮料）;威⼠忌;烧酒;⽶酒;酒精饮料（啤酒除外）;鸡尾酒;蒸馏饮料</t>
  </si>
  <si>
    <t>1823</t>
  </si>
  <si>
    <t>77624713</t>
  </si>
  <si>
    <t>深圳市乔佰顺贸易有限公司</t>
  </si>
  <si>
    <t>图那温</t>
  </si>
  <si>
    <t>⽶酒;烧酒;鸡尾酒;梨酒;⽩酒;⽩兰地;开胃酒;葡萄酒;樱桃酒;⻩酒</t>
  </si>
  <si>
    <t>1824</t>
  </si>
  <si>
    <t>77624824</t>
  </si>
  <si>
    <t>贵州仁怀佰佳酒业有限责任公司</t>
  </si>
  <si>
    <t>吾爷供</t>
  </si>
  <si>
    <t>果酒;酒精饮料（啤酒除外）;鸡尾酒;⽩酒;果酒（含酒精）;威⼠忌;⽩兰地;⽶酒;⻩酒;葡萄酒</t>
  </si>
  <si>
    <t>1825</t>
  </si>
  <si>
    <t>77625116</t>
  </si>
  <si>
    <t>李天珍</t>
  </si>
  <si>
    <t>庆凰</t>
  </si>
  <si>
    <t>酒精饮料（啤酒除外）;葡萄酒;烈酒（饮料）;果酒（含酒精）;⽶酒;⽩酒;鸡尾酒;威⼠忌;烧酒;⽩兰地</t>
  </si>
  <si>
    <t>1826</t>
  </si>
  <si>
    <t>77625252</t>
  </si>
  <si>
    <t>古蔺名辰汽车服务有限公司</t>
  </si>
  <si>
    <t>观小兴</t>
  </si>
  <si>
    <t>⾼粱酒;烧酒;烧酒（烈酒）;⾕物制蒸馏酒精饮料;蒸煮提取物（利⼝酒和烈酒）;烈酒;⽼酒（中国蒸馏烈酒）;由⾕物蒸馏的⽩酒;果酒（含酒精）;⽩酒</t>
  </si>
  <si>
    <t>1827</t>
  </si>
  <si>
    <t>77625388</t>
  </si>
  <si>
    <t>山东省康寿福国际贸易有限公司</t>
  </si>
  <si>
    <t>莹铭豪</t>
  </si>
  <si>
    <t>⽩兰地;酒精饮料（啤酒除外）;含⽔果酒精饮料;亚⼒酒;葡萄酒;蒸馏饮料;鸡尾酒;⽶酒;苹果酒;果酒（含酒精）</t>
  </si>
  <si>
    <t>1842</t>
  </si>
  <si>
    <t>77627384</t>
  </si>
  <si>
    <t>肇庆广府首信文化发展有限公司</t>
  </si>
  <si>
    <t>封川天韵</t>
  </si>
  <si>
    <t>伏特加酒;酒精饮料（啤酒除外）;⾕物制蒸馏酒精饮料;果酒（含酒精）;葡萄酒;⻩酒;⽶酒;开胃酒;⽩酒;烈酒</t>
  </si>
  <si>
    <t>1843</t>
  </si>
  <si>
    <t>77627548</t>
  </si>
  <si>
    <t>海客谈</t>
  </si>
  <si>
    <t>葡萄酒;利⼝酒;⾕物制蒸馏酒精饮料;烧酒;⽶酒;含⽔果酒精饮料;汽酒;⽩酒;酒精饮料（啤酒除外）;⻩酒</t>
  </si>
  <si>
    <t>1844</t>
  </si>
  <si>
    <t>77627573</t>
  </si>
  <si>
    <t>昭通鑫都生物科技发展有限公司</t>
  </si>
  <si>
    <t>液粒亚</t>
  </si>
  <si>
    <t>开胃酒;果酒（含酒精）;蒸煮提取物（利⼝酒和烈酒）;蜂蜜酒;烧酒;烈酒（饮料）;⽶酒;含⽔果酒精饮料;酒精饮料原汁;酒精饮料（啤酒除外）</t>
  </si>
  <si>
    <t>1845</t>
  </si>
  <si>
    <t>77627658</t>
  </si>
  <si>
    <t>南阳鲜百汇商贸有限公司</t>
  </si>
  <si>
    <t>吉馋鹿鹿</t>
  </si>
  <si>
    <t>葡萄酒;果酒（含酒精）;鸡尾酒;⻩酒;⽩⼲酒（中国⽩酒）;酒精饮料（啤酒除外）;⽶酒;⾷⽤酒精;⽩酒;烈酒（饮料）</t>
  </si>
  <si>
    <t>1846</t>
  </si>
  <si>
    <t>77627698</t>
  </si>
  <si>
    <t>FINERPEP</t>
  </si>
  <si>
    <t>葡萄酒;⽶酒;酒精饮料（啤酒除外）;果酒（含酒精）;⽩酒;酒精饮料原汁;预先混合的酒精饮料（以啤酒为主的除外）;⽼酒（中国蒸馏烈酒）;蒸馏饮料;蒸煮提取物（利⼝酒和烈酒）</t>
  </si>
  <si>
    <t>1847</t>
  </si>
  <si>
    <t>77627734</t>
  </si>
  <si>
    <t>北京地心引力网络科技有限公司</t>
  </si>
  <si>
    <t>本原神龙窖主</t>
  </si>
  <si>
    <t>酒精饮料（啤酒除外）;烧酒;⽩酒;烈酒（饮料）;蜂蜜酒;汽酒;葡萄酒;⻩酒;果酒（含酒精）;⽶酒</t>
  </si>
  <si>
    <t>1848</t>
  </si>
  <si>
    <t>77628346</t>
  </si>
  <si>
    <t>纽慕（上海）食品科技有限公司</t>
  </si>
  <si>
    <t>RED BILLED BLACK SWAN</t>
  </si>
  <si>
    <t>⽩酒;苹果酒;威⼠忌;葡萄酒;烧酒;⽶酒;果酒（含酒精）;⻩酒;⾷⽤酒精;⽩兰地</t>
  </si>
  <si>
    <t>1849</t>
  </si>
  <si>
    <t>77628427</t>
  </si>
  <si>
    <t>重庆市酉阳县桑竹农业开发有限责任公司</t>
  </si>
  <si>
    <t>烧酒;⾷⽤酒精;⽩⼲酒（中国⽩酒）;果酒（含酒精）;⾼粱酒;开胃酒;酒精饮料（啤酒除外）;⽩酒;⽶酒;利⼝酒</t>
  </si>
  <si>
    <t>1850</t>
  </si>
  <si>
    <t>77628428</t>
  </si>
  <si>
    <t>温岭市璨优贸易有限公司</t>
  </si>
  <si>
    <t>璨优</t>
  </si>
  <si>
    <t>烈酒（饮料）;酒精饮料（啤酒除外）;红葡萄酒;甜果酒;果酒（含酒精）;⽩酒;葡萄酒;酒精饮料原汁;含⽔果酒精饮料;预先混合的酒精饮料（以啤酒为主的除外）</t>
  </si>
  <si>
    <t>1851</t>
  </si>
  <si>
    <t>77628455</t>
  </si>
  <si>
    <t>南方佳木</t>
  </si>
  <si>
    <t>烧酒;⻘稞酒;⻩酒;⾼粱酒;⽩酒;果酒（含酒精）;葡萄酒;酒精饮料（啤酒除外）;⽶酒;露酒</t>
  </si>
  <si>
    <t>1852</t>
  </si>
  <si>
    <t>77628573</t>
  </si>
  <si>
    <t>张爱玲</t>
  </si>
  <si>
    <t>燃坐标</t>
  </si>
  <si>
    <t>清酒;甜酒;⻩酒;果酒;⾷⽤酒精;葡萄酒;开胃酒;汽酒;⽩酒;⽶酒</t>
  </si>
  <si>
    <t>1853</t>
  </si>
  <si>
    <t>77629076</t>
  </si>
  <si>
    <t>聂平</t>
  </si>
  <si>
    <t>玫笔</t>
  </si>
  <si>
    <t>含酒精⽔果饮料;朗姆酒;⽩酒;清酒;烧酒;果酒;开胃酒;伏特加酒;⽶酒;鸡尾酒</t>
  </si>
  <si>
    <t>1854</t>
  </si>
  <si>
    <t>77629107</t>
  </si>
  <si>
    <t>常艳涛</t>
  </si>
  <si>
    <t>豪蕴</t>
  </si>
  <si>
    <t>⽶酒;果酒（含酒精）;烧酒;⻘稞酒;葡萄酒;露酒;酒精饮料（啤酒除外）;⻩酒;⽩酒;⾼粱酒</t>
  </si>
  <si>
    <t>1855</t>
  </si>
  <si>
    <t>77629683</t>
  </si>
  <si>
    <t>路遇天山</t>
  </si>
  <si>
    <t>葡萄酒;预先混合的酒精饮料（以啤酒为主的除外）;伏特加酒;烧酒;以葡萄酒为主的饮料;烈酒（饮料）;含⽔果酒精饮料;⽩酒;蒸馏饮料;果酒（含酒精）</t>
  </si>
  <si>
    <t>1856</t>
  </si>
  <si>
    <t>77629722</t>
  </si>
  <si>
    <t>肖乾皎</t>
  </si>
  <si>
    <t>比沃幸福时代</t>
  </si>
  <si>
    <t>亚⼒酒;伏特加酒;葡萄酒;⾼粱酒;含⽔果酒精饮料;⽩酒;果酒（含酒精）;汽酒;鸡尾酒;⻩酒</t>
  </si>
  <si>
    <t>1857</t>
  </si>
  <si>
    <t>77629830</t>
  </si>
  <si>
    <t>襄赵瑜</t>
  </si>
  <si>
    <t>⽩酒;⾼粱酒;⽩兰地;酒精饮料（啤酒除外）;威⼠忌;果酒（含酒精）;⽶酒;⽼酒（中国蒸馏烈酒）;葡萄酒;鸡尾酒</t>
  </si>
  <si>
    <t>1858</t>
  </si>
  <si>
    <t>77629874</t>
  </si>
  <si>
    <t>墨堃</t>
  </si>
  <si>
    <t>威⼠忌;⽼酒（中国蒸馏烈酒）;葡萄酒;酒精饮料（啤酒除外）;⽶酒;⽩酒;⾼粱酒;果酒（含酒精）;⽩兰地;鸡尾酒</t>
  </si>
  <si>
    <t>1859</t>
  </si>
  <si>
    <t>77629914</t>
  </si>
  <si>
    <t>宁夏品一德食品有限公司</t>
  </si>
  <si>
    <t>宁品一德</t>
  </si>
  <si>
    <t>⽩酒;葡萄酒;柑⾹酒;⾷⽤酒精;蜂蜜酒;薄荷酒;⽶酒;⻘稞酒;⽢蔗制酒精饮料;威⼠忌</t>
  </si>
  <si>
    <t>1860</t>
  </si>
  <si>
    <t>77630084</t>
  </si>
  <si>
    <t>长阳土家族自治县楠院酒店管理有限公司</t>
  </si>
  <si>
    <t>丽心可鉴</t>
  </si>
  <si>
    <t>果酒（含酒精）;鸡尾酒;葡萄酒;⽩酒;甜果酒;烈酒（饮料）;威⼠忌;⽶酒;含⽔果酒精饮料;樱桃⽩兰地</t>
  </si>
  <si>
    <t>1861</t>
  </si>
  <si>
    <t>77630162</t>
  </si>
  <si>
    <t>北京旖嘉文化发展有限公司</t>
  </si>
  <si>
    <t>鸡尾酒;酒精饮料浓缩汁;⽩酒;⻩酒;葡萄酒;果酒（含酒精）;⾷⽤酒精;含⽔果酒精饮料;酒精饮料（啤酒除外）;酒精饮料原汁</t>
  </si>
  <si>
    <t>1862</t>
  </si>
  <si>
    <t>77630240</t>
  </si>
  <si>
    <t>麻城市郭延鸽百货店</t>
  </si>
  <si>
    <t>政井坊</t>
  </si>
  <si>
    <t>果酒;含酒精的饮料（啤酒除外）;清酒;清酒（⽇本⽶酒）;葡萄酒;苹果酒;鸡尾酒;烧酒（烈酒）;开胃酒;⽩酒</t>
  </si>
  <si>
    <t>1863</t>
  </si>
  <si>
    <t>77630284</t>
  </si>
  <si>
    <t>宁波优和办公文具有限公司</t>
  </si>
  <si>
    <t>读书种子</t>
  </si>
  <si>
    <t>⻩酒;⽶酒;⾷⽤酒精;烈酒（饮料）;酒精饮料（啤酒除外）;清酒;蜂蜜酒;葡萄酒;⽩酒;汽酒</t>
  </si>
  <si>
    <t>1864</t>
  </si>
  <si>
    <t>77630335</t>
  </si>
  <si>
    <t>纳久福</t>
  </si>
  <si>
    <t>葡萄酒;酒精饮料（啤酒除外）;鸡尾酒;威⼠忌;⾷⽤酒精;开胃酒;果酒（含酒精）;汽酒;⻩酒;⽩酒</t>
  </si>
  <si>
    <t>1865</t>
  </si>
  <si>
    <t>77630484</t>
  </si>
  <si>
    <t>李风英</t>
  </si>
  <si>
    <t>简东北</t>
  </si>
  <si>
    <t>汽酒;⻩酒;威⼠忌;果酒（含酒精）;葡萄酒;烧酒;蒸馏饮料;酒精饮料（啤酒除外）;⽩酒;烈酒</t>
  </si>
  <si>
    <t>1866</t>
  </si>
  <si>
    <t>77630633</t>
  </si>
  <si>
    <t>段洪坤</t>
  </si>
  <si>
    <t>憨木匠</t>
  </si>
  <si>
    <t>果酒;葡萄酒;烧酒;由⾕物蒸馏的⽩酒;⾼粱酒;⻘稞酒;⽩酒;⽶酒;⻩酒;⽼酒（中国蒸馏烈酒）</t>
  </si>
  <si>
    <t>1867</t>
  </si>
  <si>
    <t>77630836</t>
  </si>
  <si>
    <t>刘飞</t>
  </si>
  <si>
    <t>惠活力</t>
  </si>
  <si>
    <t>汽酒;清酒;⽩酒;⾷⽤酒精;葡萄酒;开胃酒;甜酒;⽶酒;果酒;⻩酒</t>
  </si>
  <si>
    <t>1868</t>
  </si>
  <si>
    <t>77631049</t>
  </si>
  <si>
    <t>淮安好帮手服务管理有限公司</t>
  </si>
  <si>
    <t>德友康</t>
  </si>
  <si>
    <t>⽩酒;亚⼒酒;果酒（含酒精）;露酒;蒸馏饮料;苦味酒;葡萄酒;⽶酒;开胃酒;⻩酒</t>
  </si>
  <si>
    <t>1869</t>
  </si>
  <si>
    <t>77631145</t>
  </si>
  <si>
    <t>武汉絮恋服饰有限公司</t>
  </si>
  <si>
    <t>NARR PURNFOLL 纳本富</t>
  </si>
  <si>
    <t>果酒;葡萄酒;⽩酒;汽酒;鸡尾酒;伏特加酒;蒸馏饮料;酒精饮料（啤酒除外）;烈酒;烧酒</t>
  </si>
  <si>
    <t>1870</t>
  </si>
  <si>
    <t>77631273</t>
  </si>
  <si>
    <t>佳信劳德巴赫（福建）啤酒有限公司</t>
  </si>
  <si>
    <t>猫巴赫 CAT BACH</t>
  </si>
  <si>
    <t>⻩酒;酒精饮料（啤酒除外）;烈酒（饮料）;蒸馏饮料;⻘稞酒;⽩酒;果酒（含酒精）;葡萄酒;清酒（⽇本⽶酒）;鸡尾酒</t>
  </si>
  <si>
    <t>1871</t>
  </si>
  <si>
    <t>77631825</t>
  </si>
  <si>
    <t>罗碧勤</t>
  </si>
  <si>
    <t>葭中</t>
  </si>
  <si>
    <t xml:space="preserve">	葡萄酒; 蒸馏饮料; 烈酒（饮料）; 威士忌; 果酒; 酒精饮料（啤酒除外）; 白酒; 鸡尾酒; 烧酒; 米酒</t>
  </si>
  <si>
    <t>1872</t>
  </si>
  <si>
    <t>77631879</t>
  </si>
  <si>
    <t>刘在勇</t>
  </si>
  <si>
    <t>贵花娘</t>
  </si>
  <si>
    <t>烈酒（饮料）;⽩酒;果酒（含酒精）;烧酒;⻩酒;葡萄酒;酒精饮料原汁;酒精饮料（啤酒除外）;餐后酒（利⼝酒和烈酒）;⽶酒</t>
  </si>
  <si>
    <t>1873</t>
  </si>
  <si>
    <t>77631899</t>
  </si>
  <si>
    <t>岚池酒业（成都）有限公司</t>
  </si>
  <si>
    <t>白鹭川</t>
  </si>
  <si>
    <t>清酒（⽇本⽶酒）;酒精饮料（啤酒除外）;威⼠忌;葡萄酒;烈酒（饮料）;开胃酒;鸡尾酒;⽩酒;⽶酒;果酒（含酒精）</t>
  </si>
  <si>
    <t>1874</t>
  </si>
  <si>
    <t>77633066</t>
  </si>
  <si>
    <t>德全康</t>
  </si>
  <si>
    <t>蒸馏饮料;⽩酒;⻩酒;苦味酒;⽶酒;果酒（含酒精）;开胃酒;亚⼒酒;葡萄酒;露酒</t>
  </si>
  <si>
    <t>1875</t>
  </si>
  <si>
    <t>77633219</t>
  </si>
  <si>
    <t>冯兴娥</t>
  </si>
  <si>
    <t>葛政邮</t>
  </si>
  <si>
    <t>⽶酒;开胃酒;鸡尾酒;⻩酒;葡萄酒;⻘稞酒;烧酒;烈酒（饮料）;蜂蜜酒;⽩酒</t>
  </si>
  <si>
    <t>1876</t>
  </si>
  <si>
    <t>77633367</t>
  </si>
  <si>
    <t>雄武荆楚</t>
  </si>
  <si>
    <t>鸡尾酒;威⼠忌;⻩酒;⽩酒;开胃酒;⾷⽤酒精;葡萄酒;酒精饮料（啤酒除外）;果酒（含酒精）;汽酒</t>
  </si>
  <si>
    <t>1877</t>
  </si>
  <si>
    <t>77633768</t>
  </si>
  <si>
    <t>江苏银河酒业有限公司</t>
  </si>
  <si>
    <t>康衡</t>
  </si>
  <si>
    <t>⽩酒;⽶酒;烧酒;果酒;苹果酒;开胃酒;酒精饮料（啤酒除外）;威⼠忌;⻩酒;葡萄酒</t>
  </si>
  <si>
    <t>1878</t>
  </si>
  <si>
    <t>77635264</t>
  </si>
  <si>
    <t>禾醉清</t>
  </si>
  <si>
    <t>威⼠忌;鸡尾酒;葡萄酒;⽩兰地;酒精饮料（啤酒除外）;蒸煮提取物（利⼝酒和烈酒）;酒精饮料原汁;果酒（含酒精）;⻩酒;⽩酒</t>
  </si>
  <si>
    <t>1879</t>
  </si>
  <si>
    <t>77635273</t>
  </si>
  <si>
    <t>陈琳</t>
  </si>
  <si>
    <t>忘繁</t>
  </si>
  <si>
    <t>酒精饮料（啤酒除外）;果酒（含酒精）;鸡尾酒;开胃酒;威⼠忌;⻩酒;烈酒;葡萄酒;⽩酒;清酒（⽇本⽶酒）</t>
  </si>
  <si>
    <t>1880</t>
  </si>
  <si>
    <t>77636226</t>
  </si>
  <si>
    <t>深圳龙津企业管理有限公司</t>
  </si>
  <si>
    <t>鹏城小农</t>
  </si>
  <si>
    <t>利⼝酒;葡萄酒;威⼠忌;清酒;⽩酒;酒精饮料（啤酒除外）;鸡尾酒;果酒;开胃酒;⻩酒</t>
  </si>
  <si>
    <t>1881</t>
  </si>
  <si>
    <t>77636263</t>
  </si>
  <si>
    <t>张齐百</t>
  </si>
  <si>
    <t>五府世家</t>
  </si>
  <si>
    <t>甜酒;含酒精的饮料（啤酒除外）;⽶酒;果酒;葡萄酒;威⼠忌;⽩酒;烈酒（饮料）;鸡尾酒;酒精饮料（啤酒除外）</t>
  </si>
  <si>
    <t>1882</t>
  </si>
  <si>
    <t>77636676</t>
  </si>
  <si>
    <t>王振阳</t>
  </si>
  <si>
    <t>必力健</t>
  </si>
  <si>
    <t>开胃酒;果酒;⽩酒;⻩酒;⾷⽤酒精;甜酒;葡萄酒;汽酒;⽶酒;清酒</t>
  </si>
  <si>
    <t>1883</t>
  </si>
  <si>
    <t>77637634</t>
  </si>
  <si>
    <t>厦门市空山梦贸易有限公司</t>
  </si>
  <si>
    <t>粮花瑞</t>
  </si>
  <si>
    <t>酒精饮料（啤酒除外）;葡萄酒;⽩兰地;威⼠忌;鸡尾酒;⽩酒;⻩酒;蒸煮提取物（利⼝酒和烈酒）;果酒（含酒精）;酒精饮料原汁</t>
  </si>
  <si>
    <t>1884</t>
  </si>
  <si>
    <t>77637701</t>
  </si>
  <si>
    <t>汕尾市红海湾经济开发区隆盼养殖场</t>
  </si>
  <si>
    <t>东方叙写</t>
  </si>
  <si>
    <t>威⼠忌;⽩兰地;⽩酒;鸡尾酒;酒精饮料（啤酒除外）;葡萄酒;⻩酒;果酒（含酒精）;蜂蜜酒;⽶酒</t>
  </si>
  <si>
    <t>1885</t>
  </si>
  <si>
    <t>77637776</t>
  </si>
  <si>
    <t>潮州市融汇贸易有限公司</t>
  </si>
  <si>
    <t>融汇辰盛</t>
  </si>
  <si>
    <t>⽶酒;果酒（含酒精）;葡萄酒;烈酒;烧酒;开胃酒;酒精饮料（啤酒除外）;⽩酒;⻩酒;汽酒</t>
  </si>
  <si>
    <t>1886</t>
  </si>
  <si>
    <t>77637916</t>
  </si>
  <si>
    <t>濒湖霞液</t>
  </si>
  <si>
    <t>蒸馏饮料;葡萄酒;汽酒;⻩酒;开胃酒;鸡尾酒;威⼠忌;酒精饮料（啤酒除外）;⽩酒;果酒（含酒精）</t>
  </si>
  <si>
    <t>1887</t>
  </si>
  <si>
    <t>77638151</t>
  </si>
  <si>
    <t>厦门市平露商贸有限公司</t>
  </si>
  <si>
    <t>天美满</t>
  </si>
  <si>
    <t>葡萄酒;⽩兰地;果酒（含酒精）;蒸煮提取物（利⼝酒和烈酒）;鸡尾酒;酒精饮料原汁;⽩酒;⻩酒;酒精饮料（啤酒除外）;威⼠忌</t>
  </si>
  <si>
    <t>1888</t>
  </si>
  <si>
    <t>77639121</t>
  </si>
  <si>
    <t>湖南满坛福酒业销售有限公司</t>
  </si>
  <si>
    <t>百沙窑湾</t>
  </si>
  <si>
    <t>⻘稞酒;烧酒;⽶酒;茴⾹酒（利⼝酒）;⻩酒;⽩⼲酒（中国⽩酒）;开胃酒;⽩酒;果酒（含酒精）;⾷⽤酒精</t>
  </si>
  <si>
    <t>1889</t>
  </si>
  <si>
    <t>77639319</t>
  </si>
  <si>
    <t>松溪县小赵搬运服务站</t>
  </si>
  <si>
    <t>金旺喜</t>
  </si>
  <si>
    <t>⻩酒;清酒（⽇本⽶酒）;烧酒;⽩酒;⽩兰地;酒精饮料（啤酒除外）;果酒（含酒精）;葡萄酒;⾷⽤酒精;⽶酒</t>
  </si>
  <si>
    <t>1890</t>
  </si>
  <si>
    <t>77639329</t>
  </si>
  <si>
    <t>朱发龙</t>
  </si>
  <si>
    <t>宜隆发</t>
  </si>
  <si>
    <t>⻩酒;葡萄酒;烈酒（饮料）;⾼粱酒;酒精饮料（啤酒除外）;汽酒;⽶酒;⽩酒;烧酒;果酒（含酒精）</t>
  </si>
  <si>
    <t>77639830</t>
  </si>
  <si>
    <t>江西铨瓴企业运营管理有限公司</t>
  </si>
  <si>
    <t>惠瓴</t>
  </si>
  <si>
    <t>果酒（含酒精）;开胃酒;薄荷酒;烧酒;⽩酒;⻩酒;梅酒;烈酒（饮料）;⽶酒;汽酒</t>
  </si>
  <si>
    <t>1892</t>
  </si>
  <si>
    <t>77640244</t>
  </si>
  <si>
    <t>广东尊茅酒业有限公司</t>
  </si>
  <si>
    <t>醒狮戏球</t>
  </si>
  <si>
    <t>⽶酒;果酒（含酒精）;利⼝酒;含⽔果酒精饮料;⽼酒（中国蒸馏烈酒）;烧酒;⻩酒;葡萄酒;⽩酒;酒精饮料（啤酒除外）</t>
  </si>
  <si>
    <t>1893</t>
  </si>
  <si>
    <t>77640535</t>
  </si>
  <si>
    <t>杭州都好喝供应链管理有限公司</t>
  </si>
  <si>
    <t>阿马迪尼</t>
  </si>
  <si>
    <t>葡萄酒;⽩兰地;利⼝酒;⻩酒;烈酒;⽩酒;威⼠忌;果酒;含酒精的饮料（啤酒除外）;鸡尾酒</t>
  </si>
  <si>
    <t>1894</t>
  </si>
  <si>
    <t>77640936</t>
  </si>
  <si>
    <t>观隆</t>
  </si>
  <si>
    <t>烈酒;伏特加酒;蒸馏饮料;葡萄酒;⾼粱酒;酒精饮料（啤酒除外）;⽶酒;烧酒;果酒;⽩酒</t>
  </si>
  <si>
    <t>1895</t>
  </si>
  <si>
    <t>77641992</t>
  </si>
  <si>
    <t>广州中润实业集团股份有限公司</t>
  </si>
  <si>
    <t>邓医生</t>
  </si>
  <si>
    <t>威⼠忌;开胃酒;烈酒（饮料）;苹果酒;清酒（⽇本⽶酒）;汽酒;⽩兰地;⽩酒;蜂蜜酒;葡萄酒</t>
  </si>
  <si>
    <t>1896</t>
  </si>
  <si>
    <t>77642713</t>
  </si>
  <si>
    <t>无淮</t>
  </si>
  <si>
    <t xml:space="preserve">	威士忌; 黄酒; 酒精饮料（啤酒除外）; 果酒（含酒精）; 白酒; 葡萄酒; 烈酒; 鸡尾酒; 清酒（日本米酒）; 开胃酒</t>
  </si>
  <si>
    <t>1897</t>
  </si>
  <si>
    <t>77643046</t>
  </si>
  <si>
    <t>悦巴赫</t>
  </si>
  <si>
    <t>⻩酒;酒精饮料（啤酒除外）;⻘稞酒;果酒（含酒精）;清酒（⽇本⽶酒）;葡萄酒;⽩酒;鸡尾酒;烈酒（饮料）;蒸馏饮料</t>
  </si>
  <si>
    <t>1898</t>
  </si>
  <si>
    <t>77643092</t>
  </si>
  <si>
    <t>鲤出（杭州）文化创意有限公司</t>
  </si>
  <si>
    <t>鲤出东方</t>
  </si>
  <si>
    <t>果酒;蒸馏饮料;⾼粱酒;烧酒;含⽜奶的鸡尾酒;⽩酒;⻘梅酒;伏特加酒;含⽔果酒精饮料;葡萄酒</t>
  </si>
  <si>
    <t>1899</t>
  </si>
  <si>
    <t>77643856</t>
  </si>
  <si>
    <t>白甫冲</t>
  </si>
  <si>
    <t>酒精饮料（啤酒除外）;蒸馏饮料;鸡尾酒;葡萄酒;⽩酒;汽酒;⻩酒;开胃酒;果酒（含酒精）;威⼠忌</t>
  </si>
  <si>
    <t>1900</t>
  </si>
  <si>
    <t>77644812</t>
  </si>
  <si>
    <t>粤八方</t>
  </si>
  <si>
    <t>⻩酒;威⼠忌;果酒（含酒精）;鸡尾酒;⾷⽤酒精;开胃酒;酒精饮料（啤酒除外）;汽酒;⽩酒;葡萄酒</t>
  </si>
  <si>
    <t>1901</t>
  </si>
  <si>
    <t>77644851</t>
  </si>
  <si>
    <t>⽩酒;威⼠忌;葡萄酒;果酒（含酒精）;鸡尾酒;烈酒（饮料）;开胃酒;清酒（⽇本⽶酒）;酒精饮料（啤酒除外）;⽶酒</t>
  </si>
  <si>
    <t>1902</t>
  </si>
  <si>
    <t>77644861</t>
  </si>
  <si>
    <t>安丘市德丰电子有限公司</t>
  </si>
  <si>
    <t>寰瀛日月</t>
  </si>
  <si>
    <t>⽩酒;⾕物制蒸馏酒精饮料;烧酒;已调味的⻨芽酿制的酒精饮料（啤酒除外）;⻘稞酒;汽酒;⻩酒;⾷⽤酒精;含酒精的⽓泡⽔;⽶酒</t>
  </si>
  <si>
    <t>1903</t>
  </si>
  <si>
    <t>77645387</t>
  </si>
  <si>
    <t>林苑益寿（广州）健康管理有限公司</t>
  </si>
  <si>
    <t>LINYUAN YISHOU HEALTH LIVING HALL</t>
  </si>
  <si>
    <t>葡萄酒;⽶酒;预先混合的酒精饮料（以啤酒为主的除外）;⻩酒;威⼠忌;⽩酒;开胃酒;鸡尾酒;⽩兰地;果酒（含酒精）</t>
  </si>
  <si>
    <t>1904</t>
  </si>
  <si>
    <t>77645855</t>
  </si>
  <si>
    <t>深圳市爱可恩科技有限公司</t>
  </si>
  <si>
    <t>云点当</t>
  </si>
  <si>
    <t>⽩兰地;威⼠忌;果酒（含酒精）;葡萄酒;⽶酒;鸡尾酒;薄荷酒;⻩酒;伏特加酒;⽩酒</t>
  </si>
  <si>
    <t>1905</t>
  </si>
  <si>
    <t>77645892</t>
  </si>
  <si>
    <t>黑龙江爱儒科技文化有限公司</t>
  </si>
  <si>
    <t>爱儒古将</t>
  </si>
  <si>
    <t>⾼粱酒;含⽔果酒精饮料;⻩酒;葡萄酒;蒸煮提取物（利⼝酒和烈酒）;汽酒;果酒（含酒精）;烧酒;⽶酒;⽩酒</t>
  </si>
  <si>
    <t>1906</t>
  </si>
  <si>
    <t>77646389</t>
  </si>
  <si>
    <t>浙江贵阁企业管理有限公司</t>
  </si>
  <si>
    <t>碎坤基</t>
  </si>
  <si>
    <t>苹果酒;烧酒;果酒（含酒精）;蜂蜜酒;开胃酒;⽩酒;蒸馏饮料;预先混合的酒精饮料（以啤酒为主的除外）;梨酒;烈酒（饮料）</t>
  </si>
  <si>
    <t>1907</t>
  </si>
  <si>
    <t>77646392</t>
  </si>
  <si>
    <t>岁坤基</t>
  </si>
  <si>
    <t>苹果酒;梨酒;烧酒;⽩酒;烈酒（饮料）;预先混合的酒精饮料（以啤酒为主的除外）;果酒（含酒精）;蒸馏饮料;蜂蜜酒;开胃酒</t>
  </si>
  <si>
    <t>1908</t>
  </si>
  <si>
    <t>77646461</t>
  </si>
  <si>
    <t>刘光福522121********0055</t>
  </si>
  <si>
    <t>赖时安</t>
  </si>
  <si>
    <t>果酒（含酒精）;⾕物制蒸馏酒精饮料;汽酒;⻩酒;⾷⽤酒精;烧酒;⽩酒;⻘稞酒;以葡萄酒为主的饮料;薄荷酒</t>
  </si>
  <si>
    <t>1909</t>
  </si>
  <si>
    <t>77646576</t>
  </si>
  <si>
    <t>政和县远华果蔬专业合作社</t>
  </si>
  <si>
    <t>问计</t>
  </si>
  <si>
    <t>果酒（含酒精）;烈酒（饮料）;以葡萄酒为主的饮料;⽩酒;⽶酒;鸡尾酒;烧酒;⽩葡萄酒;酒精饮料原汁;红葡萄酒</t>
  </si>
  <si>
    <t>1910</t>
  </si>
  <si>
    <t>77646943</t>
  </si>
  <si>
    <t>山西启康农业科技有限公司</t>
  </si>
  <si>
    <t>妙德甄</t>
  </si>
  <si>
    <t>蒸馏饮料;威⼠忌;⽩酒;鸡尾酒;⻩酒;⽩兰地;果酒（含酒精）;⽶酒;烧酒;葡萄酒</t>
  </si>
  <si>
    <t>1911</t>
  </si>
  <si>
    <t>77647899</t>
  </si>
  <si>
    <t>泰巴赫</t>
  </si>
  <si>
    <t>果酒（含酒精）;烈酒（饮料）;⽩酒;鸡尾酒;蒸馏饮料;葡萄酒;⻘稞酒;清酒（⽇本⽶酒）;酒精饮料（啤酒除外）;⻩酒</t>
  </si>
  <si>
    <t>1926</t>
  </si>
  <si>
    <t>77653131</t>
  </si>
  <si>
    <t>海南形气食品有限公司</t>
  </si>
  <si>
    <t>果酒（含酒精）;蒸馏饮料;葡萄酒;酸酒（低等葡萄酒）;烈酒（饮料）;⽶酒;酒精饮料（啤酒除外）;苹果酒;⽩酒;⽩兰地</t>
  </si>
  <si>
    <t>1927</t>
  </si>
  <si>
    <t>77653286</t>
  </si>
  <si>
    <t>付堂月</t>
  </si>
  <si>
    <t>悦利希</t>
  </si>
  <si>
    <t>⻩酒;葡萄酒;烧酒;鸡尾酒;⽩酒;⽶酒;果酒（含酒精）;⾼粱酒;蒸馏饮料;含酒精⽔果饮料</t>
  </si>
  <si>
    <t>1928</t>
  </si>
  <si>
    <t>77654352</t>
  </si>
  <si>
    <t>武汉正轩宇生物科技有限公司</t>
  </si>
  <si>
    <t>竹林匠</t>
  </si>
  <si>
    <t>威⼠忌;葡萄酒;清酒（⽇本⽶酒）;果酒（含酒精）;酒精饮料（啤酒除外）;⻩酒;杜松⼦酒;⽩酒;烈酒（饮料）;鸡尾酒</t>
  </si>
  <si>
    <t>1929</t>
  </si>
  <si>
    <t>77654511</t>
  </si>
  <si>
    <t>王鹏超</t>
  </si>
  <si>
    <t>优禾益元</t>
  </si>
  <si>
    <t>烈酒;甜果酒;甜酒;果酒（含酒精）;⽶酒;⽩酒;开胃酒;葡萄酒;烧酒;⻩酒</t>
  </si>
  <si>
    <t>1930</t>
  </si>
  <si>
    <t>77654590</t>
  </si>
  <si>
    <t>诸暨市南舍艺术品有限公司</t>
  </si>
  <si>
    <t>浦阳晓筑</t>
  </si>
  <si>
    <t>⻩酒;葡萄酒;烧酒;⽩酒;含⽔果酒精饮料;⾷⽤酒精;果酒（含酒精）;⻘稞酒;⽶酒;樱桃酒</t>
  </si>
  <si>
    <t>1931</t>
  </si>
  <si>
    <t>77654888</t>
  </si>
  <si>
    <t>南昌乐商共社文化传播有限公司</t>
  </si>
  <si>
    <t>友服报</t>
  </si>
  <si>
    <t>蒸馏饮料;汽酒;含⽔果酒精饮料;酒精饮料（啤酒除外）;⽩酒;餐后酒（利⼝酒和烈酒）;葡萄酒;⻩酒;⾕物制蒸馏酒精饮料;烧酒</t>
  </si>
  <si>
    <t>1932</t>
  </si>
  <si>
    <t>77654993</t>
  </si>
  <si>
    <t>惠州市军功酒业有限公司</t>
  </si>
  <si>
    <t>西野虎狮</t>
  </si>
  <si>
    <t>葡萄酒;利⼝酒;⽶酒;烧酒;蜂蜜酒;果酒（含酒精）;开胃酒;⻩酒;⽩酒;蒸煮提取物（利⼝酒和烈酒）</t>
  </si>
  <si>
    <t>1933</t>
  </si>
  <si>
    <t>77655068</t>
  </si>
  <si>
    <t>襄逢</t>
  </si>
  <si>
    <t>威⼠忌;果酒（含酒精）;⽩酒;⽼酒（中国蒸馏烈酒）;鸡尾酒;⽶酒;葡萄酒;酒精饮料（啤酒除外）;⾼粱酒;⽩兰地</t>
  </si>
  <si>
    <t>1934</t>
  </si>
  <si>
    <t>77655381</t>
  </si>
  <si>
    <t>黔东南州鑫业商贸有限公司</t>
  </si>
  <si>
    <t>黔水汉韵</t>
  </si>
  <si>
    <t>⽩酒;⻩酒;⾕物制蒸馏酒精饮料;汽酒;⾷⽤酒精;葡萄酒;薄荷酒;烧酒;⻘稞酒;果酒（含酒精）</t>
  </si>
  <si>
    <t>1935</t>
  </si>
  <si>
    <t>77655423</t>
  </si>
  <si>
    <t>贵州天陈贵香酒业有限公司</t>
  </si>
  <si>
    <t>祥毅烧坊</t>
  </si>
  <si>
    <t>烈酒;⽶酒;烧酒;⽩酒;葡萄酒;⻩酒;⾼粱酒;果酒;⽼酒（中国蒸馏烈酒）;⽩⼲酒（中国⽩酒）</t>
  </si>
  <si>
    <t>1936</t>
  </si>
  <si>
    <t>77655543</t>
  </si>
  <si>
    <t>杭州新迪爱品牌管理有限公司</t>
  </si>
  <si>
    <t>葡萄酒;⽩酒;⻩酒;烧酒;蒸馏饮料;酒精饮料（啤酒除外）;果酒（含酒精）;⽶酒;烈酒（饮料）;⾷⽤酒精</t>
  </si>
  <si>
    <t>1937</t>
  </si>
  <si>
    <t>77655642</t>
  </si>
  <si>
    <t>三明市三元区小圣贤庄信息咨询有限责任公司</t>
  </si>
  <si>
    <t>红玌</t>
  </si>
  <si>
    <t>含酒精的饮料（啤酒除外）;烧酒;⻩酒;⽩酒;已调味的蒸馏酒;⽼酒（中国蒸馏烈酒）;餐后酒（利⼝酒和烈酒）;烈酒（饮料）;⾕物制蒸馏酒精饮料;⾼粱酒</t>
  </si>
  <si>
    <t>1938</t>
  </si>
  <si>
    <t>77655652</t>
  </si>
  <si>
    <t>何明秀</t>
  </si>
  <si>
    <t>俏品官</t>
  </si>
  <si>
    <t>含酒精的饮料（啤酒除外）;⽩酒;⽶酒;鸡尾酒;果酒;甜酒;清酒;⻩酒;烈酒;葡萄酒</t>
  </si>
  <si>
    <t>1939</t>
  </si>
  <si>
    <t>77655664</t>
  </si>
  <si>
    <t>倪华山</t>
  </si>
  <si>
    <t>三盛丰</t>
  </si>
  <si>
    <t>⽩酒;⾼粱酒;果酒（含酒精）;由⾕物蒸馏的⽩酒;⽶酒;⾷⽤酒精;鸡尾酒;葡萄酒;酒精饮料（啤酒除外）;⻩酒</t>
  </si>
  <si>
    <t>1940</t>
  </si>
  <si>
    <t>77656909</t>
  </si>
  <si>
    <t>王旭梅</t>
  </si>
  <si>
    <t>道念纯</t>
  </si>
  <si>
    <t>苦味酒;开胃酒;葡萄酒;烧酒;⻩酒;⽩酒;清酒;果酒（含酒精）;酒精饮料（啤酒除外）;蒸煮提取物（利⼝酒和烈酒）</t>
  </si>
  <si>
    <t>1941</t>
  </si>
  <si>
    <t>77657399</t>
  </si>
  <si>
    <t>胡林</t>
  </si>
  <si>
    <t>宝酒河</t>
  </si>
  <si>
    <t>烈酒（饮料）;鸡尾酒;葡萄酒;蜂蜜酒;⽩酒;⻩酒;开胃酒;预先混合的酒精饮料（以啤酒为主的除外）;烧酒;清酒（⽇本⽶酒）</t>
  </si>
  <si>
    <t>1942</t>
  </si>
  <si>
    <t>77657655</t>
  </si>
  <si>
    <t>蕲阳八景</t>
  </si>
  <si>
    <t>蒸馏饮料;鸡尾酒;酒精饮料（啤酒除外）;汽酒;⽩酒;威⼠忌;开胃酒;葡萄酒;果酒（含酒精）;⻩酒</t>
  </si>
  <si>
    <t>1943</t>
  </si>
  <si>
    <t>77657689</t>
  </si>
  <si>
    <t>佛山市蜂勤科技有限公司</t>
  </si>
  <si>
    <t>酉瑶</t>
  </si>
  <si>
    <t>⾕物制蒸馏酒精饮料;⻩酒;烈酒（饮料）;⽩酒;葡萄酒;酒精饮料原汁;酒精饮料（啤酒除外）;果酒（含酒精）;⾷⽤酒精;⽶酒</t>
  </si>
  <si>
    <t>1944</t>
  </si>
  <si>
    <t>77657708</t>
  </si>
  <si>
    <t>德则康</t>
  </si>
  <si>
    <t>亚⼒酒;⽩酒;露酒;⻩酒;蒸馏饮料;葡萄酒;⽶酒;苦味酒;开胃酒;果酒（含酒精）</t>
  </si>
  <si>
    <t>1975</t>
  </si>
  <si>
    <t>77664929</t>
  </si>
  <si>
    <t>钟家旺</t>
  </si>
  <si>
    <t>苗仁民</t>
  </si>
  <si>
    <t>酒精饮料原汁;葡萄酒;餐后酒（利⼝酒和烈酒）;果酒（含酒精）;烈酒（饮料）;⻩酒;烧酒;⽶酒;酒精饮料（啤酒除外）;⽩酒</t>
  </si>
  <si>
    <t>1976</t>
  </si>
  <si>
    <t>77665049</t>
  </si>
  <si>
    <t>杨荣禹</t>
  </si>
  <si>
    <t>向年华</t>
  </si>
  <si>
    <t>葡萄酒;⻩酒;果酒（含酒精）;威⼠忌;烈酒;开胃酒;鸡尾酒;清酒（⽇本⽶酒）;⽩酒;酒精饮料（啤酒除外）</t>
  </si>
  <si>
    <t>1977</t>
  </si>
  <si>
    <t>77665405</t>
  </si>
  <si>
    <t>陈亮</t>
  </si>
  <si>
    <t>禄祥鸣</t>
  </si>
  <si>
    <t>葡萄酒;⻩酒;⾼粱酒;⽩⼲酒（中国⽩酒）;五加⽪酒（中国混合烈酒）;⾷⽤酒精;果酒;⽶酒;⽼酒（中国蒸馏烈酒）;⽩酒</t>
  </si>
  <si>
    <t>1978</t>
  </si>
  <si>
    <t>77665487</t>
  </si>
  <si>
    <t>华鼎龙涎春</t>
  </si>
  <si>
    <t>葡萄酒;⽩酒;⾼粱酒;果酒;烧酒;含酒精的饮料（啤酒除外）;露酒;樱桃酒;清酒;甜酒</t>
  </si>
  <si>
    <t>1979</t>
  </si>
  <si>
    <t>77665557</t>
  </si>
  <si>
    <t>吴和洋</t>
  </si>
  <si>
    <t>MWSY</t>
  </si>
  <si>
    <t>开胃酒;葡萄酒;烈酒（饮料）;汽酒;果酒（含酒精）;⽩兰地;威⼠忌;酒精饮料（啤酒除外）;伏特加酒;⽩⼲酒（中国⽩酒）</t>
  </si>
  <si>
    <t>1980</t>
  </si>
  <si>
    <t>77665752</t>
  </si>
  <si>
    <t>诗芊</t>
  </si>
  <si>
    <t>葡萄酒;伏特加酒;⻩酒;以葡萄酒为主的饮料;⽩酒;含酒精的鸡尾酒混合饮品;威⼠忌;清酒（⽇本⽶酒）;⾼粱酒;⽩⼲酒（中国⽩酒）</t>
  </si>
  <si>
    <t>1981</t>
  </si>
  <si>
    <t>77665788</t>
  </si>
  <si>
    <t>鲲鼎</t>
  </si>
  <si>
    <t>鸡尾酒;⽩酒;葡萄酒;⻩酒;烈酒（饮料）;酒精饮料（啤酒除外）;⽶酒;果酒（含酒精）;开胃酒;烧酒</t>
  </si>
  <si>
    <t>1982</t>
  </si>
  <si>
    <t>77666255</t>
  </si>
  <si>
    <t>郑州喜煜上商贸有限公司</t>
  </si>
  <si>
    <t>经鹤堂</t>
  </si>
  <si>
    <t>⽩酒;果酒（含酒精）;酒精饮料原汁;开胃酒;含酒精的⽓泡⽔;⽶酒;预先混合的酒精饮料（以啤酒为主的除外）;⾷⽤酒精;露酒;酒精饮料（啤酒除外）</t>
  </si>
  <si>
    <t>1983</t>
  </si>
  <si>
    <t>77666260</t>
  </si>
  <si>
    <t>霍晓东</t>
  </si>
  <si>
    <t>韩魏赵</t>
  </si>
  <si>
    <t>果酒;⽩酒;烧酒（烈酒）;⾼粱酒;汽酒;酒精饮料浓缩汁;草莓酒;⻩酒;清酒（⽇本⽶酒）;烈酒</t>
  </si>
  <si>
    <t>1984</t>
  </si>
  <si>
    <t>77666270</t>
  </si>
  <si>
    <t>创家合展（广州）智能家居科技有限公司</t>
  </si>
  <si>
    <t>食用酒精;酒精饮料浓缩汁;米酒;白酒;烧酒;烈酒（饮料）;酒精饮料（啤酒除外）;葡萄酒;黄酒;果酒（含酒精）</t>
  </si>
  <si>
    <t>1985</t>
  </si>
  <si>
    <t>77666300</t>
  </si>
  <si>
    <t>周桂英</t>
  </si>
  <si>
    <t>烈赐</t>
  </si>
  <si>
    <t>酒精饮料（啤酒除外）;⽩酒;烈酒;清酒（⽇本⽶酒）;果酒（含酒精）;⻩酒;威⼠忌;开胃酒;葡萄酒;鸡尾酒</t>
  </si>
  <si>
    <t>1986</t>
  </si>
  <si>
    <t>77666376</t>
  </si>
  <si>
    <t>圣锦</t>
  </si>
  <si>
    <t>⻩酒;⽩酒;⾼粱酒;果酒（含酒精）;露酒;葡萄酒;烧酒;⽶酒;⻘稞酒;酒精饮料（啤酒除外）</t>
  </si>
  <si>
    <t>1987</t>
  </si>
  <si>
    <t>77666595</t>
  </si>
  <si>
    <t>邓亚丽</t>
  </si>
  <si>
    <t>众熊</t>
  </si>
  <si>
    <t>烈酒（饮料）;鸡尾酒;开胃酒;蜂蜜酒;威⼠忌;⻩酒;烧酒;⻘稞酒;清酒（⽇本⽶酒）;⽩酒</t>
  </si>
  <si>
    <t>1988</t>
  </si>
  <si>
    <t>77666889</t>
  </si>
  <si>
    <t>威⼠忌;果酒（含酒精）;清酒（⽇本⽶酒）;⽩兰地;⽶酒;烧酒;⽩酒;葡萄酒;酒精饮料（啤酒除外）;鸡尾酒</t>
  </si>
  <si>
    <t>1989</t>
  </si>
  <si>
    <t>77667927</t>
  </si>
  <si>
    <t>付蕊</t>
  </si>
  <si>
    <t>晋云天</t>
  </si>
  <si>
    <t>蒸馏饮料;果酒（含酒精）;葡萄酒;开胃酒;⽶酒;⽩酒;鸡尾酒;清酒（⽇本⽶酒）;含⽔果酒精饮料;酒精饮料（啤酒除外）</t>
  </si>
  <si>
    <t>2024年03月31日</t>
  </si>
  <si>
    <t>1990</t>
  </si>
  <si>
    <t>77668385</t>
  </si>
  <si>
    <t>刘玉眉</t>
  </si>
  <si>
    <t>画辞</t>
  </si>
  <si>
    <t>朗姆酒;⽩酒;⻘稞酒;含⽔果酒精饮料;⻩酒;蒸馏饮料;酒精饮料（啤酒除外）;葡萄酒;烈酒（饮料）;⾕物制蒸馏酒精饮料</t>
  </si>
  <si>
    <t>1991</t>
  </si>
  <si>
    <t>77671444</t>
  </si>
  <si>
    <t>吕斌</t>
  </si>
  <si>
    <t>玖合素手</t>
  </si>
  <si>
    <t>果酒（含酒精）;甜酒;鸡尾酒;葡萄酒;⽩酒;威⼠忌;伏特加酒;烧酒;⽶酒;⽩兰地</t>
  </si>
  <si>
    <t>1992</t>
  </si>
  <si>
    <t>77671930</t>
  </si>
  <si>
    <t>梅赛白酒有限公司</t>
  </si>
  <si>
    <t>天天湘</t>
  </si>
  <si>
    <t>⽶酒;葡萄酒;⽩酒;⻘稞酒;鸡尾酒;烈酒（饮料）;⻩酒;果酒（含酒精）;清酒（⽇本⽶酒）;利⼝酒</t>
  </si>
  <si>
    <t>2024年04月01日</t>
  </si>
  <si>
    <t>1993</t>
  </si>
  <si>
    <t>77672425</t>
  </si>
  <si>
    <t>罗玲</t>
  </si>
  <si>
    <t>智会仁生</t>
  </si>
  <si>
    <t>⽶酒;⾷⽤酒精;烧酒;⻩酒;⽩酒;酒精饮料（啤酒除外）;⾼粱酒;果酒;烈酒;葡萄酒</t>
  </si>
  <si>
    <t>1994</t>
  </si>
  <si>
    <t>77672712</t>
  </si>
  <si>
    <t>贵州忆品汉酒业有限公司</t>
  </si>
  <si>
    <t>谷星河</t>
  </si>
  <si>
    <t>⽶酒;烈酒（饮料）;果酒（含酒精）;露酒;⽩酒;⾕物制蒸馏酒精饮料;餐后酒（利⼝酒和烈酒）;蒸馏饮料;葡萄酒;苹果酒</t>
  </si>
  <si>
    <t>1995</t>
  </si>
  <si>
    <t>77672770</t>
  </si>
  <si>
    <t>东悦（深圳）控股集团有限公司</t>
  </si>
  <si>
    <t>果酒;⽶酒;酸酒（低等葡萄酒）;烧酒;葡萄酒;鸡尾酒;苹果酒;含酒精⽔果饮料;⽩酒;酒精饮料（啤酒除外）</t>
  </si>
  <si>
    <t>1996</t>
  </si>
  <si>
    <t>77672805</t>
  </si>
  <si>
    <t>沈阳霖海商贸有限公司</t>
  </si>
  <si>
    <t>己巳</t>
  </si>
  <si>
    <t>鸡尾酒;梨酒;利⼝酒;威⼠忌;烧酒;⽩酒;⽼酒（中国蒸馏烈酒）;⽩兰地;甜酒;奶油利⼝酒;⽶酒;梅酒</t>
  </si>
  <si>
    <t>1997</t>
  </si>
  <si>
    <t>77673073</t>
  </si>
  <si>
    <t>青岛原脉丘海食品科技有限公司</t>
  </si>
  <si>
    <t>原脉丘海</t>
  </si>
  <si>
    <t>果酒（含酒精）;烧酒;⾷⽤酒精;酒精饮料（啤酒除外）;⻩酒;葡萄酒;⽩酒;烈酒（饮料）;酒精饮料原汁;果酒</t>
  </si>
  <si>
    <t>1998</t>
  </si>
  <si>
    <t>77673635</t>
  </si>
  <si>
    <t>湖南有人网络科技有限公司</t>
  </si>
  <si>
    <t>汁星宝</t>
  </si>
  <si>
    <t>蒸馏饮料;⽶酒;汽酒;⽩酒;鸡尾酒;预先混合的酒精饮料（以啤酒为主的除外）;葡萄酒;含⽔果酒精饮料;果酒（含酒精）;酒精饮料原汁</t>
  </si>
  <si>
    <t>1999</t>
  </si>
  <si>
    <t>77673941</t>
  </si>
  <si>
    <t>东悦大仁</t>
  </si>
  <si>
    <t>烧酒;葡萄酒;酒精饮料（啤酒除外）;鸡尾酒;⽩酒;酸酒（低等葡萄酒）;含酒精⽔果饮料;果酒;苹果酒;⽶酒</t>
  </si>
  <si>
    <t>2000</t>
  </si>
  <si>
    <t>77673989</t>
  </si>
  <si>
    <t>东悦大信</t>
  </si>
  <si>
    <t>烧酒;酒精饮料（啤酒除外）;鸡尾酒;酸酒（低等葡萄酒）;葡萄酒;果酒;⽩酒;⽶酒;苹果酒;含酒精⽔果饮料</t>
  </si>
  <si>
    <t>2001</t>
  </si>
  <si>
    <t>77674217</t>
  </si>
  <si>
    <t>福鼎市太姥宜茶美器陶瓷有限公司</t>
  </si>
  <si>
    <t>谢加阔</t>
  </si>
  <si>
    <t>⻘稞酒;⻩酒;蜂蜜酒;烧酒;葡萄酒;烈酒（饮料）;开胃酒;⽶酒;果酒（含酒精）;含⽔果酒精饮料</t>
  </si>
  <si>
    <t>2002</t>
  </si>
  <si>
    <t>77674219</t>
  </si>
  <si>
    <t>朱凯</t>
  </si>
  <si>
    <t>喜锦泉</t>
  </si>
  <si>
    <t>烧酒;蜂蜜酒;⽩酒;葡萄酒;果酒（含酒精）;⽶酒;清酒（⽇本⽶酒）;鸡尾酒;酒精饮料（啤酒除外）;含⽔果酒精饮料</t>
  </si>
  <si>
    <t>2003</t>
  </si>
  <si>
    <t>77675036</t>
  </si>
  <si>
    <t>深圳市海星威国际贸易有限公司</t>
  </si>
  <si>
    <t>HEISENWAY</t>
  </si>
  <si>
    <t>伏特加酒;朗姆酒;樱桃酒;葡萄酒;酒精饮料原汁;⽩酒;鸡尾酒;清酒（⽇本⽶酒）;⽩兰地;威⼠忌</t>
  </si>
  <si>
    <t>2004</t>
  </si>
  <si>
    <t>77675635</t>
  </si>
  <si>
    <t>谷酿河</t>
  </si>
  <si>
    <t>⽶酒;葡萄酒;⾕物制蒸馏酒精饮料;餐后酒（利⼝酒和烈酒）;露酒;蒸馏饮料;果酒（含酒精）;烈酒（饮料）;⽩酒;苹果酒</t>
  </si>
  <si>
    <t>2005</t>
  </si>
  <si>
    <t>77676424</t>
  </si>
  <si>
    <t>天津金枪李水产品有限公司</t>
  </si>
  <si>
    <t>金枪李</t>
  </si>
  <si>
    <t>葡萄酒;伏特加酒;⽩酒;朗姆酒;鸡尾酒;威⼠忌;果酒;烈酒;⽶酒;⽩兰地</t>
  </si>
  <si>
    <t>2006</t>
  </si>
  <si>
    <t>77676468</t>
  </si>
  <si>
    <t>沃星宝</t>
  </si>
  <si>
    <t>果酒（含酒精）;葡萄酒;酒精饮料原汁;⽩酒;汽酒;⽶酒;鸡尾酒;预先混合的酒精饮料（以啤酒为主的除外）;蒸馏饮料;含⽔果酒精饮料</t>
  </si>
  <si>
    <t>2007</t>
  </si>
  <si>
    <t>77676486</t>
  </si>
  <si>
    <t>河南省博潭酒业有限公司</t>
  </si>
  <si>
    <t>段贾居</t>
  </si>
  <si>
    <t>酒精饮料（啤酒除外）;含⽔果酒精饮料;含酒精的饮料（啤酒除外）;⽩酒;⾷⽤酒精;果酒（含酒精）;开胃酒;烈酒（饮料）;酒精饮料原汁;葡萄酒</t>
  </si>
  <si>
    <t>2008</t>
  </si>
  <si>
    <t>77676552</t>
  </si>
  <si>
    <t>邬忠芬</t>
  </si>
  <si>
    <t>怪噜范十二食辰</t>
  </si>
  <si>
    <t>葡萄酒;⽶酒;⽩酒;果酒（含酒精）;⾷⽤酒精;餐后酒（利⼝酒和烈酒）;烈酒（饮料）;⾕物制蒸馏酒精饮料;烧酒;开胃酒</t>
  </si>
  <si>
    <t>2009</t>
  </si>
  <si>
    <t>77676647</t>
  </si>
  <si>
    <t>孙海洋</t>
  </si>
  <si>
    <t>天润泽</t>
  </si>
  <si>
    <t>鸡尾酒;烧酒;⽩兰地;葡萄酒;薄荷酒;⻩酒;⻘稞酒;⽶酒;⽩酒;果酒</t>
  </si>
  <si>
    <t>2010</t>
  </si>
  <si>
    <t>77676916</t>
  </si>
  <si>
    <t>廖祖福</t>
  </si>
  <si>
    <t>令金香</t>
  </si>
  <si>
    <t>⽶酒;果酒（含酒精）;清酒（⽇本⽶酒）;⽩酒;开胃酒;⻩酒;葡萄酒;烈酒（饮料）;威⼠忌;鸡尾酒</t>
  </si>
  <si>
    <t>2011</t>
  </si>
  <si>
    <t>77677211</t>
  </si>
  <si>
    <t>吾幼前行</t>
  </si>
  <si>
    <t>鸡尾酒;樱桃酒;⽩兰地;⽶酒;⻩酒;开胃酒;葡萄酒;烧酒;梨酒;⽩酒</t>
  </si>
  <si>
    <t>2012</t>
  </si>
  <si>
    <t>77677947</t>
  </si>
  <si>
    <t>东悦大义</t>
  </si>
  <si>
    <t>苹果酒;⽩酒;含酒精⽔果饮料;酒精饮料（啤酒除外）;葡萄酒;酸酒（低等葡萄酒）;鸡尾酒;⽶酒;烧酒;果酒</t>
  </si>
  <si>
    <t>2013</t>
  </si>
  <si>
    <t>77678702</t>
  </si>
  <si>
    <t>云南书香悦读文化传播有限公司</t>
  </si>
  <si>
    <t>爱于源</t>
  </si>
  <si>
    <t>开胃酒;苹果酒;蜂蜜酒;樱桃酒;⽩兰地;⽩酒;鸡尾酒;烧酒;⽶酒;葡萄酒</t>
  </si>
  <si>
    <t>2014</t>
  </si>
  <si>
    <t>77678881</t>
  </si>
  <si>
    <t>唐山乐丫实业股份有限公司</t>
  </si>
  <si>
    <t>礼尚水城</t>
  </si>
  <si>
    <t>酒精饮料原汁;⽶酒;葡萄酒;蜂蜜酒;⻩酒;苹果酒;烈酒（饮料）;⽩酒;果酒（含酒精）;酒精饮料（啤酒除外）</t>
  </si>
  <si>
    <t>2015</t>
  </si>
  <si>
    <t>77679235</t>
  </si>
  <si>
    <t>杭州铜双喜工艺有限公司</t>
  </si>
  <si>
    <t>芝双喜</t>
  </si>
  <si>
    <t>蜂蜜酒;⾕物制蒸馏酒精饮料;⽶酒;威⼠忌;⾼粱酒;甜酒;烧酒（烈酒）;由⾕物蒸馏的⽩酒;酒精饮料（啤酒除外）;露酒;苦荞酒;⻘稞酒;⻩酒;鸡尾酒;汽酒;⽼酒（中国蒸馏烈酒）;蒸馏饮料;以蒸馏酒为主的开胃酒;酒精饮料原汁;苦味酒;苦艾酒;葡萄酒;预调甜酒;含酒精的⽔果鸡尾酒饮料;已调味的蒸馏酒;蒸馏⽶酒（泡盛酒...</t>
  </si>
  <si>
    <t>2016</t>
  </si>
  <si>
    <t>77679359</t>
  </si>
  <si>
    <t>中信全养(山东)健康产业有限公司</t>
  </si>
  <si>
    <t>OVERALL CARE</t>
  </si>
  <si>
    <t>酒精饮料原汁;蒸馏饮料;酒精饮料（啤酒除外）;⾷⽤酒精;薄荷酒;蒸煮提取物（利⼝酒和烈酒）;烈酒（饮料）;⽩酒;利⼝酒;酒精饮料浓缩汁</t>
  </si>
  <si>
    <t>2017</t>
  </si>
  <si>
    <t>77679528</t>
  </si>
  <si>
    <t>登天门</t>
  </si>
  <si>
    <t>葡萄酒;清酒（⽇本⽶酒）;⽶酒;含⽔果酒精饮料;⽩⼲酒（中国⽩酒）;烈酒（饮料）;⽩酒;⾼粱酒;烈酒;烧酒</t>
  </si>
  <si>
    <t>2018</t>
  </si>
  <si>
    <t>77679544</t>
  </si>
  <si>
    <t>杜晓辉</t>
  </si>
  <si>
    <t>晋骄天下</t>
  </si>
  <si>
    <t>果酒;⽩⼲酒（中国⽩酒）;⽼酒（中国蒸馏烈酒）;烧酒（烈酒）;含酒精的饮料（啤酒除外）;⽩酒;由⾕物蒸馏的⽩酒;酒精饮料（啤酒除外）;已调味的蒸馏酒;⾼粱酒</t>
  </si>
  <si>
    <t>2019</t>
  </si>
  <si>
    <t>77679929</t>
  </si>
  <si>
    <t>武乡县和正农业发展有限公司</t>
  </si>
  <si>
    <t>绛河春</t>
  </si>
  <si>
    <t>酒精饮料（啤酒除外）;⽶酒;威⼠忌;果酒（含酒精）;鸡尾酒;烈酒（饮料）;酒精饮料原汁;葡萄酒;⽩兰地;⽩酒</t>
  </si>
  <si>
    <t>2020</t>
  </si>
  <si>
    <t>77680027</t>
  </si>
  <si>
    <t>陕西敢想敢动文化传媒有限公司</t>
  </si>
  <si>
    <t>须牛</t>
  </si>
  <si>
    <t xml:space="preserve">	果酒（含酒精）; 葡萄酒; 烈酒（饮料）; 黄酒; 米酒; 白酒; 酒精饮料（啤酒除外）; 含水果酒精饮料; 烧酒; 蜂蜜酒</t>
  </si>
  <si>
    <t>2021</t>
  </si>
  <si>
    <t>77680091</t>
  </si>
  <si>
    <t>山西盛世国藏原浆酒业有限公司</t>
  </si>
  <si>
    <t>盛香庭</t>
  </si>
  <si>
    <t>烈酒;鸡尾酒;⻩酒;含⽔果酒精饮料;⽶酒;果酒;葡萄酒;酒精饮料（啤酒除外）;酒精饮料原汁;⽩酒</t>
  </si>
  <si>
    <t>2022</t>
  </si>
  <si>
    <t>77680258</t>
  </si>
  <si>
    <t>南通给美贸易有限公司</t>
  </si>
  <si>
    <t>澜涌</t>
  </si>
  <si>
    <t>葡萄酒;⾷⽤酒精;蒸馏饮料;鸡尾酒;⽶酒;⽩酒;蒸煮提取物（利⼝酒和烈酒）;果酒;含⽔果酒精饮料;酒精饮料浓缩汁</t>
  </si>
  <si>
    <t>2023</t>
  </si>
  <si>
    <t>77681020</t>
  </si>
  <si>
    <t>李云辉</t>
  </si>
  <si>
    <t>鄂荐</t>
  </si>
  <si>
    <t>蒸馏饮料;清酒;果酒（含酒精）;酒精饮料（啤酒除外）;⽩酒;汽酒;⻩酒;葡萄酒;⽶酒;烧酒</t>
  </si>
  <si>
    <t>2024</t>
  </si>
  <si>
    <t>77681157</t>
  </si>
  <si>
    <t>山东景阳英雄酒业有限公司</t>
  </si>
  <si>
    <t>乾者</t>
  </si>
  <si>
    <t>⽶酒;葡萄酒;利⼝酒;烈酒;苹果酒;烧酒;⾷⽤酒精;⽩酒;清酒;果酒（含酒精）</t>
  </si>
  <si>
    <t>2025</t>
  </si>
  <si>
    <t>77681509</t>
  </si>
  <si>
    <t>杨科152722********0319</t>
  </si>
  <si>
    <t>科为天朝上品</t>
  </si>
  <si>
    <t>烧酒;含⽔果酒精饮料;烈酒（饮料）;葡萄酒;鸡尾酒;酒精饮料原汁;⾷⽤酒精;果酒（含酒精）;⽩酒;酒精饮料（啤酒除外）</t>
  </si>
  <si>
    <t>2026</t>
  </si>
  <si>
    <t>77681711</t>
  </si>
  <si>
    <t>北京茅粉俱乐部管理有限公司</t>
  </si>
  <si>
    <t>相思愁</t>
  </si>
  <si>
    <t>清酒（⽇本⽶酒）;⽩酒;开胃酒;果酒（含酒精）;鸡尾酒;葡萄酒;烧酒;⽶酒;酒精饮料（啤酒除外）;烈酒（饮料）</t>
  </si>
  <si>
    <t>2027</t>
  </si>
  <si>
    <t>77681766</t>
  </si>
  <si>
    <t>李丰</t>
  </si>
  <si>
    <t>烧酒; 白酒; 黄酒; 清酒（日本米酒）; 以葡萄酒为主的饮料; 威士忌; 含水果酒精饮料; 米酒; 谷物制蒸馏酒精饮料; 蒸馏饮料</t>
  </si>
  <si>
    <t>2028</t>
  </si>
  <si>
    <t>77683242</t>
  </si>
  <si>
    <t>信阳市平桥区舒湾醒农种养殖农民专业合作社</t>
  </si>
  <si>
    <t>民留</t>
  </si>
  <si>
    <t>⽶酒;果酒（含酒精）;蜂蜜酒;葡萄酒;烈酒（饮料）;⾕物制蒸馏酒精饮料;酒精饮料（啤酒除外）;⽩酒;烧酒;⻩酒</t>
  </si>
  <si>
    <t>2029</t>
  </si>
  <si>
    <t>77683276</t>
  </si>
  <si>
    <t>花坡醉</t>
  </si>
  <si>
    <t>⽩酒;⽩兰地;威⼠忌;葡萄酒;鸡尾酒;烈酒（饮料）;⽶酒;酒精饮料原汁;酒精饮料（啤酒除外）;果酒（含酒精）</t>
  </si>
  <si>
    <t>2030</t>
  </si>
  <si>
    <t>77683474</t>
  </si>
  <si>
    <t>付松梅</t>
  </si>
  <si>
    <t>禧蕊</t>
  </si>
  <si>
    <t>果酒（含酒精）;葡萄酒;利⼝酒;⽶酒;烈酒（饮料）;汽酒;⻩酒;酒精饮料原汁;⽩酒;烧酒</t>
  </si>
  <si>
    <t>2031</t>
  </si>
  <si>
    <t>77684425</t>
  </si>
  <si>
    <t>吟酒侠</t>
  </si>
  <si>
    <t>清酒（⽇本⽶酒）;鸡尾酒;果酒（含酒精）;蜂蜜酒;烧酒;酒精饮料（啤酒除外）;葡萄酒;⽶酒;含⽔果酒精饮料;⽩酒</t>
  </si>
  <si>
    <t>2032</t>
  </si>
  <si>
    <t>77684440</t>
  </si>
  <si>
    <t>悦福年</t>
  </si>
  <si>
    <t>清酒（⽇本⽶酒）;鸡尾酒;含⽔果酒精饮料;葡萄酒;蜂蜜酒;酒精饮料（啤酒除外）;果酒（含酒精）;烧酒;⽩酒;⽶酒</t>
  </si>
  <si>
    <t>2033</t>
  </si>
  <si>
    <t>77684458</t>
  </si>
  <si>
    <t>宾开怀</t>
  </si>
  <si>
    <t>酒精饮料（啤酒除外）;葡萄酒;烧酒;⽶酒;果酒（含酒精）;蜂蜜酒;⽩酒;清酒（⽇本⽶酒）;含⽔果酒精饮料;鸡尾酒</t>
  </si>
  <si>
    <t>2034</t>
  </si>
  <si>
    <t>77684816</t>
  </si>
  <si>
    <t>喻良</t>
  </si>
  <si>
    <t>千古漓</t>
  </si>
  <si>
    <t>清酒（⽇本⽶酒）;⽩酒;果酒（含酒精）;开胃酒;⻩酒;威⼠忌;鸡尾酒;酒精饮料（啤酒除外）;烈酒;葡萄酒</t>
  </si>
  <si>
    <t>2035</t>
  </si>
  <si>
    <t>77685352</t>
  </si>
  <si>
    <t>甘肃樽道茗府商贸有限公司</t>
  </si>
  <si>
    <t>网驿通</t>
  </si>
  <si>
    <t>葡萄酒;烧酒;⽶酒;烈酒（饮料）;含⽔果酒精饮料;酒精饮料浓缩汁;果酒（含酒精）;⽩酒;酒精饮料（啤酒除外）;蒸馏饮料</t>
  </si>
  <si>
    <t>2036</t>
  </si>
  <si>
    <t>77685495</t>
  </si>
  <si>
    <t>贵州省仁怀市粱将酒业有限公司</t>
  </si>
  <si>
    <t>桓权烧坊</t>
  </si>
  <si>
    <t>⽼酒（中国蒸馏烈酒）;酒精饮料（啤酒除外）;⾼粱酒;蒸煮提取物（利⼝酒和烈酒）;⽩酒;⽩⼲酒（中国⽩酒）;烧酒;⽶酒;果酒;⻩酒</t>
  </si>
  <si>
    <t>2037</t>
  </si>
  <si>
    <t>77685596</t>
  </si>
  <si>
    <t>朗姆酒;清酒（⽇本⽶酒）;⽩酒;葡萄酒;伏特加酒;⽩兰地;鸡尾酒;威⼠忌;酒精饮料原汁;樱桃酒</t>
  </si>
  <si>
    <t>2038</t>
  </si>
  <si>
    <t>77685774</t>
  </si>
  <si>
    <t>东悦大智</t>
  </si>
  <si>
    <t>酒精饮料（啤酒除外）;果酒;鸡尾酒;苹果酒;葡萄酒;含酒精⽔果饮料;⽩酒;酸酒（低等葡萄酒）;烧酒;⽶酒</t>
  </si>
  <si>
    <t>2039</t>
  </si>
  <si>
    <t>77686454</t>
  </si>
  <si>
    <t>郸城县高欣融百货店</t>
  </si>
  <si>
    <t>晋杏顺</t>
  </si>
  <si>
    <t>果酒;烈酒（饮料）;⽩酒;含酒精的饮料（啤酒除外）;苹果酒;⽩兰地;开胃酒;鸡尾酒;葡萄酒;利⼝酒</t>
  </si>
  <si>
    <t>2040</t>
  </si>
  <si>
    <t>77686958</t>
  </si>
  <si>
    <t>怀邀</t>
  </si>
  <si>
    <t>葡萄酒;果酒（含酒精）;苹果酒;⾕物制蒸馏酒精饮料;露酒;蒸馏饮料;⽶酒;烈酒（饮料）;⽩酒;餐后酒（利⼝酒和烈酒）</t>
  </si>
  <si>
    <t>2041</t>
  </si>
  <si>
    <t>77687586</t>
  </si>
  <si>
    <t>鄂尔多斯市鲜品惠现代农牧业有限公司</t>
  </si>
  <si>
    <t>漫水塘</t>
  </si>
  <si>
    <t>⽶酒;⻘稞酒;⽩⼲酒（中国⽩酒）;利⼝酒;烧酒;⽩酒;烈酒（饮料）;果酒（含酒精）;葡萄酒;⻩酒</t>
  </si>
  <si>
    <t>2042</t>
  </si>
  <si>
    <t>77687748</t>
  </si>
  <si>
    <t>黄其</t>
  </si>
  <si>
    <t>滔之</t>
  </si>
  <si>
    <t>清酒（⽇本⽶酒）;威⼠忌;⻩酒;酒精饮料（啤酒除外）;葡萄酒;⽩酒;开胃酒;烈酒;鸡尾酒;果酒（含酒精）</t>
  </si>
  <si>
    <t>2043</t>
  </si>
  <si>
    <t>77687829</t>
  </si>
  <si>
    <t>郑州三依供应链管理有限公司</t>
  </si>
  <si>
    <t>三依</t>
  </si>
  <si>
    <t>果酒（含酒精）;蜂蜜酒;鸡尾酒;汽酒;⽩酒;葡萄酒;酒精饮料（啤酒除外）;⽩兰地;含酒精的⽓泡⽔;梅酒</t>
  </si>
  <si>
    <t>2044</t>
  </si>
  <si>
    <t>77688156</t>
  </si>
  <si>
    <t>李景新210682********2359</t>
  </si>
  <si>
    <t>营宝来</t>
  </si>
  <si>
    <t>⻩酒;清酒;⽶酒;预先混合的酒精饮料（以啤酒为主的除外）;烧酒;葡萄酒;酒精饮料（啤酒除外）;果酒（含酒精）;鸡尾酒;⽩酒</t>
  </si>
  <si>
    <t>2045</t>
  </si>
  <si>
    <t>77688800</t>
  </si>
  <si>
    <t>成都凯乐怡佳贸易有限公司</t>
  </si>
  <si>
    <t>凯乐怡佳</t>
  </si>
  <si>
    <t>⽩葡萄酒;桃红葡萄酒;葡萄酒;起泡⽩葡萄酒;起泡红葡萄酒;加烈葡萄酒;⽩兰地;威⼠忌;鸡尾酒;红葡萄酒</t>
  </si>
  <si>
    <t>2046</t>
  </si>
  <si>
    <t>77688822</t>
  </si>
  <si>
    <t>泸宴天下</t>
  </si>
  <si>
    <t>由⾕物蒸馏的⽩酒;⾼粱酒;⽼酒（中国蒸馏烈酒）;酒精饮料（啤酒除外）;果酒;⽩酒;含酒精的饮料（啤酒除外）;烧酒（烈酒）;⽩⼲酒（中国⽩酒）;已调味的蒸馏酒</t>
  </si>
  <si>
    <t>2047</t>
  </si>
  <si>
    <t>77689263</t>
  </si>
  <si>
    <t>粮杏顺</t>
  </si>
  <si>
    <t>利⼝酒;苹果酒;鸡尾酒;⽩兰地;⽩酒;含酒精的饮料（啤酒除外）;葡萄酒;果酒;烈酒（饮料）;开胃酒</t>
  </si>
  <si>
    <t>2048</t>
  </si>
  <si>
    <t>77689759</t>
  </si>
  <si>
    <t>李翔</t>
  </si>
  <si>
    <t>博纳诗顿</t>
  </si>
  <si>
    <t>鸡尾酒;⽩酒;烈酒;果酒;威⼠忌;葡萄酒;⻩酒;清酒（⽇本⽶酒）;酒精饮料（啤酒除外）;开胃酒</t>
  </si>
  <si>
    <t>2049</t>
  </si>
  <si>
    <t>77689849</t>
  </si>
  <si>
    <t>长宁县李德强商贸有限公司</t>
  </si>
  <si>
    <t>渝仙锋</t>
  </si>
  <si>
    <t>果酒（含酒精）;葡萄酒;⽩酒;鸡尾酒;⻘稞酒;烧酒;⾷⽤酒精;⾕物制蒸馏酒精饮料;含酒精的鸡尾酒混合饮品;⾼粱酒</t>
  </si>
  <si>
    <t>2050</t>
  </si>
  <si>
    <t>77690523</t>
  </si>
  <si>
    <t>湖南海大鱼信息科技有限公司</t>
  </si>
  <si>
    <t>海大鱼</t>
  </si>
  <si>
    <t>鸡尾酒;⽩兰地;烧酒;⾷⽤酒精;⽩酒;⻩酒;葡萄酒;⽶酒;以葡萄酒为主的饮料;果酒（含酒精）</t>
  </si>
  <si>
    <t>2051</t>
  </si>
  <si>
    <t>77690594</t>
  </si>
  <si>
    <t>奢阔</t>
  </si>
  <si>
    <t>清酒;果酒（含酒精）;⽩酒;⾼粱酒;⽶酒;⻩酒;烈酒;⽼酒（中国蒸馏烈酒）;葡萄酒</t>
  </si>
  <si>
    <t>2052</t>
  </si>
  <si>
    <t>77690871</t>
  </si>
  <si>
    <t>迎面笑</t>
  </si>
  <si>
    <t>鸡尾酒;烧酒;⽩酒;酒精饮料（啤酒除外）;含⽔果酒精饮料;⽶酒;清酒（⽇本⽶酒）;果酒（含酒精）;蜂蜜酒;葡萄酒</t>
  </si>
  <si>
    <t>2053</t>
  </si>
  <si>
    <t>77691838</t>
  </si>
  <si>
    <t>王凯旗</t>
  </si>
  <si>
    <t>扁太医</t>
  </si>
  <si>
    <t>⽩酒;清酒;⽶酒;葡萄酒;⾷⽤酒精;开胃酒;汽酒;果酒;甜酒;⻩酒</t>
  </si>
  <si>
    <t>2054</t>
  </si>
  <si>
    <t>77693824</t>
  </si>
  <si>
    <t>北京世联众和科技有限公司</t>
  </si>
  <si>
    <t>世联众和</t>
  </si>
  <si>
    <t>烧酒（烈酒）;威⼠忌;⽶酒;⻩酒;⾼粱酒;⽩兰地;鸡尾酒;烧酒;⽩酒;果酒</t>
  </si>
  <si>
    <t>2055</t>
  </si>
  <si>
    <t>77694082</t>
  </si>
  <si>
    <t>李永兵</t>
  </si>
  <si>
    <t>楞箐酒坊</t>
  </si>
  <si>
    <t>果酒（含酒精）;葡萄酒;⽩兰地;⽶酒;⻩酒;⽩酒;蜂蜜酒;清酒（⽇本⽶酒）;汽酒;⻘稞酒</t>
  </si>
  <si>
    <t>2056</t>
  </si>
  <si>
    <t>77694243</t>
  </si>
  <si>
    <t>库递（上海）国际贸易有限公司</t>
  </si>
  <si>
    <t>喜铂跑者兔</t>
  </si>
  <si>
    <t>餐后酒（利⼝酒和烈酒）;葡萄酒;⽩兰地;⽶酒;⻩酒;威⼠忌;酒精饮料（啤酒除外）;果酒（含酒精）;利⼝酒;⽩酒</t>
  </si>
  <si>
    <t>2057</t>
  </si>
  <si>
    <t>77694397</t>
  </si>
  <si>
    <t>格链（福建）通信服务有限公司</t>
  </si>
  <si>
    <t>旺翼供</t>
  </si>
  <si>
    <t>清酒;烈酒（饮料）;⽩兰地;⻩酒;⻘稞酒;威⼠忌;酒精饮料（啤酒除外）;葡萄酒;⽶酒;果酒（含酒精）</t>
  </si>
  <si>
    <t>2058</t>
  </si>
  <si>
    <t>77694608</t>
  </si>
  <si>
    <t>肖勇</t>
  </si>
  <si>
    <t>七盒湘</t>
  </si>
  <si>
    <t>果酒（含酒精）;威⼠忌;⽩兰地;鸡尾酒;⻩酒;烧酒;⽶酒;朗姆酒;⽩酒;葡萄酒</t>
  </si>
  <si>
    <t>2059</t>
  </si>
  <si>
    <t>77694641</t>
  </si>
  <si>
    <t>北京行知探索文化发展集团股份有限公司</t>
  </si>
  <si>
    <t>阿蒙森</t>
  </si>
  <si>
    <t>果酒（含酒精）;威⼠忌;⽶酒;⽩兰地;鸡尾酒;烈酒（饮料）;⽩酒;⻩酒;伏特加酒;葡萄酒</t>
  </si>
  <si>
    <t>2060</t>
  </si>
  <si>
    <t>77694899</t>
  </si>
  <si>
    <t>佛山市钱陶建材有限公司</t>
  </si>
  <si>
    <t>钱陶</t>
  </si>
  <si>
    <t>鸡尾酒;伏特加酒;含酒精的⽓泡⽔;烧酒;酒精饮料（啤酒除外）;含⽔果酒精饮料;预先混合的酒精饮料（以啤酒为主的除外）;朗姆酒;⽶酒;葡萄酒</t>
  </si>
  <si>
    <t>2061</t>
  </si>
  <si>
    <t>77695271</t>
  </si>
  <si>
    <t>云南八瑞科技有限公司</t>
  </si>
  <si>
    <t>开胃酒;鸡尾酒;⻩酒;葡萄酒;⽩酒;⽶酒;含酒精⽔果饮料;⾼粱酒;果酒（含酒精）;烈酒（饮料）</t>
  </si>
  <si>
    <t>2062</t>
  </si>
  <si>
    <t>77695389</t>
  </si>
  <si>
    <t>淮安区家得利服装经营部</t>
  </si>
  <si>
    <t>武梁壹</t>
  </si>
  <si>
    <t>⽩酒;⾕物制蒸馏酒精饮料;烈酒（饮料）;蒸馏饮料;烧酒;果酒（含酒精）;酒精饮料（啤酒除外）;⾷⽤酒精;开胃酒;鸡尾酒</t>
  </si>
  <si>
    <t>2063</t>
  </si>
  <si>
    <t>77695572</t>
  </si>
  <si>
    <t>张宇辉</t>
  </si>
  <si>
    <t>蜗马</t>
  </si>
  <si>
    <t>开胃酒;酒精饮料（啤酒除外）;葡萄酒;烧酒;含⽔果酒精饮料;⽩酒;汽酒;威⼠忌;⽶酒;果酒（含酒精）</t>
  </si>
  <si>
    <t>2064</t>
  </si>
  <si>
    <t>77695763</t>
  </si>
  <si>
    <t>祥泱</t>
  </si>
  <si>
    <t>开胃酒;清酒（⽇本⽶酒）;果酒（含酒精）;酒精饮料（啤酒除外）;葡萄酒;威⼠忌;烈酒;鸡尾酒;⽩酒;⻩酒</t>
  </si>
  <si>
    <t>2065</t>
  </si>
  <si>
    <t>77695807</t>
  </si>
  <si>
    <t>陈德宇</t>
  </si>
  <si>
    <t>喜衣歌</t>
  </si>
  <si>
    <t>⽶酒;葡萄酒;威⼠忌;含⽔果酒精饮料;⽩酒;果酒（含酒精）;⻩酒;烧酒;鸡尾酒;⻘稞酒</t>
  </si>
  <si>
    <t>2066</t>
  </si>
  <si>
    <t>77696060</t>
  </si>
  <si>
    <t>栢特薇（深圳）化妆品有限公司</t>
  </si>
  <si>
    <t>非默</t>
  </si>
  <si>
    <t>预先混合的酒精饮料（以啤酒为主的除外）;酒精饮料原汁;⽶酒;蒸馏饮料;⻩酒;含⽔果酒精饮料;烧酒;含酒精⽔果饮料;⽩酒;酒精饮料（啤酒除外）</t>
  </si>
  <si>
    <t>2067</t>
  </si>
  <si>
    <t>77696419</t>
  </si>
  <si>
    <t>乐锦台</t>
  </si>
  <si>
    <t>酒精饮料（啤酒除外）;⽶酒;果酒（含酒精）;烧酒;鸡尾酒;蜂蜜酒;含⽔果酒精饮料;⽩酒;葡萄酒;清酒（⽇本⽶酒）</t>
  </si>
  <si>
    <t>2068</t>
  </si>
  <si>
    <t>77696949</t>
  </si>
  <si>
    <t>陕西天道信息工程有限公司</t>
  </si>
  <si>
    <t>葡萄酒;含⽔果酒精饮料;⽶酒;酒精饮料（啤酒除外）;⻩酒;⽩兰地;果酒（含酒精）;⽩酒;鸡尾酒;⾷⽤酒精</t>
  </si>
  <si>
    <t>2069</t>
  </si>
  <si>
    <t>77697381</t>
  </si>
  <si>
    <t>舒湾醒农</t>
  </si>
  <si>
    <t>⽩酒;蜂蜜酒;烈酒（饮料）;果酒（含酒精）;烧酒;⽶酒;葡萄酒;⾕物制蒸馏酒精饮料;⻩酒;酒精饮料（啤酒除外）</t>
  </si>
  <si>
    <t>2070</t>
  </si>
  <si>
    <t>77697692</t>
  </si>
  <si>
    <t>汕尾市云上珠宝电子商务有限公司</t>
  </si>
  <si>
    <t>葡萄酒;果酒（含酒精）;酒精饮料浓缩汁;含⽔果酒精饮料;⽶酒;开胃酒;鸡尾酒;樱桃酒;烈酒（饮料）;⻘稞酒</t>
  </si>
  <si>
    <t>2071</t>
  </si>
  <si>
    <t>77698077</t>
  </si>
  <si>
    <t>广东数商云科技有限公司</t>
  </si>
  <si>
    <t>威⼠忌;⽶酒;蒸煮提取物（利⼝酒和烈酒）;⽩兰地;⻩酒;⻘稞酒;酒精饮料（啤酒除外）;果酒（含酒精）;葡萄酒;伏特加酒</t>
  </si>
  <si>
    <t>2072</t>
  </si>
  <si>
    <t>77698198</t>
  </si>
  <si>
    <t>黄磊</t>
  </si>
  <si>
    <t>燃狮</t>
  </si>
  <si>
    <t>烈酒（饮料）;⻩酒;⽶酒;利⼝酒;⽩酒;烧酒;汽酒;果酒（含酒精）;葡萄酒;酒精饮料原汁</t>
  </si>
  <si>
    <t>2073</t>
  </si>
  <si>
    <t>77698486</t>
  </si>
  <si>
    <t>北京致承网络科技有限公司</t>
  </si>
  <si>
    <t>诗旅文创</t>
  </si>
  <si>
    <t>清酒（⽇本⽶酒）;葡萄酒;⾷⽤酒精;含⽔果酒精饮料;⻘稞酒;利⼝酒;⽶酒;酒精饮料原汁;⻩酒;⽩酒</t>
  </si>
  <si>
    <t>2074</t>
  </si>
  <si>
    <t>77698563</t>
  </si>
  <si>
    <t>开胃酒;烈酒（饮料）;酒精饮料浓缩汁;⽶酒;⻘稞酒;樱桃酒;果酒（含酒精）;鸡尾酒;含⽔果酒精饮料;葡萄酒</t>
  </si>
  <si>
    <t>2075</t>
  </si>
  <si>
    <t>77700379</t>
  </si>
  <si>
    <t>北京拓可必拓科技有限公司</t>
  </si>
  <si>
    <t>优布劳东方之槟</t>
  </si>
  <si>
    <t>葡萄酒;⽩酒;⽶酒;果酒（含酒精）;清酒（⽇本⽶酒）;酒精饮料（啤酒除外）;烧酒;⻩酒;烈酒（饮料）;含⽔果酒精饮料</t>
  </si>
  <si>
    <t>2076</t>
  </si>
  <si>
    <t>77700409</t>
  </si>
  <si>
    <t>贵州福安芊秋旅游开发有限责任公司</t>
  </si>
  <si>
    <t>黄阿牛</t>
  </si>
  <si>
    <t>葡萄酒;⻩酒;烈酒（饮料）;烧酒;⽶酒;果酒（含酒精）;含⽔果酒精饮料;⾷⽤酒精;⽩酒;薄荷酒</t>
  </si>
  <si>
    <t>2077</t>
  </si>
  <si>
    <t>77701193</t>
  </si>
  <si>
    <t>山东莫非酒水有限公司</t>
  </si>
  <si>
    <t>齐盛鲁昌</t>
  </si>
  <si>
    <t>开胃酒;⽩⼲酒（中国⽩酒）;鸡尾酒;烈酒（饮料）;果酒;⻘梅酒;⻩酒;⽩酒;威⼠忌;⽩兰地</t>
  </si>
  <si>
    <t>2024年04月02日</t>
  </si>
  <si>
    <t>2078</t>
  </si>
  <si>
    <t>77701749</t>
  </si>
  <si>
    <t>朱科锋</t>
  </si>
  <si>
    <t>容添福</t>
  </si>
  <si>
    <t xml:space="preserve">	汽酒; 蜂蜜酒; 薄荷酒; 烧酒; 蒸馏饮料; 果酒（含酒精）; 黄酒; 白酒; 鸡尾酒; 米酒</t>
  </si>
  <si>
    <t>2079</t>
  </si>
  <si>
    <t>77701813</t>
  </si>
  <si>
    <t>辽宁盘锦鸿德酒业有限责任公司</t>
  </si>
  <si>
    <t>紫菁钰泉</t>
  </si>
  <si>
    <t>苦味酒;⽩酒;⽶酒;薄荷酒;烧酒;樱桃酒;⽩兰地;酒精饮料（啤酒除外）;⾷⽤酒精;鸡尾酒</t>
  </si>
  <si>
    <t>2080</t>
  </si>
  <si>
    <t>77701903</t>
  </si>
  <si>
    <t>随州市曾都区新陆非范百货商行(个体工商户)</t>
  </si>
  <si>
    <t>稻龙台</t>
  </si>
  <si>
    <t>⻩酒;葡萄酒;烧酒;果酒（含酒精）;⽶酒;酒精饮料浓缩汁;⾷⽤酒精;⽩酒;酒精饮料（啤酒除外）;蒸煮提取物（利⼝酒和烈酒）</t>
  </si>
  <si>
    <t>2081</t>
  </si>
  <si>
    <t>77702026</t>
  </si>
  <si>
    <t>三亚农民哥农业发展有限公司</t>
  </si>
  <si>
    <t>希淇诺</t>
  </si>
  <si>
    <t>⽶酒;⽩酒;烧酒;果酒（含酒精）;葡萄酒;酒精饮料（啤酒除外）;⻩酒;⾷⽤酒精;果酒;酒精饮料原汁</t>
  </si>
  <si>
    <t>2082</t>
  </si>
  <si>
    <t>77702634</t>
  </si>
  <si>
    <t>赵金莲</t>
  </si>
  <si>
    <t>逍山海</t>
  </si>
  <si>
    <t>鸡尾酒;烧酒;⻩酒;开胃酒;蜂蜜酒;⽩酒;烈酒（饮料）;清酒（⽇本⽶酒）;⻘稞酒;威⼠忌</t>
  </si>
  <si>
    <t>2083</t>
  </si>
  <si>
    <t>77702665</t>
  </si>
  <si>
    <t>坛梦令</t>
  </si>
  <si>
    <t>烈酒（饮料）;⽩酒;威⼠忌;清酒（⽇本⽶酒）;鸡尾酒;开胃酒;⻩酒;烧酒;⻘稞酒;蜂蜜酒</t>
  </si>
  <si>
    <t>2084</t>
  </si>
  <si>
    <t>77702678</t>
  </si>
  <si>
    <t>赵金梅</t>
  </si>
  <si>
    <t>粱口欢</t>
  </si>
  <si>
    <t>烈酒（饮料）;清酒（⽇本⽶酒）;烧酒;鸡尾酒;⻘稞酒;开胃酒;蜂蜜酒;⽩酒;威⼠忌;⻩酒</t>
  </si>
  <si>
    <t>2085</t>
  </si>
  <si>
    <t>77702816</t>
  </si>
  <si>
    <t>卜燕平</t>
  </si>
  <si>
    <t>奥米督</t>
  </si>
  <si>
    <t>鸡尾酒;清酒;果酒（含酒精）;蒸馏饮料;酒精饮料原汁;含⽔果酒精饮料;烧酒;⽩酒;烈酒（饮料）;威⼠忌</t>
  </si>
  <si>
    <t>2086</t>
  </si>
  <si>
    <t>77703534</t>
  </si>
  <si>
    <t>汪建明</t>
  </si>
  <si>
    <t>汉喜承</t>
  </si>
  <si>
    <t>鸡尾酒;果酒（含酒精）;烈酒（饮料）;⽩酒;⽩兰地;酒精饮料（啤酒除外）;烧酒;⽶酒;葡萄酒;威⼠忌</t>
  </si>
  <si>
    <t>2087</t>
  </si>
  <si>
    <t>77703833</t>
  </si>
  <si>
    <t>贵州酷珀实业有限公司</t>
  </si>
  <si>
    <t>翡钻</t>
  </si>
  <si>
    <t>鸡尾酒;餐后酒（利⼝酒和烈酒）;酒精饮料原汁;酒精饮料浓缩汁;烈酒（饮料）;果酒（含酒精）;开胃酒;蒸馏饮料;⽩酒;含⽔果酒精饮料</t>
  </si>
  <si>
    <t>2088</t>
  </si>
  <si>
    <t>77704313</t>
  </si>
  <si>
    <t>高秀娟</t>
  </si>
  <si>
    <t>韩百味</t>
  </si>
  <si>
    <t>鸡尾酒;葡萄酒;⽩酒;朝鲜烧酒;果酒（含酒精）;蜂蜜酒;烈酒（饮料）;⽶酒;烧酒;朝鲜族⽶酒</t>
  </si>
  <si>
    <t>2089</t>
  </si>
  <si>
    <t>77704566</t>
  </si>
  <si>
    <t>莫非浩客</t>
  </si>
  <si>
    <t>⽩兰地;⻘梅酒;开胃酒;⻩酒;威⼠忌;果酒;⽩酒;烈酒（饮料）;⽩⼲酒（中国⽩酒）;鸡尾酒</t>
  </si>
  <si>
    <t>2090</t>
  </si>
  <si>
    <t>77705077</t>
  </si>
  <si>
    <t>郸城县茜婉慧百货店</t>
  </si>
  <si>
    <t>成奉烧坊</t>
  </si>
  <si>
    <t>果酒;清酒;鸡尾酒;葡萄酒;开胃酒;含酒精的饮料（啤酒除外）;清酒（⽇本⽶酒）;利⼝酒;⽩酒;烈酒（饮料）</t>
  </si>
  <si>
    <t>2091</t>
  </si>
  <si>
    <t>77705093</t>
  </si>
  <si>
    <t>御粮山</t>
  </si>
  <si>
    <t>⽩酒;开胃酒;含酒精的饮料（啤酒除外）;利⼝酒;清酒（⽇本⽶酒）;清酒;果酒;葡萄酒;烈酒（饮料）;鸡尾酒</t>
  </si>
  <si>
    <t>2092</t>
  </si>
  <si>
    <t>77705145</t>
  </si>
  <si>
    <t>上海陈久贸易有限公司</t>
  </si>
  <si>
    <t>雪兰香雕</t>
  </si>
  <si>
    <t>利⼝酒;开胃酒;清酒;蜂蜜酒;⽶酒;果酒（含酒精）;⽩酒;葡萄酒;⻘稞酒;⻩酒</t>
  </si>
  <si>
    <t>2093</t>
  </si>
  <si>
    <t>77705451</t>
  </si>
  <si>
    <t>贵州珍酒酿酒有限公司</t>
  </si>
  <si>
    <t>珍运</t>
  </si>
  <si>
    <t>⽶酒;⽩酒;威⼠忌;果酒（含酒精）;葡萄酒;利⼝酒;⻩酒;预先混合的酒精饮料（以啤酒为主的除外）;酒精饮料（啤酒除外）;烈酒（饮料）</t>
  </si>
  <si>
    <t>2094</t>
  </si>
  <si>
    <t>77705477</t>
  </si>
  <si>
    <t>四川裕隆老号商贸有限公司</t>
  </si>
  <si>
    <t>爷爷的细语</t>
  </si>
  <si>
    <t>汽酒;果酒（含酒精）;含⽔果酒精饮料;伏特加酒;⾷⽤酒精;⽩酒;⽶酒;⻘稞酒;⻩酒;烧酒</t>
  </si>
  <si>
    <t>2095</t>
  </si>
  <si>
    <t>77705504</t>
  </si>
  <si>
    <t>陈宗雨</t>
  </si>
  <si>
    <t>酩扬八方</t>
  </si>
  <si>
    <t>烈酒（饮料）;烧酒;⻩酒;⽩酒;酒精饮料（啤酒除外）;果酒（含酒精）;蒸馏饮料;葡萄酒;⽶酒;⽼酒（中国蒸馏烈酒）</t>
  </si>
  <si>
    <t>2096</t>
  </si>
  <si>
    <t>77705538</t>
  </si>
  <si>
    <t>张增强</t>
  </si>
  <si>
    <t>浔词</t>
  </si>
  <si>
    <t>蜂蜜酒;开胃酒;清酒（⽇本⽶酒）;烧酒;威⼠忌;⻘稞酒;⻩酒;烈酒（饮料）;鸡尾酒;⽩酒</t>
  </si>
  <si>
    <t>2097</t>
  </si>
  <si>
    <t>77705834</t>
  </si>
  <si>
    <t>黑龙江爱氏桔正酒业有限公司</t>
  </si>
  <si>
    <t>川玉桃山庄</t>
  </si>
  <si>
    <t>果酒（含酒精）;烈酒（饮料）;⽶酒;葡萄酒;烧酒;⽩酒;⾕物制蒸馏酒精饮料;⻩酒;利⼝酒;⽩⼲酒（中国⽩酒）</t>
  </si>
  <si>
    <t>2098</t>
  </si>
  <si>
    <t>77706309</t>
  </si>
  <si>
    <t>云南国曼云商贸有限责任公司</t>
  </si>
  <si>
    <t>醑尊</t>
  </si>
  <si>
    <t>烧酒;⽼酒（中国蒸馏烈酒）;⾷⽤酒精;烧酒（烈酒）;⽶酒;⽩⼲酒（中国⽩酒）;烈酒;⽩酒;⻩酒</t>
  </si>
  <si>
    <t>2099</t>
  </si>
  <si>
    <t>77706903</t>
  </si>
  <si>
    <t>梅素森</t>
  </si>
  <si>
    <t>梅伯侯</t>
  </si>
  <si>
    <t>鸡尾酒;梅酒;含酒精⽔果饮料;⽶酒;果酒;⽩酒;除啤酒外的酒精饮料;⻩酒;⽩兰地;葡萄酒</t>
  </si>
  <si>
    <t>2100</t>
  </si>
  <si>
    <t>77707747</t>
  </si>
  <si>
    <t>武汉茜曼儿商贸有限公司</t>
  </si>
  <si>
    <t>问势</t>
  </si>
  <si>
    <t>蒸馏饮料;酒精饮料（啤酒除外）;果酒;伏特加酒;⽶酒;葡萄酒;⾼粱酒;烧酒;⽩酒;烈酒</t>
  </si>
  <si>
    <t>2101</t>
  </si>
  <si>
    <t>77707779</t>
  </si>
  <si>
    <t>四川老灶酒业有限公司</t>
  </si>
  <si>
    <t>扗丹花</t>
  </si>
  <si>
    <t>⽩酒;梅酒;⻩酒;甜酒;清酒;果酒;汽酒;露酒;烈酒;⽶酒</t>
  </si>
  <si>
    <t>2102</t>
  </si>
  <si>
    <t>77707970</t>
  </si>
  <si>
    <t>宜春市忆州春酒业有限公司</t>
  </si>
  <si>
    <t>忆州春</t>
  </si>
  <si>
    <t>烈酒（饮料）;⽩兰地;含⽔果酒精饮料;鸡尾酒;果酒（含酒精）;葡萄酒;除啤酒外的酒精饮料;蜂蜜酒;樱桃酒;⽩酒</t>
  </si>
  <si>
    <t>2103</t>
  </si>
  <si>
    <t>77708093</t>
  </si>
  <si>
    <t>凤栖千城 酒</t>
  </si>
  <si>
    <t>烈酒（饮料）;⽩酒;威⼠忌;⽶酒;烧酒;⽩兰地;果酒（含酒精）;鸡尾酒;酒精饮料（啤酒除外）;葡萄酒</t>
  </si>
  <si>
    <t>2104</t>
  </si>
  <si>
    <t>77708534</t>
  </si>
  <si>
    <t>杨汉平</t>
  </si>
  <si>
    <t>葡萄酒;酒精饮料（啤酒除外）;⽩酒;⻩酒;⾕物制蒸馏酒精饮料;烧酒;由⾕物蒸馏的⽩酒;⽶酒;果酒（含酒精）;果酒</t>
  </si>
  <si>
    <t>2105</t>
  </si>
  <si>
    <t>77709204</t>
  </si>
  <si>
    <t>买买提艾力•吐鲁洪</t>
  </si>
  <si>
    <t>滩惹和 TANREH</t>
  </si>
  <si>
    <t>含⽔果酒精饮料;果酒（含酒精）;樱桃酒;苹果酒;⽩酒;⻩酒;杜松⼦酒;梨酒;伏特加酒;蜂蜜酒</t>
  </si>
  <si>
    <t>2106</t>
  </si>
  <si>
    <t>77709626</t>
  </si>
  <si>
    <t>泉州派赛尔电子商务有限公司</t>
  </si>
  <si>
    <t>娜比熊</t>
  </si>
  <si>
    <t>酒精饮料原汁;鸡尾酒;烈酒（饮料）;含⽔果酒精饮料;蜂蜜酒;果酒（含酒精）;葡萄酒;烧酒;开胃酒;⽶酒</t>
  </si>
  <si>
    <t>2107</t>
  </si>
  <si>
    <t>77709637</t>
  </si>
  <si>
    <t>康飏华枂（上海）食品科技有限公司</t>
  </si>
  <si>
    <t>葡萄酒;⽶酒;⽩酒;⽩兰地;威⼠忌;酒精饮料浓缩汁;汽酒;⻩酒;清酒（⽇本⽶酒）;果酒（含酒精）</t>
  </si>
  <si>
    <t>2108</t>
  </si>
  <si>
    <t>77709831</t>
  </si>
  <si>
    <t>古粮师</t>
  </si>
  <si>
    <t>⾷⽤酒精;⽶酒;烧酒;酒精饮料（啤酒除外）;蒸煮提取物（利⼝酒和烈酒）;⽩酒;⻩酒;葡萄酒;果酒（含酒精）;酒精饮料浓缩汁</t>
  </si>
  <si>
    <t>2109</t>
  </si>
  <si>
    <t>77710106</t>
  </si>
  <si>
    <t>贵帝剑</t>
  </si>
  <si>
    <t>⻩酒;酒精饮料浓缩汁;烧酒;⽩酒;蒸煮提取物（利⼝酒和烈酒）;葡萄酒;⽶酒;果酒（含酒精）;酒精饮料（啤酒除外）;⾷⽤酒精</t>
  </si>
  <si>
    <t>2110</t>
  </si>
  <si>
    <t>77710135</t>
  </si>
  <si>
    <t>贺粮仙</t>
  </si>
  <si>
    <t>酒精饮料浓缩汁;⽩酒;⻩酒;葡萄酒;酒精饮料（啤酒除外）;果酒（含酒精）;蒸煮提取物（利⼝酒和烈酒）;⾷⽤酒精;⽶酒;烧酒</t>
  </si>
  <si>
    <t>2111</t>
  </si>
  <si>
    <t>77710671</t>
  </si>
  <si>
    <t>壶酒关</t>
  </si>
  <si>
    <t>⻩酒;酒精饮料浓缩汁;⽶酒;果酒（含酒精）;烧酒;蒸煮提取物（利⼝酒和烈酒）;葡萄酒;酒精饮料（啤酒除外）;⾷⽤酒精;⽩酒</t>
  </si>
  <si>
    <t>2112</t>
  </si>
  <si>
    <t>77710854</t>
  </si>
  <si>
    <t>桂福江</t>
  </si>
  <si>
    <t>忆心年</t>
  </si>
  <si>
    <t>烈酒;⽩酒;⻩酒;葡萄酒;烧酒;苦荞酒;果酒（含酒精）;⽩兰地;⽶酒;烈酒（饮料）</t>
  </si>
  <si>
    <t>2113</t>
  </si>
  <si>
    <t>77710987</t>
  </si>
  <si>
    <t>桂廊台</t>
  </si>
  <si>
    <t>⻩酒;⾷⽤酒精;烧酒;果酒（含酒精）;蒸煮提取物（利⼝酒和烈酒）;葡萄酒;⽶酒;酒精饮料（啤酒除外）;⽩酒;酒精饮料浓缩汁</t>
  </si>
  <si>
    <t>2114</t>
  </si>
  <si>
    <t>77711257</t>
  </si>
  <si>
    <t>容添美</t>
  </si>
  <si>
    <t>⽩酒;⻩酒;蜂蜜酒;汽酒;蒸馏饮料;⽶酒;烧酒;薄荷酒;鸡尾酒;果酒（含酒精）</t>
  </si>
  <si>
    <t>2115</t>
  </si>
  <si>
    <t>77711405</t>
  </si>
  <si>
    <t>谷韶</t>
  </si>
  <si>
    <t>葡萄酒;利⼝酒;清酒;开胃酒;烈酒（饮料）;果酒;鸡尾酒;清酒（⽇本⽶酒）;含酒精的饮料（啤酒除外）;⽩酒</t>
  </si>
  <si>
    <t>2116</t>
  </si>
  <si>
    <t>77711502</t>
  </si>
  <si>
    <t>芳尊美</t>
  </si>
  <si>
    <t>鸡尾酒;酒精饮料（啤酒除外）;果酒;利⼝酒;⽩兰地;⻩酒;葡萄酒;⽶酒;⽩酒;威⼠忌</t>
  </si>
  <si>
    <t>2117</t>
  </si>
  <si>
    <t>77711706</t>
  </si>
  <si>
    <t>广东红玫王酒业有限公司</t>
  </si>
  <si>
    <t>红玫烧</t>
  </si>
  <si>
    <t>⽶酒;果酒（含酒精）;开胃酒;⽩兰地;烈酒（饮料）;汽酒;⽩酒;利⼝酒;烧酒;威⼠忌</t>
  </si>
  <si>
    <t>2118</t>
  </si>
  <si>
    <t>77712102</t>
  </si>
  <si>
    <t>张玉涛</t>
  </si>
  <si>
    <t>豫盛丰</t>
  </si>
  <si>
    <t>果酒;⽩酒;薄荷酒;含⽔果酒精饮料;酒精饮料（啤酒除外）;葡萄酒;威⼠忌;蒸馏饮料;⻩酒;开胃酒</t>
  </si>
  <si>
    <t>2119</t>
  </si>
  <si>
    <t>77712372</t>
  </si>
  <si>
    <t>义乌市林康贸易有限公司</t>
  </si>
  <si>
    <t>S1MP1ENICE</t>
  </si>
  <si>
    <t>含⽔果酒精饮料;果酒（含酒精）;蒸馏饮料;鸡尾酒;烧酒;⻩酒;⾷⽤酒精;苹果酒;⽶酒;蜂蜜酒</t>
  </si>
  <si>
    <t>2120</t>
  </si>
  <si>
    <t>77712495</t>
  </si>
  <si>
    <t>宿迁怡恒农业生态科技发展有限公司</t>
  </si>
  <si>
    <t>怡恒源</t>
  </si>
  <si>
    <t>蒸馏饮料;葡萄酒;酒精饮料(啤酒除外);⻩酒;烧酒;⽩酒;⽼酒(中国蒸馏烈酒);清酒;⽶酒;甜酒</t>
  </si>
  <si>
    <t>2121</t>
  </si>
  <si>
    <t>77712894</t>
  </si>
  <si>
    <t>张家港福渝商贸有限公司</t>
  </si>
  <si>
    <t>福釂</t>
  </si>
  <si>
    <t>清酒;⽩酒;⽶酒;含⽔果酒精饮料;鸡尾酒;果酒（含酒精）;烧酒;果酒;葡萄酒;⻩酒</t>
  </si>
  <si>
    <t>2122</t>
  </si>
  <si>
    <t>77713095</t>
  </si>
  <si>
    <t>梁桂钟</t>
  </si>
  <si>
    <t>畅红尘</t>
  </si>
  <si>
    <t>烈酒（饮料）;果酒（含酒精）;蜂蜜酒;鸡尾酒;威⼠忌;⽶酒;清酒（⽇本⽶酒）;⻩酒;葡萄酒;⽩酒</t>
  </si>
  <si>
    <t>2123</t>
  </si>
  <si>
    <t>77713543</t>
  </si>
  <si>
    <t>浙江餐餐新鲜商贸有限公司</t>
  </si>
  <si>
    <t>鹿二爷</t>
  </si>
  <si>
    <t>烈酒;烧酒;⽩酒;⽶酒;⾼粱酒;开胃酒;⽩⼲酒（中国⽩酒）;果酒（含酒精）;苦荞酒;⻩酒</t>
  </si>
  <si>
    <t>2124</t>
  </si>
  <si>
    <t>77713707</t>
  </si>
  <si>
    <t>杨进贵14242********0281x</t>
  </si>
  <si>
    <t>杨府朕</t>
  </si>
  <si>
    <t>烧酒;⽩⼲酒（中国⽩酒）;开胃酒;薄荷酒;汽酒;⽩酒;⾼粱酒;由⾕物蒸馏的⽩酒;⽶酒;烈酒（饮料）</t>
  </si>
  <si>
    <t>2125</t>
  </si>
  <si>
    <t>77713868</t>
  </si>
  <si>
    <t>徐浩雨</t>
  </si>
  <si>
    <t>豫京侯</t>
  </si>
  <si>
    <t>酒精饮料（啤酒除外）;烈酒（饮料）;⽶酒;蒸馏饮料;⽼酒（中国蒸馏烈酒）;⾼粱酒;烧酒;果酒（含酒精）;⻩酒;⽩酒</t>
  </si>
  <si>
    <t>2126</t>
  </si>
  <si>
    <t>77714262</t>
  </si>
  <si>
    <t>广东盛世文瀚文化传媒有限公司</t>
  </si>
  <si>
    <t>兆珍堂</t>
  </si>
  <si>
    <t>葡萄酒;⽶酒;⽩酒;蒸馏饮料;清酒;含⽔果酒精饮料;⻩酒;烈酒（饮料）;果酒（含酒精）;鸡尾酒</t>
  </si>
  <si>
    <t>2127</t>
  </si>
  <si>
    <t>77714595</t>
  </si>
  <si>
    <t>隐阳城</t>
  </si>
  <si>
    <t>酒精饮料原汁;鸡尾酒;⽩酒;⽶酒;含⽔果酒精饮料;果酒;⻘梅酒;⽼酒（中国蒸馏烈酒）;葡萄酒;烧酒</t>
  </si>
  <si>
    <t>2128</t>
  </si>
  <si>
    <t>77714855</t>
  </si>
  <si>
    <t>沈阳市沈北新区岳隆酒坊</t>
  </si>
  <si>
    <t>泓玺冠</t>
  </si>
  <si>
    <t>烈酒（饮料）;烧酒;由⾕物蒸馏的⽩酒;⾼粱酒;烈酒;⽩酒;⻩酒;烧酒（烈酒）;⽼酒（中国蒸馏烈酒）;朝鲜烧酒</t>
  </si>
  <si>
    <t>2129</t>
  </si>
  <si>
    <t>77715034</t>
  </si>
  <si>
    <t>仁怀市金瀚酒业有限公司</t>
  </si>
  <si>
    <t>萧祠</t>
  </si>
  <si>
    <t>餐后酒（利⼝酒和烈酒）;果酒（含酒精）;葡萄酒;⽩酒;露酒;烈酒（饮料）;蒸馏饮料;⽶酒;苹果酒;⾕物制蒸馏酒精饮料</t>
  </si>
  <si>
    <t>2130</t>
  </si>
  <si>
    <t>77715292</t>
  </si>
  <si>
    <t>山东省博兴县东文酒业有限公司</t>
  </si>
  <si>
    <t>梦之味</t>
  </si>
  <si>
    <t>清酒（⽇本⽶酒）;⾷⽤酒精;酒精饮料（啤酒除外）;果酒（含酒精）;烧酒;汽酒;⽩兰地;⽩酒;开胃酒;葡萄酒</t>
  </si>
  <si>
    <t>2131</t>
  </si>
  <si>
    <t>77715383</t>
  </si>
  <si>
    <t>泗洪县双沟镇苏酒缘酒业有限公司</t>
  </si>
  <si>
    <t>宏苏</t>
  </si>
  <si>
    <t>苦味酒;烧酒;⽶酒;清酒;果酒;⽩酒;茴⾹酒;葡萄酒;⻩酒;开胃酒</t>
  </si>
  <si>
    <t>2132</t>
  </si>
  <si>
    <t>77715636</t>
  </si>
  <si>
    <t>深圳市万华酒店管理有限公司</t>
  </si>
  <si>
    <t>欢朋谷</t>
  </si>
  <si>
    <t>葡萄酒;烧酒;⽩酒;⻩酒;烈酒（饮料）;⽶酒;含⽔果酒精饮料;酒精饮料（啤酒除外）;鸡尾酒;开胃酒</t>
  </si>
  <si>
    <t>2133</t>
  </si>
  <si>
    <t>77716033</t>
  </si>
  <si>
    <t>容添财</t>
  </si>
  <si>
    <t>⻩酒;烧酒;薄荷酒;鸡尾酒;果酒（含酒精）;汽酒;⽩酒;蒸馏饮料;⽶酒;蜂蜜酒</t>
  </si>
  <si>
    <t>2134</t>
  </si>
  <si>
    <t>77716207</t>
  </si>
  <si>
    <t>张惟依</t>
  </si>
  <si>
    <t>巅汉</t>
  </si>
  <si>
    <t>威⼠忌;烈酒（饮料）;利⼝酒;鸡尾酒;⽩酒;⻩酒;烧酒;⽶酒;葡萄酒;⾷⽤酒精</t>
  </si>
  <si>
    <t>2135</t>
  </si>
  <si>
    <t>77716598</t>
  </si>
  <si>
    <t>龙喜鸿门</t>
  </si>
  <si>
    <t>烧酒;⽶酒;葡萄酒;⽩酒;⽩兰地;鸡尾酒;酒精饮料（啤酒除外）;果酒（含酒精）;烈酒（饮料）;威⼠忌</t>
  </si>
  <si>
    <t>2136</t>
  </si>
  <si>
    <t>77716627</t>
  </si>
  <si>
    <t>古粮天</t>
  </si>
  <si>
    <t>⽶酒;果酒（含酒精）;威⼠忌;葡萄酒;鸡尾酒;酒精饮料（啤酒除外）;烈酒（饮料）;⽩兰地;⽩酒;烧酒</t>
  </si>
  <si>
    <t>2137</t>
  </si>
  <si>
    <t>77716639</t>
  </si>
  <si>
    <t>瓷典</t>
  </si>
  <si>
    <t>果酒（含酒精）;葡萄酒;汽酒;⾷⽤酒精;清酒（⽇本⽶酒）;酒精饮料（啤酒除外）;烧酒;⽩酒;开胃酒;⽩兰地</t>
  </si>
  <si>
    <t>2138</t>
  </si>
  <si>
    <t>77717088</t>
  </si>
  <si>
    <t>邹如波</t>
  </si>
  <si>
    <t>乾凤玺</t>
  </si>
  <si>
    <t>⻩酒;⽩酒;酒精饮料（啤酒除外）;果酒（含酒精）;开胃酒;威⼠忌;鸡尾酒;葡萄酒;烈酒;清酒（⽇本⽶酒）</t>
  </si>
  <si>
    <t>2139</t>
  </si>
  <si>
    <t>77717186</t>
  </si>
  <si>
    <t>叶林妙生堂（东莞）供应链管理有限公司</t>
  </si>
  <si>
    <t>⻩酒;烈酒（饮料）;酒精饮料（啤酒除外）;果酒（含酒精）;葡萄酒;鸡尾酒;含⽔果酒精饮料;⽶酒;⽼酒（中国蒸馏烈酒）;⽩酒</t>
  </si>
  <si>
    <t>2140</t>
  </si>
  <si>
    <t>77717965</t>
  </si>
  <si>
    <t>竹雅堂</t>
  </si>
  <si>
    <t>果酒（含酒精）;⾷⽤酒精;⽩兰地;⽩酒;烧酒;酒精饮料（啤酒除外）;开胃酒;葡萄酒;清酒（⽇本⽶酒）;汽酒</t>
  </si>
  <si>
    <t>2141</t>
  </si>
  <si>
    <t>77718877</t>
  </si>
  <si>
    <t>泉州市大元文化传播有限公司</t>
  </si>
  <si>
    <t>元铭品</t>
  </si>
  <si>
    <t>⽶酒;鸡尾酒;蒸馏饮料;⽩兰地;⻩酒;威⼠忌;酒精饮料原汁;烧酒;葡萄酒;⽩酒</t>
  </si>
  <si>
    <t>2142</t>
  </si>
  <si>
    <t>77718932</t>
  </si>
  <si>
    <t>百久仙</t>
  </si>
  <si>
    <t>酒精饮料（啤酒除外）;葡萄酒;开胃酒;烈酒;威⼠忌;果酒（含酒精）;鸡尾酒;清酒（⽇本⽶酒）;⻩酒;⽩酒</t>
  </si>
  <si>
    <t>2143</t>
  </si>
  <si>
    <t>77719019</t>
  </si>
  <si>
    <t>辽宁瀚壬实业有限公司</t>
  </si>
  <si>
    <t>茴芹酒（利⼝酒）;清酒（⽇本⽶酒）;⽩兰地;威⼠忌;⽶酒;朗姆酒;⾕物制蒸馏酒精饮料;鸡尾酒;酒精饮料（啤酒除外）;果酒（含酒精）</t>
  </si>
  <si>
    <t>2144</t>
  </si>
  <si>
    <t>77719236</t>
  </si>
  <si>
    <t>容添</t>
  </si>
  <si>
    <t>薄荷酒;鸡尾酒;汽酒;果酒（含酒精）;⻩酒;⽶酒;烧酒;蜂蜜酒;蒸馏饮料;⽩酒</t>
  </si>
  <si>
    <t>2145</t>
  </si>
  <si>
    <t>77719269</t>
  </si>
  <si>
    <t>隆泉猛士</t>
  </si>
  <si>
    <t>薄荷酒;鸡尾酒;⾷⽤酒精;烧酒;⽶酒;苦味酒;樱桃酒;⽩兰地;酒精饮料（啤酒除外）;⽩酒</t>
  </si>
  <si>
    <t>2146</t>
  </si>
  <si>
    <t>77719335</t>
  </si>
  <si>
    <t>龙永伟</t>
  </si>
  <si>
    <t>甸沫醇</t>
  </si>
  <si>
    <t>⾼粱酒;⽩酒;⻘稞酒;⽩⼲酒（中国⽩酒）;⽼酒（中国蒸馏烈酒）;苦荞酒;⽶酒;烈酒;由⾕物蒸馏的⽩酒;含酒精的饮料（啤酒除外）</t>
  </si>
  <si>
    <t>2147</t>
  </si>
  <si>
    <t>77719801</t>
  </si>
  <si>
    <t>上饶市白眉生态农业有限公司</t>
  </si>
  <si>
    <t>佰芽</t>
  </si>
  <si>
    <t>⽩酒;⾕物制蒸馏酒精饮料;含⽔果酒精饮料;烧酒;⾷⽤酒精;⽶酒;⽢蔗制酒精饮料;⻩酒;果酒（含酒精）;葡萄酒</t>
  </si>
  <si>
    <t>2148</t>
  </si>
  <si>
    <t>77719883</t>
  </si>
  <si>
    <t>容添宝</t>
  </si>
  <si>
    <t>果酒（含酒精）;烧酒;薄荷酒;⽶酒;蜂蜜酒;⻩酒;鸡尾酒;蒸馏饮料;⽩酒;汽酒</t>
  </si>
  <si>
    <t>2149</t>
  </si>
  <si>
    <t>77719913</t>
  </si>
  <si>
    <t>赵进进</t>
  </si>
  <si>
    <t>道滘锦</t>
  </si>
  <si>
    <t>烈酒;⽩⼲酒（中国⽩酒）;⻩酒;⽩酒;苦荞酒;开胃酒;烧酒;⽶酒;果酒（含酒精）;⾼粱酒</t>
  </si>
  <si>
    <t>2150</t>
  </si>
  <si>
    <t>77719992</t>
  </si>
  <si>
    <t>胡翠华</t>
  </si>
  <si>
    <t>金如鑫愿</t>
  </si>
  <si>
    <t>蒸馏饮料;酒精饮料浓缩汁;⽶酒;预先混合的酒精饮料（以啤酒为主的除外）;⻩酒;酒精饮料原汁;⽩酒;薄荷酒;梨酒;果酒（含酒精）</t>
  </si>
  <si>
    <t>2151</t>
  </si>
  <si>
    <t>77720215</t>
  </si>
  <si>
    <t>苏州慧耕田农业科技有限公司</t>
  </si>
  <si>
    <t>白石墨龙</t>
  </si>
  <si>
    <t>蒸馏饮料;酒精饮料原汁;汽酒;果酒（含酒精）;酒精饮料（啤酒除外）;威⼠忌;烧酒;烈酒（饮料）;⽶酒;⽩酒</t>
  </si>
  <si>
    <t>2152</t>
  </si>
  <si>
    <t>77721073</t>
  </si>
  <si>
    <t>论竹</t>
  </si>
  <si>
    <t>果酒（含酒精）;葡萄酒;清酒（⽇本⽶酒）;烧酒;⾷⽤酒精;酒精饮料（啤酒除外）;⽩酒;开胃酒;汽酒;⽩兰地</t>
  </si>
  <si>
    <t>2153</t>
  </si>
  <si>
    <t>77721096</t>
  </si>
  <si>
    <t>陕西省太白酒业有限责任公司</t>
  </si>
  <si>
    <t>太白对月</t>
  </si>
  <si>
    <t>蒸煮提取物（利⼝酒和烈酒）;⽩酒;⽶酒;烈酒（饮料）;利⼝酒;果酒（含酒精）;蜂蜜酒;葡萄酒;烧酒;开胃酒</t>
  </si>
  <si>
    <t>2154</t>
  </si>
  <si>
    <t>77721109</t>
  </si>
  <si>
    <t>太白尽欢</t>
  </si>
  <si>
    <t>蒸煮提取物（利⼝酒和烈酒）;⽩酒;葡萄酒;开胃酒;烈酒（饮料）;蜂蜜酒;⽶酒;烧酒;果酒（含酒精）;利⼝酒</t>
  </si>
  <si>
    <t>2155</t>
  </si>
  <si>
    <t>77721133</t>
  </si>
  <si>
    <t>广西金瓯环保科技有限公司</t>
  </si>
  <si>
    <t>金小瓯</t>
  </si>
  <si>
    <t>烈酒（饮料）;清酒（⽇本⽶酒）;烧酒;伏特加酒;⻩酒;⽩酒;果酒（含酒精）;葡萄酒;蒸煮提取物（利⼝酒和烈酒）</t>
  </si>
  <si>
    <t>2156</t>
  </si>
  <si>
    <t>77721345</t>
  </si>
  <si>
    <t>刘永亮</t>
  </si>
  <si>
    <t>蜀乐亮</t>
  </si>
  <si>
    <t>⽩酒;果酒（含酒精）;伏特加酒;⻘稞酒;威⼠忌;⽶酒;葡萄酒;鸡尾酒;⻩酒;⾷⽤酒精</t>
  </si>
  <si>
    <t>2157</t>
  </si>
  <si>
    <t>77721507</t>
  </si>
  <si>
    <t>浙江妙觉科技有限公司</t>
  </si>
  <si>
    <t>天鲫</t>
  </si>
  <si>
    <t>果酒（含酒精）;开胃酒;⽶酒;⽩酒;鸡尾酒;朗姆酒（酒精饮料）;葡萄酒;汽酒;蜂蜜酒;⻩酒</t>
  </si>
  <si>
    <t>2158</t>
  </si>
  <si>
    <t>77721615</t>
  </si>
  <si>
    <t>甸毛冲</t>
  </si>
  <si>
    <t>⻘稞酒;含酒精的饮料（啤酒除外）;苦荞酒;⽩酒;⽼酒（中国蒸馏烈酒）;⽩⼲酒（中国⽩酒）;⽶酒;由⾕物蒸馏的⽩酒;⾕物制蒸馏酒精饮料;⾼粱酒</t>
  </si>
  <si>
    <t>2159</t>
  </si>
  <si>
    <t>77722066</t>
  </si>
  <si>
    <t>河北酒务泉酒业有限公司</t>
  </si>
  <si>
    <t>果酒;葡萄酒;⻩酒;⽶酒;含⽔果酒精饮料;⽩酒;开胃酒;酒精饮料原汁;⾷⽤酒精;酒精饮料浓缩汁</t>
  </si>
  <si>
    <t>2160</t>
  </si>
  <si>
    <t>77722737</t>
  </si>
  <si>
    <t>合肥心意达礼品有限公司</t>
  </si>
  <si>
    <t>心意达</t>
  </si>
  <si>
    <t>蒸馏饮料;以葡萄酒为主的饮料;⻩酒;开胃酒;⽩酒;⽶酒;含酒精的⽓泡⽔;果酒（含酒精）;酒精饮料（啤酒除外）;含⽔果酒精饮料</t>
  </si>
  <si>
    <t>2161</t>
  </si>
  <si>
    <t>77722908</t>
  </si>
  <si>
    <t>种望</t>
  </si>
  <si>
    <t>葡萄酒;伏特加酒;烧酒;⾼粱酒;烈酒;酒精饮料（啤酒除外）;⽶酒;⽩酒;果酒;蒸馏饮料</t>
  </si>
  <si>
    <t>2162</t>
  </si>
  <si>
    <t>77723205</t>
  </si>
  <si>
    <t>京溪谷</t>
  </si>
  <si>
    <t>烧酒;⽶酒;烈酒（饮料）;鸡尾酒;⽩兰地;⽩酒;葡萄酒;果酒（含酒精）;威⼠忌;酒精饮料（啤酒除外）</t>
  </si>
  <si>
    <t>2163</t>
  </si>
  <si>
    <t>77723841</t>
  </si>
  <si>
    <t>营口德辉企业服务有限公司</t>
  </si>
  <si>
    <t>岫水湾</t>
  </si>
  <si>
    <t>⽩⼲酒（中国⽩酒）;⽶酒;⽩酒;烧酒;由⾕物蒸馏的⽩酒;⽼酒（中国蒸馏烈酒）;鸡尾酒;葡萄酒;⻩酒;果酒</t>
  </si>
  <si>
    <t>2164</t>
  </si>
  <si>
    <t>77723881</t>
  </si>
  <si>
    <t>王小东</t>
  </si>
  <si>
    <t>百久尊</t>
  </si>
  <si>
    <t>2165</t>
  </si>
  <si>
    <t>77724262</t>
  </si>
  <si>
    <t>瓷语</t>
  </si>
  <si>
    <t>酒精饮料（啤酒除外）;⽩酒;⾷⽤酒精;⽩兰地;果酒（含酒精）;葡萄酒;汽酒;清酒（⽇本⽶酒）;烧酒;开胃酒</t>
  </si>
  <si>
    <t>2166</t>
  </si>
  <si>
    <t>77724314</t>
  </si>
  <si>
    <t>保定九歌信息技术有限公司</t>
  </si>
  <si>
    <t>青燃九歌</t>
  </si>
  <si>
    <t>葡萄酒;⾼粱酒;伏特加酒;威⼠忌;⽩酒;⽩兰地;红葡萄酒;烈酒;鸡尾酒;⾷⽤酒精</t>
  </si>
  <si>
    <t>2167</t>
  </si>
  <si>
    <t>77724668</t>
  </si>
  <si>
    <t>新乡市牧野区若冰文化传媒有限公司</t>
  </si>
  <si>
    <t>豫见无界</t>
  </si>
  <si>
    <t>⽶酒;烧酒;⻩酒;葡萄酒;开胃酒;⽩酒;烈酒（饮料）;酒精饮料（啤酒除外）;鸡尾酒;含⽔果酒精饮料</t>
  </si>
  <si>
    <t>2168</t>
  </si>
  <si>
    <t>77724690</t>
  </si>
  <si>
    <t>贡梁井</t>
  </si>
  <si>
    <t>⽩酒;酒精饮料浓缩汁;葡萄酒;⽶酒;蒸煮提取物（利⼝酒和烈酒）;⾷⽤酒精;果酒（含酒精）;烧酒;酒精饮料（啤酒除外）;⻩酒</t>
  </si>
  <si>
    <t>2169</t>
  </si>
  <si>
    <t>77724919</t>
  </si>
  <si>
    <t>贵君悦</t>
  </si>
  <si>
    <t>利⼝酒;⽶酒;烈酒（饮料）;⽩酒;葡萄酒;威⼠忌;⾷⽤酒精;⻩酒;鸡尾酒;烧酒</t>
  </si>
  <si>
    <t>2170</t>
  </si>
  <si>
    <t>77724922</t>
  </si>
  <si>
    <t>酒龙令</t>
  </si>
  <si>
    <t>烧酒;威⼠忌;烈酒（饮料）;⽩酒;鸡尾酒;⻩酒;利⼝酒;⽶酒;葡萄酒;⾷⽤酒精</t>
  </si>
  <si>
    <t>2171</t>
  </si>
  <si>
    <t>77725081</t>
  </si>
  <si>
    <t>容添贵</t>
  </si>
  <si>
    <t>烧酒;鸡尾酒;蜂蜜酒;果酒（含酒精）;黄酒;蒸馏饮料;白酒;米酒;汽酒;薄荷酒</t>
  </si>
  <si>
    <t>2172</t>
  </si>
  <si>
    <t>77725082</t>
  </si>
  <si>
    <t>张皓</t>
  </si>
  <si>
    <t>且墨</t>
  </si>
  <si>
    <t>⽶酒;⽩酒;樱桃酒;⾼粱酒;⻘稞酒;⻩酒;果酒;酒精饮料（啤酒除外）;果酒（含酒精）</t>
  </si>
  <si>
    <t>2173</t>
  </si>
  <si>
    <t>77725456</t>
  </si>
  <si>
    <t>上海彤幸贸易有限公司</t>
  </si>
  <si>
    <t>榕彤添夏</t>
  </si>
  <si>
    <t>果酒;含⽔果酒精饮料;预先混合的酒精饮料（以啤酒为主的除外）;⻘稞酒;⽩⼲酒（中国⽩酒）;葡萄酒;烧酒;烈酒;⽩酒;⽶酒</t>
  </si>
  <si>
    <t>2174</t>
  </si>
  <si>
    <t>77725826</t>
  </si>
  <si>
    <t>天帝瑶泉</t>
  </si>
  <si>
    <t>酒精饮料（啤酒除外）;⽩酒;威⼠忌;鸡尾酒;葡萄酒;⽶酒;烈酒（饮料）;果酒（含酒精）;⽩兰地;烧酒</t>
  </si>
  <si>
    <t>2175</t>
  </si>
  <si>
    <t>77725935</t>
  </si>
  <si>
    <t>北海市清大青数字科技有限公司</t>
  </si>
  <si>
    <t>尚浦岸</t>
  </si>
  <si>
    <t>果酒（含酒精）;利⼝酒;⽩兰地;烈酒（饮料）;酒精饮料（啤酒除外）;⽶酒;烧酒;开胃酒;威⼠忌;⻩酒</t>
  </si>
  <si>
    <t>2176</t>
  </si>
  <si>
    <t>77726159</t>
  </si>
  <si>
    <t>鸿武帝</t>
  </si>
  <si>
    <t>⽶酒;⽩兰地;⽩酒;鸡尾酒;烈酒（饮料）;果酒（含酒精）;威⼠忌;烧酒;葡萄酒;酒精饮料（啤酒除外）</t>
  </si>
  <si>
    <t>2177</t>
  </si>
  <si>
    <t>77726222</t>
  </si>
  <si>
    <t>北京轻舟万山网络科技有限公司</t>
  </si>
  <si>
    <t>王赟明</t>
  </si>
  <si>
    <t>鸡尾酒;威⼠忌;酒精饮料（啤酒除外）;⻩酒;⻘稞酒;果酒（含酒精）;⽩酒;⽶酒;烧酒;葡萄酒</t>
  </si>
  <si>
    <t>2178</t>
  </si>
  <si>
    <t>77726228</t>
  </si>
  <si>
    <t>宅门印象</t>
  </si>
  <si>
    <t>⽩酒;威⼠忌;鸡尾酒;果酒（含酒精）;⽩兰地;烈酒（饮料）;烧酒;⽶酒;葡萄酒;酒精饮料（啤酒除外）</t>
  </si>
  <si>
    <t>2179</t>
  </si>
  <si>
    <t>77726271</t>
  </si>
  <si>
    <t>玉觉</t>
  </si>
  <si>
    <t>果酒（含酒精）;含⽔果酒精饮料;⽩酒;⾕物制蒸馏酒精饮料;烧酒;⾷⽤酒精;⻩酒;葡萄酒;⽶酒;⽢蔗制酒精饮料</t>
  </si>
  <si>
    <t>2180</t>
  </si>
  <si>
    <t>77726378</t>
  </si>
  <si>
    <t>开望</t>
  </si>
  <si>
    <t>烧酒;果酒;蒸馏饮料;葡萄酒;烈酒;伏特加酒;⽶酒;⽩酒;⾼粱酒;酒精饮料（啤酒除外）</t>
  </si>
  <si>
    <t>2181</t>
  </si>
  <si>
    <t>77726572</t>
  </si>
  <si>
    <t>新疆哈立得食品有限公司</t>
  </si>
  <si>
    <t>哈立得</t>
  </si>
  <si>
    <t>烧酒;葡萄酒;⻘稞酒;⾷⽤酒精;含⽔果酒精饮料;果酒（含酒精）;⽩酒;蜂蜜酒;烈酒（饮料）;酒精饮料（啤酒除外）</t>
  </si>
  <si>
    <t>2182</t>
  </si>
  <si>
    <t>77726586</t>
  </si>
  <si>
    <t>连海槟440582********5114</t>
  </si>
  <si>
    <t>配耐</t>
  </si>
  <si>
    <t>葡萄酒;⾕物制蒸馏酒精饮料;鸡尾酒;酒精饮料（啤酒除外）;果酒（含酒精）;⽩兰地;⻩酒;⽶酒;烧酒;威⼠忌</t>
  </si>
  <si>
    <t>2183</t>
  </si>
  <si>
    <t>77727902</t>
  </si>
  <si>
    <t>鸿吉道</t>
  </si>
  <si>
    <t>⽩酒;葡萄酒;果酒（含酒精）;酒精饮料（啤酒除外）;烈酒（饮料）;⽶酒;⽩兰地;威⼠忌;鸡尾酒;烧酒</t>
  </si>
  <si>
    <t>2184</t>
  </si>
  <si>
    <t>77728855</t>
  </si>
  <si>
    <t>广东趣麓科技有限公司</t>
  </si>
  <si>
    <t>邃远斋</t>
  </si>
  <si>
    <t>果酒（含酒精）;⽩兰地;葡萄酒;烧酒;鸡尾酒;⻩酒;⽩酒;酒精饮料（啤酒除外）;⽶酒;烈酒</t>
  </si>
  <si>
    <t>2185</t>
  </si>
  <si>
    <t>77729114</t>
  </si>
  <si>
    <t>中荷顺</t>
  </si>
  <si>
    <t>⽩酒;⽶酒;鸡尾酒;烧酒;⽩兰地;威⼠忌;酒精饮料（啤酒除外）;葡萄酒;烈酒（饮料）;果酒（含酒精）</t>
  </si>
  <si>
    <t>2186</t>
  </si>
  <si>
    <t>77730334</t>
  </si>
  <si>
    <t>楼上楼（深圳）特色餐饮店</t>
  </si>
  <si>
    <t>荣鑫楼上楼</t>
  </si>
  <si>
    <t>威⼠忌;⽩酒;果酒（含酒精）;⻩酒;烧酒;葡萄酒;烈酒（饮料）;⽩兰地;⽶酒;鸡尾酒</t>
  </si>
  <si>
    <t>2187</t>
  </si>
  <si>
    <t>77730371</t>
  </si>
  <si>
    <t>上海元康堂医药有限公司</t>
  </si>
  <si>
    <t>同上滋道</t>
  </si>
  <si>
    <t>以葡萄酒为主的饮料;已调味的⻨芽酿制的酒精饮料（啤酒除外）;酒精饮料（啤酒除外）;果酒（含酒精）;⾕物制蒸馏酒精饮料;葡萄酒;⽶酒;⽩酒;蒸馏饮料;⻩酒</t>
  </si>
  <si>
    <t>2188</t>
  </si>
  <si>
    <t>77730625</t>
  </si>
  <si>
    <t>揭阳市仙翼贸易有限公司</t>
  </si>
  <si>
    <t>仙翼</t>
  </si>
  <si>
    <t>⽩酒;烈酒（饮料）;⽶酒;⻩酒;酒精饮料（啤酒除外）;酒精饮料浓缩汁;烧酒;含酒精的充⽓饮料（啤酒除外）;清酒（⽇本⽶酒）;⾷⽤酒精</t>
  </si>
  <si>
    <t>2189</t>
  </si>
  <si>
    <t>77730649</t>
  </si>
  <si>
    <t>长白山森工集团和龙林业有限公司</t>
  </si>
  <si>
    <t>杉仙谷</t>
  </si>
  <si>
    <t>以朗姆酒为主的饮料;果酒（含酒精）;蒸煮提取物（利⼝酒和烈酒）;利⼝酒;含酒精的鸡尾酒混合饮品;⽩酒;酒精饮料（啤酒除外）;含酒精⽔果饮料;葡萄酒;调制好的葡萄酒鸡尾酒</t>
  </si>
  <si>
    <t>2190</t>
  </si>
  <si>
    <t>77731169</t>
  </si>
  <si>
    <t>广西南海明珠食品进出口有限公司</t>
  </si>
  <si>
    <t>富春吟</t>
  </si>
  <si>
    <t>果酒（含酒精）;⽩酒;葡萄酒;烧酒;威⼠忌;清酒;⻘稞酒;⽩兰地;⻩酒;⽶酒</t>
  </si>
  <si>
    <t>2191</t>
  </si>
  <si>
    <t>77731601</t>
  </si>
  <si>
    <t>聆春</t>
  </si>
  <si>
    <t>⾼粱酒;果酒（含酒精）;葡萄酒;⽩兰地;清酒;烈酒（饮料）;威⼠忌;⻩酒;⽩酒;烧酒</t>
  </si>
  <si>
    <t>2192</t>
  </si>
  <si>
    <t>77731901</t>
  </si>
  <si>
    <t>江西久柚酒业有限公司</t>
  </si>
  <si>
    <t>由遇见你</t>
  </si>
  <si>
    <t>果酒（含酒精）;⽩酒;⽼酒（中国蒸馏烈酒）;葡萄酒;⻩酒;烧酒（烈酒）;⽶酒;⽩⼲酒（中国⽩酒）;⾼粱酒;烧酒</t>
  </si>
  <si>
    <t>2193</t>
  </si>
  <si>
    <t>77733539</t>
  </si>
  <si>
    <t>凌嘉成441602********1731</t>
  </si>
  <si>
    <t>维哆臣</t>
  </si>
  <si>
    <t>⽶酒;开胃酒;果酒（含酒精）;烈酒（饮料）;清酒（⽇本⽶酒）;烧酒;⽩酒;苦味酒;蜂蜜酒;⻩酒</t>
  </si>
  <si>
    <t>2194</t>
  </si>
  <si>
    <t>77733616</t>
  </si>
  <si>
    <t>重庆市秀山县兰桥镇供销合作社有限公司</t>
  </si>
  <si>
    <t>兰桥寨瓦</t>
  </si>
  <si>
    <t>⽩酒;烧酒;果酒（含酒精）;⾕物制蒸馏酒精饮料;汽酒;鸡尾酒;⽶酒;⻩酒;酒精饮料（啤酒除外）;葡萄酒</t>
  </si>
  <si>
    <t>2195</t>
  </si>
  <si>
    <t>77734977</t>
  </si>
  <si>
    <t>王成银</t>
  </si>
  <si>
    <t>登晋</t>
  </si>
  <si>
    <t>烈酒（饮料）;⽶酒;含⽔果酒精饮料;⾼粱酒;烈酒;⽩⼲酒（中国⽩酒）;葡萄酒;清酒（⽇本⽶酒）;⽩酒;烧酒</t>
  </si>
  <si>
    <t>2196</t>
  </si>
  <si>
    <t>77735159</t>
  </si>
  <si>
    <t>贵州鹏谷酒业有限公司</t>
  </si>
  <si>
    <t>鹏谷</t>
  </si>
  <si>
    <t>苹果酒;⽩酒;蒸馏饮料;餐后酒（利⼝酒和烈酒）;⾕物制蒸馏酒精饮料;露酒;葡萄酒;烈酒（饮料）;⽶酒;果酒（含酒精）</t>
  </si>
  <si>
    <t>2197</t>
  </si>
  <si>
    <t>77735162</t>
  </si>
  <si>
    <t>崔灵</t>
  </si>
  <si>
    <t>晏过刘生</t>
  </si>
  <si>
    <t>葡萄酒;清酒（⽇本⽶酒）;薄荷酒;蜂蜜酒;⻘稞酒;⽩酒;⻩酒;含⽔果酒精饮料;苹果酒;⽶酒</t>
  </si>
  <si>
    <t>2198</t>
  </si>
  <si>
    <t>77735569</t>
  </si>
  <si>
    <t>世纪万象控股有限公司</t>
  </si>
  <si>
    <t>帝景碧湖</t>
  </si>
  <si>
    <t>烈酒（饮料）;清酒（⽇本⽶酒）;果酒（含酒精）;酒精饮料（啤酒除外）;⻩酒;⽶酒;葡萄酒;鸡尾酒;烧酒;⽩酒</t>
  </si>
  <si>
    <t>2199</t>
  </si>
  <si>
    <t>77735678</t>
  </si>
  <si>
    <t>孙平</t>
  </si>
  <si>
    <t>首加 SHOU JIA PIN JIANG JIU</t>
  </si>
  <si>
    <t>露酒;葡萄酒;酒精饮料原汁;烈酒;烧酒;⾷⽤酒精;⾼粱酒;果酒;⽩酒;⻩酒</t>
  </si>
  <si>
    <t>2200</t>
  </si>
  <si>
    <t>77735748</t>
  </si>
  <si>
    <t>史之全</t>
  </si>
  <si>
    <t>史老哥</t>
  </si>
  <si>
    <t>⽩酒;⾷⽤酒精;利⼝酒;开胃酒;预先混合的酒精饮料（以啤酒为主的除外）;⽩兰地;威⼠忌;葡萄酒;果酒（含酒精）;汽酒</t>
  </si>
  <si>
    <t>2215</t>
  </si>
  <si>
    <t>77740283</t>
  </si>
  <si>
    <t>烟台飞扬酒业有限公司</t>
  </si>
  <si>
    <t>迈洛迈巴赫</t>
  </si>
  <si>
    <t>酒精饮料（啤酒除外）;白酒;果酒;葡萄酒;利口酒;黄酒;鸡尾酒;汽酒;米酒;朗姆酒</t>
  </si>
  <si>
    <t>2216</t>
  </si>
  <si>
    <t>77740343</t>
  </si>
  <si>
    <t>孙荣超</t>
  </si>
  <si>
    <t>鸡尾酒;蒸馏饮料;⽩兰地;烧酒（烈酒）;果酒;葡萄酒;⻩酒;烈酒（饮料）;⽶酒;⽩酒</t>
  </si>
  <si>
    <t>2217</t>
  </si>
  <si>
    <t>77741583</t>
  </si>
  <si>
    <t>张恒杰</t>
  </si>
  <si>
    <t>华风晋韵</t>
  </si>
  <si>
    <t>⽼酒（中国蒸馏烈酒）;甜酒;⽩酒;果酒;红葡萄酒;露酒;含⽔果酒精饮料;⾼粱酒;⽩葡萄酒;含酒精⽔果饮料</t>
  </si>
  <si>
    <t>2218</t>
  </si>
  <si>
    <t>77742119</t>
  </si>
  <si>
    <t>淄博四海商贸有限公司</t>
  </si>
  <si>
    <t>淄宝宝</t>
  </si>
  <si>
    <t>果酒（含酒精）;开胃酒;葡萄酒;蜂蜜酒;⻩酒;含⽔果酒精饮料;威⼠忌;⽩酒;⽶酒;鸡尾酒</t>
  </si>
  <si>
    <t>2219</t>
  </si>
  <si>
    <t>77742473</t>
  </si>
  <si>
    <t>北京甜慈商贸有限公司</t>
  </si>
  <si>
    <t>太浩山野</t>
  </si>
  <si>
    <t>⽩酒;红葡萄酒;⽶酒;鸡尾酒;酒精饮料（啤酒除外）;含酒精的充⽓饮料（啤酒除外）;餐后酒（利⼝酒和烈酒）;⽩葡萄酒;清酒;含酒精⽔果饮料</t>
  </si>
  <si>
    <t>2220</t>
  </si>
  <si>
    <t>77742488</t>
  </si>
  <si>
    <t>路新兰</t>
  </si>
  <si>
    <t>问鼎匠魂</t>
  </si>
  <si>
    <t>⽩酒;果酒;威⼠忌;⽶酒;清酒;烧酒;葡萄酒;⻩酒;汽酒;⽩兰地</t>
  </si>
  <si>
    <t>2221</t>
  </si>
  <si>
    <t>77742529</t>
  </si>
  <si>
    <t>华盛潭</t>
  </si>
  <si>
    <t>果酒（含酒精）;烈酒（饮料）;烧酒;⻩酒;⾼粱酒;葡萄酒;⽩兰地;⽩酒;威⼠忌;清酒</t>
  </si>
  <si>
    <t>2222</t>
  </si>
  <si>
    <t>77742815</t>
  </si>
  <si>
    <t>白占平</t>
  </si>
  <si>
    <t>铭欣怡</t>
  </si>
  <si>
    <t>果酒（含酒精）;葡萄酒;烈酒（饮料）;汽酒;⽶酒;⻩酒;鸡尾酒;烧酒;含⽔果酒精饮料;⽩酒</t>
  </si>
  <si>
    <t>2223</t>
  </si>
  <si>
    <t>77743347</t>
  </si>
  <si>
    <t>汾阳市杏泳泉酒业有限公司</t>
  </si>
  <si>
    <t>晋杏鸿</t>
  </si>
  <si>
    <t>蒸煮提取物（利⼝酒和烈酒）;鸡尾酒;烈酒（饮料）;清酒;⽶酒;⽩酒;威⼠忌;酒精饮料（啤酒除外）;果酒（含酒精）;葡萄酒</t>
  </si>
  <si>
    <t>2224</t>
  </si>
  <si>
    <t>77743392</t>
  </si>
  <si>
    <t>息酒（睢县）品牌管理有限公司</t>
  </si>
  <si>
    <t>息白</t>
  </si>
  <si>
    <t>杜松⼦酒;葡萄酒;苦味酒;开胃酒;⽔果汽酒;薄荷酒;蜂蜜酒;⽩酒;苹果酒;⻘稞酒</t>
  </si>
  <si>
    <t>2225</t>
  </si>
  <si>
    <t>77743479</t>
  </si>
  <si>
    <t>南京珀瑞亚特投资有限公司</t>
  </si>
  <si>
    <t>富昱森</t>
  </si>
  <si>
    <t>餐后酒（利⼝酒和烈酒）;葡萄酒;杜松⼦酒;以葡萄酒为主的饮料;朗姆酒;⽩兰地;鸡尾酒;清酒（⽇本⽶酒）;威⼠忌;⽩酒</t>
  </si>
  <si>
    <t>2226</t>
  </si>
  <si>
    <t>77743480</t>
  </si>
  <si>
    <t>SAULUAMIU</t>
  </si>
  <si>
    <t>蜂蜜酒;⽩酒;烈酒（饮料）;果酒（含酒精）;鸡尾酒;⻘稞酒;⻩酒;葡萄酒;⽼酒（中国蒸馏烈酒）;⽶酒</t>
  </si>
  <si>
    <t>2227</t>
  </si>
  <si>
    <t>77743524</t>
  </si>
  <si>
    <t>贵州梦鱼酒业有限公司</t>
  </si>
  <si>
    <t>辰鱼</t>
  </si>
  <si>
    <t>果酒（含酒精）;葡萄酒;⽶酒;鸡尾酒;伏特加酒;烧酒;酒精饮料（啤酒除外）;⽩酒;威⼠忌;烈酒（饮料）</t>
  </si>
  <si>
    <t>2228</t>
  </si>
  <si>
    <t>77743955</t>
  </si>
  <si>
    <t>苏州蓝韵生物科技有限公司</t>
  </si>
  <si>
    <t>汉伊棠</t>
  </si>
  <si>
    <t>开胃酒;酒精饮料（啤酒除外）;甜果酒;葡萄酒;蒸馏饮料;果酒;⻩酒;鸡尾酒;⽩⼲酒（中国⽩酒）;含酒精⽔果饮料</t>
  </si>
  <si>
    <t>2229</t>
  </si>
  <si>
    <t>77745511</t>
  </si>
  <si>
    <t>聆海观澜</t>
  </si>
  <si>
    <t>葡萄酒;⽩兰地;果酒（含酒精）;烈酒（饮料）;⻩酒;⾼粱酒;清酒;威⼠忌;烧酒;⽩酒</t>
  </si>
  <si>
    <t>2230</t>
  </si>
  <si>
    <t>77746003</t>
  </si>
  <si>
    <t>台雏</t>
  </si>
  <si>
    <t>烈酒（饮料）;⻩酒;蒸馏饮料;鸡尾酒;果酒（含酒精）;葡萄酒;酒精饮料（啤酒除外）;汽酒;⽩酒;⽶酒</t>
  </si>
  <si>
    <t>2231</t>
  </si>
  <si>
    <t>77746457</t>
  </si>
  <si>
    <t>四川宾竹酱酒业有限公司</t>
  </si>
  <si>
    <t>江阅台</t>
  </si>
  <si>
    <t>葡萄酒;酒精饮料（啤酒除外）;开胃酒;白酒;以葡萄酒为主的开胃酒;黄酒;利口酒;果酒（含酒精）;蒸馏饮料;餐后酒（利口酒和烈酒）</t>
  </si>
  <si>
    <t>2232</t>
  </si>
  <si>
    <t>77747538</t>
  </si>
  <si>
    <t>进隆文泉</t>
  </si>
  <si>
    <t>⾕物制蒸馏酒精饮料;薄荷酒;蜂蜜酒;以葡萄酒为主的饮料;⽩⼲酒（中国⽩酒）;⻩酒;⽼酒（中国蒸馏烈酒）;梨酒;⽶酒;⽩酒</t>
  </si>
  <si>
    <t>2233</t>
  </si>
  <si>
    <t>77747794</t>
  </si>
  <si>
    <t>上海申花智慧医疗科技有限公司</t>
  </si>
  <si>
    <t>宜馥</t>
  </si>
  <si>
    <t>清酒（⽇本⽶酒）;烈酒（饮料）;梅酒;⻩酒;⽩酒;⽶酒;开胃酒;⾼粱酒;酒精饮料（啤酒除外）;果酒（含酒精）</t>
  </si>
  <si>
    <t>2234</t>
  </si>
  <si>
    <t>77748738</t>
  </si>
  <si>
    <t>广州安贝玺医院后勤服务管理有限公司</t>
  </si>
  <si>
    <t>昱花白</t>
  </si>
  <si>
    <t>⽩酒;果酒（含酒精）;⾷⽤酒精;清酒（⽇本⽶酒）;⽶酒;酒精饮料（啤酒除外）;⻩酒;烈酒（饮料）;烧酒;蒸馏饮料</t>
  </si>
  <si>
    <t>2235</t>
  </si>
  <si>
    <t>77749172</t>
  </si>
  <si>
    <t>翁梁</t>
  </si>
  <si>
    <t>御禧承</t>
  </si>
  <si>
    <t>烧酒;果酒（含酒精）;烈酒（饮料）;⻩酒;⾕物制蒸馏酒精饮料;⻘稞酒;⽶酒;⽩酒;杜松⼦酒;利⼝酒</t>
  </si>
  <si>
    <t>2236</t>
  </si>
  <si>
    <t>77749327</t>
  </si>
  <si>
    <t>芈月罗潭</t>
  </si>
  <si>
    <t>⽩酒;葡萄酒;⽶酒;酒精饮料（啤酒除外）;⽩兰地;⻩酒;果酒（含酒精）;烈酒（饮料）;⽩⼲酒（中国⽩酒）;烧酒</t>
  </si>
  <si>
    <t>2237</t>
  </si>
  <si>
    <t>77749450</t>
  </si>
  <si>
    <t>无锡市利德华纸品有限公司</t>
  </si>
  <si>
    <t>天估义德</t>
  </si>
  <si>
    <t>果酒（含酒精）;葡萄酒;酒精饮料（啤酒除外）;烧酒;⻘稞酒;⽩酒;⻩酒;蒸煮提取物（利⼝酒和烈酒）;烈酒（饮料）;含⽔果酒精饮料</t>
  </si>
  <si>
    <t>2238</t>
  </si>
  <si>
    <t>77749483</t>
  </si>
  <si>
    <t>重庆市杜氏商贸有限公司</t>
  </si>
  <si>
    <t>香台古艺</t>
  </si>
  <si>
    <t>蒸馏饮料;酒精饮料（啤酒除外）;果酒;开胃酒;⽩酒;葡萄酒;甜酒;⽶酒;烈酒;烧酒</t>
  </si>
  <si>
    <t>2239</t>
  </si>
  <si>
    <t>77749657</t>
  </si>
  <si>
    <t>兴平阜盛祥农业科技有限公司</t>
  </si>
  <si>
    <t>阜盛祥</t>
  </si>
  <si>
    <t>葡萄酒;⽶酒;烧酒;⻘稞酒;果酒;⾼粱酒;⻩酒;草莓酒;蜂蜜酒;⽩酒</t>
  </si>
  <si>
    <t>2240</t>
  </si>
  <si>
    <t>77749717</t>
  </si>
  <si>
    <t>御熙天辰</t>
  </si>
  <si>
    <t>烈酒（饮料）;⻩酒;⽶酒;⽩酒;⾕物制蒸馏酒精饮料;利⼝酒;⻘稞酒;杜松⼦酒;果酒（含酒精）;烧酒</t>
  </si>
  <si>
    <t>2241</t>
  </si>
  <si>
    <t>77749972</t>
  </si>
  <si>
    <t>郑彦松</t>
  </si>
  <si>
    <t>千聚德</t>
  </si>
  <si>
    <t>⽩酒;葡萄酒;梅酒;鸡尾酒;含酒精的饮料（啤酒除外）;烧酒（烈酒）;⽼酒（中国蒸馏烈酒）;烈酒（饮料）;汽酒;威⼠忌</t>
  </si>
  <si>
    <t>2242</t>
  </si>
  <si>
    <t>77749974</t>
  </si>
  <si>
    <t>贵州祝你忠成名酒业有限公司</t>
  </si>
  <si>
    <t>祝忠诚名</t>
  </si>
  <si>
    <t>鸡尾酒;酒精饮料（啤酒除外）;烧酒;⾷⽤酒精;预先混合的酒精饮料（以啤酒为主的除外）;⽩酒;⾼粱酒;果酒;葡萄酒;⽶酒</t>
  </si>
  <si>
    <t>2243</t>
  </si>
  <si>
    <t>77750122</t>
  </si>
  <si>
    <t>张国威</t>
  </si>
  <si>
    <t>万杯盛</t>
  </si>
  <si>
    <t>果酒;⾷⽤酒精;⻩酒;清酒;葡萄酒;⽶酒;开胃酒;汽酒;⽩酒;甜酒</t>
  </si>
  <si>
    <t>2244</t>
  </si>
  <si>
    <t>77750577</t>
  </si>
  <si>
    <t>汪郑斌</t>
  </si>
  <si>
    <t>桂语江南</t>
  </si>
  <si>
    <t>鸡尾酒;葡萄酒;含⽔果酒精饮料;⽶酒;含酒精⽔果饮料;烧酒;⻩酒;⽩酒;果酒;果酒（含酒精）</t>
  </si>
  <si>
    <t>2245</t>
  </si>
  <si>
    <t>77750806</t>
  </si>
  <si>
    <t>贵州工律信用管理服务有限公司</t>
  </si>
  <si>
    <t>醉址</t>
  </si>
  <si>
    <t>⻘稞酒;⾼粱酒;由⾕物蒸馏的⽩酒;⽶酒;烧酒;鸡尾酒;⾷⽤酒精;果酒（含酒精）;葡萄酒;⽩酒</t>
  </si>
  <si>
    <t>0</t>
  </si>
  <si>
    <t>56076714</t>
  </si>
  <si>
    <t>四川邛崃金六福崖谷生态酿酒有限公司</t>
  </si>
  <si>
    <t>福</t>
  </si>
  <si>
    <t>葡萄酒;酒精饮料（啤酒除外）;黄酒;米酒;白酒;苹果酒;清酒;汽酒;果酒;烧酒</t>
  </si>
  <si>
    <t>2021年05月14日</t>
  </si>
  <si>
    <t>56304158</t>
  </si>
  <si>
    <t>阿尔山市稀好饮品水资源有限公司</t>
  </si>
  <si>
    <t>圣酿阿尔山</t>
  </si>
  <si>
    <t>鸡尾酒;葡萄酒;烈酒（饮料）;酒精饮料（啤酒除外）;⽩酒;汽酒;果酒（含酒精）;⻩酒;烧酒;⽶酒</t>
  </si>
  <si>
    <t>2021年05月24日</t>
  </si>
  <si>
    <t>58898677</t>
  </si>
  <si>
    <t>佛山市海天调味食品股份有限公司</t>
  </si>
  <si>
    <t>海天梦圆</t>
  </si>
  <si>
    <t>⽶酒;果酒（含酒精）;酒精饮料（啤酒除外）;含⽔果酒精饮料;烈酒（饮料）;葡萄酒;⾷⽤酒精;⻩酒;⽩酒;清酒（⽇本⽶酒）</t>
  </si>
  <si>
    <t>2021年08月31日</t>
  </si>
  <si>
    <t>61500071</t>
  </si>
  <si>
    <t>中国贵州茅台酒厂（集团）有限责任公司</t>
  </si>
  <si>
    <t>茅台 519</t>
  </si>
  <si>
    <t>果酒（含酒精）;清酒（⽇本⽶酒）;烈酒（饮料）;烧酒;⻩酒;⽶酒;蒸馏饮料;酒精饮料（啤酒除外）;⾷⽤酒精;⽩酒</t>
  </si>
  <si>
    <t>2021年12月17日</t>
  </si>
  <si>
    <t>63211016</t>
  </si>
  <si>
    <t>维纳康佳阿拖拉公司</t>
  </si>
  <si>
    <t>HIT WINE</t>
  </si>
  <si>
    <t>起泡葡萄酒;葡萄酒</t>
  </si>
  <si>
    <t>2022年03月11日</t>
  </si>
  <si>
    <t>65643218</t>
  </si>
  <si>
    <t>李建国</t>
  </si>
  <si>
    <t>子曰</t>
  </si>
  <si>
    <t>⽩葡萄酒;茴⾹酒;烈酒浓缩汁;烧酒;⽶酒;⽩酒;以葡萄酒为主的饮料;果酒;含酒精⽔果饮料;⻩酒</t>
  </si>
  <si>
    <t>2022年06月29日</t>
  </si>
  <si>
    <t>65770539</t>
  </si>
  <si>
    <t>江苏和府餐饮管理有限公司</t>
  </si>
  <si>
    <t>阿兰家</t>
  </si>
  <si>
    <t>苹果酒;薄荷酒;果酒（含酒精）;⽩兰地;含⽔果酒精饮料;威⼠忌;⽩酒;⽶酒;葡萄酒;杜松⼦酒</t>
  </si>
  <si>
    <t>2022年07月06日</t>
  </si>
  <si>
    <t>65850405</t>
  </si>
  <si>
    <t>贵州省仁怀市天邦酿酒有限公司</t>
  </si>
  <si>
    <t>天邦</t>
  </si>
  <si>
    <t>预先混合的酒精饮料（以啤酒为主的除外）;⾕物制蒸馏酒精饮料;⽩⼲酒（中国⽩酒）;⽼酒（中国蒸馏烈酒）;酒精饮料（啤酒除外）;⾼粱酒;葡萄酒;酒精饮料原汁;酒精饮料浓缩汁;⽩酒</t>
  </si>
  <si>
    <t>2022年07月08日</t>
  </si>
  <si>
    <t>67123577</t>
  </si>
  <si>
    <t>上海所思互动信息科技有限责任公司</t>
  </si>
  <si>
    <t>猛兽派对</t>
  </si>
  <si>
    <t>薄荷酒;果酒（含酒精）;蒸馏饮料;鸡尾酒;预先混合的酒精饮料（以啤酒为主的除外）;利⼝酒;烈酒（饮料）;酒精饮料（啤酒除外）;含⽔果酒精饮料;葡萄酒</t>
  </si>
  <si>
    <t>2022年09月09日</t>
  </si>
  <si>
    <t>67908687</t>
  </si>
  <si>
    <t>上海巴克斯酒业有限公司</t>
  </si>
  <si>
    <t>NUMBER 22</t>
  </si>
  <si>
    <t>蒸煮提取物（利⼝酒和烈酒）;烈酒（饮料）;酒精饮料（啤酒除外）;⾕物制蒸馏酒精饮料;伏特加酒;预先混合的酒精饮料（以啤酒为主的除外）;鸡尾酒;果酒（含酒精）;汽酒;威⼠忌</t>
  </si>
  <si>
    <t>2022年10月24日</t>
  </si>
  <si>
    <t>67910874</t>
  </si>
  <si>
    <t>果酒（含酒精）;蒸煮提取物（利⼝酒和烈酒）;烈酒（饮料）;酒精饮料（啤酒除外）;伏特加酒;威⼠忌;预先混合的酒精饮料（以啤酒为主的除外）;鸡尾酒;汽酒;⾕物制蒸馏酒精饮料</t>
  </si>
  <si>
    <t>69517119</t>
  </si>
  <si>
    <t>星客电子商务(深圳)有限公司</t>
  </si>
  <si>
    <t>星客</t>
  </si>
  <si>
    <t>葡萄酒;⽶酒;果酒;⾼粱酒;⽩酒;烈酒;烧酒（烈酒）;清酒;⻩酒;甜酒</t>
  </si>
  <si>
    <t>2023年02月11日</t>
  </si>
  <si>
    <t>69560903</t>
  </si>
  <si>
    <t>胡吉阿布都拉•吐尔地</t>
  </si>
  <si>
    <t>新顿雅 YEGIDUNYA</t>
  </si>
  <si>
    <t>含⽔果酒精饮料;威⼠忌;果酒（含酒精）;蒸馏饮料;⽩葡萄酒;葡萄酒;⽩兰地;烧酒;⽩酒;鸡尾酒</t>
  </si>
  <si>
    <t>2023年02月14日</t>
  </si>
  <si>
    <t>69641694</t>
  </si>
  <si>
    <t>新疆振欣酒业有限责任公司</t>
  </si>
  <si>
    <t>果酒（含酒精）;葡萄酒;烈酒（饮料）;⽩兰地;⽩酒;含酒精的饮料（啤酒除外）;以葡萄酒为主的饮料;汽酒;⻩酒;酒精饮料（啤酒除外）</t>
  </si>
  <si>
    <t>2023年02月17日</t>
  </si>
  <si>
    <t>69661164</t>
  </si>
  <si>
    <t>达尼亚尔·阿扎提江</t>
  </si>
  <si>
    <t>METORIET 美途锐</t>
  </si>
  <si>
    <t>甜酒;果酒;薄荷酒;果酒（含酒精）;威末酒;亚⼒酒;鸡尾酒;葡萄酒;⽩酒;开胃酒</t>
  </si>
  <si>
    <t>2023年02月19日</t>
  </si>
  <si>
    <t>69872801</t>
  </si>
  <si>
    <t>麦麦提·库尔班</t>
  </si>
  <si>
    <t>牧羊巴朗</t>
  </si>
  <si>
    <t>果酒（含酒精）;开胃酒;苹果酒;⽶酒;已调味的蒸馏酒;果酒;甜酒;蒸馏饮料;⾕物制蒸馏酒精饮料;甜果酒</t>
  </si>
  <si>
    <t>2023年03月01日</t>
  </si>
  <si>
    <t>70132324</t>
  </si>
  <si>
    <t>王亚波</t>
  </si>
  <si>
    <t>中寅御鼎</t>
  </si>
  <si>
    <t>含⽔果酒精饮料;汽酒;清酒（⽇本⽶酒）;烧酒;鸡尾酒;⽶酒;葡萄酒;蜂蜜酒;酒精饮料（啤酒除外）;⽩酒</t>
  </si>
  <si>
    <t>2023年03月13日</t>
  </si>
  <si>
    <t>70191496</t>
  </si>
  <si>
    <t>上海凤祉实业有限公司</t>
  </si>
  <si>
    <t>指印</t>
  </si>
  <si>
    <t>果酒（含酒精）;葡萄酒;⽶酒;⾕物制蒸馏酒精饮料;⽼酒（中国蒸馏烈酒）;⻩酒;⾷⽤酒精;⽩酒;⽩⼲酒（中国⽩酒）;以葡萄酒为主的饮料</t>
  </si>
  <si>
    <t>2023年03月14日</t>
  </si>
  <si>
    <t>21</t>
  </si>
  <si>
    <t>70272563</t>
  </si>
  <si>
    <t>多彩齐鲁（山东）酒庄有限公司</t>
  </si>
  <si>
    <t>多彩齐鲁明珠</t>
  </si>
  <si>
    <t>⽩酒;⻩酒;⻘稞酒;烧酒;⽼酒（中国蒸馏烈酒）;烈酒（饮料）;葡萄酒;鸡尾酒;清酒;⽶酒</t>
  </si>
  <si>
    <t>2023年03月17日</t>
  </si>
  <si>
    <t>22</t>
  </si>
  <si>
    <t>70286060</t>
  </si>
  <si>
    <t>四川华仔酒业股份有限公司</t>
  </si>
  <si>
    <t>小华子</t>
  </si>
  <si>
    <t>⽩酒;果酒（含酒精）;开胃酒;鸡尾酒;⻩酒;⽶酒;葡萄酒;烧酒;含酒精的饮料（啤酒除外）;烈酒（饮料）</t>
  </si>
  <si>
    <t>2023年03月18日</t>
  </si>
  <si>
    <t>23</t>
  </si>
  <si>
    <t>70320199</t>
  </si>
  <si>
    <t>大华子</t>
  </si>
  <si>
    <t>⽩酒;果酒（含酒精）;开胃酒;鸡尾酒;⻩酒;烈酒（饮料）;酒精饮料（啤酒除外）;⽶酒;烧酒;葡萄酒</t>
  </si>
  <si>
    <t>2023年03月20日</t>
  </si>
  <si>
    <t>24</t>
  </si>
  <si>
    <t>70717849</t>
  </si>
  <si>
    <t>贵州情景最藏酒业有限公司</t>
  </si>
  <si>
    <t>年藏古 J30</t>
  </si>
  <si>
    <t>酒精饮料（啤酒除外）;汽酒;⻩酒;蒸馏饮料;果酒（含酒精）;葡萄酒;⽶酒;烧酒;预先混合的酒精饮料（以啤酒为主的除外）;⽩酒</t>
  </si>
  <si>
    <t>2023年04月06日</t>
  </si>
  <si>
    <t>70938136</t>
  </si>
  <si>
    <t>贠新平</t>
  </si>
  <si>
    <t>幕士塔格</t>
  </si>
  <si>
    <t>⻩酒;薄荷酒;⽩酒;⻘稞酒;⾷⽤酒精;开胃酒;烧酒;⽶酒;葡萄酒;鸡尾酒</t>
  </si>
  <si>
    <t>2023年04月17日</t>
  </si>
  <si>
    <t>71015025</t>
  </si>
  <si>
    <t>华康酒业有限公司</t>
  </si>
  <si>
    <t>华康夏</t>
  </si>
  <si>
    <t>含⽔果酒精饮料;鸡尾酒;酒精饮料（啤酒除外）;⾷⽤酒精;汽酒;葡萄酒;⽩酒;果酒（含酒精）;蒸馏饮料;烧酒</t>
  </si>
  <si>
    <t>2023年04月19日</t>
  </si>
  <si>
    <t>27</t>
  </si>
  <si>
    <t>71047891</t>
  </si>
  <si>
    <t>武夷山市浅白服装店</t>
  </si>
  <si>
    <t>窖爷</t>
  </si>
  <si>
    <t>葡萄酒;烈酒（饮料）;烧酒;威⼠忌;⻩酒;⽩酒;果酒（含酒精）;鸡尾酒;⽶酒;清酒（⽇本⽶酒）</t>
  </si>
  <si>
    <t>2023年04月20日</t>
  </si>
  <si>
    <t>28</t>
  </si>
  <si>
    <t>71057531</t>
  </si>
  <si>
    <t>新疆达德利商贸有限公司</t>
  </si>
  <si>
    <t>诚达德利 CHIN DADIL</t>
  </si>
  <si>
    <t>葡萄酒;以葡萄酒为主的饮料;烧酒;红葡萄酒;⾕物制蒸馏酒精饮料;⻩酒;蒸馏⽶酒（泡盛酒）;果酒（含酒精）;蜂蜜酒;酒精饮料原汁</t>
  </si>
  <si>
    <t>29</t>
  </si>
  <si>
    <t>71057558</t>
  </si>
  <si>
    <t>心勇达德利 DIL DADIL</t>
  </si>
  <si>
    <t>开胃酒;以葡萄酒为主的饮料;⻩酒;葡萄酒;⾕物制蒸馏酒精饮料;蒸馏饮料;苹果酒;含⽔果酒精饮料;果酒（含酒精）;烧酒</t>
  </si>
  <si>
    <t>30</t>
  </si>
  <si>
    <t>71274661</t>
  </si>
  <si>
    <t>黄鹤楼</t>
  </si>
  <si>
    <t>蒸煮提取物（利⼝酒和烈酒）;⽩酒;果酒（含酒精）;烈酒（饮料）;清酒（⽇本⽶酒）;开胃酒;⾷⽤酒精;⻩酒;烧酒;⽶酒</t>
  </si>
  <si>
    <t>2023年04月28日</t>
  </si>
  <si>
    <t>31</t>
  </si>
  <si>
    <t>71412878</t>
  </si>
  <si>
    <t>上海申花足球俱乐部有限公司</t>
  </si>
  <si>
    <t>SHENHUA SFC SINCE1993 SHANGHAI</t>
  </si>
  <si>
    <t>⽶酒;烈酒（饮料）;⻩酒;果酒（含酒精）;鸡尾酒;烧酒;开胃酒;酒精饮料（啤酒除外）;清酒（⽇本⽶酒）;葡萄酒</t>
  </si>
  <si>
    <t>2023年05月09日</t>
  </si>
  <si>
    <t>32</t>
  </si>
  <si>
    <t>71468479</t>
  </si>
  <si>
    <t>广西亿小瓶食品科技有限公司</t>
  </si>
  <si>
    <t>亿小瓶</t>
  </si>
  <si>
    <t>⽼酒（中国蒸馏烈酒）;⽩酒;烈酒（饮料）;烈酒;烧酒;鸡尾酒;⽶酒;果酒（含酒精）;威⼠忌;红葡萄酒</t>
  </si>
  <si>
    <t>2023年05月10日</t>
  </si>
  <si>
    <t>33</t>
  </si>
  <si>
    <t>71491143</t>
  </si>
  <si>
    <t>海口龙华梓莱汪信息咨询服务部</t>
  </si>
  <si>
    <t>戈友会</t>
  </si>
  <si>
    <t>汽酒;烧酒;⽶酒;蒸馏饮料;酒精饮料（啤酒除外）;⻩酒;⽩酒;果酒（含酒精）;葡萄酒;预先混合的酒精饮料（以啤酒为主的除外）</t>
  </si>
  <si>
    <t>2023年05月11日</t>
  </si>
  <si>
    <t>34</t>
  </si>
  <si>
    <t>71681013</t>
  </si>
  <si>
    <t>义乌市韵炅电子商务商行</t>
  </si>
  <si>
    <t>辩酒</t>
  </si>
  <si>
    <t>葡萄酒;烈酒（饮料）;⽶酒;⽩⼲酒（中国⽩酒）;⽼酒（中国蒸馏烈酒）;果酒（含酒精）;烧酒;⾷⽤酒精;⽩酒;酒精饮料（啤酒除外）</t>
  </si>
  <si>
    <t>2023年05月19日</t>
  </si>
  <si>
    <t>35</t>
  </si>
  <si>
    <t>71697124</t>
  </si>
  <si>
    <t>南京凌康医药科技有限公司</t>
  </si>
  <si>
    <t>果酒（含酒精）;鸡尾酒;葡萄酒;利⼝酒;⻩酒;含⽔果酒精饮料;酒精饮料（啤酒除外）;⽩酒;烈酒（饮料）;清酒（⽇本⽶酒）</t>
  </si>
  <si>
    <t>2023年05月20日</t>
  </si>
  <si>
    <t>36</t>
  </si>
  <si>
    <t>71730162</t>
  </si>
  <si>
    <t>莫利诺理德拉珀拉塔公司</t>
  </si>
  <si>
    <t>CAMILA NIETO SENETINER NIETO SENETINER</t>
  </si>
  <si>
    <t>2023年05月22日</t>
  </si>
  <si>
    <t>37</t>
  </si>
  <si>
    <t>71743274</t>
  </si>
  <si>
    <t>许秀清</t>
  </si>
  <si>
    <t>汤臣</t>
  </si>
  <si>
    <t>开胃酒;果酒（含酒精）;鸡尾酒;葡萄酒;威⼠忌;烈酒（饮料）;⽶酒;⽩酒;烧酒;⻩酒</t>
  </si>
  <si>
    <t>2023年05月23日</t>
  </si>
  <si>
    <t>38</t>
  </si>
  <si>
    <t>71961001</t>
  </si>
  <si>
    <t>新疆众齐聚力商贸有限公司</t>
  </si>
  <si>
    <t>XOH ADAX 烁呵阿达西</t>
  </si>
  <si>
    <t>蒸煮提取物（利⼝酒和烈酒）;威⼠忌;酒精饮料原汁;朗姆酒;酒精饮料（啤酒除外）;酸酒（低等葡萄酒）;烈酒（饮料）;果酒（含酒精）;⽩兰地;葡萄酒</t>
  </si>
  <si>
    <t>2023年06月01日</t>
  </si>
  <si>
    <t>39</t>
  </si>
  <si>
    <t>72099696</t>
  </si>
  <si>
    <t>义乌市健伟农业开发有限公司</t>
  </si>
  <si>
    <t>南枣乡</t>
  </si>
  <si>
    <t>⻘稞酒;果酒（含酒精）;葡萄酒;蒸馏饮料;⾕物制蒸馏酒精饮料;⽩酒;⻩酒;预先混合的酒精饮料（以啤酒为主的除外）;⽶酒;清酒（⽇本⽶酒）</t>
  </si>
  <si>
    <t>2023年06月08日</t>
  </si>
  <si>
    <t>40</t>
  </si>
  <si>
    <t>72111578</t>
  </si>
  <si>
    <t>张家口盛世长城酿酒有限公司</t>
  </si>
  <si>
    <t>龙潭白窖</t>
  </si>
  <si>
    <t>烧酒;汽酒;蒸馏饮料;⽼酒（中国蒸馏烈酒）;葡萄酒;果酒（含酒精）;鸡尾酒;酒精饮料（啤酒除外）;⽩酒;⻩酒</t>
  </si>
  <si>
    <t>41</t>
  </si>
  <si>
    <t>72113666</t>
  </si>
  <si>
    <t>六度商店有限公司</t>
  </si>
  <si>
    <t>凤迎春</t>
  </si>
  <si>
    <t>五加⽪酒（中国混合烈酒）;果酒;⽩酒;⾼粱酒;⽶酒;⽩⼲酒（中国⽩酒）;烈酒（饮料）;⻩酒;烧酒;酒精饮料（啤酒除外）</t>
  </si>
  <si>
    <t>42</t>
  </si>
  <si>
    <t>72253093</t>
  </si>
  <si>
    <t>李金花</t>
  </si>
  <si>
    <t>精忠岳门</t>
  </si>
  <si>
    <t>酒精饮料（啤酒除外）;葡萄酒;清酒;烧酒;鸡尾酒;⻩酒;⽶酒;果酒（含酒精）;⽩兰地;⽩酒</t>
  </si>
  <si>
    <t>2023年06月15日</t>
  </si>
  <si>
    <t>43</t>
  </si>
  <si>
    <t>72277478</t>
  </si>
  <si>
    <t>徐鹏飞</t>
  </si>
  <si>
    <t>情满缘</t>
  </si>
  <si>
    <t>烧酒;⻩酒;⽶酒;⽩酒;⻘稞酒</t>
  </si>
  <si>
    <t>2023年06月16日</t>
  </si>
  <si>
    <t>44</t>
  </si>
  <si>
    <t>72300551</t>
  </si>
  <si>
    <t>塔斯甫拉提·阿布力克木</t>
  </si>
  <si>
    <t>MUZGHUNCHEM</t>
  </si>
  <si>
    <t>果酒;⽶酒;伏特加酒;⽩葡萄酒;蜂蜜酒;红葡萄酒;⽩酒;除啤酒外的酒精饮料;酒精饮料（啤酒除外）;葡萄酒</t>
  </si>
  <si>
    <t>2023年06月18日</t>
  </si>
  <si>
    <t>45</t>
  </si>
  <si>
    <t>72302919</t>
  </si>
  <si>
    <t>帕客嘉汗 PAKJAHAN</t>
  </si>
  <si>
    <t>蜂蜜酒;⽩葡萄酒;除啤酒外的酒精饮料;红葡萄酒;果酒;⽩酒;葡萄酒;酒精饮料（啤酒除外）;⽶酒;伏特加酒</t>
  </si>
  <si>
    <t>46</t>
  </si>
  <si>
    <t>72381917</t>
  </si>
  <si>
    <t>沃族（蓬莱）葡萄酒庄有限公司</t>
  </si>
  <si>
    <t>灵雀</t>
  </si>
  <si>
    <t>果酒（含酒精）;⽩兰地;鸡尾酒;葡萄酒;朗姆酒;烈酒（饮料）;餐后酒（利⼝酒和烈酒）;开胃酒;苹果酒;伏特加酒</t>
  </si>
  <si>
    <t>2023年06月21日</t>
  </si>
  <si>
    <t>47</t>
  </si>
  <si>
    <t>72449066</t>
  </si>
  <si>
    <t>深圳市海王健康之家实业有限公司</t>
  </si>
  <si>
    <t>酒精饮料（啤酒除外）;蒸馏饮料;清酒（⽇本⽶酒）;烈酒（饮料）;⽶酒;⽩酒;⾷⽤酒精;鸡尾酒;汽酒;果酒（含酒精）</t>
  </si>
  <si>
    <t>2023年06月26日</t>
  </si>
  <si>
    <t>48</t>
  </si>
  <si>
    <t>72580116</t>
  </si>
  <si>
    <t>J39</t>
  </si>
  <si>
    <t>果酒（含酒精）;葡萄酒;⽩酒;酒精饮料（啤酒除外）;预先混合的酒精饮料（以啤酒为主的除外）;⻩酒;蒸馏饮料;⽶酒;烧酒;汽酒</t>
  </si>
  <si>
    <t>2023年07月03日</t>
  </si>
  <si>
    <t>436</t>
  </si>
  <si>
    <t>77263060</t>
  </si>
  <si>
    <t>孤山隐梅</t>
  </si>
  <si>
    <t>烧酒;利⼝酒;⻩酒;⾷⽤酒精;果酒（含酒精）;葡萄酒;⽩兰地;梨酒;⽩酒;酒精饮料（啤酒除外）</t>
  </si>
  <si>
    <t>2024年03月13日</t>
  </si>
  <si>
    <t>437</t>
  </si>
  <si>
    <t>77263872</t>
  </si>
  <si>
    <t>全小仙</t>
  </si>
  <si>
    <t>酒精饮料原汁;烧酒;⽩酒;含⽔果酒精饮料;烈酒（饮料）;蒸馏饮料;酒精饮料（啤酒除外）;⻩酒;果酒（含酒精）;葡萄酒</t>
  </si>
  <si>
    <t>438</t>
  </si>
  <si>
    <t>77265836</t>
  </si>
  <si>
    <t>浙江益哥环境科技有限公司</t>
  </si>
  <si>
    <t>ZUI XING FU SHANG PIN</t>
  </si>
  <si>
    <t>烧酒;⽩酒;⻩酒</t>
  </si>
  <si>
    <t>439</t>
  </si>
  <si>
    <t>77266391</t>
  </si>
  <si>
    <t>陈昕</t>
  </si>
  <si>
    <t>驭圆</t>
  </si>
  <si>
    <t>杜松⼦酒;⽩酒;⽩兰地;薄荷酒;葡萄酒;清酒;酒精饮料（啤酒除外）;⻘稞酒;餐后酒（利⼝酒和烈酒）;伏特加酒</t>
  </si>
  <si>
    <t>440</t>
  </si>
  <si>
    <t>77266855</t>
  </si>
  <si>
    <t>罗健</t>
  </si>
  <si>
    <t>迎酒欢歌</t>
  </si>
  <si>
    <t>果酒（含酒精）;开胃酒;烈酒（饮料）;葡萄酒;⾷⽤酒精;⽶酒;⽩酒;利⼝酒;⻩酒;烧酒</t>
  </si>
  <si>
    <t>441</t>
  </si>
  <si>
    <t>77267297</t>
  </si>
  <si>
    <t>段欣鹏</t>
  </si>
  <si>
    <t>帝纪元</t>
  </si>
  <si>
    <t>⽩酒;烈酒;⻩酒;鸡尾酒;果酒（含酒精）;酒精饮料（啤酒除外）;清酒（⽇本⽶酒）;威⼠忌;葡萄酒;开胃酒</t>
  </si>
  <si>
    <t>442</t>
  </si>
  <si>
    <t>77267303</t>
  </si>
  <si>
    <t>贵州老工匠酒业有限公司</t>
  </si>
  <si>
    <t>CHITANCO</t>
  </si>
  <si>
    <t>⽩酒;葡萄酒;烈酒;⽩兰地;鸡尾酒;威⼠忌;烧酒;餐后酒（利⼝酒和烈酒）;清酒;果酒</t>
  </si>
  <si>
    <t>443</t>
  </si>
  <si>
    <t>77268698</t>
  </si>
  <si>
    <t>湖北武当网络有限公司</t>
  </si>
  <si>
    <t>武当珍品惠 WUDANG TREASURES</t>
  </si>
  <si>
    <t>葡萄酒;甜酒;果酒;烈酒（饮料）;⽶酒;草莓酒;⻩酒;甜果酒;果酒（含酒精）;⽩酒</t>
  </si>
  <si>
    <t>444</t>
  </si>
  <si>
    <t>77268787</t>
  </si>
  <si>
    <t>上海查久科技有限公司</t>
  </si>
  <si>
    <t>久洲小酌</t>
  </si>
  <si>
    <t>葡萄酒;红葡萄酒;果酒（含酒精）;苹果酒;烈酒（饮料）;酒精饮料（啤酒除外）;烧酒;酒精饮料原汁;⽩酒;鸡尾酒</t>
  </si>
  <si>
    <t>445</t>
  </si>
  <si>
    <t>77269445</t>
  </si>
  <si>
    <t>奔现潮富</t>
  </si>
  <si>
    <t>⽩酒;鸡尾酒;葡萄酒;清酒（⽇本⽶酒）;果酒;⾼粱酒;威⼠忌;蒸馏饮料;伏特加酒;除啤酒外的酒精饮料</t>
  </si>
  <si>
    <t>446</t>
  </si>
  <si>
    <t>77270371</t>
  </si>
  <si>
    <t>鼎峰氿</t>
  </si>
  <si>
    <t>鸡尾酒;烈酒（饮料）;⻩酒;果酒（含酒精）;葡萄酒;酒精饮料（啤酒除外）;⽩酒;烧酒;⽶酒;开胃酒</t>
  </si>
  <si>
    <t>447</t>
  </si>
  <si>
    <t>77271658</t>
  </si>
  <si>
    <t>涡阳县果梨酒业有限公司</t>
  </si>
  <si>
    <t>GUOLIFU</t>
  </si>
  <si>
    <t>果酒（含酒精）;⽩兰地;含⽔果酒精饮料;威⼠忌;预先混合的酒精饮料（以啤酒为主的除外）;⽩酒;烈酒;开胃酒;烈酒（饮料）;⻩酒</t>
  </si>
  <si>
    <t>448</t>
  </si>
  <si>
    <t>77275008</t>
  </si>
  <si>
    <t>肆精刚（重庆）酒业有限公司</t>
  </si>
  <si>
    <t>亖精刚</t>
  </si>
  <si>
    <t>⽶酒;已调味的蒸馏酒;由⾕物蒸馏的⽩酒;⽩兰地;⽼酒（中国蒸馏烈酒）;⽩⼲酒（中国⽩酒）;果酒（含酒精）;烈酒（饮料）;威⼠忌;⽩酒</t>
  </si>
  <si>
    <t>449</t>
  </si>
  <si>
    <t>77275131</t>
  </si>
  <si>
    <t>李保祥</t>
  </si>
  <si>
    <t>赵赐马</t>
  </si>
  <si>
    <t>⻩酒;⽩酒;酒精饮料（啤酒除外）;鸡尾酒;果酒（含酒精）;葡萄酒;梨酒;含⽔果酒精饮料;⽩兰地;⽶酒</t>
  </si>
  <si>
    <t>450</t>
  </si>
  <si>
    <t>77275738</t>
  </si>
  <si>
    <t>王玉玺</t>
  </si>
  <si>
    <t>陈郢贡</t>
  </si>
  <si>
    <t>果酒（含酒精）;⽩兰地;葡萄酒;蒸馏饮料;含⽔果酒精饮料;⽶酒;⻩酒;⽩酒;露酒;酒精饮料（啤酒除外）</t>
  </si>
  <si>
    <t>451</t>
  </si>
  <si>
    <t>77276046</t>
  </si>
  <si>
    <t>北京金晟润商贸有限公司</t>
  </si>
  <si>
    <t>京都金山</t>
  </si>
  <si>
    <t>清酒（⽇本⽶酒）;烈酒（饮料）;烧酒;⽩酒;朗姆酒;⻩酒;威⼠忌;含⽔果酒精饮料;汽酒;伏特加酒</t>
  </si>
  <si>
    <t>452</t>
  </si>
  <si>
    <t>77276417</t>
  </si>
  <si>
    <t>GUOLIJIN</t>
  </si>
  <si>
    <t>威⼠忌;⽩兰地;含⽔果酒精饮料;⽩酒;⻩酒;果酒（含酒精）;开胃酒;烈酒（饮料）;预先混合的酒精饮料（以啤酒为主的除外）;烈酒</t>
  </si>
  <si>
    <t>453</t>
  </si>
  <si>
    <t>77276815</t>
  </si>
  <si>
    <t>月桂冠株式会社</t>
  </si>
  <si>
    <t>繁香</t>
  </si>
  <si>
    <t>酒精饮料（啤酒除外）;果酒（含酒精）;清酒（⽇本⽶酒）;葡萄酒;鸡尾酒;含⽔果酒精饮料;⻩酒;⽶酒;蒸馏饮料;利⼝酒</t>
  </si>
  <si>
    <t>454</t>
  </si>
  <si>
    <t>77277594</t>
  </si>
  <si>
    <t>久洲无涯</t>
  </si>
  <si>
    <t>鸡尾酒;酒精饮料（啤酒除外）;⽩酒;苹果酒;烧酒;酒精饮料原汁;红葡萄酒;葡萄酒;果酒（含酒精）;烈酒（饮料）</t>
  </si>
  <si>
    <t>455</t>
  </si>
  <si>
    <t>77280360</t>
  </si>
  <si>
    <t>GUOLILONG</t>
  </si>
  <si>
    <t>含⽔果酒精饮料;果酒（含酒精）;⽩兰地;威⼠忌;⽩酒;⻩酒;烈酒;烈酒（饮料）;开胃酒;预先混合的酒精饮料（以啤酒为主的除外）</t>
  </si>
  <si>
    <t>456</t>
  </si>
  <si>
    <t>77280365</t>
  </si>
  <si>
    <t>GUOLIXUAN</t>
  </si>
  <si>
    <t>烈酒（饮料）;⽩兰地;⽩酒;⻩酒;烈酒;含⽔果酒精饮料;果酒（含酒精）;预先混合的酒精饮料（以啤酒为主的除外）;开胃酒;威⼠忌</t>
  </si>
  <si>
    <t>457</t>
  </si>
  <si>
    <t>77281916</t>
  </si>
  <si>
    <t>摇野酒业（杭州）有限公司</t>
  </si>
  <si>
    <t>殷商女战神</t>
  </si>
  <si>
    <t>⽩酒;酒精饮料（啤酒除外）;威⼠忌;⻩酒;葡萄酒;鸡尾酒;⽶酒;果酒（含酒精）;烧酒</t>
  </si>
  <si>
    <t>458</t>
  </si>
  <si>
    <t>77282832</t>
  </si>
  <si>
    <t>资阳市雁江区丰裕趣放飞商贸部（个体工商户）</t>
  </si>
  <si>
    <t>木姐珠</t>
  </si>
  <si>
    <t>⽩酒;葡萄酒;烧酒;利⼝酒;烈酒（饮料）;开胃酒;果酒（含酒精）;⽶酒;鸡尾酒;酒精饮料（啤酒除外）</t>
  </si>
  <si>
    <t>459</t>
  </si>
  <si>
    <t>77282934</t>
  </si>
  <si>
    <t>贵州黔王匠王台酿酒有限公司</t>
  </si>
  <si>
    <t>黔王樽</t>
  </si>
  <si>
    <t>葡萄酒;烈酒（饮料）;⾕物制蒸馏酒精饮料;⽩酒;苹果酒;果酒（含酒精）;露酒;餐后酒（利⼝酒和烈酒）;⽶酒;蒸馏饮料</t>
  </si>
  <si>
    <t>460</t>
  </si>
  <si>
    <t>77283252</t>
  </si>
  <si>
    <t>江西赣都生态农业有限公司</t>
  </si>
  <si>
    <t>神脉溪</t>
  </si>
  <si>
    <t>开胃酒;鸡尾酒;葡萄酒;⻩酒;⽩酒;薄荷酒;果酒（含酒精）;烈酒（饮料）;⽶酒;烧酒</t>
  </si>
  <si>
    <t>461</t>
  </si>
  <si>
    <t>77283548</t>
  </si>
  <si>
    <t>普特费列浓缩液解决方案无限公司</t>
  </si>
  <si>
    <t>七喜</t>
  </si>
  <si>
    <t>果酒（含酒精）;汽酒;酒精饮料浓缩汁;葡萄酒;⽶酒;酒精饮料（啤酒除外）;酒精饮料原汁;烈酒（饮料）;⽩兰地;含⽔果酒精饮料</t>
  </si>
  <si>
    <t>462</t>
  </si>
  <si>
    <t>77283616</t>
  </si>
  <si>
    <t>北京东方文化旅游有限公司</t>
  </si>
  <si>
    <t>花果大陆</t>
  </si>
  <si>
    <t>⻩酒;威⼠忌;葡萄酒;⽔果汽酒;伏特加酒;蒸馏饮料;果酒（含酒精）;⽶酒;酒精饮料（啤酒除外）;⽩酒</t>
  </si>
  <si>
    <t>463</t>
  </si>
  <si>
    <t>77283698</t>
  </si>
  <si>
    <t>德惠市久久盈门酿酒厂</t>
  </si>
  <si>
    <t>九九盈门</t>
  </si>
  <si>
    <t>⽩酒;烧酒;⾼粱酒;⻩酒;清酒（⽇本⽶酒）;⽶酒;汽酒;蜂蜜酒;樱桃酒;葡萄酒</t>
  </si>
  <si>
    <t>464</t>
  </si>
  <si>
    <t>77283857</t>
  </si>
  <si>
    <t>北京还原堂生物科技有限责任公司</t>
  </si>
  <si>
    <t>两愿贡酒</t>
  </si>
  <si>
    <t>葡萄酒;果酒（含酒精）;⽩兰地;烧酒;⽼酒（中国蒸馏烈酒）;⽩酒;酒精饮料（啤酒除外）;⽶酒;⻩酒;烈酒（饮料）</t>
  </si>
  <si>
    <t>465</t>
  </si>
  <si>
    <t>77283902</t>
  </si>
  <si>
    <t>李红星</t>
  </si>
  <si>
    <t>潇君子</t>
  </si>
  <si>
    <t>⽩酒;开胃酒;酒精饮料（啤酒除外）;清酒（⽇本⽶酒）;威⼠忌;⻩酒;烈酒;鸡尾酒;葡萄酒;果酒（含酒精）</t>
  </si>
  <si>
    <t>466</t>
  </si>
  <si>
    <t>77284217</t>
  </si>
  <si>
    <t>龙源</t>
  </si>
  <si>
    <t>台窖龙鉴</t>
  </si>
  <si>
    <t>威⼠忌;果酒（含酒精）;葡萄酒;烧酒;⽩酒;⽶酒;预先混合的酒精饮料（以啤酒为主的除外）;烈酒（饮料）;⻩酒;利⼝酒</t>
  </si>
  <si>
    <t>467</t>
  </si>
  <si>
    <t>77284586</t>
  </si>
  <si>
    <t>刘艳</t>
  </si>
  <si>
    <t>羽希有约</t>
  </si>
  <si>
    <t>果酒（含酒精）;⽢蔗制烈酒;鸡尾酒;葡萄酒;酒精饮料（啤酒除外）;⽶酒;⽩酒;⻩酒;烧酒;烈酒（饮料）</t>
  </si>
  <si>
    <t>468</t>
  </si>
  <si>
    <t>77285523</t>
  </si>
  <si>
    <t>GUOLILIANG</t>
  </si>
  <si>
    <t>预先混合的酒精饮料（以啤酒为主的除外）;⻩酒;果酒（含酒精）;⽩酒;烈酒;烈酒（饮料）;⽩兰地;威⼠忌;含⽔果酒精饮料;开胃酒</t>
  </si>
  <si>
    <t>469</t>
  </si>
  <si>
    <t>77287467</t>
  </si>
  <si>
    <t>成都成明源商贸有限公司</t>
  </si>
  <si>
    <t>明满天下</t>
  </si>
  <si>
    <t>烧酒;果酒（含酒精）;⽩⼲酒（中国⽩酒）;⽩兰地;⽶酒;⻩酒;⽩酒;⽼酒（中国蒸馏烈酒）;开胃酒;⾼粱酒</t>
  </si>
  <si>
    <t>470</t>
  </si>
  <si>
    <t>77288025</t>
  </si>
  <si>
    <t>安徽青韶医疗器械有限公司</t>
  </si>
  <si>
    <t>久宝金戈</t>
  </si>
  <si>
    <t>⽩酒;酒精饮料（啤酒除外）;含⽔果酒精饮料;⽶酒;⽩⼲酒（中国⽩酒）;红葡萄酒;露酒;⻩酒;果酒;梅酒</t>
  </si>
  <si>
    <t>471</t>
  </si>
  <si>
    <t>77289566</t>
  </si>
  <si>
    <t>创库有限公司</t>
  </si>
  <si>
    <t>创库</t>
  </si>
  <si>
    <t>⾷⽤酒精;葡萄酒;果酒（含酒精）;苦味酒;⽩酒;薄荷酒;开胃酒;⻩酒;烈酒（饮料）;⽶酒</t>
  </si>
  <si>
    <t>472</t>
  </si>
  <si>
    <t>77289928</t>
  </si>
  <si>
    <t>唐杰</t>
  </si>
  <si>
    <t>戎裕</t>
  </si>
  <si>
    <t>起泡⽩葡萄酒;不起泡葡萄酒;起泡红葡萄酒;⽩葡萄酒;以葡萄酒为主的饮料;调制好的葡萄酒鸡尾酒;桃红葡萄酒;红葡萄酒;以葡萄酒为主的开胃酒;葡萄酒</t>
  </si>
  <si>
    <t>473</t>
  </si>
  <si>
    <t>77290498</t>
  </si>
  <si>
    <t>葡萄酒;烈酒（饮料）;酒精饮料原汁;蒸煮提取物（利⼝酒和烈酒）;⻘稞酒;蒸馏饮料;果酒（含酒精）;酒精饮料浓缩汁;含⽔果酒精饮料;⽩酒</t>
  </si>
  <si>
    <t>2024年03月14日</t>
  </si>
  <si>
    <t>474</t>
  </si>
  <si>
    <t>77290951</t>
  </si>
  <si>
    <t>仁怀市黔柔酒业销售有限公司</t>
  </si>
  <si>
    <t>黔辰</t>
  </si>
  <si>
    <t>⽶酒;⽼酒（中国蒸馏烈酒）;果酒;鸡尾酒;烈酒;⻩酒;⽩酒;酒精饮料（啤酒除外）;烧酒;⽩⼲酒（中国⽩酒）</t>
  </si>
  <si>
    <t>475</t>
  </si>
  <si>
    <t>77291490</t>
  </si>
  <si>
    <t>济南市汶水谣农牧有限公司</t>
  </si>
  <si>
    <t>青露谣</t>
  </si>
  <si>
    <t>果酒;由⾕物蒸馏的⽩酒;⽼酒（中国蒸馏烈酒）;蜂蜜酒;⽶酒;烧酒;⾕物制蒸馏酒精饮料;以葡萄酒为主的饮料;⽩酒;果酒（含酒精）</t>
  </si>
  <si>
    <t>476</t>
  </si>
  <si>
    <t>77293033</t>
  </si>
  <si>
    <t>贵州省仁怀市程润陈香酒业有限公司</t>
  </si>
  <si>
    <t>众爱康龙坛</t>
  </si>
  <si>
    <t>葡萄酒;清酒（⽇本⽶酒）;⽶酒;果酒（含酒精）;⽼酒（中国蒸馏烈酒）;利⼝酒;⽩酒;⻩酒;酒精饮料（啤酒除外）;开胃酒</t>
  </si>
  <si>
    <t>477</t>
  </si>
  <si>
    <t>77293378</t>
  </si>
  <si>
    <t>赤峰舍予商贸有限公司</t>
  </si>
  <si>
    <t>辽亲王</t>
  </si>
  <si>
    <t>烈酒;苦荞酒;⻘稞酒;烧酒（烈酒）;甜果酒;⾼粱酒;⽩⼲酒（中国⽩酒）;刺五加酒;五加⽪酒（中国混合烈酒）;⽩酒</t>
  </si>
  <si>
    <t>478</t>
  </si>
  <si>
    <t>77294953</t>
  </si>
  <si>
    <t>李智</t>
  </si>
  <si>
    <t>万疆河图</t>
  </si>
  <si>
    <t>含酒精的饮料（啤酒除外）;⾼粱酒;⻘梅酒;⻩酒;⽩酒;伏特加酒;葡萄酒;烈酒（饮料）;露酒;烧酒</t>
  </si>
  <si>
    <t>479</t>
  </si>
  <si>
    <t>77296742</t>
  </si>
  <si>
    <t>张秋玉</t>
  </si>
  <si>
    <t>JOJOSHEEP</t>
  </si>
  <si>
    <t>果酒（含酒精）;蜂蜜酒;⻩酒;含⽔果酒精饮料;⽩酒;鸡尾酒;伏特加酒;烈酒（饮料）;⽶酒;蒸馏饮料</t>
  </si>
  <si>
    <t>480</t>
  </si>
  <si>
    <t>77297666</t>
  </si>
  <si>
    <t>王兴龙</t>
  </si>
  <si>
    <t>养渔池</t>
  </si>
  <si>
    <t>白酒;米酒;烧酒;烈酒（饮料）;果酒（含酒精）;白兰地;高粱酒;葡萄酒;樱桃酒;青稞酒</t>
  </si>
  <si>
    <t>481</t>
  </si>
  <si>
    <t>77301065</t>
  </si>
  <si>
    <t>贵州省仁怀市久怀酒业有限公司</t>
  </si>
  <si>
    <t>菳御梁缘</t>
  </si>
  <si>
    <t>葡萄酒;烧酒;果酒（含酒精）;威⼠忌;酒精饮料原汁;开胃酒;酒精饮料（啤酒除外）;⽩酒;鸡尾酒;⽶酒</t>
  </si>
  <si>
    <t>482</t>
  </si>
  <si>
    <t>77301564</t>
  </si>
  <si>
    <t>录樽</t>
  </si>
  <si>
    <t xml:space="preserve">	白酒; 蜂蜜酒; 开胃酒; 葡萄酒; 食用酒精; 蒸馏饮料; 黄酒; 烈酒（饮料）; 烧酒; 白兰地</t>
  </si>
  <si>
    <t>483</t>
  </si>
  <si>
    <t>77301742</t>
  </si>
  <si>
    <t>贵州老德坊酒业销售有限公司</t>
  </si>
  <si>
    <t>猿仁匠</t>
  </si>
  <si>
    <t>黄酒; 威士忌; 蒸馏饮料; 白兰地; 米酒; 鸡尾酒; 烧酒; 果酒（含酒精）; 葡萄酒; 白酒</t>
  </si>
  <si>
    <t>484</t>
  </si>
  <si>
    <t>77304119</t>
  </si>
  <si>
    <t>李溢</t>
  </si>
  <si>
    <t>满渡</t>
  </si>
  <si>
    <t>烧酒;清酒;烈酒（饮料）;⽩酒;葡萄酒;鸡尾酒;酒精饮料（啤酒除外）;⻩酒;⽶酒;果酒（含酒精）</t>
  </si>
  <si>
    <t>485</t>
  </si>
  <si>
    <t>77304715</t>
  </si>
  <si>
    <t>到位酒业股份有限公司</t>
  </si>
  <si>
    <t>沉静</t>
  </si>
  <si>
    <t>⾕物制蒸馏酒精饮料;餐后酒（利⼝酒和烈酒）;⽼酒（中国蒸馏烈酒）;烈性⼲酒;烧酒;⾼粱酒;⽩⼲酒（中国⽩酒）;⽩酒</t>
  </si>
  <si>
    <t>486</t>
  </si>
  <si>
    <t>77305608</t>
  </si>
  <si>
    <t>北京麟德文旅发展有限公司</t>
  </si>
  <si>
    <t>⽩酒;⽶酒;烧酒;烈酒（饮料）;果酒（含酒精）;⽩兰地;⾼粱酒;葡萄酒;樱桃酒;⻘稞酒</t>
  </si>
  <si>
    <t>487</t>
  </si>
  <si>
    <t>77306794</t>
  </si>
  <si>
    <t>张兴念</t>
  </si>
  <si>
    <t>陈钧台</t>
  </si>
  <si>
    <t>鸡尾酒; 烈酒; 白兰地; 威士忌; 米酒; 黄酒; 烧酒; 葡萄酒; 白酒; 青稞酒</t>
  </si>
  <si>
    <t>488</t>
  </si>
  <si>
    <t>77307183</t>
  </si>
  <si>
    <t>天邦酿酒</t>
  </si>
  <si>
    <t>⽩酒;⽩⼲酒（中国⽩酒）;酒精饮料（啤酒除外）;酒精饮料原汁;⾕物制蒸馏酒精饮料;⽼酒（中国蒸馏烈酒）;⾼粱酒;葡萄酒;酒精饮料浓缩汁;预先混合的酒精饮料（以啤酒为主的除外）</t>
  </si>
  <si>
    <t>489</t>
  </si>
  <si>
    <t>77307771</t>
  </si>
  <si>
    <t>刘有权</t>
  </si>
  <si>
    <t>聊先生</t>
  </si>
  <si>
    <t>以葡萄酒为主的饮料;以葡萄酒为主的开胃酒;烧酒（烈酒）;果酒;烧酒;果酒（含酒精）;葡萄酒;蜂蜜酒;薄荷酒;⾕物制蒸馏酒精饮料</t>
  </si>
  <si>
    <t>490</t>
  </si>
  <si>
    <t>77308436</t>
  </si>
  <si>
    <t>贵州湄潭兰馨茶业有限公司</t>
  </si>
  <si>
    <t>兰馨七妙香</t>
  </si>
  <si>
    <t>⽶酒;烈酒（饮料）;露酒;⾕物制蒸馏酒精饮料;⽩酒;⻩酒;烧酒;葡萄酒;果酒（含酒精）;鸡尾酒</t>
  </si>
  <si>
    <t>491</t>
  </si>
  <si>
    <t>77308588</t>
  </si>
  <si>
    <t>轻洁到家(上海)高新科技有限公司</t>
  </si>
  <si>
    <t>皖小满</t>
  </si>
  <si>
    <t>含酒精的饮料（啤酒除外）;甜酒;烧酒（烈酒）;⻩酒;⾕物制蒸馏酒精饮料;⾷⽤酒精;⽩酒;烧酒;果酒;⾼粱酒</t>
  </si>
  <si>
    <t>492</t>
  </si>
  <si>
    <t>77309480</t>
  </si>
  <si>
    <t>黔辰酒</t>
  </si>
  <si>
    <t>⽶酒;⽩⼲酒（中国⽩酒）;酒精饮料（啤酒除外）;鸡尾酒;果酒;⽩酒;烈酒;烧酒;⽼酒（中国蒸馏烈酒）;⻩酒</t>
  </si>
  <si>
    <t>493</t>
  </si>
  <si>
    <t>77309912</t>
  </si>
  <si>
    <t>黄晓佳</t>
  </si>
  <si>
    <t>CHUNJIAHUANGPAI CJHP</t>
  </si>
  <si>
    <t>鸡尾酒;含⽔果酒精饮料;⽶酒;苦味酒;⽩酒;果酒（含酒精）;利⼝酒;威⼠忌;葡萄酒;开胃酒</t>
  </si>
  <si>
    <t>494</t>
  </si>
  <si>
    <t>77310066</t>
  </si>
  <si>
    <t>安徽循道供应链管理服务有限责任公司</t>
  </si>
  <si>
    <t>拿一</t>
  </si>
  <si>
    <t>葡萄酒;烈酒（饮料）;果酒;甜酒;⽶酒;清酒;烧酒;⾷⽤酒精;⻩酒;⽩酒</t>
  </si>
  <si>
    <t>495</t>
  </si>
  <si>
    <t>77310319</t>
  </si>
  <si>
    <t>上海西鲜记电子商务有限公司</t>
  </si>
  <si>
    <t>长河右岸</t>
  </si>
  <si>
    <t>含⽔果酒精饮料;果酒（含酒精）</t>
  </si>
  <si>
    <t>496</t>
  </si>
  <si>
    <t>77310890</t>
  </si>
  <si>
    <t>云燕茶谷投资（山西）有限公司</t>
  </si>
  <si>
    <t>三晋云燕茶谷 SANJIN YUNYAN TEA VALLEY</t>
  </si>
  <si>
    <t>含⽔果酒精饮料;⾕物制蒸馏酒精饮料;⾼粱酒;蜂蜜酒;烧酒;⽩酒;⽶酒;露酒;果酒（含酒精）;由⾕物蒸馏的⽩酒</t>
  </si>
  <si>
    <t>497</t>
  </si>
  <si>
    <t>77313705</t>
  </si>
  <si>
    <t>养士液</t>
  </si>
  <si>
    <t>葡萄酒;⻩酒;烧酒;果酒（含酒精）;⽩酒;清酒;⽶酒;烈酒（饮料）;酒精饮料（啤酒除外）;鸡尾酒</t>
  </si>
  <si>
    <t>498</t>
  </si>
  <si>
    <t>77315821</t>
  </si>
  <si>
    <t>苟晓琴</t>
  </si>
  <si>
    <t>柑满缘</t>
  </si>
  <si>
    <t>⾷⽤酒精;⽩酒;烈酒（饮料）;开胃酒;柑⾹酒;⻩酒;果酒（含酒精）;⽶酒;含⽔果酒精饮料;葡萄酒</t>
  </si>
  <si>
    <t>499</t>
  </si>
  <si>
    <t>77316171</t>
  </si>
  <si>
    <t>杭州禄宸商贸有限公司</t>
  </si>
  <si>
    <t>鹰彣终结者</t>
  </si>
  <si>
    <t>鸡尾酒;开胃酒;利⼝酒;清酒（⽇本⽶酒）;烈酒（饮料）;果酒（含酒精）;烧酒;威⼠忌;⽩酒;⻩酒</t>
  </si>
  <si>
    <t>500</t>
  </si>
  <si>
    <t>77316370</t>
  </si>
  <si>
    <t>御府龙坛</t>
  </si>
  <si>
    <t>果酒（含酒精）;葡萄酒;清酒（⽇本⽶酒）;⽩酒;⽶酒;利⼝酒;⽼酒（中国蒸馏烈酒）;开胃酒;酒精饮料（啤酒除外）;⻩酒</t>
  </si>
  <si>
    <t>501</t>
  </si>
  <si>
    <t>77316673</t>
  </si>
  <si>
    <t>井冈山朱毫生态茶业有限公司</t>
  </si>
  <si>
    <t>榕富</t>
  </si>
  <si>
    <t>果酒（含酒精）;威⼠忌;果酒;⽶酒;⽩酒;⻩酒;葡萄酒;⽩兰地;苦荞酒;⾼粱酒</t>
  </si>
  <si>
    <t>502</t>
  </si>
  <si>
    <t>77316797</t>
  </si>
  <si>
    <t>江西云知道生态庄园有限公司</t>
  </si>
  <si>
    <t>茶维度</t>
  </si>
  <si>
    <t>清酒（⽇本⽶酒）;鸡尾酒;⽶酒;⻩酒;⽩酒;开胃酒;葡萄酒;烧酒;⻘稞酒;利⼝酒</t>
  </si>
  <si>
    <t>503</t>
  </si>
  <si>
    <t>77317101</t>
  </si>
  <si>
    <t>江苏汇金酿酒有限公司</t>
  </si>
  <si>
    <t>汇金醉邮城</t>
  </si>
  <si>
    <t>烧酒;开胃酒;⻩酒;汽酒;果酒（含酒精）;清酒（⽇本⽶酒）;烈酒（饮料）;酒精饮料（啤酒除外）;⽶酒;⽩酒</t>
  </si>
  <si>
    <t>504</t>
  </si>
  <si>
    <t>77317886</t>
  </si>
  <si>
    <t>山西金水德泽酒业有限公司</t>
  </si>
  <si>
    <t>烟雨赋</t>
  </si>
  <si>
    <t>果酒（含酒精）;烧酒;⽶酒;葡萄酒;烈酒（饮料）;鸡尾酒;⻩酒;清酒（⽇本⽶酒）;⽩酒;酒精饮料（啤酒除外）</t>
  </si>
  <si>
    <t>2024年03月15日</t>
  </si>
  <si>
    <t>505</t>
  </si>
  <si>
    <t>77320787</t>
  </si>
  <si>
    <t>芝罘区黄鹏日用百货店(个体工商户)</t>
  </si>
  <si>
    <t>⽶酒;果酒;⽩酒;餐后酒（利⼝酒和烈酒）;露酒;葡萄酒;蒸馏饮料;苹果酒;⾕物制蒸馏酒精饮料;烈酒（饮料）</t>
  </si>
  <si>
    <t>506</t>
  </si>
  <si>
    <t>77321822</t>
  </si>
  <si>
    <t>浙江全明百惠贸易有限公司</t>
  </si>
  <si>
    <t>全民百惠</t>
  </si>
  <si>
    <t>⻩酒;蒸馏饮料;⾷⽤酒精;含⽔果酒精饮料;烧酒;薄荷酒;⽶酒;果酒（含酒精）;⾕物制蒸馏酒精饮料;苹果酒</t>
  </si>
  <si>
    <t>507</t>
  </si>
  <si>
    <t>77324267</t>
  </si>
  <si>
    <t>胡东辉</t>
  </si>
  <si>
    <t>华选礼宾酒</t>
  </si>
  <si>
    <t>烈酒（饮料）;含⽔果酒精饮料;烧酒;开胃酒;⽩酒;果酒（含酒精）;蒸馏饮料;酒精饮料浓缩汁;⻩酒;葡萄酒</t>
  </si>
  <si>
    <t>508</t>
  </si>
  <si>
    <t>77329664</t>
  </si>
  <si>
    <t>泉州丰泽浔埔商业管理有限公司</t>
  </si>
  <si>
    <t>泽礼蟳物</t>
  </si>
  <si>
    <t>⽶酒;果酒（含酒精）;苦味酒;鸡尾酒;威⼠忌;薄荷酒;烧酒;葡萄酒;⽩兰地;清酒（⽇本⽶酒）</t>
  </si>
  <si>
    <t>509</t>
  </si>
  <si>
    <t>77330595</t>
  </si>
  <si>
    <t>贵阳市经济开发区格物明易食品经营部</t>
  </si>
  <si>
    <t>易学导</t>
  </si>
  <si>
    <t>烧酒;⾷⽤酒精;⽩酒</t>
  </si>
  <si>
    <t>510</t>
  </si>
  <si>
    <t>77333768</t>
  </si>
  <si>
    <t>甘肃万众文化产业有限公司</t>
  </si>
  <si>
    <t>F.BEDE法贝德</t>
  </si>
  <si>
    <t>开胃酒;蒸馏饮料;⽶酒;酒精饮料（啤酒除外）;⽩酒;葡萄酒;⻩酒;⽩兰地;汽酒;果酒（含酒精）</t>
  </si>
  <si>
    <t>511</t>
  </si>
  <si>
    <t>77335288</t>
  </si>
  <si>
    <t>厦门半藏通济商贸有限公司</t>
  </si>
  <si>
    <t>志域</t>
  </si>
  <si>
    <t>威⼠忌;清酒（⽇本⽶酒）;⽩酒;鸡尾酒;果酒（含酒精）;葡萄酒;⽶酒;⻘稞酒;酒精饮料（啤酒除外）;⻩酒</t>
  </si>
  <si>
    <t>512</t>
  </si>
  <si>
    <t>77335446</t>
  </si>
  <si>
    <t>金提</t>
  </si>
  <si>
    <t>魂燃贺岚</t>
  </si>
  <si>
    <t>开胃酒;烈酒;露酒;葡萄酒;果酒;含酒精⽔果饮料;⽩兰地;酒精饮料（啤酒除外）;⽩酒;以葡萄酒为主的饮料</t>
  </si>
  <si>
    <t>513</t>
  </si>
  <si>
    <t>77335485</t>
  </si>
  <si>
    <t>海南芝柏翠投资有限公司</t>
  </si>
  <si>
    <t>PK QUEEN</t>
  </si>
  <si>
    <t>⻩酒;⽩兰地;果酒（含酒精）;⽩酒;酒精饮料（啤酒除外）;威⼠忌;伏特加酒;⾷⽤酒精;烈酒（饮料）;葡萄酒</t>
  </si>
  <si>
    <t>514</t>
  </si>
  <si>
    <t>77336017</t>
  </si>
  <si>
    <t>武汉汉和瑞商贸有限公司</t>
  </si>
  <si>
    <t>白珺</t>
  </si>
  <si>
    <t>蒸馏饮料;酒精饮料（啤酒除外）;果酒;鸡尾酒;烈酒;葡萄酒;伏特加酒;⽩酒;威⼠忌;烧酒</t>
  </si>
  <si>
    <t>515</t>
  </si>
  <si>
    <t>77337590</t>
  </si>
  <si>
    <t>蒙玉彬</t>
  </si>
  <si>
    <t>亍西制造</t>
  </si>
  <si>
    <t>果酒;⻩酒;葡萄酒;露酒;⽩酒;薄荷酒;朗姆酒;⽶酒;清酒;烧酒</t>
  </si>
  <si>
    <t>516</t>
  </si>
  <si>
    <t>77338302</t>
  </si>
  <si>
    <t>喜铂肆贰壹玖伍</t>
  </si>
  <si>
    <t>⻩酒;⽩酒;⽩兰地;果酒（含酒精）;⽶酒;葡萄酒;酒精饮料（啤酒除外）;利⼝酒;威⼠忌;餐后酒（利⼝酒和烈酒）</t>
  </si>
  <si>
    <t>517</t>
  </si>
  <si>
    <t>77339529</t>
  </si>
  <si>
    <t>上海艾恰餐饮管理有限公司</t>
  </si>
  <si>
    <t>W STAND</t>
  </si>
  <si>
    <t>酒精饮料（啤酒除外）;咖啡利⼝酒;葡萄酒;⽶酒;预先混合的酒精饮料（以啤酒为主的除外）;鸡尾酒;⾷⽤酒精;清酒（⽇本⽶酒）;果酒（含酒精）;⽩酒</t>
  </si>
  <si>
    <t>518</t>
  </si>
  <si>
    <t>77339533</t>
  </si>
  <si>
    <t>N STAND</t>
  </si>
  <si>
    <t>鸡尾酒;⾷⽤酒精;果酒（含酒精）;预先混合的酒精饮料（以啤酒为主的除外）;酒精饮料（啤酒除外）;⽩酒;葡萄酒;⽶酒;清酒（⽇本⽶酒）;咖啡利⼝酒</t>
  </si>
  <si>
    <t>519</t>
  </si>
  <si>
    <t>77340273</t>
  </si>
  <si>
    <t>广东横琴永曜科技有限公司</t>
  </si>
  <si>
    <t>㧑谦馆</t>
  </si>
  <si>
    <t>⽶酒;由⾕物蒸馏的⽩酒;⻩酒;清酒（⽇本⽶酒）;烈酒（饮料）;⽩⼲酒（中国⽩酒）;⽩兰地;⽩酒;酒精饮料（啤酒除外）;开胃酒</t>
  </si>
  <si>
    <t>520</t>
  </si>
  <si>
    <t>77341855</t>
  </si>
  <si>
    <t>广东金苒投资有限公司</t>
  </si>
  <si>
    <t>赣南鸽</t>
  </si>
  <si>
    <t>葡萄酒;⻘稞酒;蒸馏饮料;鸡尾酒;⾷⽤酒精;果酒（含酒精）;蒸煮提取物（利⼝酒和烈酒）;⽩酒;⻩酒;利⼝酒</t>
  </si>
  <si>
    <t>521</t>
  </si>
  <si>
    <t>77341914</t>
  </si>
  <si>
    <t>童三英</t>
  </si>
  <si>
    <t>浏芳酿</t>
  </si>
  <si>
    <t>⽶酒;⽩酒;葡萄酒;鸡尾酒;烧酒;伏特加酒;威⼠忌;餐后酒（利⼝酒和烈酒）;朗姆酒;⽩兰地</t>
  </si>
  <si>
    <t>522</t>
  </si>
  <si>
    <t>77342096</t>
  </si>
  <si>
    <t>德州源洲农产品加工有限公司</t>
  </si>
  <si>
    <t>文仙天衢谷酿</t>
  </si>
  <si>
    <t>伏特加酒;烈酒（饮料）;威⼠忌;酒精饮料原汁;⽩酒;葡萄酒;清酒（⽇本⽶酒）;酒精饮料（啤酒除外）;鸡尾酒;⽶酒</t>
  </si>
  <si>
    <t>523</t>
  </si>
  <si>
    <t>77342658</t>
  </si>
  <si>
    <t>祥康不悔</t>
  </si>
  <si>
    <t>果酒（含酒精）;⽩兰地;酒精饮料（啤酒除外）;鸡尾酒;烈酒（饮料）;⻩酒;⽶酒;汽酒;烧酒;⽩酒</t>
  </si>
  <si>
    <t>524</t>
  </si>
  <si>
    <t>77342661</t>
  </si>
  <si>
    <t>祥康而立</t>
  </si>
  <si>
    <t>⻩酒;烧酒;⽩兰地;⽩酒;烈酒（饮料）;鸡尾酒;酒精饮料（啤酒除外）;汽酒;⽶酒;果酒（含酒精）</t>
  </si>
  <si>
    <t>68453266</t>
  </si>
  <si>
    <t>贵州省仁怀市九酱师酒业销售有限公司</t>
  </si>
  <si>
    <t>⽩酒;⽩兰地;⻘稞酒;⻩酒;伏特加酒;⽶酒;酒精饮料原汁;葡萄酒;梨酒;果酒（含酒精）</t>
  </si>
  <si>
    <t>2022年11月21日</t>
  </si>
  <si>
    <t>2246</t>
  </si>
  <si>
    <t>77750960</t>
  </si>
  <si>
    <t>黄美嫆</t>
  </si>
  <si>
    <t>湄洲印象</t>
  </si>
  <si>
    <t>果酒;含酒精的充⽓饮料（啤酒除外）;⽶酒;蒸馏饮料;⻩酒;⽩酒;汽酒;葡萄酒;清酒;酒精饮料（啤酒除外）</t>
  </si>
  <si>
    <t>2247</t>
  </si>
  <si>
    <t>77751266</t>
  </si>
  <si>
    <t>北京同仁堂药材参茸投资集团有限公司</t>
  </si>
  <si>
    <t>鹤龄集</t>
  </si>
  <si>
    <t>⽩酒;葡萄酒;⽶酒;酒精饮料（啤酒除外）;⻩酒;烈酒（饮料）;果酒（含酒精）;烧酒</t>
  </si>
  <si>
    <t>2248</t>
  </si>
  <si>
    <t>77751471</t>
  </si>
  <si>
    <t>田盟142330********6231</t>
  </si>
  <si>
    <t>廉花瓷</t>
  </si>
  <si>
    <t>⽩酒;⻩酒;葡萄酒;果酒（含酒精）;烧酒;⻘稞酒;汽酒;⾷⽤酒精;蜂蜜酒;开胃酒</t>
  </si>
  <si>
    <t>2249</t>
  </si>
  <si>
    <t>77751637</t>
  </si>
  <si>
    <t>河南益硕元品商贸有限公司</t>
  </si>
  <si>
    <t>JING DE JIU</t>
  </si>
  <si>
    <t>苹果酒;蜂蜜酒;果酒;樱桃酒;⻩酒;⽶酒;葡萄酒;含⽔果酒精饮料;⽩酒;清酒</t>
  </si>
  <si>
    <t>2250</t>
  </si>
  <si>
    <t>77751654</t>
  </si>
  <si>
    <t>凤楚</t>
  </si>
  <si>
    <t>鸡尾酒;葡萄酒;酒精饮料（啤酒除外）;果酒（含酒精）;⽶酒;汽酒;⻩酒;蒸馏饮料;烈酒（饮料）;⽩酒</t>
  </si>
  <si>
    <t>2251</t>
  </si>
  <si>
    <t>77752200</t>
  </si>
  <si>
    <t>西彩</t>
  </si>
  <si>
    <t>⽶酒;⻩酒;果酒（含酒精）;葡萄酒;汽酒;⽩酒;蒸馏饮料;鸡尾酒;烈酒（饮料）;酒精饮料（啤酒除外）</t>
  </si>
  <si>
    <t>2252</t>
  </si>
  <si>
    <t>77752503</t>
  </si>
  <si>
    <t>息酿</t>
  </si>
  <si>
    <t>烈酒;⽩⼲酒（中国⽩酒）;⾼粱酒;⽩酒;果酒;烈酒（饮料）;葡萄酒;开胃酒;含酒精的饮料（啤酒除外）;⻩酒</t>
  </si>
  <si>
    <t>2253</t>
  </si>
  <si>
    <t>77752886</t>
  </si>
  <si>
    <t>丁伟220721********4648</t>
  </si>
  <si>
    <t>吉元福</t>
  </si>
  <si>
    <t>威⼠忌;⽩酒;蒸煮提取物（利⼝酒和烈酒）;⽩⼲酒（中国⽩酒）;酒精饮料（啤酒除外）;⻘稞酒;果酒（含酒精）;⽩兰地;⽶酒;葡萄酒</t>
  </si>
  <si>
    <t>2254</t>
  </si>
  <si>
    <t>77752890</t>
  </si>
  <si>
    <t>贵州宋真烧坊品牌管理有限公司</t>
  </si>
  <si>
    <t>熊猫万岁</t>
  </si>
  <si>
    <t>清酒;鸡尾酒;⽩酒;⻩酒;葡萄酒;利⼝酒;威⼠忌;⽩兰地;汽酒;⽶酒</t>
  </si>
  <si>
    <t>2255</t>
  </si>
  <si>
    <t>77752906</t>
  </si>
  <si>
    <t>王皓晨</t>
  </si>
  <si>
    <t>鑫玥泰</t>
  </si>
  <si>
    <t>含⽔果酒精饮料;葡萄酒;清酒;酒精饮料（啤酒除外）;⽶酒;烧酒;⽩酒;伏特加酒;⻩酒;烈酒（饮料）</t>
  </si>
  <si>
    <t>2256</t>
  </si>
  <si>
    <t>77753170</t>
  </si>
  <si>
    <t>贵州篮之梦酒业有限公司</t>
  </si>
  <si>
    <t>逐球</t>
  </si>
  <si>
    <t>果酒（含酒精）;⽶酒;果酒;烈酒;含⽔果酒精饮料;酒精饮料（啤酒除外）;⽩酒;预先混合的酒精饮料（以啤酒为主的除外）;⾼粱酒;⽼酒（中国蒸馏烈酒）;烈酒（饮料）</t>
  </si>
  <si>
    <t>2257</t>
  </si>
  <si>
    <t>77753181</t>
  </si>
  <si>
    <t>公舰</t>
  </si>
  <si>
    <t>果酒（含酒精）;⽶酒;⽩酒;⾼粱酒;⾷⽤酒精;葡萄酒;烧酒;⻘稞酒;鸡尾酒;由⾕物蒸馏的⽩酒</t>
  </si>
  <si>
    <t>2258</t>
  </si>
  <si>
    <t>77753757</t>
  </si>
  <si>
    <t>职装界(成都)服饰有限公司</t>
  </si>
  <si>
    <t>轼华</t>
  </si>
  <si>
    <t>含酒精⽔果饮料;⽶酒;⽩酒;葡萄酒;⾷⽤酒精;烈酒（饮料）;果酒（含酒精）;鸡尾酒;⽩兰地;蒸馏饮料</t>
  </si>
  <si>
    <t>2259</t>
  </si>
  <si>
    <t>77754020</t>
  </si>
  <si>
    <t>朗姆潘趣酒;含酒精的充⽓饮料（啤酒除外）;蝮蛇酒;⻨芽威⼠忌;亚⼒酒;黑覆盆⼦酒;阿夸维特酒;柑⾹酒;茴芹酒（利⼝酒）;⽩酒</t>
  </si>
  <si>
    <t>2260</t>
  </si>
  <si>
    <t>77754440</t>
  </si>
  <si>
    <t>贵州礼脉酒业有限公司</t>
  </si>
  <si>
    <t>礼脉</t>
  </si>
  <si>
    <t>⽶酒;⽩酒;果酒;由⾕物蒸馏的⽩酒;⽼酒（中国蒸馏烈酒）;烈酒;烧酒;⾼粱酒;清酒;⾷⽤酒精</t>
  </si>
  <si>
    <t>2261</t>
  </si>
  <si>
    <t>77754500</t>
  </si>
  <si>
    <t>随州市曾都区西欧米仔商贸商行(个体工商户)</t>
  </si>
  <si>
    <t>誉樽翁</t>
  </si>
  <si>
    <t>葡萄酒;⽶酒;烧酒;果酒（含酒精）;蒸煮提取物（利⼝酒和烈酒）;酒精饮料浓缩汁;⻩酒;⾷⽤酒精;⽩酒;酒精饮料（啤酒除外）</t>
  </si>
  <si>
    <t>2262</t>
  </si>
  <si>
    <t>77754512</t>
  </si>
  <si>
    <t>陈玉玲</t>
  </si>
  <si>
    <t>京宝枫</t>
  </si>
  <si>
    <t>含⽔果酒精饮料;葡萄酒;⽩酒;⻩酒;果酒（含酒精）;烧酒;酒精饮料原汁;含酒精的充⽓饮料（啤酒除外）;蒸馏饮料;蜂蜜酒</t>
  </si>
  <si>
    <t>2263</t>
  </si>
  <si>
    <t>77755223</t>
  </si>
  <si>
    <t>云南孔雀之乡科技有限公司</t>
  </si>
  <si>
    <t>浙商福</t>
  </si>
  <si>
    <t>⽩酒;⻩酒;葡萄酒;酒精饮料（啤酒除外）;露酒;烈酒（饮料）;⻘稞酒;开胃酒;果酒（含酒精）;汽酒</t>
  </si>
  <si>
    <t>2264</t>
  </si>
  <si>
    <t>77755289</t>
  </si>
  <si>
    <t>陈致熠</t>
  </si>
  <si>
    <t>花子圩</t>
  </si>
  <si>
    <t>⽶酒;甜酒;⻘稞酒;⽼酒（中国蒸馏烈酒）;⽩酒;果酒;烧酒;烈酒（饮料）;葡萄酒;清酒</t>
  </si>
  <si>
    <t>2265</t>
  </si>
  <si>
    <t>77755513</t>
  </si>
  <si>
    <t>曾桂兰</t>
  </si>
  <si>
    <t>鼎邦昇</t>
  </si>
  <si>
    <t>⽩⼲酒（中国⽩酒）;烧酒;⽩酒;清酒;⽩兰地;⾼粱酒;⽼酒（中国蒸馏烈酒）;烈酒;由⾕物蒸馏的⽩酒;蒸馏⽶酒（泡盛酒）</t>
  </si>
  <si>
    <t>2266</t>
  </si>
  <si>
    <t>77756356</t>
  </si>
  <si>
    <t>息酒粮液</t>
  </si>
  <si>
    <t>苦荞酒;梅酒;葡萄酒;⾼粱酒;利⼝酒;⽶酒;⽩酒;烈酒;果酒（含酒精）;⻩酒</t>
  </si>
  <si>
    <t>2267</t>
  </si>
  <si>
    <t>77756458</t>
  </si>
  <si>
    <t>南京楷宸生物科技有限公司</t>
  </si>
  <si>
    <t>纽益宝</t>
  </si>
  <si>
    <t>伏特加酒;蜂蜜酒;酒精饮料（啤酒除外）;葡萄酒;⽩酒;烈酒（饮料）;烧酒;鸡尾酒;预先混合的酒精饮料（以啤酒为主的除外）;⽶酒</t>
  </si>
  <si>
    <t>2268</t>
  </si>
  <si>
    <t>77756543</t>
  </si>
  <si>
    <t>皓月罗潭</t>
  </si>
  <si>
    <t>⽩酒;烧酒;酒精饮料（啤酒除外）;⽶酒;⽩兰地;烈酒（饮料）;⻩酒;⽩⼲酒（中国⽩酒）;果酒（含酒精）;葡萄酒</t>
  </si>
  <si>
    <t>2269</t>
  </si>
  <si>
    <t>77757077</t>
  </si>
  <si>
    <t>浙江朝问智能科技有限公司</t>
  </si>
  <si>
    <t>翥</t>
  </si>
  <si>
    <t>汽酒;蜂蜜酒;威⼠忌;葡萄酒;清酒（⽇本⽶酒）;⽢蔗制酒精饮料;⽩酒;烈酒（饮料）;预先混合的酒精饮料（以啤酒为主的除外）;伏特加酒;⽶酒;含⽔果酒精饮料;⻩酒;以葡萄酒为主的饮料;⾕物制蒸馏酒精饮料;⻘稞酒;果酒（含酒精）</t>
  </si>
  <si>
    <t>2270</t>
  </si>
  <si>
    <t>77757401</t>
  </si>
  <si>
    <t>山外人家（福建）食品有限公司</t>
  </si>
  <si>
    <t>山姆威尔</t>
  </si>
  <si>
    <t>果酒（含酒精）;⽩⼲酒（中国⽩酒）;⽩酒;蜂蜜酒;⻩酒;开胃酒;甜酒;汽酒;威⼠忌;葡萄酒</t>
  </si>
  <si>
    <t>2271</t>
  </si>
  <si>
    <t>77758086</t>
  </si>
  <si>
    <t>青岛柯扬仕图酒业有限公司</t>
  </si>
  <si>
    <t>冀百福</t>
  </si>
  <si>
    <t>⾕物制蒸馏酒精饮料;果酒（含酒精）;鸡尾酒;蒸馏饮料;⽩⼲酒（中国⽩酒）;酒精饮料（啤酒除外）;⽩酒;⽶酒;烧酒;清酒（⽇本⽶酒）</t>
  </si>
  <si>
    <t>2272</t>
  </si>
  <si>
    <t>77758905</t>
  </si>
  <si>
    <t>御熙辰</t>
  </si>
  <si>
    <t>⽶酒;⽩酒;⻩酒;⻘稞酒;⾕物制蒸馏酒精饮料;烈酒（饮料）;烧酒;利⼝酒;杜松⼦酒;果酒（含酒精）</t>
  </si>
  <si>
    <t>2273</t>
  </si>
  <si>
    <t>77759377</t>
  </si>
  <si>
    <t>息曲</t>
  </si>
  <si>
    <t>阿夸维特酒;亚⼒酒;茴芹酒（利⼝酒）;黑覆盆⼦酒;柑⾹酒;朗姆潘趣酒;⻨芽威⼠忌;⽩酒;含酒精的充⽓饮料（啤酒除外）;蝮蛇酒</t>
  </si>
  <si>
    <t>2274</t>
  </si>
  <si>
    <t>77759766</t>
  </si>
  <si>
    <t>陈雪军</t>
  </si>
  <si>
    <t>福敬源</t>
  </si>
  <si>
    <t>⽶酒;⽩⼲酒（中国⽩酒）;烧酒;葡萄酒;清酒;⽩酒;⻘稞酒;⾼粱酒;除啤酒外的酒精饮料;⻩酒</t>
  </si>
  <si>
    <t>2275</t>
  </si>
  <si>
    <t>77760278</t>
  </si>
  <si>
    <t>张艺宝</t>
  </si>
  <si>
    <t>少府唐</t>
  </si>
  <si>
    <t>开胃酒;⻩酒;葡萄酒;威⼠忌;⽩酒;烈酒;清酒（⽇本⽶酒）;果酒（含酒精）;鸡尾酒;酒精饮料（啤酒除外）</t>
  </si>
  <si>
    <t>2276</t>
  </si>
  <si>
    <t>77760343</t>
  </si>
  <si>
    <t>进隆博香</t>
  </si>
  <si>
    <t>梨酒;蜂蜜酒;⻩酒;⽩⼲酒（中国⽩酒）;薄荷酒;⽩酒;⽼酒（中国蒸馏烈酒）;⽶酒;以葡萄酒为主的饮料;⾕物制蒸馏酒精饮料</t>
  </si>
  <si>
    <t>2277</t>
  </si>
  <si>
    <t>77760408</t>
  </si>
  <si>
    <t>朗姆酒;⽩酒;⽩兰地;伏特加酒;威⼠忌;果酒（含酒精）;⾷⽤酒精;葡萄酒;烈酒（饮料）</t>
  </si>
  <si>
    <t>2278</t>
  </si>
  <si>
    <t>77760880</t>
  </si>
  <si>
    <t>浙江中科中创健康科技有限公司</t>
  </si>
  <si>
    <t>燃籽脆</t>
  </si>
  <si>
    <t>蒸馏饮料;葡萄酒;酒精饮料（啤酒除外）;⻩酒;⽩酒;含⽔果酒精饮料;⽶酒;⾷⽤酒精;烧酒;烈酒（饮料）</t>
  </si>
  <si>
    <t>2279</t>
  </si>
  <si>
    <t>77761026</t>
  </si>
  <si>
    <t>息贡</t>
  </si>
  <si>
    <t>果酒（含酒精）;⽩酒;梅酒;烈酒;⾼粱酒;利⼝酒;⽶酒;⻩酒;苦荞酒;葡萄酒</t>
  </si>
  <si>
    <t>2280</t>
  </si>
  <si>
    <t>77761047</t>
  </si>
  <si>
    <t>泉州圣驰供应链管理有限公司</t>
  </si>
  <si>
    <t>小猫莓莓</t>
  </si>
  <si>
    <t>葡萄酒;鸡尾酒;⽶酒;烧酒;威⼠忌;果酒（含酒精）;烈酒（饮料）;⽩兰地;清酒（⽇本⽶酒）;⽩酒</t>
  </si>
  <si>
    <t>2281</t>
  </si>
  <si>
    <t>77761484</t>
  </si>
  <si>
    <t>息水</t>
  </si>
  <si>
    <t>苦味酒;苹果酒;⽩酒;薄荷酒;葡萄酒;⻘稞酒;⽔果汽酒;蜂蜜酒;开胃酒;杜松⼦酒</t>
  </si>
  <si>
    <t>2282</t>
  </si>
  <si>
    <t>77761635</t>
  </si>
  <si>
    <t>VEIDIALINE</t>
  </si>
  <si>
    <t>葡萄酒;蜂蜜酒;鸡尾酒;⽶酒;⽼酒（中国蒸馏烈酒）;烈酒（饮料）;果酒（含酒精）;⻘稞酒;⽩酒;⻩酒</t>
  </si>
  <si>
    <t>2283</t>
  </si>
  <si>
    <t>77761945</t>
  </si>
  <si>
    <t>苏州元大昌酒业有限公司</t>
  </si>
  <si>
    <t>元大昌酒栈</t>
  </si>
  <si>
    <t>烈酒（饮料）;⽩酒;预先混合的酒精饮料（以啤酒为主的除外）;葡萄酒;果酒（含酒精）;⽶酒;含⽔果酒精饮料;烧酒;酒精饮料（啤酒除外）;⻩酒</t>
  </si>
  <si>
    <t>2284</t>
  </si>
  <si>
    <t>77761965</t>
  </si>
  <si>
    <t>山东幸福岛文旅康养产业发展有限公司</t>
  </si>
  <si>
    <t>尧莲</t>
  </si>
  <si>
    <t>葡萄酒;果酒（含酒精）;含⽔果酒精饮料;⽶酒;⻩酒;酒精饮料（啤酒除外）;⽩酒;⾷⽤酒精;蒸馏饮料;⾕物制蒸馏酒精饮料</t>
  </si>
  <si>
    <t>2285</t>
  </si>
  <si>
    <t>77762678</t>
  </si>
  <si>
    <t>贵州百秩酒业有限公司</t>
  </si>
  <si>
    <t>宇宙无边</t>
  </si>
  <si>
    <t>⾷⽤酒精;鸡尾酒;利⼝酒;⾼粱酒;⽩酒;烈酒;⽼酒（中国蒸馏烈酒）;⽩⼲酒（中国⽩酒）;⽶酒;烧酒（烈酒）</t>
  </si>
  <si>
    <t>2286</t>
  </si>
  <si>
    <t>77764050</t>
  </si>
  <si>
    <t>内蒙古君和新能源科技股份有限公司</t>
  </si>
  <si>
    <t>果酒（含酒精）;酒精饮料（啤酒除外）;⽩酒;⻩酒;蒸馏饮料;葡萄酒;汽酒;蜂蜜酒;烈酒（饮料）;⽶酒</t>
  </si>
  <si>
    <t>2287</t>
  </si>
  <si>
    <t>77764118</t>
  </si>
  <si>
    <t>上海伯联经纬实业有限公司</t>
  </si>
  <si>
    <t>伯联经纬</t>
  </si>
  <si>
    <t>果酒（含酒精）;以葡萄酒为主的饮料;含⽜奶的鸡尾酒;含酒精蛋奶酒;伏特加酒;威⼠忌;鸡尾酒;酒精饮料（啤酒除外）;⽶酒;含⽔果酒精饮料</t>
  </si>
  <si>
    <t>2288</t>
  </si>
  <si>
    <t>77764197</t>
  </si>
  <si>
    <t>湖南上品南洲商业有限公司</t>
  </si>
  <si>
    <t>米小姬</t>
  </si>
  <si>
    <t>苦味酒;烧酒;清酒（⽇本⽶酒）;开胃酒;烈酒;酸酒（低等葡萄酒）;葡萄酒;⽶酒;⽩酒;果酒</t>
  </si>
  <si>
    <t>2289</t>
  </si>
  <si>
    <t>77764901</t>
  </si>
  <si>
    <t>泸州道地中药研究院</t>
  </si>
  <si>
    <t>车夕山</t>
  </si>
  <si>
    <t>⻩酒;清酒;梅酒;露酒;⽩酒;⾼粱酒;⽶酒;果酒;汽酒;酒精饮料（啤酒除外）</t>
  </si>
  <si>
    <t>2024年04月04日</t>
  </si>
  <si>
    <t>2290</t>
  </si>
  <si>
    <t>77765788</t>
  </si>
  <si>
    <t>贵州中星晟亿影视文化有限公司</t>
  </si>
  <si>
    <t>月照秋河</t>
  </si>
  <si>
    <t>预先混合的酒精饮料（以啤酒为主的除外）;⽩酒;⻘稞酒;酒精饮料（啤酒除外）;果酒;⾼粱酒;葡萄酒;酒精饮料原汁;⾕物制蒸馏酒精饮料;⽼酒（中国蒸馏烈酒）</t>
  </si>
  <si>
    <t>2291</t>
  </si>
  <si>
    <t>77765886</t>
  </si>
  <si>
    <t>草肴</t>
  </si>
  <si>
    <t>清酒;⽩酒;⾼粱酒;露酒;汽酒;⻩酒;酒精饮料（啤酒除外）;梅酒;果酒;⽶酒</t>
  </si>
  <si>
    <t>2292</t>
  </si>
  <si>
    <t>77765889</t>
  </si>
  <si>
    <t>草夲田</t>
  </si>
  <si>
    <t>⻩酒;清酒;⾼粱酒;⽩酒;⽶酒;露酒;汽酒;果酒;酒精饮料（啤酒除外）;梅酒</t>
  </si>
  <si>
    <t>2293</t>
  </si>
  <si>
    <t>77768143</t>
  </si>
  <si>
    <t>上海蠡蝉书房企业咨询管理有限公司</t>
  </si>
  <si>
    <t>蠡蝉</t>
  </si>
  <si>
    <t>烧酒;⽶酒;⽩酒;开胃酒;⽩兰地;烈酒（饮料）;⻩酒;果酒（含酒精）;鸡尾酒;汽酒</t>
  </si>
  <si>
    <t>2024年04月05日</t>
  </si>
  <si>
    <t>2294</t>
  </si>
  <si>
    <t>77768820</t>
  </si>
  <si>
    <t>和福多建材（湖北）有限公司</t>
  </si>
  <si>
    <t>金晔铭亮</t>
  </si>
  <si>
    <t>烧酒;果酒（含酒精）;蜂蜜酒;⽩酒;露酒;烈酒（饮料）;⾷⽤酒精;含⽔果酒精饮料;⻩酒;⾕物制蒸馏酒精饮料</t>
  </si>
  <si>
    <t>2295</t>
  </si>
  <si>
    <t>77769028</t>
  </si>
  <si>
    <t>尤冬香</t>
  </si>
  <si>
    <t>津威星</t>
  </si>
  <si>
    <t>⽶酒;除啤酒外的酒精饮料;蒸馏饮料;果酒（含酒精）;由⾕物蒸馏的⽩酒;⽩酒;果酒;含酒精的充⽓饮料（啤酒除外）;蒸馏⽶酒（泡盛酒）;葡萄酒</t>
  </si>
  <si>
    <t>2296</t>
  </si>
  <si>
    <t>77769305</t>
  </si>
  <si>
    <t>闽侯县福闽供酒业销售有限公司</t>
  </si>
  <si>
    <t>榄魔</t>
  </si>
  <si>
    <t>⽶酒;⻘稞酒;葡萄酒;利⼝酒;烧酒;⾷⽤酒精;⽩酒;果酒（含酒精）;⻩酒;烈酒（饮料）</t>
  </si>
  <si>
    <t>2297</t>
  </si>
  <si>
    <t>77769560</t>
  </si>
  <si>
    <t>金晔铭将</t>
  </si>
  <si>
    <t>蜂蜜酒;烈酒（饮料）;⻩酒;露酒;含⽔果酒精饮料;果酒（含酒精）;⾕物制蒸馏酒精饮料;烧酒;⽩酒;⾷⽤酒精</t>
  </si>
  <si>
    <t>2298</t>
  </si>
  <si>
    <t>77769708</t>
  </si>
  <si>
    <t>广州帝景酒业有限公司</t>
  </si>
  <si>
    <t>自在极意</t>
  </si>
  <si>
    <t>⽩酒;以葡萄酒为主的饮料;烧酒;汽酒;含酒精的饮料（啤酒除外）;鸡尾酒;咖啡利⼝酒;以朗姆酒为主的饮料;除啤酒外的酒精饮料;⻩酒</t>
  </si>
  <si>
    <t>2299</t>
  </si>
  <si>
    <t>77770646</t>
  </si>
  <si>
    <t>梅宏亮</t>
  </si>
  <si>
    <t>翰洋</t>
  </si>
  <si>
    <t>含⽔果酒精饮料;清酒（⽇本⽶酒）;烧酒;酒精饮料（啤酒除外）;烈酒（饮料）;果酒（含酒精）;⽩酒;葡萄酒;威⼠忌;⽩兰地</t>
  </si>
  <si>
    <t>2024年04月06日</t>
  </si>
  <si>
    <t>2300</t>
  </si>
  <si>
    <t>77770687</t>
  </si>
  <si>
    <t>堵鑫渝</t>
  </si>
  <si>
    <t>HIINII</t>
  </si>
  <si>
    <t>威⼠忌;果酒;烈酒;酒精饮料（啤酒除外）;⾷⽤酒精;⻩酒;清酒（⽇本⽶酒）;⽩酒;葡萄酒;鸡尾酒</t>
  </si>
  <si>
    <t>2301</t>
  </si>
  <si>
    <t>77770819</t>
  </si>
  <si>
    <t>吴秀连</t>
  </si>
  <si>
    <t>顺雨达</t>
  </si>
  <si>
    <t>葡萄酒;烈酒（饮料）;酒精饮料（啤酒除外）;果酒（含酒精）;蒸馏饮料;⻩酒;⽩酒;烧酒;汽酒;利⼝酒</t>
  </si>
  <si>
    <t>2302</t>
  </si>
  <si>
    <t>77771705</t>
  </si>
  <si>
    <t>陈少林</t>
  </si>
  <si>
    <t>汉昌盛</t>
  </si>
  <si>
    <t>开胃酒;酒精饮料（啤酒除外）;⻩酒;烧酒;⻘稞酒;⽩酒;⾷⽤酒精;⽶酒;烈酒（饮料）;酒精饮料原汁</t>
  </si>
  <si>
    <t>2303</t>
  </si>
  <si>
    <t>77772261</t>
  </si>
  <si>
    <t>黔王</t>
  </si>
  <si>
    <t>烈酒;葡萄酒;蜂蜜酒;清酒（⽇本⽶酒）;酒精饮料（啤酒除外）;烧酒;⽼酒（中国蒸馏烈酒）;含⽔果酒精饮料;⻩酒;⽩酒</t>
  </si>
  <si>
    <t>2304</t>
  </si>
  <si>
    <t>77772684</t>
  </si>
  <si>
    <t>秦醉翁</t>
  </si>
  <si>
    <t>⻩酒;葡萄酒;⽩酒;果酒（含酒精）;酒精饮料浓缩汁;⽶酒;烧酒;蒸煮提取物（利⼝酒和烈酒）;⾷⽤酒精;酒精饮料（啤酒除外）</t>
  </si>
  <si>
    <t>2305</t>
  </si>
  <si>
    <t>77772887</t>
  </si>
  <si>
    <t>葡萄酒;清酒（⽇本⽶酒）;酒精饮料（啤酒除外）;烈酒;⽼酒（中国蒸馏烈酒）;蜂蜜酒;⻩酒;⽩酒;烧酒;含⽔果酒精饮料</t>
  </si>
  <si>
    <t>2306</t>
  </si>
  <si>
    <t>77773012</t>
  </si>
  <si>
    <t>上海亿屋网络科技有限公司</t>
  </si>
  <si>
    <t>LOVELLE</t>
  </si>
  <si>
    <t>葡萄酒;⽩兰地;威⼠忌;⻩酒;以葡萄酒为主的饮料;清酒（⽇本⽶酒）;果酒（含酒精）;鸡尾酒;酒精饮料（啤酒除外）;薄荷酒</t>
  </si>
  <si>
    <t>2307</t>
  </si>
  <si>
    <t>77773142</t>
  </si>
  <si>
    <t>郑国秀</t>
  </si>
  <si>
    <t>乐飞叶</t>
  </si>
  <si>
    <t>⻘稞酒;⽩⼲酒（中国⽩酒）;⾼粱酒;⽼酒（中国蒸馏烈酒）;开胃酒;清酒;果酒;烧酒;⽩酒;葡萄酒</t>
  </si>
  <si>
    <t>68758082</t>
  </si>
  <si>
    <t>桐乡市美舅妈食品有限公司</t>
  </si>
  <si>
    <t>小将神</t>
  </si>
  <si>
    <t>果酒（含酒精）;开胃酒;柑⾹酒;酒精饮料（啤酒除外）;⽩酒;汽酒;⻘稞酒;⻩酒;葡萄酒;烧酒</t>
  </si>
  <si>
    <t>2022年12月07日</t>
  </si>
  <si>
    <t>69389238</t>
  </si>
  <si>
    <t>范伟珂410327********1420</t>
  </si>
  <si>
    <t>品论</t>
  </si>
  <si>
    <t>果酒（含酒精）;汽酒;烈酒（饮料）;烧酒;含⽔果酒精饮料;葡萄酒;蒸煮提取物（利⼝酒和烈酒）;蒸馏饮料;酒精饮料原汁;⽩酒</t>
  </si>
  <si>
    <t>2023年02月03日</t>
  </si>
  <si>
    <t>2308</t>
  </si>
  <si>
    <t>/藏古 J30</t>
  </si>
  <si>
    <t>红衣少/</t>
  </si>
  <si>
    <t>古镇礼拜/</t>
  </si>
  <si>
    <t>一抹金 本真/份酒</t>
  </si>
  <si>
    <t>川禧/</t>
  </si>
  <si>
    <t>窖历/</t>
  </si>
  <si>
    <t>沉/华</t>
  </si>
  <si>
    <t>/小满</t>
  </si>
  <si>
    <t>今/华</t>
  </si>
  <si>
    <t>向/华</t>
  </si>
  <si>
    <t>悦福/</t>
  </si>
  <si>
    <t>忆心/</t>
  </si>
  <si>
    <t>苏州正当/医药销售有限公司</t>
  </si>
  <si>
    <t>百/赤水酒业有限公司</t>
  </si>
  <si>
    <t>宜宾新青/电子商务有限公司</t>
  </si>
  <si>
    <t>深圳百/论牛餐饮管理有限公司</t>
  </si>
  <si>
    <t>大瓷坊观/</t>
  </si>
  <si>
    <t>飞/潭</t>
  </si>
  <si>
    <t>/先圆</t>
  </si>
  <si>
    <t>万古穗/</t>
  </si>
  <si>
    <t>海/谣</t>
  </si>
  <si>
    <t>太白对/</t>
  </si>
  <si>
    <t>芈/罗潭</t>
  </si>
  <si>
    <t>皓/罗潭</t>
  </si>
  <si>
    <t>/照秋河</t>
  </si>
  <si>
    <t>闫/琴</t>
  </si>
  <si>
    <t>/桂冠株式会社</t>
  </si>
  <si>
    <t>江苏花好/圆酒业有限公司</t>
  </si>
  <si>
    <t>吴/亮</t>
  </si>
  <si>
    <t>庞/园</t>
  </si>
  <si>
    <t>李/园</t>
  </si>
  <si>
    <t>慧/贸易有限公司</t>
  </si>
  <si>
    <t>李/恒</t>
  </si>
  <si>
    <t>付堂/</t>
  </si>
  <si>
    <t xml:space="preserve">	2024/03/28</t>
  </si>
  <si>
    <t>発表</t>
  </si>
  <si>
    <t>红色/</t>
  </si>
  <si>
    <t>硕拉姆</t>
  </si>
  <si>
    <t>爱情假</t>
  </si>
  <si>
    <t>酩明</t>
  </si>
  <si>
    <t>寰瀛/</t>
  </si>
  <si>
    <t>本盛株式会社</t>
  </si>
  <si>
    <t>泉州市泉港区越后制果用百货商行</t>
  </si>
  <si>
    <t>芝罘区黄鹏用百货店(个体工商户)</t>
  </si>
  <si>
    <t>呼伦贝尔市布德农牧业科技有限公司</t>
  </si>
  <si>
    <t>苏银</t>
  </si>
  <si>
    <t>北京昭阳晟商贸有限公司</t>
  </si>
  <si>
    <t>费县朋悦用小百货零售店</t>
  </si>
  <si>
    <t>临沂市河东区丁齐元用品综合店</t>
  </si>
  <si>
    <t>光葡萄酒有限责任公司</t>
  </si>
  <si>
    <t>酒精饮料（啤酒除外）;黄酒;清酒（本米酒）;烈酒;葡萄酒;鸡尾酒;果酒（含酒精）;白酒;威士忌;开胃酒</t>
  </si>
  <si>
    <t>清酒（本米酒）;白兰地;米酒;葡萄酒;白酒;黄酒;果酒（含酒精）;烈酒（饮料）;威士忌;烧酒</t>
  </si>
  <si>
    <t xml:space="preserve">	威士忌; 黄酒; 酒精饮料（啤酒除外）; 果酒（含酒精）; 白酒; 葡萄酒; 烈酒; 鸡尾酒; 清酒（本米酒）; 开胃酒</t>
  </si>
  <si>
    <t>烧酒; 白酒; 黄酒; 清酒（本米酒）; 以葡萄酒为主的饮料; 威士忌; 含水果酒精饮料; 米酒; 谷物制蒸馏酒精饮料; 蒸馏饮料</t>
  </si>
  <si>
    <t>申請日</t>
    <rPh sb="2" eb="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</si>
</sst>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177" fontId="0" fillId="0" borderId="1" xfId="0" applyNumberFormat="1" applyBorder="1" applyAlignment="1">
      <alignment vertical="top" wrapText="1"/>
    </xf>
    <xf numFmtId="176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177" fontId="2" fillId="0" borderId="1" xfId="1" applyNumberFormat="1" applyFill="1" applyBorder="1" applyAlignment="1">
      <alignment vertical="top" wrapText="1"/>
    </xf>
    <xf numFmtId="0" fontId="5" fillId="3" borderId="2" xfId="2" applyFill="1" applyBorder="1" applyAlignment="1">
      <alignment horizontal="center"/>
    </xf>
    <xf numFmtId="0" fontId="5" fillId="0" borderId="3" xfId="2" applyBorder="1"/>
    <xf numFmtId="0" fontId="5" fillId="0" borderId="1" xfId="2" applyBorder="1"/>
    <xf numFmtId="14" fontId="5" fillId="0" borderId="1" xfId="2" applyNumberFormat="1" applyBorder="1"/>
  </cellXfs>
  <cellStyles count="3">
    <cellStyle name="ハイパーリンク" xfId="1" builtinId="8"/>
    <cellStyle name="標準" xfId="0" builtinId="0"/>
    <cellStyle name="標準_1889th" xfId="2" xr:uid="{547FABDD-6C71-4EE9-9CDF-5E51B8EF8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313"/>
  <sheetViews>
    <sheetView topLeftCell="C1" workbookViewId="0">
      <selection activeCell="J5" sqref="J5:L2313"/>
    </sheetView>
  </sheetViews>
  <sheetFormatPr defaultRowHeight="13.5" x14ac:dyDescent="0.15"/>
  <cols>
    <col min="1" max="1" width="9" style="5"/>
    <col min="2" max="2" width="9" style="10"/>
    <col min="3" max="3" width="9" style="11"/>
    <col min="4" max="4" width="11.625" style="12" customWidth="1"/>
    <col min="5" max="5" width="10.625" style="11" bestFit="1" customWidth="1"/>
    <col min="6" max="6" width="28.375" style="10" customWidth="1"/>
    <col min="7" max="7" width="31.375" style="10" customWidth="1"/>
    <col min="8" max="8" width="100.625" style="10" customWidth="1"/>
    <col min="9" max="9" width="11.625" style="12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6">
        <v>1</v>
      </c>
      <c r="B2" s="7" t="s">
        <v>9</v>
      </c>
      <c r="C2" s="8">
        <v>1889</v>
      </c>
      <c r="D2" s="9">
        <v>45439</v>
      </c>
      <c r="E2" s="13" t="str">
        <f>+HYPERLINK("http://trademark.i-assist.jp/data/china/image_1889th/51593173.pdf","51593173")</f>
        <v>51593173</v>
      </c>
      <c r="F2" s="7" t="s">
        <v>11</v>
      </c>
      <c r="G2" s="7" t="s">
        <v>12</v>
      </c>
      <c r="H2" s="7" t="s">
        <v>13</v>
      </c>
      <c r="I2" s="9">
        <v>44160</v>
      </c>
    </row>
    <row r="5" spans="1:9" x14ac:dyDescent="0.15">
      <c r="A5" s="14" t="s">
        <v>30</v>
      </c>
      <c r="B5" s="14"/>
      <c r="C5" s="14" t="s">
        <v>31</v>
      </c>
      <c r="D5" s="14" t="s">
        <v>32</v>
      </c>
      <c r="E5" s="14" t="s">
        <v>33</v>
      </c>
      <c r="F5" s="14" t="s">
        <v>35</v>
      </c>
      <c r="G5" s="14" t="s">
        <v>34</v>
      </c>
      <c r="H5" s="14" t="s">
        <v>36</v>
      </c>
      <c r="I5" s="14" t="s">
        <v>37</v>
      </c>
    </row>
    <row r="6" spans="1:9" x14ac:dyDescent="0.15">
      <c r="A6" s="15" t="s">
        <v>38</v>
      </c>
      <c r="B6" s="15"/>
      <c r="C6" s="15" t="s">
        <v>40</v>
      </c>
      <c r="D6" s="15" t="s">
        <v>41</v>
      </c>
      <c r="E6" s="15" t="s">
        <v>42</v>
      </c>
      <c r="F6" s="15" t="s">
        <v>44</v>
      </c>
      <c r="G6" s="15" t="s">
        <v>43</v>
      </c>
      <c r="H6" s="15" t="s">
        <v>45</v>
      </c>
      <c r="I6" s="15" t="s">
        <v>46</v>
      </c>
    </row>
    <row r="7" spans="1:9" x14ac:dyDescent="0.15">
      <c r="A7" s="15" t="s">
        <v>48</v>
      </c>
      <c r="B7" s="15"/>
      <c r="C7" s="15" t="s">
        <v>40</v>
      </c>
      <c r="D7" s="15" t="s">
        <v>41</v>
      </c>
      <c r="E7" s="15" t="s">
        <v>50</v>
      </c>
      <c r="F7" s="15" t="s">
        <v>52</v>
      </c>
      <c r="G7" s="15" t="s">
        <v>51</v>
      </c>
      <c r="H7" s="15" t="s">
        <v>53</v>
      </c>
      <c r="I7" s="15" t="s">
        <v>54</v>
      </c>
    </row>
    <row r="8" spans="1:9" x14ac:dyDescent="0.15">
      <c r="A8" s="15" t="s">
        <v>55</v>
      </c>
      <c r="B8" s="15"/>
      <c r="C8" s="15" t="s">
        <v>40</v>
      </c>
      <c r="D8" s="15" t="s">
        <v>41</v>
      </c>
      <c r="E8" s="15" t="s">
        <v>57</v>
      </c>
      <c r="F8" s="15" t="s">
        <v>59</v>
      </c>
      <c r="G8" s="15" t="s">
        <v>58</v>
      </c>
      <c r="H8" s="15" t="s">
        <v>60</v>
      </c>
      <c r="I8" s="15" t="s">
        <v>54</v>
      </c>
    </row>
    <row r="9" spans="1:9" x14ac:dyDescent="0.15">
      <c r="A9" s="15" t="s">
        <v>61</v>
      </c>
      <c r="B9" s="15"/>
      <c r="C9" s="15" t="s">
        <v>40</v>
      </c>
      <c r="D9" s="15" t="s">
        <v>41</v>
      </c>
      <c r="E9" s="15" t="s">
        <v>63</v>
      </c>
      <c r="F9" s="15" t="s">
        <v>65</v>
      </c>
      <c r="G9" s="15" t="s">
        <v>64</v>
      </c>
      <c r="H9" s="15" t="s">
        <v>66</v>
      </c>
      <c r="I9" s="15" t="s">
        <v>54</v>
      </c>
    </row>
    <row r="10" spans="1:9" x14ac:dyDescent="0.15">
      <c r="A10" s="15" t="s">
        <v>68</v>
      </c>
      <c r="B10" s="15"/>
      <c r="C10" s="15" t="s">
        <v>40</v>
      </c>
      <c r="D10" s="15" t="s">
        <v>41</v>
      </c>
      <c r="E10" s="15" t="s">
        <v>70</v>
      </c>
      <c r="F10" s="15" t="s">
        <v>52</v>
      </c>
      <c r="G10" s="15" t="s">
        <v>71</v>
      </c>
      <c r="H10" s="15" t="s">
        <v>72</v>
      </c>
      <c r="I10" s="15" t="s">
        <v>54</v>
      </c>
    </row>
    <row r="11" spans="1:9" x14ac:dyDescent="0.15">
      <c r="A11" s="15" t="s">
        <v>73</v>
      </c>
      <c r="B11" s="15"/>
      <c r="C11" s="15" t="s">
        <v>40</v>
      </c>
      <c r="D11" s="15" t="s">
        <v>41</v>
      </c>
      <c r="E11" s="15" t="s">
        <v>75</v>
      </c>
      <c r="F11" s="15" t="s">
        <v>77</v>
      </c>
      <c r="G11" s="15" t="s">
        <v>76</v>
      </c>
      <c r="H11" s="15" t="s">
        <v>78</v>
      </c>
      <c r="I11" s="15" t="s">
        <v>54</v>
      </c>
    </row>
    <row r="12" spans="1:9" x14ac:dyDescent="0.15">
      <c r="A12" s="15" t="s">
        <v>79</v>
      </c>
      <c r="B12" s="15"/>
      <c r="C12" s="15" t="s">
        <v>40</v>
      </c>
      <c r="D12" s="15" t="s">
        <v>41</v>
      </c>
      <c r="E12" s="15" t="s">
        <v>80</v>
      </c>
      <c r="F12" s="15" t="s">
        <v>82</v>
      </c>
      <c r="G12" s="15" t="s">
        <v>81</v>
      </c>
      <c r="H12" s="15" t="s">
        <v>83</v>
      </c>
      <c r="I12" s="15" t="s">
        <v>54</v>
      </c>
    </row>
    <row r="13" spans="1:9" x14ac:dyDescent="0.15">
      <c r="A13" s="15" t="s">
        <v>84</v>
      </c>
      <c r="B13" s="15"/>
      <c r="C13" s="15" t="s">
        <v>40</v>
      </c>
      <c r="D13" s="15" t="s">
        <v>41</v>
      </c>
      <c r="E13" s="15" t="s">
        <v>86</v>
      </c>
      <c r="F13" s="15" t="s">
        <v>88</v>
      </c>
      <c r="G13" s="15" t="s">
        <v>87</v>
      </c>
      <c r="H13" s="15" t="s">
        <v>89</v>
      </c>
      <c r="I13" s="15" t="s">
        <v>54</v>
      </c>
    </row>
    <row r="14" spans="1:9" x14ac:dyDescent="0.15">
      <c r="A14" s="15" t="s">
        <v>90</v>
      </c>
      <c r="B14" s="15"/>
      <c r="C14" s="15" t="s">
        <v>40</v>
      </c>
      <c r="D14" s="15" t="s">
        <v>41</v>
      </c>
      <c r="E14" s="15" t="s">
        <v>92</v>
      </c>
      <c r="F14" s="15" t="s">
        <v>94</v>
      </c>
      <c r="G14" s="15" t="s">
        <v>93</v>
      </c>
      <c r="H14" s="15" t="s">
        <v>95</v>
      </c>
      <c r="I14" s="15" t="s">
        <v>54</v>
      </c>
    </row>
    <row r="15" spans="1:9" x14ac:dyDescent="0.15">
      <c r="A15" s="15" t="s">
        <v>96</v>
      </c>
      <c r="B15" s="15"/>
      <c r="C15" s="15" t="s">
        <v>40</v>
      </c>
      <c r="D15" s="15" t="s">
        <v>41</v>
      </c>
      <c r="E15" s="15" t="s">
        <v>98</v>
      </c>
      <c r="F15" s="15" t="s">
        <v>100</v>
      </c>
      <c r="G15" s="15" t="s">
        <v>99</v>
      </c>
      <c r="H15" s="15" t="s">
        <v>101</v>
      </c>
      <c r="I15" s="15" t="s">
        <v>54</v>
      </c>
    </row>
    <row r="16" spans="1:9" x14ac:dyDescent="0.15">
      <c r="A16" s="15" t="s">
        <v>102</v>
      </c>
      <c r="B16" s="15"/>
      <c r="C16" s="15" t="s">
        <v>40</v>
      </c>
      <c r="D16" s="15" t="s">
        <v>41</v>
      </c>
      <c r="E16" s="15" t="s">
        <v>104</v>
      </c>
      <c r="F16" s="15" t="s">
        <v>106</v>
      </c>
      <c r="G16" s="15" t="s">
        <v>105</v>
      </c>
      <c r="H16" s="15" t="s">
        <v>107</v>
      </c>
      <c r="I16" s="15" t="s">
        <v>54</v>
      </c>
    </row>
    <row r="17" spans="1:9" x14ac:dyDescent="0.15">
      <c r="A17" s="15" t="s">
        <v>108</v>
      </c>
      <c r="B17" s="15"/>
      <c r="C17" s="15" t="s">
        <v>40</v>
      </c>
      <c r="D17" s="15" t="s">
        <v>41</v>
      </c>
      <c r="E17" s="15" t="s">
        <v>110</v>
      </c>
      <c r="F17" s="15" t="s">
        <v>112</v>
      </c>
      <c r="G17" s="15" t="s">
        <v>111</v>
      </c>
      <c r="H17" s="15" t="s">
        <v>113</v>
      </c>
      <c r="I17" s="15" t="s">
        <v>114</v>
      </c>
    </row>
    <row r="18" spans="1:9" x14ac:dyDescent="0.15">
      <c r="A18" s="15" t="s">
        <v>115</v>
      </c>
      <c r="B18" s="15"/>
      <c r="C18" s="15" t="s">
        <v>40</v>
      </c>
      <c r="D18" s="15" t="s">
        <v>41</v>
      </c>
      <c r="E18" s="15" t="s">
        <v>117</v>
      </c>
      <c r="F18" s="15" t="s">
        <v>119</v>
      </c>
      <c r="G18" s="15" t="s">
        <v>118</v>
      </c>
      <c r="H18" s="15" t="s">
        <v>120</v>
      </c>
      <c r="I18" s="15" t="s">
        <v>114</v>
      </c>
    </row>
    <row r="19" spans="1:9" x14ac:dyDescent="0.15">
      <c r="A19" s="15" t="s">
        <v>121</v>
      </c>
      <c r="B19" s="15"/>
      <c r="C19" s="15" t="s">
        <v>40</v>
      </c>
      <c r="D19" s="15" t="s">
        <v>41</v>
      </c>
      <c r="E19" s="15" t="s">
        <v>123</v>
      </c>
      <c r="F19" s="15" t="s">
        <v>125</v>
      </c>
      <c r="G19" s="15" t="s">
        <v>124</v>
      </c>
      <c r="H19" s="15" t="s">
        <v>126</v>
      </c>
      <c r="I19" s="15" t="s">
        <v>114</v>
      </c>
    </row>
    <row r="20" spans="1:9" x14ac:dyDescent="0.15">
      <c r="A20" s="15" t="s">
        <v>127</v>
      </c>
      <c r="B20" s="15"/>
      <c r="C20" s="15" t="s">
        <v>40</v>
      </c>
      <c r="D20" s="15" t="s">
        <v>41</v>
      </c>
      <c r="E20" s="15" t="s">
        <v>129</v>
      </c>
      <c r="F20" s="15" t="s">
        <v>131</v>
      </c>
      <c r="G20" s="15" t="s">
        <v>130</v>
      </c>
      <c r="H20" s="15" t="s">
        <v>132</v>
      </c>
      <c r="I20" s="15" t="s">
        <v>114</v>
      </c>
    </row>
    <row r="21" spans="1:9" x14ac:dyDescent="0.15">
      <c r="A21" s="15" t="s">
        <v>133</v>
      </c>
      <c r="B21" s="15"/>
      <c r="C21" s="15" t="s">
        <v>40</v>
      </c>
      <c r="D21" s="15" t="s">
        <v>41</v>
      </c>
      <c r="E21" s="15" t="s">
        <v>135</v>
      </c>
      <c r="F21" s="15" t="s">
        <v>137</v>
      </c>
      <c r="G21" s="15" t="s">
        <v>136</v>
      </c>
      <c r="H21" s="15" t="s">
        <v>138</v>
      </c>
      <c r="I21" s="15" t="s">
        <v>114</v>
      </c>
    </row>
    <row r="22" spans="1:9" x14ac:dyDescent="0.15">
      <c r="A22" s="15" t="s">
        <v>139</v>
      </c>
      <c r="B22" s="15"/>
      <c r="C22" s="15" t="s">
        <v>40</v>
      </c>
      <c r="D22" s="15" t="s">
        <v>41</v>
      </c>
      <c r="E22" s="15" t="s">
        <v>141</v>
      </c>
      <c r="F22" s="15" t="s">
        <v>143</v>
      </c>
      <c r="G22" s="15" t="s">
        <v>142</v>
      </c>
      <c r="H22" s="15" t="s">
        <v>144</v>
      </c>
      <c r="I22" s="15" t="s">
        <v>114</v>
      </c>
    </row>
    <row r="23" spans="1:9" x14ac:dyDescent="0.15">
      <c r="A23" s="15" t="s">
        <v>145</v>
      </c>
      <c r="B23" s="15"/>
      <c r="C23" s="15" t="s">
        <v>40</v>
      </c>
      <c r="D23" s="15" t="s">
        <v>41</v>
      </c>
      <c r="E23" s="15" t="s">
        <v>146</v>
      </c>
      <c r="F23" s="15" t="s">
        <v>148</v>
      </c>
      <c r="G23" s="15" t="s">
        <v>147</v>
      </c>
      <c r="H23" s="15" t="s">
        <v>149</v>
      </c>
      <c r="I23" s="15" t="s">
        <v>114</v>
      </c>
    </row>
    <row r="24" spans="1:9" x14ac:dyDescent="0.15">
      <c r="A24" s="15" t="s">
        <v>150</v>
      </c>
      <c r="B24" s="15"/>
      <c r="C24" s="15" t="s">
        <v>40</v>
      </c>
      <c r="D24" s="15" t="s">
        <v>41</v>
      </c>
      <c r="E24" s="15" t="s">
        <v>152</v>
      </c>
      <c r="F24" s="15" t="s">
        <v>154</v>
      </c>
      <c r="G24" s="15" t="s">
        <v>153</v>
      </c>
      <c r="H24" s="15" t="s">
        <v>155</v>
      </c>
      <c r="I24" s="15" t="s">
        <v>114</v>
      </c>
    </row>
    <row r="25" spans="1:9" x14ac:dyDescent="0.15">
      <c r="A25" s="15" t="s">
        <v>156</v>
      </c>
      <c r="B25" s="15"/>
      <c r="C25" s="15" t="s">
        <v>40</v>
      </c>
      <c r="D25" s="15" t="s">
        <v>41</v>
      </c>
      <c r="E25" s="15" t="s">
        <v>158</v>
      </c>
      <c r="F25" s="15" t="s">
        <v>160</v>
      </c>
      <c r="G25" s="15" t="s">
        <v>159</v>
      </c>
      <c r="H25" s="15" t="s">
        <v>161</v>
      </c>
      <c r="I25" s="15" t="s">
        <v>114</v>
      </c>
    </row>
    <row r="26" spans="1:9" x14ac:dyDescent="0.15">
      <c r="A26" s="15" t="s">
        <v>162</v>
      </c>
      <c r="B26" s="15"/>
      <c r="C26" s="15" t="s">
        <v>40</v>
      </c>
      <c r="D26" s="15" t="s">
        <v>41</v>
      </c>
      <c r="E26" s="15" t="s">
        <v>163</v>
      </c>
      <c r="F26" s="15" t="s">
        <v>165</v>
      </c>
      <c r="G26" s="15" t="s">
        <v>164</v>
      </c>
      <c r="H26" s="15" t="s">
        <v>166</v>
      </c>
      <c r="I26" s="15" t="s">
        <v>114</v>
      </c>
    </row>
    <row r="27" spans="1:9" x14ac:dyDescent="0.15">
      <c r="A27" s="15" t="s">
        <v>167</v>
      </c>
      <c r="B27" s="15"/>
      <c r="C27" s="15" t="s">
        <v>40</v>
      </c>
      <c r="D27" s="15" t="s">
        <v>41</v>
      </c>
      <c r="E27" s="15" t="s">
        <v>168</v>
      </c>
      <c r="F27" s="15" t="s">
        <v>170</v>
      </c>
      <c r="G27" s="15" t="s">
        <v>169</v>
      </c>
      <c r="H27" s="15" t="s">
        <v>171</v>
      </c>
      <c r="I27" s="15" t="s">
        <v>114</v>
      </c>
    </row>
    <row r="28" spans="1:9" x14ac:dyDescent="0.15">
      <c r="A28" s="15" t="s">
        <v>172</v>
      </c>
      <c r="B28" s="15"/>
      <c r="C28" s="15" t="s">
        <v>40</v>
      </c>
      <c r="D28" s="15" t="s">
        <v>41</v>
      </c>
      <c r="E28" s="15" t="s">
        <v>173</v>
      </c>
      <c r="F28" s="15" t="s">
        <v>175</v>
      </c>
      <c r="G28" s="15" t="s">
        <v>174</v>
      </c>
      <c r="H28" s="15" t="s">
        <v>176</v>
      </c>
      <c r="I28" s="15" t="s">
        <v>114</v>
      </c>
    </row>
    <row r="29" spans="1:9" x14ac:dyDescent="0.15">
      <c r="A29" s="15" t="s">
        <v>177</v>
      </c>
      <c r="B29" s="15"/>
      <c r="C29" s="15" t="s">
        <v>40</v>
      </c>
      <c r="D29" s="15" t="s">
        <v>41</v>
      </c>
      <c r="E29" s="15" t="s">
        <v>178</v>
      </c>
      <c r="F29" s="15" t="s">
        <v>180</v>
      </c>
      <c r="G29" s="15" t="s">
        <v>179</v>
      </c>
      <c r="H29" s="15" t="s">
        <v>181</v>
      </c>
      <c r="I29" s="15" t="s">
        <v>114</v>
      </c>
    </row>
    <row r="30" spans="1:9" x14ac:dyDescent="0.15">
      <c r="A30" s="15" t="s">
        <v>182</v>
      </c>
      <c r="B30" s="15"/>
      <c r="C30" s="15" t="s">
        <v>40</v>
      </c>
      <c r="D30" s="15" t="s">
        <v>41</v>
      </c>
      <c r="E30" s="15" t="s">
        <v>183</v>
      </c>
      <c r="F30" s="15" t="s">
        <v>185</v>
      </c>
      <c r="G30" s="15" t="s">
        <v>184</v>
      </c>
      <c r="H30" s="15" t="s">
        <v>186</v>
      </c>
      <c r="I30" s="15" t="s">
        <v>114</v>
      </c>
    </row>
    <row r="31" spans="1:9" x14ac:dyDescent="0.15">
      <c r="A31" s="15" t="s">
        <v>187</v>
      </c>
      <c r="B31" s="15"/>
      <c r="C31" s="15" t="s">
        <v>40</v>
      </c>
      <c r="D31" s="15" t="s">
        <v>41</v>
      </c>
      <c r="E31" s="15" t="s">
        <v>188</v>
      </c>
      <c r="F31" s="15" t="s">
        <v>190</v>
      </c>
      <c r="G31" s="15" t="s">
        <v>189</v>
      </c>
      <c r="H31" s="15" t="s">
        <v>191</v>
      </c>
      <c r="I31" s="15" t="s">
        <v>114</v>
      </c>
    </row>
    <row r="32" spans="1:9" x14ac:dyDescent="0.15">
      <c r="A32" s="15" t="s">
        <v>192</v>
      </c>
      <c r="B32" s="15"/>
      <c r="C32" s="15" t="s">
        <v>40</v>
      </c>
      <c r="D32" s="15" t="s">
        <v>41</v>
      </c>
      <c r="E32" s="15" t="s">
        <v>193</v>
      </c>
      <c r="F32" s="15" t="s">
        <v>195</v>
      </c>
      <c r="G32" s="15" t="s">
        <v>194</v>
      </c>
      <c r="H32" s="15" t="s">
        <v>196</v>
      </c>
      <c r="I32" s="15" t="s">
        <v>197</v>
      </c>
    </row>
    <row r="33" spans="1:9" x14ac:dyDescent="0.15">
      <c r="A33" s="15" t="s">
        <v>198</v>
      </c>
      <c r="B33" s="15"/>
      <c r="C33" s="15" t="s">
        <v>40</v>
      </c>
      <c r="D33" s="15" t="s">
        <v>41</v>
      </c>
      <c r="E33" s="15" t="s">
        <v>199</v>
      </c>
      <c r="F33" s="15" t="s">
        <v>201</v>
      </c>
      <c r="G33" s="15" t="s">
        <v>200</v>
      </c>
      <c r="H33" s="15" t="s">
        <v>202</v>
      </c>
      <c r="I33" s="15" t="s">
        <v>197</v>
      </c>
    </row>
    <row r="34" spans="1:9" x14ac:dyDescent="0.15">
      <c r="A34" s="15" t="s">
        <v>203</v>
      </c>
      <c r="B34" s="15"/>
      <c r="C34" s="15" t="s">
        <v>40</v>
      </c>
      <c r="D34" s="15" t="s">
        <v>41</v>
      </c>
      <c r="E34" s="15" t="s">
        <v>204</v>
      </c>
      <c r="F34" s="15" t="s">
        <v>206</v>
      </c>
      <c r="G34" s="15" t="s">
        <v>205</v>
      </c>
      <c r="H34" s="15" t="s">
        <v>207</v>
      </c>
      <c r="I34" s="15" t="s">
        <v>197</v>
      </c>
    </row>
    <row r="35" spans="1:9" x14ac:dyDescent="0.15">
      <c r="A35" s="15" t="s">
        <v>208</v>
      </c>
      <c r="B35" s="15"/>
      <c r="C35" s="15" t="s">
        <v>40</v>
      </c>
      <c r="D35" s="15" t="s">
        <v>41</v>
      </c>
      <c r="E35" s="15" t="s">
        <v>209</v>
      </c>
      <c r="F35" s="15" t="s">
        <v>211</v>
      </c>
      <c r="G35" s="15" t="s">
        <v>210</v>
      </c>
      <c r="H35" s="15" t="s">
        <v>212</v>
      </c>
      <c r="I35" s="15" t="s">
        <v>197</v>
      </c>
    </row>
    <row r="36" spans="1:9" x14ac:dyDescent="0.15">
      <c r="A36" s="15" t="s">
        <v>213</v>
      </c>
      <c r="B36" s="15"/>
      <c r="C36" s="15" t="s">
        <v>40</v>
      </c>
      <c r="D36" s="15" t="s">
        <v>41</v>
      </c>
      <c r="E36" s="15" t="s">
        <v>214</v>
      </c>
      <c r="F36" s="15" t="s">
        <v>216</v>
      </c>
      <c r="G36" s="15" t="s">
        <v>215</v>
      </c>
      <c r="H36" s="15" t="s">
        <v>217</v>
      </c>
      <c r="I36" s="15" t="s">
        <v>197</v>
      </c>
    </row>
    <row r="37" spans="1:9" x14ac:dyDescent="0.15">
      <c r="A37" s="15" t="s">
        <v>218</v>
      </c>
      <c r="B37" s="15"/>
      <c r="C37" s="15" t="s">
        <v>40</v>
      </c>
      <c r="D37" s="15" t="s">
        <v>41</v>
      </c>
      <c r="E37" s="15" t="s">
        <v>219</v>
      </c>
      <c r="F37" s="15" t="s">
        <v>221</v>
      </c>
      <c r="G37" s="15" t="s">
        <v>220</v>
      </c>
      <c r="H37" s="15" t="s">
        <v>222</v>
      </c>
      <c r="I37" s="15" t="s">
        <v>197</v>
      </c>
    </row>
    <row r="38" spans="1:9" x14ac:dyDescent="0.15">
      <c r="A38" s="15" t="s">
        <v>224</v>
      </c>
      <c r="B38" s="15"/>
      <c r="C38" s="15" t="s">
        <v>40</v>
      </c>
      <c r="D38" s="15" t="s">
        <v>41</v>
      </c>
      <c r="E38" s="15" t="s">
        <v>225</v>
      </c>
      <c r="F38" s="15" t="s">
        <v>226</v>
      </c>
      <c r="G38" s="15" t="s">
        <v>194</v>
      </c>
      <c r="H38" s="15" t="s">
        <v>227</v>
      </c>
      <c r="I38" s="15" t="s">
        <v>197</v>
      </c>
    </row>
    <row r="39" spans="1:9" x14ac:dyDescent="0.15">
      <c r="A39" s="15" t="s">
        <v>228</v>
      </c>
      <c r="B39" s="15"/>
      <c r="C39" s="15" t="s">
        <v>40</v>
      </c>
      <c r="D39" s="15" t="s">
        <v>41</v>
      </c>
      <c r="E39" s="15" t="s">
        <v>229</v>
      </c>
      <c r="F39" s="15" t="s">
        <v>231</v>
      </c>
      <c r="G39" s="15" t="s">
        <v>230</v>
      </c>
      <c r="H39" s="15" t="s">
        <v>232</v>
      </c>
      <c r="I39" s="15" t="s">
        <v>197</v>
      </c>
    </row>
    <row r="40" spans="1:9" x14ac:dyDescent="0.15">
      <c r="A40" s="15" t="s">
        <v>233</v>
      </c>
      <c r="B40" s="15"/>
      <c r="C40" s="15" t="s">
        <v>40</v>
      </c>
      <c r="D40" s="15" t="s">
        <v>41</v>
      </c>
      <c r="E40" s="15" t="s">
        <v>234</v>
      </c>
      <c r="F40" s="15" t="s">
        <v>236</v>
      </c>
      <c r="G40" s="15" t="s">
        <v>235</v>
      </c>
      <c r="H40" s="15" t="s">
        <v>237</v>
      </c>
      <c r="I40" s="15" t="s">
        <v>197</v>
      </c>
    </row>
    <row r="41" spans="1:9" x14ac:dyDescent="0.15">
      <c r="A41" s="15" t="s">
        <v>238</v>
      </c>
      <c r="B41" s="15"/>
      <c r="C41" s="15" t="s">
        <v>40</v>
      </c>
      <c r="D41" s="15" t="s">
        <v>41</v>
      </c>
      <c r="E41" s="15" t="s">
        <v>239</v>
      </c>
      <c r="F41" s="15" t="s">
        <v>240</v>
      </c>
      <c r="G41" s="15" t="s">
        <v>200</v>
      </c>
      <c r="H41" s="15" t="s">
        <v>241</v>
      </c>
      <c r="I41" s="15" t="s">
        <v>197</v>
      </c>
    </row>
    <row r="42" spans="1:9" x14ac:dyDescent="0.15">
      <c r="A42" s="15" t="s">
        <v>242</v>
      </c>
      <c r="B42" s="15"/>
      <c r="C42" s="15" t="s">
        <v>40</v>
      </c>
      <c r="D42" s="15" t="s">
        <v>41</v>
      </c>
      <c r="E42" s="15" t="s">
        <v>243</v>
      </c>
      <c r="F42" s="15" t="s">
        <v>245</v>
      </c>
      <c r="G42" s="15" t="s">
        <v>244</v>
      </c>
      <c r="H42" s="15" t="s">
        <v>246</v>
      </c>
      <c r="I42" s="15" t="s">
        <v>197</v>
      </c>
    </row>
    <row r="43" spans="1:9" x14ac:dyDescent="0.15">
      <c r="A43" s="15" t="s">
        <v>247</v>
      </c>
      <c r="B43" s="15"/>
      <c r="C43" s="15" t="s">
        <v>40</v>
      </c>
      <c r="D43" s="15" t="s">
        <v>41</v>
      </c>
      <c r="E43" s="15" t="s">
        <v>248</v>
      </c>
      <c r="F43" s="15" t="s">
        <v>249</v>
      </c>
      <c r="G43" s="15" t="s">
        <v>210</v>
      </c>
      <c r="H43" s="15" t="s">
        <v>250</v>
      </c>
      <c r="I43" s="15" t="s">
        <v>197</v>
      </c>
    </row>
    <row r="44" spans="1:9" x14ac:dyDescent="0.15">
      <c r="A44" s="15" t="s">
        <v>251</v>
      </c>
      <c r="B44" s="15"/>
      <c r="C44" s="15" t="s">
        <v>40</v>
      </c>
      <c r="D44" s="15" t="s">
        <v>41</v>
      </c>
      <c r="E44" s="15" t="s">
        <v>252</v>
      </c>
      <c r="F44" s="15" t="s">
        <v>254</v>
      </c>
      <c r="G44" s="15" t="s">
        <v>253</v>
      </c>
      <c r="H44" s="15" t="s">
        <v>255</v>
      </c>
      <c r="I44" s="15" t="s">
        <v>197</v>
      </c>
    </row>
    <row r="45" spans="1:9" x14ac:dyDescent="0.15">
      <c r="A45" s="15" t="s">
        <v>256</v>
      </c>
      <c r="B45" s="15"/>
      <c r="C45" s="15" t="s">
        <v>40</v>
      </c>
      <c r="D45" s="15" t="s">
        <v>41</v>
      </c>
      <c r="E45" s="15" t="s">
        <v>257</v>
      </c>
      <c r="F45" s="15" t="s">
        <v>259</v>
      </c>
      <c r="G45" s="15" t="s">
        <v>258</v>
      </c>
      <c r="H45" s="15" t="s">
        <v>260</v>
      </c>
      <c r="I45" s="15" t="s">
        <v>197</v>
      </c>
    </row>
    <row r="46" spans="1:9" x14ac:dyDescent="0.15">
      <c r="A46" s="15" t="s">
        <v>261</v>
      </c>
      <c r="B46" s="15"/>
      <c r="C46" s="15" t="s">
        <v>40</v>
      </c>
      <c r="D46" s="15" t="s">
        <v>41</v>
      </c>
      <c r="E46" s="15" t="s">
        <v>262</v>
      </c>
      <c r="F46" s="15" t="s">
        <v>264</v>
      </c>
      <c r="G46" s="15" t="s">
        <v>263</v>
      </c>
      <c r="H46" s="15" t="s">
        <v>265</v>
      </c>
      <c r="I46" s="15" t="s">
        <v>197</v>
      </c>
    </row>
    <row r="47" spans="1:9" x14ac:dyDescent="0.15">
      <c r="A47" s="15" t="s">
        <v>266</v>
      </c>
      <c r="B47" s="15"/>
      <c r="C47" s="15" t="s">
        <v>40</v>
      </c>
      <c r="D47" s="15" t="s">
        <v>41</v>
      </c>
      <c r="E47" s="15" t="s">
        <v>267</v>
      </c>
      <c r="F47" s="15" t="s">
        <v>269</v>
      </c>
      <c r="G47" s="15" t="s">
        <v>268</v>
      </c>
      <c r="H47" s="15" t="s">
        <v>270</v>
      </c>
      <c r="I47" s="15" t="s">
        <v>197</v>
      </c>
    </row>
    <row r="48" spans="1:9" x14ac:dyDescent="0.15">
      <c r="A48" s="15" t="s">
        <v>271</v>
      </c>
      <c r="B48" s="15"/>
      <c r="C48" s="15" t="s">
        <v>40</v>
      </c>
      <c r="D48" s="15" t="s">
        <v>41</v>
      </c>
      <c r="E48" s="15" t="s">
        <v>272</v>
      </c>
      <c r="F48" s="15" t="s">
        <v>274</v>
      </c>
      <c r="G48" s="15" t="s">
        <v>273</v>
      </c>
      <c r="H48" s="15" t="s">
        <v>275</v>
      </c>
      <c r="I48" s="15" t="s">
        <v>276</v>
      </c>
    </row>
    <row r="49" spans="1:9" x14ac:dyDescent="0.15">
      <c r="A49" s="15" t="s">
        <v>277</v>
      </c>
      <c r="B49" s="15"/>
      <c r="C49" s="15" t="s">
        <v>40</v>
      </c>
      <c r="D49" s="15" t="s">
        <v>41</v>
      </c>
      <c r="E49" s="15" t="s">
        <v>278</v>
      </c>
      <c r="F49" s="15" t="s">
        <v>280</v>
      </c>
      <c r="G49" s="15" t="s">
        <v>279</v>
      </c>
      <c r="H49" s="15" t="s">
        <v>281</v>
      </c>
      <c r="I49" s="15" t="s">
        <v>276</v>
      </c>
    </row>
    <row r="50" spans="1:9" x14ac:dyDescent="0.15">
      <c r="A50" s="15" t="s">
        <v>282</v>
      </c>
      <c r="B50" s="15"/>
      <c r="C50" s="15" t="s">
        <v>40</v>
      </c>
      <c r="D50" s="15" t="s">
        <v>41</v>
      </c>
      <c r="E50" s="15" t="s">
        <v>283</v>
      </c>
      <c r="F50" s="15" t="s">
        <v>285</v>
      </c>
      <c r="G50" s="15" t="s">
        <v>284</v>
      </c>
      <c r="H50" s="15" t="s">
        <v>286</v>
      </c>
      <c r="I50" s="15" t="s">
        <v>276</v>
      </c>
    </row>
    <row r="51" spans="1:9" x14ac:dyDescent="0.15">
      <c r="A51" s="15" t="s">
        <v>287</v>
      </c>
      <c r="B51" s="15"/>
      <c r="C51" s="15" t="s">
        <v>40</v>
      </c>
      <c r="D51" s="15" t="s">
        <v>41</v>
      </c>
      <c r="E51" s="15" t="s">
        <v>288</v>
      </c>
      <c r="F51" s="15" t="s">
        <v>290</v>
      </c>
      <c r="G51" s="15" t="s">
        <v>289</v>
      </c>
      <c r="H51" s="15" t="s">
        <v>291</v>
      </c>
      <c r="I51" s="15" t="s">
        <v>276</v>
      </c>
    </row>
    <row r="52" spans="1:9" x14ac:dyDescent="0.15">
      <c r="A52" s="15" t="s">
        <v>292</v>
      </c>
      <c r="B52" s="15"/>
      <c r="C52" s="15" t="s">
        <v>40</v>
      </c>
      <c r="D52" s="15" t="s">
        <v>41</v>
      </c>
      <c r="E52" s="15" t="s">
        <v>293</v>
      </c>
      <c r="F52" s="15" t="s">
        <v>295</v>
      </c>
      <c r="G52" s="15" t="s">
        <v>294</v>
      </c>
      <c r="H52" s="15" t="s">
        <v>296</v>
      </c>
      <c r="I52" s="15" t="s">
        <v>276</v>
      </c>
    </row>
    <row r="53" spans="1:9" x14ac:dyDescent="0.15">
      <c r="A53" s="15" t="s">
        <v>297</v>
      </c>
      <c r="B53" s="15"/>
      <c r="C53" s="15" t="s">
        <v>40</v>
      </c>
      <c r="D53" s="15" t="s">
        <v>41</v>
      </c>
      <c r="E53" s="15" t="s">
        <v>298</v>
      </c>
      <c r="F53" s="15" t="s">
        <v>52</v>
      </c>
      <c r="G53" s="15" t="s">
        <v>299</v>
      </c>
      <c r="H53" s="15" t="s">
        <v>300</v>
      </c>
      <c r="I53" s="15" t="s">
        <v>276</v>
      </c>
    </row>
    <row r="54" spans="1:9" x14ac:dyDescent="0.15">
      <c r="A54" s="15" t="s">
        <v>301</v>
      </c>
      <c r="B54" s="15"/>
      <c r="C54" s="15" t="s">
        <v>40</v>
      </c>
      <c r="D54" s="15" t="s">
        <v>41</v>
      </c>
      <c r="E54" s="15" t="s">
        <v>302</v>
      </c>
      <c r="F54" s="15" t="s">
        <v>304</v>
      </c>
      <c r="G54" s="15" t="s">
        <v>303</v>
      </c>
      <c r="H54" s="15" t="s">
        <v>305</v>
      </c>
      <c r="I54" s="15" t="s">
        <v>276</v>
      </c>
    </row>
    <row r="55" spans="1:9" x14ac:dyDescent="0.15">
      <c r="A55" s="15" t="s">
        <v>306</v>
      </c>
      <c r="B55" s="15"/>
      <c r="C55" s="15" t="s">
        <v>40</v>
      </c>
      <c r="D55" s="15" t="s">
        <v>41</v>
      </c>
      <c r="E55" s="15" t="s">
        <v>307</v>
      </c>
      <c r="F55" s="15" t="s">
        <v>309</v>
      </c>
      <c r="G55" s="15" t="s">
        <v>308</v>
      </c>
      <c r="H55" s="15" t="s">
        <v>310</v>
      </c>
      <c r="I55" s="15" t="s">
        <v>276</v>
      </c>
    </row>
    <row r="56" spans="1:9" x14ac:dyDescent="0.15">
      <c r="A56" s="15" t="s">
        <v>311</v>
      </c>
      <c r="B56" s="15"/>
      <c r="C56" s="15" t="s">
        <v>40</v>
      </c>
      <c r="D56" s="15" t="s">
        <v>41</v>
      </c>
      <c r="E56" s="15" t="s">
        <v>312</v>
      </c>
      <c r="F56" s="15" t="s">
        <v>314</v>
      </c>
      <c r="G56" s="15" t="s">
        <v>313</v>
      </c>
      <c r="H56" s="15" t="s">
        <v>315</v>
      </c>
      <c r="I56" s="15" t="s">
        <v>276</v>
      </c>
    </row>
    <row r="57" spans="1:9" x14ac:dyDescent="0.15">
      <c r="A57" s="15" t="s">
        <v>316</v>
      </c>
      <c r="B57" s="15"/>
      <c r="C57" s="15" t="s">
        <v>40</v>
      </c>
      <c r="D57" s="15" t="s">
        <v>41</v>
      </c>
      <c r="E57" s="15" t="s">
        <v>317</v>
      </c>
      <c r="F57" s="15" t="s">
        <v>319</v>
      </c>
      <c r="G57" s="15" t="s">
        <v>318</v>
      </c>
      <c r="H57" s="15" t="s">
        <v>320</v>
      </c>
      <c r="I57" s="15" t="s">
        <v>276</v>
      </c>
    </row>
    <row r="58" spans="1:9" x14ac:dyDescent="0.15">
      <c r="A58" s="15" t="s">
        <v>321</v>
      </c>
      <c r="B58" s="15"/>
      <c r="C58" s="15" t="s">
        <v>40</v>
      </c>
      <c r="D58" s="15" t="s">
        <v>41</v>
      </c>
      <c r="E58" s="15" t="s">
        <v>322</v>
      </c>
      <c r="F58" s="15" t="s">
        <v>324</v>
      </c>
      <c r="G58" s="15" t="s">
        <v>323</v>
      </c>
      <c r="H58" s="15" t="s">
        <v>325</v>
      </c>
      <c r="I58" s="15" t="s">
        <v>276</v>
      </c>
    </row>
    <row r="59" spans="1:9" x14ac:dyDescent="0.15">
      <c r="A59" s="15" t="s">
        <v>326</v>
      </c>
      <c r="B59" s="15"/>
      <c r="C59" s="15" t="s">
        <v>40</v>
      </c>
      <c r="D59" s="15" t="s">
        <v>41</v>
      </c>
      <c r="E59" s="15" t="s">
        <v>327</v>
      </c>
      <c r="F59" s="15" t="s">
        <v>329</v>
      </c>
      <c r="G59" s="15" t="s">
        <v>328</v>
      </c>
      <c r="H59" s="15" t="s">
        <v>330</v>
      </c>
      <c r="I59" s="15" t="s">
        <v>276</v>
      </c>
    </row>
    <row r="60" spans="1:9" x14ac:dyDescent="0.15">
      <c r="A60" s="15" t="s">
        <v>331</v>
      </c>
      <c r="B60" s="15"/>
      <c r="C60" s="15" t="s">
        <v>40</v>
      </c>
      <c r="D60" s="15" t="s">
        <v>41</v>
      </c>
      <c r="E60" s="15" t="s">
        <v>332</v>
      </c>
      <c r="F60" s="15" t="s">
        <v>334</v>
      </c>
      <c r="G60" s="15" t="s">
        <v>333</v>
      </c>
      <c r="H60" s="15" t="s">
        <v>335</v>
      </c>
      <c r="I60" s="15" t="s">
        <v>276</v>
      </c>
    </row>
    <row r="61" spans="1:9" x14ac:dyDescent="0.15">
      <c r="A61" s="15" t="s">
        <v>336</v>
      </c>
      <c r="B61" s="15"/>
      <c r="C61" s="15" t="s">
        <v>40</v>
      </c>
      <c r="D61" s="15" t="s">
        <v>41</v>
      </c>
      <c r="E61" s="15" t="s">
        <v>337</v>
      </c>
      <c r="F61" s="15" t="s">
        <v>339</v>
      </c>
      <c r="G61" s="15" t="s">
        <v>338</v>
      </c>
      <c r="H61" s="15" t="s">
        <v>340</v>
      </c>
      <c r="I61" s="15" t="s">
        <v>276</v>
      </c>
    </row>
    <row r="62" spans="1:9" x14ac:dyDescent="0.15">
      <c r="A62" s="15" t="s">
        <v>341</v>
      </c>
      <c r="B62" s="15"/>
      <c r="C62" s="15" t="s">
        <v>40</v>
      </c>
      <c r="D62" s="15" t="s">
        <v>41</v>
      </c>
      <c r="E62" s="15" t="s">
        <v>342</v>
      </c>
      <c r="F62" s="15" t="s">
        <v>344</v>
      </c>
      <c r="G62" s="15" t="s">
        <v>343</v>
      </c>
      <c r="H62" s="15" t="s">
        <v>345</v>
      </c>
      <c r="I62" s="15" t="s">
        <v>346</v>
      </c>
    </row>
    <row r="63" spans="1:9" x14ac:dyDescent="0.15">
      <c r="A63" s="15" t="s">
        <v>347</v>
      </c>
      <c r="B63" s="15"/>
      <c r="C63" s="15" t="s">
        <v>40</v>
      </c>
      <c r="D63" s="15" t="s">
        <v>41</v>
      </c>
      <c r="E63" s="15" t="s">
        <v>348</v>
      </c>
      <c r="F63" s="15" t="s">
        <v>350</v>
      </c>
      <c r="G63" s="15" t="s">
        <v>349</v>
      </c>
      <c r="H63" s="15" t="s">
        <v>351</v>
      </c>
      <c r="I63" s="15" t="s">
        <v>346</v>
      </c>
    </row>
    <row r="64" spans="1:9" x14ac:dyDescent="0.15">
      <c r="A64" s="15" t="s">
        <v>352</v>
      </c>
      <c r="B64" s="15"/>
      <c r="C64" s="15" t="s">
        <v>40</v>
      </c>
      <c r="D64" s="15" t="s">
        <v>41</v>
      </c>
      <c r="E64" s="15" t="s">
        <v>353</v>
      </c>
      <c r="F64" s="15" t="s">
        <v>355</v>
      </c>
      <c r="G64" s="15" t="s">
        <v>354</v>
      </c>
      <c r="H64" s="15" t="s">
        <v>356</v>
      </c>
      <c r="I64" s="15" t="s">
        <v>346</v>
      </c>
    </row>
    <row r="65" spans="1:9" x14ac:dyDescent="0.15">
      <c r="A65" s="15" t="s">
        <v>357</v>
      </c>
      <c r="B65" s="15"/>
      <c r="C65" s="15" t="s">
        <v>40</v>
      </c>
      <c r="D65" s="15" t="s">
        <v>41</v>
      </c>
      <c r="E65" s="15" t="s">
        <v>358</v>
      </c>
      <c r="F65" s="15" t="s">
        <v>360</v>
      </c>
      <c r="G65" s="15" t="s">
        <v>359</v>
      </c>
      <c r="H65" s="15" t="s">
        <v>361</v>
      </c>
      <c r="I65" s="15" t="s">
        <v>346</v>
      </c>
    </row>
    <row r="66" spans="1:9" x14ac:dyDescent="0.15">
      <c r="A66" s="15" t="s">
        <v>362</v>
      </c>
      <c r="B66" s="15"/>
      <c r="C66" s="15" t="s">
        <v>40</v>
      </c>
      <c r="D66" s="15" t="s">
        <v>41</v>
      </c>
      <c r="E66" s="15" t="s">
        <v>363</v>
      </c>
      <c r="F66" s="15" t="s">
        <v>365</v>
      </c>
      <c r="G66" s="15" t="s">
        <v>364</v>
      </c>
      <c r="H66" s="15" t="s">
        <v>366</v>
      </c>
      <c r="I66" s="15" t="s">
        <v>346</v>
      </c>
    </row>
    <row r="67" spans="1:9" x14ac:dyDescent="0.15">
      <c r="A67" s="15" t="s">
        <v>367</v>
      </c>
      <c r="B67" s="15"/>
      <c r="C67" s="15" t="s">
        <v>40</v>
      </c>
      <c r="D67" s="15" t="s">
        <v>41</v>
      </c>
      <c r="E67" s="15" t="s">
        <v>368</v>
      </c>
      <c r="F67" s="15" t="s">
        <v>370</v>
      </c>
      <c r="G67" s="15" t="s">
        <v>369</v>
      </c>
      <c r="H67" s="15" t="s">
        <v>371</v>
      </c>
      <c r="I67" s="15" t="s">
        <v>346</v>
      </c>
    </row>
    <row r="68" spans="1:9" x14ac:dyDescent="0.15">
      <c r="A68" s="15" t="s">
        <v>372</v>
      </c>
      <c r="B68" s="15"/>
      <c r="C68" s="15" t="s">
        <v>40</v>
      </c>
      <c r="D68" s="15" t="s">
        <v>41</v>
      </c>
      <c r="E68" s="15" t="s">
        <v>373</v>
      </c>
      <c r="F68" s="15" t="s">
        <v>375</v>
      </c>
      <c r="G68" s="15" t="s">
        <v>374</v>
      </c>
      <c r="H68" s="15" t="s">
        <v>376</v>
      </c>
      <c r="I68" s="15" t="s">
        <v>346</v>
      </c>
    </row>
    <row r="69" spans="1:9" x14ac:dyDescent="0.15">
      <c r="A69" s="15" t="s">
        <v>377</v>
      </c>
      <c r="B69" s="15"/>
      <c r="C69" s="15" t="s">
        <v>40</v>
      </c>
      <c r="D69" s="15" t="s">
        <v>41</v>
      </c>
      <c r="E69" s="15" t="s">
        <v>378</v>
      </c>
      <c r="F69" s="15" t="s">
        <v>380</v>
      </c>
      <c r="G69" s="15" t="s">
        <v>379</v>
      </c>
      <c r="H69" s="15" t="s">
        <v>381</v>
      </c>
      <c r="I69" s="15" t="s">
        <v>346</v>
      </c>
    </row>
    <row r="70" spans="1:9" x14ac:dyDescent="0.15">
      <c r="A70" s="15" t="s">
        <v>382</v>
      </c>
      <c r="B70" s="15"/>
      <c r="C70" s="15" t="s">
        <v>40</v>
      </c>
      <c r="D70" s="15" t="s">
        <v>41</v>
      </c>
      <c r="E70" s="15" t="s">
        <v>383</v>
      </c>
      <c r="F70" s="15" t="s">
        <v>385</v>
      </c>
      <c r="G70" s="15" t="s">
        <v>384</v>
      </c>
      <c r="H70" s="15" t="s">
        <v>386</v>
      </c>
      <c r="I70" s="15" t="s">
        <v>346</v>
      </c>
    </row>
    <row r="71" spans="1:9" x14ac:dyDescent="0.15">
      <c r="A71" s="15" t="s">
        <v>387</v>
      </c>
      <c r="B71" s="15"/>
      <c r="C71" s="15" t="s">
        <v>40</v>
      </c>
      <c r="D71" s="15" t="s">
        <v>41</v>
      </c>
      <c r="E71" s="15" t="s">
        <v>388</v>
      </c>
      <c r="F71" s="15" t="s">
        <v>390</v>
      </c>
      <c r="G71" s="15" t="s">
        <v>389</v>
      </c>
      <c r="H71" s="15" t="s">
        <v>391</v>
      </c>
      <c r="I71" s="15" t="s">
        <v>346</v>
      </c>
    </row>
    <row r="72" spans="1:9" x14ac:dyDescent="0.15">
      <c r="A72" s="15" t="s">
        <v>392</v>
      </c>
      <c r="B72" s="15"/>
      <c r="C72" s="15" t="s">
        <v>40</v>
      </c>
      <c r="D72" s="15" t="s">
        <v>41</v>
      </c>
      <c r="E72" s="15" t="s">
        <v>393</v>
      </c>
      <c r="F72" s="15" t="s">
        <v>395</v>
      </c>
      <c r="G72" s="15" t="s">
        <v>394</v>
      </c>
      <c r="H72" s="15" t="s">
        <v>396</v>
      </c>
      <c r="I72" s="15" t="s">
        <v>346</v>
      </c>
    </row>
    <row r="73" spans="1:9" x14ac:dyDescent="0.15">
      <c r="A73" s="15" t="s">
        <v>397</v>
      </c>
      <c r="B73" s="15"/>
      <c r="C73" s="15" t="s">
        <v>40</v>
      </c>
      <c r="D73" s="15" t="s">
        <v>41</v>
      </c>
      <c r="E73" s="15" t="s">
        <v>398</v>
      </c>
      <c r="F73" s="15" t="s">
        <v>400</v>
      </c>
      <c r="G73" s="15" t="s">
        <v>399</v>
      </c>
      <c r="H73" s="15" t="s">
        <v>401</v>
      </c>
      <c r="I73" s="15" t="s">
        <v>346</v>
      </c>
    </row>
    <row r="74" spans="1:9" x14ac:dyDescent="0.15">
      <c r="A74" s="15" t="s">
        <v>402</v>
      </c>
      <c r="B74" s="15"/>
      <c r="C74" s="15" t="s">
        <v>40</v>
      </c>
      <c r="D74" s="15" t="s">
        <v>41</v>
      </c>
      <c r="E74" s="15" t="s">
        <v>403</v>
      </c>
      <c r="F74" s="15" t="s">
        <v>52</v>
      </c>
      <c r="G74" s="15" t="s">
        <v>404</v>
      </c>
      <c r="H74" s="15" t="s">
        <v>405</v>
      </c>
      <c r="I74" s="15" t="s">
        <v>346</v>
      </c>
    </row>
    <row r="75" spans="1:9" x14ac:dyDescent="0.15">
      <c r="A75" s="15" t="s">
        <v>406</v>
      </c>
      <c r="B75" s="15"/>
      <c r="C75" s="15" t="s">
        <v>40</v>
      </c>
      <c r="D75" s="15" t="s">
        <v>41</v>
      </c>
      <c r="E75" s="15" t="s">
        <v>407</v>
      </c>
      <c r="F75" s="15" t="s">
        <v>409</v>
      </c>
      <c r="G75" s="15" t="s">
        <v>408</v>
      </c>
      <c r="H75" s="15" t="s">
        <v>410</v>
      </c>
      <c r="I75" s="15" t="s">
        <v>346</v>
      </c>
    </row>
    <row r="76" spans="1:9" x14ac:dyDescent="0.15">
      <c r="A76" s="15" t="s">
        <v>411</v>
      </c>
      <c r="B76" s="15"/>
      <c r="C76" s="15" t="s">
        <v>40</v>
      </c>
      <c r="D76" s="15" t="s">
        <v>41</v>
      </c>
      <c r="E76" s="15" t="s">
        <v>412</v>
      </c>
      <c r="F76" s="15" t="s">
        <v>414</v>
      </c>
      <c r="G76" s="15" t="s">
        <v>413</v>
      </c>
      <c r="H76" s="15" t="s">
        <v>415</v>
      </c>
      <c r="I76" s="15" t="s">
        <v>416</v>
      </c>
    </row>
    <row r="77" spans="1:9" x14ac:dyDescent="0.15">
      <c r="A77" s="15" t="s">
        <v>417</v>
      </c>
      <c r="B77" s="15"/>
      <c r="C77" s="15" t="s">
        <v>40</v>
      </c>
      <c r="D77" s="15" t="s">
        <v>41</v>
      </c>
      <c r="E77" s="15" t="s">
        <v>418</v>
      </c>
      <c r="F77" s="15" t="s">
        <v>420</v>
      </c>
      <c r="G77" s="15" t="s">
        <v>419</v>
      </c>
      <c r="H77" s="15" t="s">
        <v>421</v>
      </c>
      <c r="I77" s="15" t="s">
        <v>422</v>
      </c>
    </row>
    <row r="78" spans="1:9" x14ac:dyDescent="0.15">
      <c r="A78" s="15" t="s">
        <v>423</v>
      </c>
      <c r="B78" s="15"/>
      <c r="C78" s="15" t="s">
        <v>40</v>
      </c>
      <c r="D78" s="15" t="s">
        <v>41</v>
      </c>
      <c r="E78" s="15" t="s">
        <v>424</v>
      </c>
      <c r="F78" s="15" t="s">
        <v>426</v>
      </c>
      <c r="G78" s="15" t="s">
        <v>425</v>
      </c>
      <c r="H78" s="15" t="s">
        <v>427</v>
      </c>
      <c r="I78" s="15" t="s">
        <v>428</v>
      </c>
    </row>
    <row r="79" spans="1:9" x14ac:dyDescent="0.15">
      <c r="A79" s="15" t="s">
        <v>429</v>
      </c>
      <c r="B79" s="15"/>
      <c r="C79" s="15" t="s">
        <v>40</v>
      </c>
      <c r="D79" s="15" t="s">
        <v>41</v>
      </c>
      <c r="E79" s="15" t="s">
        <v>430</v>
      </c>
      <c r="F79" s="15" t="s">
        <v>432</v>
      </c>
      <c r="G79" s="15" t="s">
        <v>431</v>
      </c>
      <c r="H79" s="15" t="s">
        <v>433</v>
      </c>
      <c r="I79" s="15" t="s">
        <v>434</v>
      </c>
    </row>
    <row r="80" spans="1:9" x14ac:dyDescent="0.15">
      <c r="A80" s="15" t="s">
        <v>435</v>
      </c>
      <c r="B80" s="15"/>
      <c r="C80" s="15" t="s">
        <v>40</v>
      </c>
      <c r="D80" s="15" t="s">
        <v>41</v>
      </c>
      <c r="E80" s="15" t="s">
        <v>436</v>
      </c>
      <c r="F80" s="15" t="s">
        <v>437</v>
      </c>
      <c r="G80" s="15" t="s">
        <v>431</v>
      </c>
      <c r="H80" s="15" t="s">
        <v>438</v>
      </c>
      <c r="I80" s="15" t="s">
        <v>434</v>
      </c>
    </row>
    <row r="81" spans="1:9" x14ac:dyDescent="0.15">
      <c r="A81" s="15" t="s">
        <v>439</v>
      </c>
      <c r="B81" s="15"/>
      <c r="C81" s="15" t="s">
        <v>40</v>
      </c>
      <c r="D81" s="15" t="s">
        <v>41</v>
      </c>
      <c r="E81" s="15" t="s">
        <v>440</v>
      </c>
      <c r="F81" s="15" t="s">
        <v>442</v>
      </c>
      <c r="G81" s="15" t="s">
        <v>441</v>
      </c>
      <c r="H81" s="15" t="s">
        <v>443</v>
      </c>
      <c r="I81" s="15" t="s">
        <v>444</v>
      </c>
    </row>
    <row r="82" spans="1:9" x14ac:dyDescent="0.15">
      <c r="A82" s="15" t="s">
        <v>445</v>
      </c>
      <c r="B82" s="15"/>
      <c r="C82" s="15" t="s">
        <v>40</v>
      </c>
      <c r="D82" s="15" t="s">
        <v>41</v>
      </c>
      <c r="E82" s="15" t="s">
        <v>446</v>
      </c>
      <c r="F82" s="15" t="s">
        <v>448</v>
      </c>
      <c r="G82" s="15" t="s">
        <v>447</v>
      </c>
      <c r="H82" s="15" t="s">
        <v>449</v>
      </c>
      <c r="I82" s="15" t="s">
        <v>444</v>
      </c>
    </row>
    <row r="83" spans="1:9" x14ac:dyDescent="0.15">
      <c r="A83" s="15" t="s">
        <v>450</v>
      </c>
      <c r="B83" s="15"/>
      <c r="C83" s="15" t="s">
        <v>40</v>
      </c>
      <c r="D83" s="15" t="s">
        <v>41</v>
      </c>
      <c r="E83" s="15" t="s">
        <v>451</v>
      </c>
      <c r="F83" s="15" t="s">
        <v>453</v>
      </c>
      <c r="G83" s="15" t="s">
        <v>452</v>
      </c>
      <c r="H83" s="15" t="s">
        <v>454</v>
      </c>
      <c r="I83" s="15" t="s">
        <v>455</v>
      </c>
    </row>
    <row r="84" spans="1:9" x14ac:dyDescent="0.15">
      <c r="A84" s="15" t="s">
        <v>456</v>
      </c>
      <c r="B84" s="15"/>
      <c r="C84" s="15" t="s">
        <v>40</v>
      </c>
      <c r="D84" s="15" t="s">
        <v>41</v>
      </c>
      <c r="E84" s="15" t="s">
        <v>457</v>
      </c>
      <c r="F84" s="15" t="s">
        <v>459</v>
      </c>
      <c r="G84" s="15" t="s">
        <v>458</v>
      </c>
      <c r="H84" s="15" t="s">
        <v>460</v>
      </c>
      <c r="I84" s="15" t="s">
        <v>461</v>
      </c>
    </row>
    <row r="85" spans="1:9" x14ac:dyDescent="0.15">
      <c r="A85" s="15" t="s">
        <v>462</v>
      </c>
      <c r="B85" s="15"/>
      <c r="C85" s="15" t="s">
        <v>40</v>
      </c>
      <c r="D85" s="15" t="s">
        <v>41</v>
      </c>
      <c r="E85" s="15" t="s">
        <v>463</v>
      </c>
      <c r="F85" s="15" t="s">
        <v>465</v>
      </c>
      <c r="G85" s="15" t="s">
        <v>464</v>
      </c>
      <c r="H85" s="15" t="s">
        <v>466</v>
      </c>
      <c r="I85" s="15" t="s">
        <v>467</v>
      </c>
    </row>
    <row r="86" spans="1:9" x14ac:dyDescent="0.15">
      <c r="A86" s="15" t="s">
        <v>468</v>
      </c>
      <c r="B86" s="15"/>
      <c r="C86" s="15" t="s">
        <v>40</v>
      </c>
      <c r="D86" s="15" t="s">
        <v>41</v>
      </c>
      <c r="E86" s="15" t="s">
        <v>469</v>
      </c>
      <c r="F86" s="15" t="s">
        <v>471</v>
      </c>
      <c r="G86" s="15" t="s">
        <v>470</v>
      </c>
      <c r="H86" s="15" t="s">
        <v>472</v>
      </c>
      <c r="I86" s="15" t="s">
        <v>473</v>
      </c>
    </row>
    <row r="87" spans="1:9" x14ac:dyDescent="0.15">
      <c r="A87" s="15" t="s">
        <v>474</v>
      </c>
      <c r="B87" s="15"/>
      <c r="C87" s="15" t="s">
        <v>40</v>
      </c>
      <c r="D87" s="15" t="s">
        <v>41</v>
      </c>
      <c r="E87" s="15" t="s">
        <v>475</v>
      </c>
      <c r="F87" s="15" t="s">
        <v>477</v>
      </c>
      <c r="G87" s="15" t="s">
        <v>476</v>
      </c>
      <c r="H87" s="15" t="s">
        <v>478</v>
      </c>
      <c r="I87" s="15" t="s">
        <v>479</v>
      </c>
    </row>
    <row r="88" spans="1:9" x14ac:dyDescent="0.15">
      <c r="A88" s="15" t="s">
        <v>480</v>
      </c>
      <c r="B88" s="15"/>
      <c r="C88" s="15" t="s">
        <v>40</v>
      </c>
      <c r="D88" s="15" t="s">
        <v>41</v>
      </c>
      <c r="E88" s="15" t="s">
        <v>481</v>
      </c>
      <c r="F88" s="15" t="s">
        <v>483</v>
      </c>
      <c r="G88" s="15" t="s">
        <v>482</v>
      </c>
      <c r="H88" s="15" t="s">
        <v>484</v>
      </c>
      <c r="I88" s="15" t="s">
        <v>485</v>
      </c>
    </row>
    <row r="89" spans="1:9" x14ac:dyDescent="0.15">
      <c r="A89" s="15" t="s">
        <v>486</v>
      </c>
      <c r="B89" s="15"/>
      <c r="C89" s="15" t="s">
        <v>40</v>
      </c>
      <c r="D89" s="15" t="s">
        <v>41</v>
      </c>
      <c r="E89" s="15" t="s">
        <v>487</v>
      </c>
      <c r="F89" s="15" t="s">
        <v>489</v>
      </c>
      <c r="G89" s="15" t="s">
        <v>488</v>
      </c>
      <c r="H89" s="15" t="s">
        <v>490</v>
      </c>
      <c r="I89" s="15" t="s">
        <v>491</v>
      </c>
    </row>
    <row r="90" spans="1:9" x14ac:dyDescent="0.15">
      <c r="A90" s="15" t="s">
        <v>492</v>
      </c>
      <c r="B90" s="15"/>
      <c r="C90" s="15" t="s">
        <v>40</v>
      </c>
      <c r="D90" s="15" t="s">
        <v>41</v>
      </c>
      <c r="E90" s="15" t="s">
        <v>493</v>
      </c>
      <c r="F90" s="15" t="s">
        <v>495</v>
      </c>
      <c r="G90" s="15" t="s">
        <v>494</v>
      </c>
      <c r="H90" s="15" t="s">
        <v>496</v>
      </c>
      <c r="I90" s="15" t="s">
        <v>497</v>
      </c>
    </row>
    <row r="91" spans="1:9" x14ac:dyDescent="0.15">
      <c r="A91" s="15" t="s">
        <v>498</v>
      </c>
      <c r="B91" s="15"/>
      <c r="C91" s="15" t="s">
        <v>40</v>
      </c>
      <c r="D91" s="15" t="s">
        <v>41</v>
      </c>
      <c r="E91" s="15" t="s">
        <v>499</v>
      </c>
      <c r="F91" s="15" t="s">
        <v>501</v>
      </c>
      <c r="G91" s="15" t="s">
        <v>500</v>
      </c>
      <c r="H91" s="15" t="s">
        <v>502</v>
      </c>
      <c r="I91" s="15" t="s">
        <v>497</v>
      </c>
    </row>
    <row r="92" spans="1:9" x14ac:dyDescent="0.15">
      <c r="A92" s="15" t="s">
        <v>503</v>
      </c>
      <c r="B92" s="15"/>
      <c r="C92" s="15" t="s">
        <v>40</v>
      </c>
      <c r="D92" s="15" t="s">
        <v>41</v>
      </c>
      <c r="E92" s="15" t="s">
        <v>504</v>
      </c>
      <c r="F92" s="15" t="s">
        <v>506</v>
      </c>
      <c r="G92" s="15" t="s">
        <v>505</v>
      </c>
      <c r="H92" s="15" t="s">
        <v>507</v>
      </c>
      <c r="I92" s="15" t="s">
        <v>508</v>
      </c>
    </row>
    <row r="93" spans="1:9" x14ac:dyDescent="0.15">
      <c r="A93" s="15" t="s">
        <v>509</v>
      </c>
      <c r="B93" s="15"/>
      <c r="C93" s="15" t="s">
        <v>40</v>
      </c>
      <c r="D93" s="15" t="s">
        <v>41</v>
      </c>
      <c r="E93" s="15" t="s">
        <v>510</v>
      </c>
      <c r="F93" s="15" t="s">
        <v>506</v>
      </c>
      <c r="G93" s="15" t="s">
        <v>505</v>
      </c>
      <c r="H93" s="15" t="s">
        <v>511</v>
      </c>
      <c r="I93" s="15" t="s">
        <v>508</v>
      </c>
    </row>
    <row r="94" spans="1:9" x14ac:dyDescent="0.15">
      <c r="A94" s="15" t="s">
        <v>512</v>
      </c>
      <c r="B94" s="15"/>
      <c r="C94" s="15" t="s">
        <v>40</v>
      </c>
      <c r="D94" s="15" t="s">
        <v>41</v>
      </c>
      <c r="E94" s="15" t="s">
        <v>513</v>
      </c>
      <c r="F94" s="15" t="s">
        <v>515</v>
      </c>
      <c r="G94" s="15" t="s">
        <v>514</v>
      </c>
      <c r="H94" s="15" t="s">
        <v>516</v>
      </c>
      <c r="I94" s="15" t="s">
        <v>508</v>
      </c>
    </row>
    <row r="95" spans="1:9" x14ac:dyDescent="0.15">
      <c r="A95" s="15" t="s">
        <v>517</v>
      </c>
      <c r="B95" s="15"/>
      <c r="C95" s="15" t="s">
        <v>40</v>
      </c>
      <c r="D95" s="15" t="s">
        <v>41</v>
      </c>
      <c r="E95" s="15" t="s">
        <v>518</v>
      </c>
      <c r="F95" s="15" t="s">
        <v>520</v>
      </c>
      <c r="G95" s="15" t="s">
        <v>519</v>
      </c>
      <c r="H95" s="15" t="s">
        <v>521</v>
      </c>
      <c r="I95" s="15" t="s">
        <v>522</v>
      </c>
    </row>
    <row r="96" spans="1:9" x14ac:dyDescent="0.15">
      <c r="A96" s="15" t="s">
        <v>523</v>
      </c>
      <c r="B96" s="15"/>
      <c r="C96" s="15" t="s">
        <v>40</v>
      </c>
      <c r="D96" s="15" t="s">
        <v>41</v>
      </c>
      <c r="E96" s="15" t="s">
        <v>524</v>
      </c>
      <c r="F96" s="15" t="s">
        <v>52</v>
      </c>
      <c r="G96" s="15" t="s">
        <v>525</v>
      </c>
      <c r="H96" s="15" t="s">
        <v>526</v>
      </c>
      <c r="I96" s="15" t="s">
        <v>522</v>
      </c>
    </row>
    <row r="97" spans="1:9" x14ac:dyDescent="0.15">
      <c r="A97" s="15" t="s">
        <v>527</v>
      </c>
      <c r="B97" s="15"/>
      <c r="C97" s="15" t="s">
        <v>40</v>
      </c>
      <c r="D97" s="15" t="s">
        <v>41</v>
      </c>
      <c r="E97" s="15" t="s">
        <v>528</v>
      </c>
      <c r="F97" s="15" t="s">
        <v>530</v>
      </c>
      <c r="G97" s="15" t="s">
        <v>529</v>
      </c>
      <c r="H97" s="15" t="s">
        <v>531</v>
      </c>
      <c r="I97" s="15" t="s">
        <v>532</v>
      </c>
    </row>
    <row r="98" spans="1:9" x14ac:dyDescent="0.15">
      <c r="A98" s="15" t="s">
        <v>533</v>
      </c>
      <c r="B98" s="15"/>
      <c r="C98" s="15" t="s">
        <v>40</v>
      </c>
      <c r="D98" s="15" t="s">
        <v>41</v>
      </c>
      <c r="E98" s="15" t="s">
        <v>534</v>
      </c>
      <c r="F98" s="15" t="s">
        <v>530</v>
      </c>
      <c r="G98" s="15" t="s">
        <v>529</v>
      </c>
      <c r="H98" s="15" t="s">
        <v>535</v>
      </c>
      <c r="I98" s="15" t="s">
        <v>532</v>
      </c>
    </row>
    <row r="99" spans="1:9" x14ac:dyDescent="0.15">
      <c r="A99" s="15" t="s">
        <v>536</v>
      </c>
      <c r="B99" s="15"/>
      <c r="C99" s="15" t="s">
        <v>40</v>
      </c>
      <c r="D99" s="15" t="s">
        <v>41</v>
      </c>
      <c r="E99" s="15" t="s">
        <v>537</v>
      </c>
      <c r="F99" s="15" t="s">
        <v>539</v>
      </c>
      <c r="G99" s="15" t="s">
        <v>538</v>
      </c>
      <c r="H99" s="15" t="s">
        <v>540</v>
      </c>
      <c r="I99" s="15" t="s">
        <v>541</v>
      </c>
    </row>
    <row r="100" spans="1:9" x14ac:dyDescent="0.15">
      <c r="A100" s="15" t="s">
        <v>542</v>
      </c>
      <c r="B100" s="15"/>
      <c r="C100" s="15" t="s">
        <v>40</v>
      </c>
      <c r="D100" s="15" t="s">
        <v>41</v>
      </c>
      <c r="E100" s="15" t="s">
        <v>543</v>
      </c>
      <c r="F100" s="15" t="s">
        <v>545</v>
      </c>
      <c r="G100" s="15" t="s">
        <v>544</v>
      </c>
      <c r="H100" s="15" t="s">
        <v>546</v>
      </c>
      <c r="I100" s="15" t="s">
        <v>547</v>
      </c>
    </row>
    <row r="101" spans="1:9" x14ac:dyDescent="0.15">
      <c r="A101" s="15" t="s">
        <v>548</v>
      </c>
      <c r="B101" s="15"/>
      <c r="C101" s="15" t="s">
        <v>40</v>
      </c>
      <c r="D101" s="15" t="s">
        <v>41</v>
      </c>
      <c r="E101" s="15" t="s">
        <v>549</v>
      </c>
      <c r="F101" s="15" t="s">
        <v>551</v>
      </c>
      <c r="G101" s="15" t="s">
        <v>550</v>
      </c>
      <c r="H101" s="15" t="s">
        <v>552</v>
      </c>
      <c r="I101" s="15" t="s">
        <v>553</v>
      </c>
    </row>
    <row r="102" spans="1:9" x14ac:dyDescent="0.15">
      <c r="A102" s="15" t="s">
        <v>554</v>
      </c>
      <c r="B102" s="15"/>
      <c r="C102" s="15" t="s">
        <v>40</v>
      </c>
      <c r="D102" s="15" t="s">
        <v>41</v>
      </c>
      <c r="E102" s="15" t="s">
        <v>555</v>
      </c>
      <c r="F102" s="15" t="s">
        <v>557</v>
      </c>
      <c r="G102" s="15" t="s">
        <v>556</v>
      </c>
      <c r="H102" s="15" t="s">
        <v>558</v>
      </c>
      <c r="I102" s="15" t="s">
        <v>559</v>
      </c>
    </row>
    <row r="103" spans="1:9" x14ac:dyDescent="0.15">
      <c r="A103" s="15" t="s">
        <v>560</v>
      </c>
      <c r="B103" s="15"/>
      <c r="C103" s="15" t="s">
        <v>40</v>
      </c>
      <c r="D103" s="15" t="s">
        <v>41</v>
      </c>
      <c r="E103" s="15" t="s">
        <v>561</v>
      </c>
      <c r="F103" s="15" t="s">
        <v>563</v>
      </c>
      <c r="G103" s="15" t="s">
        <v>562</v>
      </c>
      <c r="H103" s="15" t="s">
        <v>564</v>
      </c>
      <c r="I103" s="15" t="s">
        <v>559</v>
      </c>
    </row>
    <row r="104" spans="1:9" x14ac:dyDescent="0.15">
      <c r="A104" s="15" t="s">
        <v>565</v>
      </c>
      <c r="B104" s="15"/>
      <c r="C104" s="15" t="s">
        <v>40</v>
      </c>
      <c r="D104" s="15" t="s">
        <v>41</v>
      </c>
      <c r="E104" s="15" t="s">
        <v>566</v>
      </c>
      <c r="F104" s="15" t="s">
        <v>568</v>
      </c>
      <c r="G104" s="15" t="s">
        <v>567</v>
      </c>
      <c r="H104" s="15" t="s">
        <v>569</v>
      </c>
      <c r="I104" s="15" t="s">
        <v>570</v>
      </c>
    </row>
    <row r="105" spans="1:9" x14ac:dyDescent="0.15">
      <c r="A105" s="15" t="s">
        <v>571</v>
      </c>
      <c r="B105" s="15"/>
      <c r="C105" s="15" t="s">
        <v>40</v>
      </c>
      <c r="D105" s="15" t="s">
        <v>41</v>
      </c>
      <c r="E105" s="15" t="s">
        <v>572</v>
      </c>
      <c r="F105" s="15" t="s">
        <v>574</v>
      </c>
      <c r="G105" s="15" t="s">
        <v>573</v>
      </c>
      <c r="H105" s="15" t="s">
        <v>575</v>
      </c>
      <c r="I105" s="15" t="s">
        <v>570</v>
      </c>
    </row>
    <row r="106" spans="1:9" x14ac:dyDescent="0.15">
      <c r="A106" s="15" t="s">
        <v>576</v>
      </c>
      <c r="B106" s="15"/>
      <c r="C106" s="15" t="s">
        <v>40</v>
      </c>
      <c r="D106" s="15" t="s">
        <v>41</v>
      </c>
      <c r="E106" s="15" t="s">
        <v>577</v>
      </c>
      <c r="F106" s="15" t="s">
        <v>579</v>
      </c>
      <c r="G106" s="15" t="s">
        <v>578</v>
      </c>
      <c r="H106" s="15" t="s">
        <v>580</v>
      </c>
      <c r="I106" s="15" t="s">
        <v>581</v>
      </c>
    </row>
    <row r="107" spans="1:9" x14ac:dyDescent="0.15">
      <c r="A107" s="15" t="s">
        <v>582</v>
      </c>
      <c r="B107" s="15"/>
      <c r="C107" s="15" t="s">
        <v>40</v>
      </c>
      <c r="D107" s="15" t="s">
        <v>41</v>
      </c>
      <c r="E107" s="15" t="s">
        <v>583</v>
      </c>
      <c r="F107" s="15" t="s">
        <v>585</v>
      </c>
      <c r="G107" s="15" t="s">
        <v>584</v>
      </c>
      <c r="H107" s="15" t="s">
        <v>586</v>
      </c>
      <c r="I107" s="15" t="s">
        <v>581</v>
      </c>
    </row>
    <row r="108" spans="1:9" x14ac:dyDescent="0.15">
      <c r="A108" s="15" t="s">
        <v>587</v>
      </c>
      <c r="B108" s="15"/>
      <c r="C108" s="15" t="s">
        <v>40</v>
      </c>
      <c r="D108" s="15" t="s">
        <v>41</v>
      </c>
      <c r="E108" s="15" t="s">
        <v>588</v>
      </c>
      <c r="F108" s="15" t="s">
        <v>590</v>
      </c>
      <c r="G108" s="15" t="s">
        <v>589</v>
      </c>
      <c r="H108" s="15" t="s">
        <v>591</v>
      </c>
      <c r="I108" s="15" t="s">
        <v>581</v>
      </c>
    </row>
    <row r="109" spans="1:9" x14ac:dyDescent="0.15">
      <c r="A109" s="15" t="s">
        <v>592</v>
      </c>
      <c r="B109" s="15"/>
      <c r="C109" s="15" t="s">
        <v>40</v>
      </c>
      <c r="D109" s="15" t="s">
        <v>41</v>
      </c>
      <c r="E109" s="15" t="s">
        <v>593</v>
      </c>
      <c r="F109" s="15" t="s">
        <v>595</v>
      </c>
      <c r="G109" s="15" t="s">
        <v>594</v>
      </c>
      <c r="H109" s="15" t="s">
        <v>596</v>
      </c>
      <c r="I109" s="15" t="s">
        <v>581</v>
      </c>
    </row>
    <row r="110" spans="1:9" x14ac:dyDescent="0.15">
      <c r="A110" s="15" t="s">
        <v>597</v>
      </c>
      <c r="B110" s="15"/>
      <c r="C110" s="15" t="s">
        <v>40</v>
      </c>
      <c r="D110" s="15" t="s">
        <v>41</v>
      </c>
      <c r="E110" s="15" t="s">
        <v>598</v>
      </c>
      <c r="F110" s="15" t="s">
        <v>600</v>
      </c>
      <c r="G110" s="15" t="s">
        <v>599</v>
      </c>
      <c r="H110" s="15" t="s">
        <v>601</v>
      </c>
      <c r="I110" s="15" t="s">
        <v>581</v>
      </c>
    </row>
    <row r="111" spans="1:9" x14ac:dyDescent="0.15">
      <c r="A111" s="15" t="s">
        <v>602</v>
      </c>
      <c r="B111" s="15"/>
      <c r="C111" s="15" t="s">
        <v>40</v>
      </c>
      <c r="D111" s="15" t="s">
        <v>41</v>
      </c>
      <c r="E111" s="15" t="s">
        <v>603</v>
      </c>
      <c r="F111" s="15" t="s">
        <v>605</v>
      </c>
      <c r="G111" s="15" t="s">
        <v>604</v>
      </c>
      <c r="H111" s="15" t="s">
        <v>606</v>
      </c>
      <c r="I111" s="15" t="s">
        <v>581</v>
      </c>
    </row>
    <row r="112" spans="1:9" x14ac:dyDescent="0.15">
      <c r="A112" s="15" t="s">
        <v>607</v>
      </c>
      <c r="B112" s="15"/>
      <c r="C112" s="15" t="s">
        <v>40</v>
      </c>
      <c r="D112" s="15" t="s">
        <v>41</v>
      </c>
      <c r="E112" s="15" t="s">
        <v>608</v>
      </c>
      <c r="F112" s="15" t="s">
        <v>610</v>
      </c>
      <c r="G112" s="15" t="s">
        <v>609</v>
      </c>
      <c r="H112" s="15" t="s">
        <v>611</v>
      </c>
      <c r="I112" s="15" t="s">
        <v>581</v>
      </c>
    </row>
    <row r="113" spans="1:9" x14ac:dyDescent="0.15">
      <c r="A113" s="15" t="s">
        <v>612</v>
      </c>
      <c r="B113" s="15"/>
      <c r="C113" s="15" t="s">
        <v>40</v>
      </c>
      <c r="D113" s="15" t="s">
        <v>41</v>
      </c>
      <c r="E113" s="15" t="s">
        <v>613</v>
      </c>
      <c r="F113" s="15" t="s">
        <v>615</v>
      </c>
      <c r="G113" s="15" t="s">
        <v>614</v>
      </c>
      <c r="H113" s="15" t="s">
        <v>616</v>
      </c>
      <c r="I113" s="15" t="s">
        <v>617</v>
      </c>
    </row>
    <row r="114" spans="1:9" x14ac:dyDescent="0.15">
      <c r="A114" s="15" t="s">
        <v>618</v>
      </c>
      <c r="B114" s="15"/>
      <c r="C114" s="15" t="s">
        <v>40</v>
      </c>
      <c r="D114" s="15" t="s">
        <v>41</v>
      </c>
      <c r="E114" s="15" t="s">
        <v>619</v>
      </c>
      <c r="F114" s="15" t="s">
        <v>621</v>
      </c>
      <c r="G114" s="15" t="s">
        <v>620</v>
      </c>
      <c r="H114" s="15" t="s">
        <v>622</v>
      </c>
      <c r="I114" s="15" t="s">
        <v>623</v>
      </c>
    </row>
    <row r="115" spans="1:9" x14ac:dyDescent="0.15">
      <c r="A115" s="15" t="s">
        <v>624</v>
      </c>
      <c r="B115" s="15"/>
      <c r="C115" s="15" t="s">
        <v>40</v>
      </c>
      <c r="D115" s="15" t="s">
        <v>41</v>
      </c>
      <c r="E115" s="15" t="s">
        <v>625</v>
      </c>
      <c r="F115" s="15" t="s">
        <v>627</v>
      </c>
      <c r="G115" s="15" t="s">
        <v>626</v>
      </c>
      <c r="H115" s="15" t="s">
        <v>628</v>
      </c>
      <c r="I115" s="15" t="s">
        <v>629</v>
      </c>
    </row>
    <row r="116" spans="1:9" x14ac:dyDescent="0.15">
      <c r="A116" s="15" t="s">
        <v>630</v>
      </c>
      <c r="B116" s="15"/>
      <c r="C116" s="15" t="s">
        <v>40</v>
      </c>
      <c r="D116" s="15" t="s">
        <v>41</v>
      </c>
      <c r="E116" s="15" t="s">
        <v>631</v>
      </c>
      <c r="F116" s="15" t="s">
        <v>633</v>
      </c>
      <c r="G116" s="15" t="s">
        <v>632</v>
      </c>
      <c r="H116" s="15" t="s">
        <v>634</v>
      </c>
      <c r="I116" s="15" t="s">
        <v>629</v>
      </c>
    </row>
    <row r="117" spans="1:9" x14ac:dyDescent="0.15">
      <c r="A117" s="15" t="s">
        <v>635</v>
      </c>
      <c r="B117" s="15"/>
      <c r="C117" s="15" t="s">
        <v>40</v>
      </c>
      <c r="D117" s="15" t="s">
        <v>41</v>
      </c>
      <c r="E117" s="15" t="s">
        <v>636</v>
      </c>
      <c r="F117" s="15" t="s">
        <v>638</v>
      </c>
      <c r="G117" s="15" t="s">
        <v>637</v>
      </c>
      <c r="H117" s="15" t="s">
        <v>639</v>
      </c>
      <c r="I117" s="15" t="s">
        <v>640</v>
      </c>
    </row>
    <row r="118" spans="1:9" x14ac:dyDescent="0.15">
      <c r="A118" s="15" t="s">
        <v>641</v>
      </c>
      <c r="B118" s="15"/>
      <c r="C118" s="15" t="s">
        <v>40</v>
      </c>
      <c r="D118" s="15" t="s">
        <v>41</v>
      </c>
      <c r="E118" s="15" t="s">
        <v>642</v>
      </c>
      <c r="F118" s="15" t="s">
        <v>644</v>
      </c>
      <c r="G118" s="15" t="s">
        <v>643</v>
      </c>
      <c r="H118" s="15" t="s">
        <v>645</v>
      </c>
      <c r="I118" s="15" t="s">
        <v>640</v>
      </c>
    </row>
    <row r="119" spans="1:9" x14ac:dyDescent="0.15">
      <c r="A119" s="15" t="s">
        <v>646</v>
      </c>
      <c r="B119" s="15"/>
      <c r="C119" s="15" t="s">
        <v>40</v>
      </c>
      <c r="D119" s="15" t="s">
        <v>41</v>
      </c>
      <c r="E119" s="15" t="s">
        <v>647</v>
      </c>
      <c r="F119" s="15" t="s">
        <v>649</v>
      </c>
      <c r="G119" s="15" t="s">
        <v>648</v>
      </c>
      <c r="H119" s="15" t="s">
        <v>650</v>
      </c>
      <c r="I119" s="15" t="s">
        <v>651</v>
      </c>
    </row>
    <row r="120" spans="1:9" x14ac:dyDescent="0.15">
      <c r="A120" s="15" t="s">
        <v>652</v>
      </c>
      <c r="B120" s="15"/>
      <c r="C120" s="15" t="s">
        <v>40</v>
      </c>
      <c r="D120" s="15" t="s">
        <v>41</v>
      </c>
      <c r="E120" s="15" t="s">
        <v>653</v>
      </c>
      <c r="F120" s="15" t="s">
        <v>655</v>
      </c>
      <c r="G120" s="15" t="s">
        <v>654</v>
      </c>
      <c r="H120" s="15" t="s">
        <v>656</v>
      </c>
      <c r="I120" s="15" t="s">
        <v>651</v>
      </c>
    </row>
    <row r="121" spans="1:9" x14ac:dyDescent="0.15">
      <c r="A121" s="15" t="s">
        <v>657</v>
      </c>
      <c r="B121" s="15"/>
      <c r="C121" s="15" t="s">
        <v>40</v>
      </c>
      <c r="D121" s="15" t="s">
        <v>41</v>
      </c>
      <c r="E121" s="15" t="s">
        <v>658</v>
      </c>
      <c r="F121" s="15" t="s">
        <v>660</v>
      </c>
      <c r="G121" s="15" t="s">
        <v>659</v>
      </c>
      <c r="H121" s="15" t="s">
        <v>661</v>
      </c>
      <c r="I121" s="15" t="s">
        <v>662</v>
      </c>
    </row>
    <row r="122" spans="1:9" x14ac:dyDescent="0.15">
      <c r="A122" s="15" t="s">
        <v>663</v>
      </c>
      <c r="B122" s="15"/>
      <c r="C122" s="15" t="s">
        <v>40</v>
      </c>
      <c r="D122" s="15" t="s">
        <v>41</v>
      </c>
      <c r="E122" s="15" t="s">
        <v>664</v>
      </c>
      <c r="F122" s="15" t="s">
        <v>666</v>
      </c>
      <c r="G122" s="15" t="s">
        <v>665</v>
      </c>
      <c r="H122" s="15" t="s">
        <v>667</v>
      </c>
      <c r="I122" s="15" t="s">
        <v>662</v>
      </c>
    </row>
    <row r="123" spans="1:9" x14ac:dyDescent="0.15">
      <c r="A123" s="15" t="s">
        <v>668</v>
      </c>
      <c r="B123" s="15"/>
      <c r="C123" s="15" t="s">
        <v>40</v>
      </c>
      <c r="D123" s="15" t="s">
        <v>41</v>
      </c>
      <c r="E123" s="15" t="s">
        <v>669</v>
      </c>
      <c r="F123" s="15" t="s">
        <v>671</v>
      </c>
      <c r="G123" s="15" t="s">
        <v>670</v>
      </c>
      <c r="H123" s="15" t="s">
        <v>672</v>
      </c>
      <c r="I123" s="15" t="s">
        <v>673</v>
      </c>
    </row>
    <row r="124" spans="1:9" x14ac:dyDescent="0.15">
      <c r="A124" s="15" t="s">
        <v>674</v>
      </c>
      <c r="B124" s="15"/>
      <c r="C124" s="15" t="s">
        <v>40</v>
      </c>
      <c r="D124" s="15" t="s">
        <v>41</v>
      </c>
      <c r="E124" s="15" t="s">
        <v>675</v>
      </c>
      <c r="F124" s="15" t="s">
        <v>677</v>
      </c>
      <c r="G124" s="15" t="s">
        <v>676</v>
      </c>
      <c r="H124" s="15" t="s">
        <v>678</v>
      </c>
      <c r="I124" s="15" t="s">
        <v>673</v>
      </c>
    </row>
    <row r="125" spans="1:9" x14ac:dyDescent="0.15">
      <c r="A125" s="15" t="s">
        <v>679</v>
      </c>
      <c r="B125" s="15"/>
      <c r="C125" s="15" t="s">
        <v>40</v>
      </c>
      <c r="D125" s="15" t="s">
        <v>41</v>
      </c>
      <c r="E125" s="15" t="s">
        <v>680</v>
      </c>
      <c r="F125" s="15" t="s">
        <v>682</v>
      </c>
      <c r="G125" s="15" t="s">
        <v>681</v>
      </c>
      <c r="H125" s="15" t="s">
        <v>683</v>
      </c>
      <c r="I125" s="15" t="s">
        <v>684</v>
      </c>
    </row>
    <row r="126" spans="1:9" x14ac:dyDescent="0.15">
      <c r="A126" s="15" t="s">
        <v>685</v>
      </c>
      <c r="B126" s="15"/>
      <c r="C126" s="15" t="s">
        <v>40</v>
      </c>
      <c r="D126" s="15" t="s">
        <v>41</v>
      </c>
      <c r="E126" s="15" t="s">
        <v>686</v>
      </c>
      <c r="F126" s="15" t="s">
        <v>688</v>
      </c>
      <c r="G126" s="15" t="s">
        <v>687</v>
      </c>
      <c r="H126" s="15" t="s">
        <v>689</v>
      </c>
      <c r="I126" s="15" t="s">
        <v>684</v>
      </c>
    </row>
    <row r="127" spans="1:9" x14ac:dyDescent="0.15">
      <c r="A127" s="15" t="s">
        <v>690</v>
      </c>
      <c r="B127" s="15"/>
      <c r="C127" s="15" t="s">
        <v>40</v>
      </c>
      <c r="D127" s="15" t="s">
        <v>41</v>
      </c>
      <c r="E127" s="15" t="s">
        <v>691</v>
      </c>
      <c r="F127" s="15" t="s">
        <v>693</v>
      </c>
      <c r="G127" s="15" t="s">
        <v>692</v>
      </c>
      <c r="H127" s="15" t="s">
        <v>694</v>
      </c>
      <c r="I127" s="15" t="s">
        <v>695</v>
      </c>
    </row>
    <row r="128" spans="1:9" x14ac:dyDescent="0.15">
      <c r="A128" s="15" t="s">
        <v>696</v>
      </c>
      <c r="B128" s="15"/>
      <c r="C128" s="15" t="s">
        <v>40</v>
      </c>
      <c r="D128" s="15" t="s">
        <v>41</v>
      </c>
      <c r="E128" s="15" t="s">
        <v>697</v>
      </c>
      <c r="F128" s="15" t="s">
        <v>699</v>
      </c>
      <c r="G128" s="15" t="s">
        <v>698</v>
      </c>
      <c r="H128" s="15" t="s">
        <v>700</v>
      </c>
      <c r="I128" s="15" t="s">
        <v>695</v>
      </c>
    </row>
    <row r="129" spans="1:9" x14ac:dyDescent="0.15">
      <c r="A129" s="15" t="s">
        <v>701</v>
      </c>
      <c r="B129" s="15"/>
      <c r="C129" s="15" t="s">
        <v>40</v>
      </c>
      <c r="D129" s="15" t="s">
        <v>41</v>
      </c>
      <c r="E129" s="15" t="s">
        <v>702</v>
      </c>
      <c r="F129" s="15" t="s">
        <v>704</v>
      </c>
      <c r="G129" s="15" t="s">
        <v>703</v>
      </c>
      <c r="H129" s="15" t="s">
        <v>705</v>
      </c>
      <c r="I129" s="15" t="s">
        <v>706</v>
      </c>
    </row>
    <row r="130" spans="1:9" x14ac:dyDescent="0.15">
      <c r="A130" s="15" t="s">
        <v>707</v>
      </c>
      <c r="B130" s="15"/>
      <c r="C130" s="15" t="s">
        <v>40</v>
      </c>
      <c r="D130" s="15" t="s">
        <v>41</v>
      </c>
      <c r="E130" s="15" t="s">
        <v>708</v>
      </c>
      <c r="F130" s="15" t="s">
        <v>710</v>
      </c>
      <c r="G130" s="15" t="s">
        <v>709</v>
      </c>
      <c r="H130" s="15" t="s">
        <v>711</v>
      </c>
      <c r="I130" s="15" t="s">
        <v>706</v>
      </c>
    </row>
    <row r="131" spans="1:9" x14ac:dyDescent="0.15">
      <c r="A131" s="15" t="s">
        <v>712</v>
      </c>
      <c r="B131" s="15"/>
      <c r="C131" s="15" t="s">
        <v>40</v>
      </c>
      <c r="D131" s="15" t="s">
        <v>41</v>
      </c>
      <c r="E131" s="15" t="s">
        <v>713</v>
      </c>
      <c r="F131" s="15" t="s">
        <v>715</v>
      </c>
      <c r="G131" s="15" t="s">
        <v>714</v>
      </c>
      <c r="H131" s="15" t="s">
        <v>716</v>
      </c>
      <c r="I131" s="15" t="s">
        <v>717</v>
      </c>
    </row>
    <row r="132" spans="1:9" x14ac:dyDescent="0.15">
      <c r="A132" s="15" t="s">
        <v>718</v>
      </c>
      <c r="B132" s="15"/>
      <c r="C132" s="15" t="s">
        <v>40</v>
      </c>
      <c r="D132" s="15" t="s">
        <v>41</v>
      </c>
      <c r="E132" s="15" t="s">
        <v>719</v>
      </c>
      <c r="F132" s="15" t="s">
        <v>720</v>
      </c>
      <c r="G132" s="15" t="s">
        <v>714</v>
      </c>
      <c r="H132" s="15" t="s">
        <v>721</v>
      </c>
      <c r="I132" s="15" t="s">
        <v>717</v>
      </c>
    </row>
    <row r="133" spans="1:9" x14ac:dyDescent="0.15">
      <c r="A133" s="15" t="s">
        <v>722</v>
      </c>
      <c r="B133" s="15"/>
      <c r="C133" s="15" t="s">
        <v>40</v>
      </c>
      <c r="D133" s="15" t="s">
        <v>41</v>
      </c>
      <c r="E133" s="15" t="s">
        <v>723</v>
      </c>
      <c r="F133" s="15" t="s">
        <v>724</v>
      </c>
      <c r="G133" s="15" t="s">
        <v>714</v>
      </c>
      <c r="H133" s="15" t="s">
        <v>725</v>
      </c>
      <c r="I133" s="15" t="s">
        <v>717</v>
      </c>
    </row>
    <row r="134" spans="1:9" x14ac:dyDescent="0.15">
      <c r="A134" s="15" t="s">
        <v>726</v>
      </c>
      <c r="B134" s="15"/>
      <c r="C134" s="15" t="s">
        <v>40</v>
      </c>
      <c r="D134" s="15" t="s">
        <v>41</v>
      </c>
      <c r="E134" s="15" t="s">
        <v>727</v>
      </c>
      <c r="F134" s="15" t="s">
        <v>728</v>
      </c>
      <c r="G134" s="15" t="s">
        <v>714</v>
      </c>
      <c r="H134" s="15" t="s">
        <v>729</v>
      </c>
      <c r="I134" s="15" t="s">
        <v>717</v>
      </c>
    </row>
    <row r="135" spans="1:9" x14ac:dyDescent="0.15">
      <c r="A135" s="15" t="s">
        <v>730</v>
      </c>
      <c r="B135" s="15"/>
      <c r="C135" s="15" t="s">
        <v>40</v>
      </c>
      <c r="D135" s="15" t="s">
        <v>41</v>
      </c>
      <c r="E135" s="15" t="s">
        <v>731</v>
      </c>
      <c r="F135" s="15" t="s">
        <v>732</v>
      </c>
      <c r="G135" s="15" t="s">
        <v>714</v>
      </c>
      <c r="H135" s="15" t="s">
        <v>733</v>
      </c>
      <c r="I135" s="15" t="s">
        <v>717</v>
      </c>
    </row>
    <row r="136" spans="1:9" x14ac:dyDescent="0.15">
      <c r="A136" s="15" t="s">
        <v>734</v>
      </c>
      <c r="B136" s="15"/>
      <c r="C136" s="15" t="s">
        <v>40</v>
      </c>
      <c r="D136" s="15" t="s">
        <v>41</v>
      </c>
      <c r="E136" s="15" t="s">
        <v>735</v>
      </c>
      <c r="F136" s="15" t="s">
        <v>737</v>
      </c>
      <c r="G136" s="15" t="s">
        <v>736</v>
      </c>
      <c r="H136" s="15" t="s">
        <v>738</v>
      </c>
      <c r="I136" s="15" t="s">
        <v>739</v>
      </c>
    </row>
    <row r="137" spans="1:9" x14ac:dyDescent="0.15">
      <c r="A137" s="15" t="s">
        <v>740</v>
      </c>
      <c r="B137" s="15"/>
      <c r="C137" s="15" t="s">
        <v>40</v>
      </c>
      <c r="D137" s="15" t="s">
        <v>41</v>
      </c>
      <c r="E137" s="15" t="s">
        <v>741</v>
      </c>
      <c r="F137" s="15" t="s">
        <v>743</v>
      </c>
      <c r="G137" s="15" t="s">
        <v>742</v>
      </c>
      <c r="H137" s="15" t="s">
        <v>744</v>
      </c>
      <c r="I137" s="15" t="s">
        <v>745</v>
      </c>
    </row>
    <row r="138" spans="1:9" x14ac:dyDescent="0.15">
      <c r="A138" s="15" t="s">
        <v>746</v>
      </c>
      <c r="B138" s="15"/>
      <c r="C138" s="15" t="s">
        <v>40</v>
      </c>
      <c r="D138" s="15" t="s">
        <v>41</v>
      </c>
      <c r="E138" s="15" t="s">
        <v>747</v>
      </c>
      <c r="F138" s="15" t="s">
        <v>749</v>
      </c>
      <c r="G138" s="15" t="s">
        <v>748</v>
      </c>
      <c r="H138" s="15" t="s">
        <v>750</v>
      </c>
      <c r="I138" s="15" t="s">
        <v>751</v>
      </c>
    </row>
    <row r="139" spans="1:9" x14ac:dyDescent="0.15">
      <c r="A139" s="15" t="s">
        <v>752</v>
      </c>
      <c r="B139" s="15"/>
      <c r="C139" s="15" t="s">
        <v>40</v>
      </c>
      <c r="D139" s="15" t="s">
        <v>41</v>
      </c>
      <c r="E139" s="15" t="s">
        <v>753</v>
      </c>
      <c r="F139" s="15" t="s">
        <v>755</v>
      </c>
      <c r="G139" s="15" t="s">
        <v>754</v>
      </c>
      <c r="H139" s="15" t="s">
        <v>756</v>
      </c>
      <c r="I139" s="15" t="s">
        <v>757</v>
      </c>
    </row>
    <row r="140" spans="1:9" x14ac:dyDescent="0.15">
      <c r="A140" s="15" t="s">
        <v>758</v>
      </c>
      <c r="B140" s="15"/>
      <c r="C140" s="15" t="s">
        <v>40</v>
      </c>
      <c r="D140" s="15" t="s">
        <v>41</v>
      </c>
      <c r="E140" s="15" t="s">
        <v>759</v>
      </c>
      <c r="F140" s="15" t="s">
        <v>761</v>
      </c>
      <c r="G140" s="15" t="s">
        <v>760</v>
      </c>
      <c r="H140" s="15" t="s">
        <v>762</v>
      </c>
      <c r="I140" s="15" t="s">
        <v>757</v>
      </c>
    </row>
    <row r="141" spans="1:9" x14ac:dyDescent="0.15">
      <c r="A141" s="15" t="s">
        <v>763</v>
      </c>
      <c r="B141" s="15"/>
      <c r="C141" s="15" t="s">
        <v>40</v>
      </c>
      <c r="D141" s="15" t="s">
        <v>41</v>
      </c>
      <c r="E141" s="15" t="s">
        <v>764</v>
      </c>
      <c r="F141" s="15" t="s">
        <v>766</v>
      </c>
      <c r="G141" s="15" t="s">
        <v>765</v>
      </c>
      <c r="H141" s="15" t="s">
        <v>767</v>
      </c>
      <c r="I141" s="15" t="s">
        <v>768</v>
      </c>
    </row>
    <row r="142" spans="1:9" x14ac:dyDescent="0.15">
      <c r="A142" s="15" t="s">
        <v>769</v>
      </c>
      <c r="B142" s="15"/>
      <c r="C142" s="15" t="s">
        <v>40</v>
      </c>
      <c r="D142" s="15" t="s">
        <v>41</v>
      </c>
      <c r="E142" s="15" t="s">
        <v>770</v>
      </c>
      <c r="F142" s="15" t="s">
        <v>772</v>
      </c>
      <c r="G142" s="15" t="s">
        <v>771</v>
      </c>
      <c r="H142" s="15" t="s">
        <v>773</v>
      </c>
      <c r="I142" s="15" t="s">
        <v>774</v>
      </c>
    </row>
    <row r="143" spans="1:9" x14ac:dyDescent="0.15">
      <c r="A143" s="15" t="s">
        <v>775</v>
      </c>
      <c r="B143" s="15"/>
      <c r="C143" s="15" t="s">
        <v>40</v>
      </c>
      <c r="D143" s="15" t="s">
        <v>41</v>
      </c>
      <c r="E143" s="15" t="s">
        <v>776</v>
      </c>
      <c r="F143" s="15" t="s">
        <v>778</v>
      </c>
      <c r="G143" s="15" t="s">
        <v>777</v>
      </c>
      <c r="H143" s="15" t="s">
        <v>779</v>
      </c>
      <c r="I143" s="15" t="s">
        <v>780</v>
      </c>
    </row>
    <row r="144" spans="1:9" x14ac:dyDescent="0.15">
      <c r="A144" s="15" t="s">
        <v>781</v>
      </c>
      <c r="B144" s="15"/>
      <c r="C144" s="15" t="s">
        <v>40</v>
      </c>
      <c r="D144" s="15" t="s">
        <v>41</v>
      </c>
      <c r="E144" s="15" t="s">
        <v>782</v>
      </c>
      <c r="F144" s="15" t="s">
        <v>784</v>
      </c>
      <c r="G144" s="15" t="s">
        <v>783</v>
      </c>
      <c r="H144" s="15" t="s">
        <v>785</v>
      </c>
      <c r="I144" s="15" t="s">
        <v>786</v>
      </c>
    </row>
    <row r="145" spans="1:9" x14ac:dyDescent="0.15">
      <c r="A145" s="15" t="s">
        <v>787</v>
      </c>
      <c r="B145" s="15"/>
      <c r="C145" s="15" t="s">
        <v>40</v>
      </c>
      <c r="D145" s="15" t="s">
        <v>41</v>
      </c>
      <c r="E145" s="15" t="s">
        <v>788</v>
      </c>
      <c r="F145" s="15" t="s">
        <v>790</v>
      </c>
      <c r="G145" s="15" t="s">
        <v>789</v>
      </c>
      <c r="H145" s="15" t="s">
        <v>791</v>
      </c>
      <c r="I145" s="15" t="s">
        <v>792</v>
      </c>
    </row>
    <row r="146" spans="1:9" x14ac:dyDescent="0.15">
      <c r="A146" s="15" t="s">
        <v>793</v>
      </c>
      <c r="B146" s="15"/>
      <c r="C146" s="15" t="s">
        <v>40</v>
      </c>
      <c r="D146" s="15" t="s">
        <v>41</v>
      </c>
      <c r="E146" s="15" t="s">
        <v>794</v>
      </c>
      <c r="F146" s="15" t="s">
        <v>796</v>
      </c>
      <c r="G146" s="15" t="s">
        <v>795</v>
      </c>
      <c r="H146" s="15" t="s">
        <v>797</v>
      </c>
      <c r="I146" s="15" t="s">
        <v>798</v>
      </c>
    </row>
    <row r="147" spans="1:9" x14ac:dyDescent="0.15">
      <c r="A147" s="15" t="s">
        <v>799</v>
      </c>
      <c r="B147" s="15"/>
      <c r="C147" s="15" t="s">
        <v>40</v>
      </c>
      <c r="D147" s="15" t="s">
        <v>41</v>
      </c>
      <c r="E147" s="15" t="s">
        <v>800</v>
      </c>
      <c r="F147" s="15" t="s">
        <v>802</v>
      </c>
      <c r="G147" s="15" t="s">
        <v>801</v>
      </c>
      <c r="H147" s="15" t="s">
        <v>803</v>
      </c>
      <c r="I147" s="15" t="s">
        <v>804</v>
      </c>
    </row>
    <row r="148" spans="1:9" x14ac:dyDescent="0.15">
      <c r="A148" s="15" t="s">
        <v>805</v>
      </c>
      <c r="B148" s="15"/>
      <c r="C148" s="15" t="s">
        <v>40</v>
      </c>
      <c r="D148" s="15" t="s">
        <v>41</v>
      </c>
      <c r="E148" s="15" t="s">
        <v>806</v>
      </c>
      <c r="F148" s="15" t="s">
        <v>808</v>
      </c>
      <c r="G148" s="15" t="s">
        <v>807</v>
      </c>
      <c r="H148" s="15" t="s">
        <v>809</v>
      </c>
      <c r="I148" s="15" t="s">
        <v>810</v>
      </c>
    </row>
    <row r="149" spans="1:9" x14ac:dyDescent="0.15">
      <c r="A149" s="15" t="s">
        <v>811</v>
      </c>
      <c r="B149" s="15"/>
      <c r="C149" s="15" t="s">
        <v>40</v>
      </c>
      <c r="D149" s="15" t="s">
        <v>41</v>
      </c>
      <c r="E149" s="15" t="s">
        <v>812</v>
      </c>
      <c r="F149" s="15" t="s">
        <v>814</v>
      </c>
      <c r="G149" s="15" t="s">
        <v>813</v>
      </c>
      <c r="H149" s="15" t="s">
        <v>815</v>
      </c>
      <c r="I149" s="15" t="s">
        <v>810</v>
      </c>
    </row>
    <row r="150" spans="1:9" x14ac:dyDescent="0.15">
      <c r="A150" s="15" t="s">
        <v>816</v>
      </c>
      <c r="B150" s="15"/>
      <c r="C150" s="15" t="s">
        <v>40</v>
      </c>
      <c r="D150" s="15" t="s">
        <v>41</v>
      </c>
      <c r="E150" s="15" t="s">
        <v>817</v>
      </c>
      <c r="F150" s="15" t="s">
        <v>818</v>
      </c>
      <c r="G150" s="15" t="s">
        <v>813</v>
      </c>
      <c r="H150" s="15" t="s">
        <v>819</v>
      </c>
      <c r="I150" s="15" t="s">
        <v>820</v>
      </c>
    </row>
    <row r="151" spans="1:9" x14ac:dyDescent="0.15">
      <c r="A151" s="15" t="s">
        <v>821</v>
      </c>
      <c r="B151" s="15"/>
      <c r="C151" s="15" t="s">
        <v>40</v>
      </c>
      <c r="D151" s="15" t="s">
        <v>41</v>
      </c>
      <c r="E151" s="15" t="s">
        <v>822</v>
      </c>
      <c r="F151" s="15" t="s">
        <v>824</v>
      </c>
      <c r="G151" s="15" t="s">
        <v>823</v>
      </c>
      <c r="H151" s="15" t="s">
        <v>825</v>
      </c>
      <c r="I151" s="15" t="s">
        <v>826</v>
      </c>
    </row>
    <row r="152" spans="1:9" x14ac:dyDescent="0.15">
      <c r="A152" s="15" t="s">
        <v>827</v>
      </c>
      <c r="B152" s="15"/>
      <c r="C152" s="15" t="s">
        <v>40</v>
      </c>
      <c r="D152" s="15" t="s">
        <v>41</v>
      </c>
      <c r="E152" s="15" t="s">
        <v>828</v>
      </c>
      <c r="F152" s="15" t="s">
        <v>830</v>
      </c>
      <c r="G152" s="15" t="s">
        <v>829</v>
      </c>
      <c r="H152" s="15" t="s">
        <v>831</v>
      </c>
      <c r="I152" s="15" t="s">
        <v>832</v>
      </c>
    </row>
    <row r="153" spans="1:9" x14ac:dyDescent="0.15">
      <c r="A153" s="15" t="s">
        <v>833</v>
      </c>
      <c r="B153" s="15"/>
      <c r="C153" s="15" t="s">
        <v>40</v>
      </c>
      <c r="D153" s="15" t="s">
        <v>41</v>
      </c>
      <c r="E153" s="15" t="s">
        <v>834</v>
      </c>
      <c r="F153" s="15" t="s">
        <v>836</v>
      </c>
      <c r="G153" s="15" t="s">
        <v>835</v>
      </c>
      <c r="H153" s="15" t="s">
        <v>837</v>
      </c>
      <c r="I153" s="15" t="s">
        <v>832</v>
      </c>
    </row>
    <row r="154" spans="1:9" x14ac:dyDescent="0.15">
      <c r="A154" s="15" t="s">
        <v>838</v>
      </c>
      <c r="B154" s="15"/>
      <c r="C154" s="15" t="s">
        <v>40</v>
      </c>
      <c r="D154" s="15" t="s">
        <v>41</v>
      </c>
      <c r="E154" s="15" t="s">
        <v>839</v>
      </c>
      <c r="F154" s="15" t="s">
        <v>841</v>
      </c>
      <c r="G154" s="15" t="s">
        <v>840</v>
      </c>
      <c r="H154" s="15" t="s">
        <v>842</v>
      </c>
      <c r="I154" s="15" t="s">
        <v>843</v>
      </c>
    </row>
    <row r="155" spans="1:9" x14ac:dyDescent="0.15">
      <c r="A155" s="15" t="s">
        <v>844</v>
      </c>
      <c r="B155" s="15"/>
      <c r="C155" s="15" t="s">
        <v>40</v>
      </c>
      <c r="D155" s="15" t="s">
        <v>41</v>
      </c>
      <c r="E155" s="15" t="s">
        <v>845</v>
      </c>
      <c r="F155" s="15" t="s">
        <v>52</v>
      </c>
      <c r="G155" s="15" t="s">
        <v>846</v>
      </c>
      <c r="H155" s="15" t="s">
        <v>847</v>
      </c>
      <c r="I155" s="15" t="s">
        <v>848</v>
      </c>
    </row>
    <row r="156" spans="1:9" x14ac:dyDescent="0.15">
      <c r="A156" s="15" t="s">
        <v>849</v>
      </c>
      <c r="B156" s="15"/>
      <c r="C156" s="15" t="s">
        <v>40</v>
      </c>
      <c r="D156" s="15" t="s">
        <v>41</v>
      </c>
      <c r="E156" s="15" t="s">
        <v>850</v>
      </c>
      <c r="F156" s="15" t="s">
        <v>530</v>
      </c>
      <c r="G156" s="15" t="s">
        <v>529</v>
      </c>
      <c r="H156" s="15" t="s">
        <v>851</v>
      </c>
      <c r="I156" s="15" t="s">
        <v>852</v>
      </c>
    </row>
    <row r="157" spans="1:9" x14ac:dyDescent="0.15">
      <c r="A157" s="15" t="s">
        <v>853</v>
      </c>
      <c r="B157" s="15"/>
      <c r="C157" s="15" t="s">
        <v>40</v>
      </c>
      <c r="D157" s="15" t="s">
        <v>41</v>
      </c>
      <c r="E157" s="15" t="s">
        <v>854</v>
      </c>
      <c r="F157" s="15" t="s">
        <v>530</v>
      </c>
      <c r="G157" s="15" t="s">
        <v>529</v>
      </c>
      <c r="H157" s="15" t="s">
        <v>855</v>
      </c>
      <c r="I157" s="15" t="s">
        <v>852</v>
      </c>
    </row>
    <row r="158" spans="1:9" x14ac:dyDescent="0.15">
      <c r="A158" s="15" t="s">
        <v>856</v>
      </c>
      <c r="B158" s="15"/>
      <c r="C158" s="15" t="s">
        <v>40</v>
      </c>
      <c r="D158" s="15" t="s">
        <v>41</v>
      </c>
      <c r="E158" s="15" t="s">
        <v>857</v>
      </c>
      <c r="F158" s="15" t="s">
        <v>859</v>
      </c>
      <c r="G158" s="15" t="s">
        <v>858</v>
      </c>
      <c r="H158" s="15" t="s">
        <v>860</v>
      </c>
      <c r="I158" s="15" t="s">
        <v>861</v>
      </c>
    </row>
    <row r="159" spans="1:9" x14ac:dyDescent="0.15">
      <c r="A159" s="15" t="s">
        <v>862</v>
      </c>
      <c r="B159" s="15"/>
      <c r="C159" s="15" t="s">
        <v>40</v>
      </c>
      <c r="D159" s="15" t="s">
        <v>41</v>
      </c>
      <c r="E159" s="15" t="s">
        <v>863</v>
      </c>
      <c r="F159" s="15" t="s">
        <v>865</v>
      </c>
      <c r="G159" s="15" t="s">
        <v>864</v>
      </c>
      <c r="H159" s="15" t="s">
        <v>866</v>
      </c>
      <c r="I159" s="15" t="s">
        <v>861</v>
      </c>
    </row>
    <row r="160" spans="1:9" x14ac:dyDescent="0.15">
      <c r="A160" s="15" t="s">
        <v>867</v>
      </c>
      <c r="B160" s="15"/>
      <c r="C160" s="15" t="s">
        <v>40</v>
      </c>
      <c r="D160" s="15" t="s">
        <v>41</v>
      </c>
      <c r="E160" s="15" t="s">
        <v>868</v>
      </c>
      <c r="F160" s="15" t="s">
        <v>870</v>
      </c>
      <c r="G160" s="15" t="s">
        <v>869</v>
      </c>
      <c r="H160" s="15" t="s">
        <v>871</v>
      </c>
      <c r="I160" s="15" t="s">
        <v>861</v>
      </c>
    </row>
    <row r="161" spans="1:9" x14ac:dyDescent="0.15">
      <c r="A161" s="15" t="s">
        <v>872</v>
      </c>
      <c r="B161" s="15"/>
      <c r="C161" s="15" t="s">
        <v>40</v>
      </c>
      <c r="D161" s="15" t="s">
        <v>41</v>
      </c>
      <c r="E161" s="15" t="s">
        <v>873</v>
      </c>
      <c r="F161" s="15" t="s">
        <v>875</v>
      </c>
      <c r="G161" s="15" t="s">
        <v>874</v>
      </c>
      <c r="H161" s="15" t="s">
        <v>876</v>
      </c>
      <c r="I161" s="15" t="s">
        <v>877</v>
      </c>
    </row>
    <row r="162" spans="1:9" x14ac:dyDescent="0.15">
      <c r="A162" s="15" t="s">
        <v>878</v>
      </c>
      <c r="B162" s="15"/>
      <c r="C162" s="15" t="s">
        <v>40</v>
      </c>
      <c r="D162" s="15" t="s">
        <v>41</v>
      </c>
      <c r="E162" s="15" t="s">
        <v>879</v>
      </c>
      <c r="F162" s="15" t="s">
        <v>881</v>
      </c>
      <c r="G162" s="15" t="s">
        <v>880</v>
      </c>
      <c r="H162" s="15" t="s">
        <v>882</v>
      </c>
      <c r="I162" s="15" t="s">
        <v>883</v>
      </c>
    </row>
    <row r="163" spans="1:9" x14ac:dyDescent="0.15">
      <c r="A163" s="15" t="s">
        <v>884</v>
      </c>
      <c r="B163" s="15"/>
      <c r="C163" s="15" t="s">
        <v>40</v>
      </c>
      <c r="D163" s="15" t="s">
        <v>41</v>
      </c>
      <c r="E163" s="15" t="s">
        <v>885</v>
      </c>
      <c r="F163" s="15" t="s">
        <v>887</v>
      </c>
      <c r="G163" s="15" t="s">
        <v>886</v>
      </c>
      <c r="H163" s="15" t="s">
        <v>888</v>
      </c>
      <c r="I163" s="15" t="s">
        <v>889</v>
      </c>
    </row>
    <row r="164" spans="1:9" x14ac:dyDescent="0.15">
      <c r="A164" s="15" t="s">
        <v>890</v>
      </c>
      <c r="B164" s="15"/>
      <c r="C164" s="15" t="s">
        <v>40</v>
      </c>
      <c r="D164" s="15" t="s">
        <v>41</v>
      </c>
      <c r="E164" s="15" t="s">
        <v>891</v>
      </c>
      <c r="F164" s="15" t="s">
        <v>893</v>
      </c>
      <c r="G164" s="15" t="s">
        <v>892</v>
      </c>
      <c r="H164" s="15" t="s">
        <v>894</v>
      </c>
      <c r="I164" s="15" t="s">
        <v>895</v>
      </c>
    </row>
    <row r="165" spans="1:9" x14ac:dyDescent="0.15">
      <c r="A165" s="15" t="s">
        <v>896</v>
      </c>
      <c r="B165" s="15"/>
      <c r="C165" s="15" t="s">
        <v>40</v>
      </c>
      <c r="D165" s="15" t="s">
        <v>41</v>
      </c>
      <c r="E165" s="15" t="s">
        <v>897</v>
      </c>
      <c r="F165" s="15" t="s">
        <v>898</v>
      </c>
      <c r="G165" s="15" t="s">
        <v>714</v>
      </c>
      <c r="H165" s="15" t="s">
        <v>899</v>
      </c>
      <c r="I165" s="15" t="s">
        <v>717</v>
      </c>
    </row>
    <row r="166" spans="1:9" x14ac:dyDescent="0.15">
      <c r="A166" s="15" t="s">
        <v>900</v>
      </c>
      <c r="B166" s="15"/>
      <c r="C166" s="15" t="s">
        <v>40</v>
      </c>
      <c r="D166" s="15" t="s">
        <v>41</v>
      </c>
      <c r="E166" s="15" t="s">
        <v>901</v>
      </c>
      <c r="F166" s="15" t="s">
        <v>902</v>
      </c>
      <c r="G166" s="15" t="s">
        <v>714</v>
      </c>
      <c r="H166" s="15" t="s">
        <v>903</v>
      </c>
      <c r="I166" s="15" t="s">
        <v>717</v>
      </c>
    </row>
    <row r="167" spans="1:9" x14ac:dyDescent="0.15">
      <c r="A167" s="15" t="s">
        <v>904</v>
      </c>
      <c r="B167" s="15"/>
      <c r="C167" s="15" t="s">
        <v>40</v>
      </c>
      <c r="D167" s="15" t="s">
        <v>41</v>
      </c>
      <c r="E167" s="15" t="s">
        <v>905</v>
      </c>
      <c r="F167" s="15" t="s">
        <v>906</v>
      </c>
      <c r="G167" s="15" t="s">
        <v>714</v>
      </c>
      <c r="H167" s="15" t="s">
        <v>907</v>
      </c>
      <c r="I167" s="15" t="s">
        <v>717</v>
      </c>
    </row>
    <row r="168" spans="1:9" x14ac:dyDescent="0.15">
      <c r="A168" s="15" t="s">
        <v>908</v>
      </c>
      <c r="B168" s="15"/>
      <c r="C168" s="15" t="s">
        <v>40</v>
      </c>
      <c r="D168" s="15" t="s">
        <v>41</v>
      </c>
      <c r="E168" s="15" t="s">
        <v>909</v>
      </c>
      <c r="F168" s="15" t="s">
        <v>910</v>
      </c>
      <c r="G168" s="15" t="s">
        <v>714</v>
      </c>
      <c r="H168" s="15" t="s">
        <v>911</v>
      </c>
      <c r="I168" s="15" t="s">
        <v>717</v>
      </c>
    </row>
    <row r="169" spans="1:9" x14ac:dyDescent="0.15">
      <c r="A169" s="15" t="s">
        <v>912</v>
      </c>
      <c r="B169" s="15"/>
      <c r="C169" s="15" t="s">
        <v>40</v>
      </c>
      <c r="D169" s="15" t="s">
        <v>41</v>
      </c>
      <c r="E169" s="15" t="s">
        <v>913</v>
      </c>
      <c r="F169" s="15" t="s">
        <v>914</v>
      </c>
      <c r="G169" s="15" t="s">
        <v>714</v>
      </c>
      <c r="H169" s="15" t="s">
        <v>915</v>
      </c>
      <c r="I169" s="15" t="s">
        <v>717</v>
      </c>
    </row>
    <row r="170" spans="1:9" x14ac:dyDescent="0.15">
      <c r="A170" s="15" t="s">
        <v>916</v>
      </c>
      <c r="B170" s="15"/>
      <c r="C170" s="15" t="s">
        <v>40</v>
      </c>
      <c r="D170" s="15" t="s">
        <v>41</v>
      </c>
      <c r="E170" s="15" t="s">
        <v>917</v>
      </c>
      <c r="F170" s="15" t="s">
        <v>918</v>
      </c>
      <c r="G170" s="15" t="s">
        <v>714</v>
      </c>
      <c r="H170" s="15" t="s">
        <v>919</v>
      </c>
      <c r="I170" s="15" t="s">
        <v>717</v>
      </c>
    </row>
    <row r="171" spans="1:9" x14ac:dyDescent="0.15">
      <c r="A171" s="15" t="s">
        <v>920</v>
      </c>
      <c r="B171" s="15"/>
      <c r="C171" s="15" t="s">
        <v>40</v>
      </c>
      <c r="D171" s="15" t="s">
        <v>41</v>
      </c>
      <c r="E171" s="15" t="s">
        <v>921</v>
      </c>
      <c r="F171" s="15" t="s">
        <v>922</v>
      </c>
      <c r="G171" s="15" t="s">
        <v>714</v>
      </c>
      <c r="H171" s="15" t="s">
        <v>923</v>
      </c>
      <c r="I171" s="15" t="s">
        <v>717</v>
      </c>
    </row>
    <row r="172" spans="1:9" x14ac:dyDescent="0.15">
      <c r="A172" s="15" t="s">
        <v>924</v>
      </c>
      <c r="B172" s="15"/>
      <c r="C172" s="15" t="s">
        <v>40</v>
      </c>
      <c r="D172" s="15" t="s">
        <v>41</v>
      </c>
      <c r="E172" s="15" t="s">
        <v>925</v>
      </c>
      <c r="F172" s="15" t="s">
        <v>926</v>
      </c>
      <c r="G172" s="15" t="s">
        <v>714</v>
      </c>
      <c r="H172" s="15" t="s">
        <v>927</v>
      </c>
      <c r="I172" s="15" t="s">
        <v>717</v>
      </c>
    </row>
    <row r="173" spans="1:9" x14ac:dyDescent="0.15">
      <c r="A173" s="15" t="s">
        <v>928</v>
      </c>
      <c r="B173" s="15"/>
      <c r="C173" s="15" t="s">
        <v>40</v>
      </c>
      <c r="D173" s="15" t="s">
        <v>41</v>
      </c>
      <c r="E173" s="15" t="s">
        <v>929</v>
      </c>
      <c r="F173" s="15" t="s">
        <v>930</v>
      </c>
      <c r="G173" s="15" t="s">
        <v>714</v>
      </c>
      <c r="H173" s="15" t="s">
        <v>931</v>
      </c>
      <c r="I173" s="15" t="s">
        <v>717</v>
      </c>
    </row>
    <row r="174" spans="1:9" x14ac:dyDescent="0.15">
      <c r="A174" s="15" t="s">
        <v>932</v>
      </c>
      <c r="B174" s="15"/>
      <c r="C174" s="15" t="s">
        <v>40</v>
      </c>
      <c r="D174" s="15" t="s">
        <v>41</v>
      </c>
      <c r="E174" s="15" t="s">
        <v>933</v>
      </c>
      <c r="F174" s="15" t="s">
        <v>934</v>
      </c>
      <c r="G174" s="15" t="s">
        <v>714</v>
      </c>
      <c r="H174" s="15" t="s">
        <v>935</v>
      </c>
      <c r="I174" s="15" t="s">
        <v>717</v>
      </c>
    </row>
    <row r="175" spans="1:9" x14ac:dyDescent="0.15">
      <c r="A175" s="15" t="s">
        <v>936</v>
      </c>
      <c r="B175" s="15"/>
      <c r="C175" s="15" t="s">
        <v>40</v>
      </c>
      <c r="D175" s="15" t="s">
        <v>41</v>
      </c>
      <c r="E175" s="15" t="s">
        <v>937</v>
      </c>
      <c r="F175" s="15" t="s">
        <v>938</v>
      </c>
      <c r="G175" s="15" t="s">
        <v>714</v>
      </c>
      <c r="H175" s="15" t="s">
        <v>939</v>
      </c>
      <c r="I175" s="15" t="s">
        <v>717</v>
      </c>
    </row>
    <row r="176" spans="1:9" x14ac:dyDescent="0.15">
      <c r="A176" s="15" t="s">
        <v>940</v>
      </c>
      <c r="B176" s="15"/>
      <c r="C176" s="15" t="s">
        <v>40</v>
      </c>
      <c r="D176" s="15" t="s">
        <v>41</v>
      </c>
      <c r="E176" s="15" t="s">
        <v>941</v>
      </c>
      <c r="F176" s="15" t="s">
        <v>942</v>
      </c>
      <c r="G176" s="15" t="s">
        <v>714</v>
      </c>
      <c r="H176" s="15" t="s">
        <v>943</v>
      </c>
      <c r="I176" s="15" t="s">
        <v>717</v>
      </c>
    </row>
    <row r="177" spans="1:9" x14ac:dyDescent="0.15">
      <c r="A177" s="15" t="s">
        <v>944</v>
      </c>
      <c r="B177" s="15"/>
      <c r="C177" s="15" t="s">
        <v>40</v>
      </c>
      <c r="D177" s="15" t="s">
        <v>41</v>
      </c>
      <c r="E177" s="15" t="s">
        <v>945</v>
      </c>
      <c r="F177" s="15" t="s">
        <v>946</v>
      </c>
      <c r="G177" s="15" t="s">
        <v>714</v>
      </c>
      <c r="H177" s="15" t="s">
        <v>947</v>
      </c>
      <c r="I177" s="15" t="s">
        <v>717</v>
      </c>
    </row>
    <row r="178" spans="1:9" x14ac:dyDescent="0.15">
      <c r="A178" s="15" t="s">
        <v>948</v>
      </c>
      <c r="B178" s="15"/>
      <c r="C178" s="15" t="s">
        <v>40</v>
      </c>
      <c r="D178" s="15" t="s">
        <v>41</v>
      </c>
      <c r="E178" s="15" t="s">
        <v>949</v>
      </c>
      <c r="F178" s="15" t="s">
        <v>950</v>
      </c>
      <c r="G178" s="15" t="s">
        <v>714</v>
      </c>
      <c r="H178" s="15" t="s">
        <v>951</v>
      </c>
      <c r="I178" s="15" t="s">
        <v>717</v>
      </c>
    </row>
    <row r="179" spans="1:9" x14ac:dyDescent="0.15">
      <c r="A179" s="15" t="s">
        <v>952</v>
      </c>
      <c r="B179" s="15"/>
      <c r="C179" s="15" t="s">
        <v>40</v>
      </c>
      <c r="D179" s="15" t="s">
        <v>41</v>
      </c>
      <c r="E179" s="15" t="s">
        <v>953</v>
      </c>
      <c r="F179" s="15" t="s">
        <v>954</v>
      </c>
      <c r="G179" s="15" t="s">
        <v>714</v>
      </c>
      <c r="H179" s="15" t="s">
        <v>955</v>
      </c>
      <c r="I179" s="15" t="s">
        <v>717</v>
      </c>
    </row>
    <row r="180" spans="1:9" x14ac:dyDescent="0.15">
      <c r="A180" s="15" t="s">
        <v>956</v>
      </c>
      <c r="B180" s="15"/>
      <c r="C180" s="15" t="s">
        <v>40</v>
      </c>
      <c r="D180" s="15" t="s">
        <v>41</v>
      </c>
      <c r="E180" s="15" t="s">
        <v>957</v>
      </c>
      <c r="F180" s="15" t="s">
        <v>958</v>
      </c>
      <c r="G180" s="15" t="s">
        <v>714</v>
      </c>
      <c r="H180" s="15" t="s">
        <v>959</v>
      </c>
      <c r="I180" s="15" t="s">
        <v>717</v>
      </c>
    </row>
    <row r="181" spans="1:9" x14ac:dyDescent="0.15">
      <c r="A181" s="15" t="s">
        <v>960</v>
      </c>
      <c r="B181" s="15"/>
      <c r="C181" s="15" t="s">
        <v>40</v>
      </c>
      <c r="D181" s="15" t="s">
        <v>41</v>
      </c>
      <c r="E181" s="15" t="s">
        <v>961</v>
      </c>
      <c r="F181" s="15" t="s">
        <v>962</v>
      </c>
      <c r="G181" s="15" t="s">
        <v>714</v>
      </c>
      <c r="H181" s="15" t="s">
        <v>963</v>
      </c>
      <c r="I181" s="15" t="s">
        <v>717</v>
      </c>
    </row>
    <row r="182" spans="1:9" x14ac:dyDescent="0.15">
      <c r="A182" s="15" t="s">
        <v>964</v>
      </c>
      <c r="B182" s="15"/>
      <c r="C182" s="15" t="s">
        <v>40</v>
      </c>
      <c r="D182" s="15" t="s">
        <v>41</v>
      </c>
      <c r="E182" s="15" t="s">
        <v>965</v>
      </c>
      <c r="F182" s="15" t="s">
        <v>966</v>
      </c>
      <c r="G182" s="15" t="s">
        <v>714</v>
      </c>
      <c r="H182" s="15" t="s">
        <v>967</v>
      </c>
      <c r="I182" s="15" t="s">
        <v>717</v>
      </c>
    </row>
    <row r="183" spans="1:9" x14ac:dyDescent="0.15">
      <c r="A183" s="15" t="s">
        <v>968</v>
      </c>
      <c r="B183" s="15"/>
      <c r="C183" s="15" t="s">
        <v>40</v>
      </c>
      <c r="D183" s="15" t="s">
        <v>41</v>
      </c>
      <c r="E183" s="15" t="s">
        <v>969</v>
      </c>
      <c r="F183" s="15" t="s">
        <v>970</v>
      </c>
      <c r="G183" s="15" t="s">
        <v>714</v>
      </c>
      <c r="H183" s="15" t="s">
        <v>971</v>
      </c>
      <c r="I183" s="15" t="s">
        <v>717</v>
      </c>
    </row>
    <row r="184" spans="1:9" x14ac:dyDescent="0.15">
      <c r="A184" s="15" t="s">
        <v>972</v>
      </c>
      <c r="B184" s="15"/>
      <c r="C184" s="15" t="s">
        <v>40</v>
      </c>
      <c r="D184" s="15" t="s">
        <v>41</v>
      </c>
      <c r="E184" s="15" t="s">
        <v>973</v>
      </c>
      <c r="F184" s="15" t="s">
        <v>974</v>
      </c>
      <c r="G184" s="15" t="s">
        <v>714</v>
      </c>
      <c r="H184" s="15" t="s">
        <v>975</v>
      </c>
      <c r="I184" s="15" t="s">
        <v>717</v>
      </c>
    </row>
    <row r="185" spans="1:9" x14ac:dyDescent="0.15">
      <c r="A185" s="15" t="s">
        <v>976</v>
      </c>
      <c r="B185" s="15"/>
      <c r="C185" s="15" t="s">
        <v>40</v>
      </c>
      <c r="D185" s="15" t="s">
        <v>41</v>
      </c>
      <c r="E185" s="15" t="s">
        <v>977</v>
      </c>
      <c r="F185" s="15" t="s">
        <v>978</v>
      </c>
      <c r="G185" s="15" t="s">
        <v>714</v>
      </c>
      <c r="H185" s="15" t="s">
        <v>979</v>
      </c>
      <c r="I185" s="15" t="s">
        <v>717</v>
      </c>
    </row>
    <row r="186" spans="1:9" x14ac:dyDescent="0.15">
      <c r="A186" s="15" t="s">
        <v>980</v>
      </c>
      <c r="B186" s="15"/>
      <c r="C186" s="15" t="s">
        <v>40</v>
      </c>
      <c r="D186" s="15" t="s">
        <v>41</v>
      </c>
      <c r="E186" s="15" t="s">
        <v>981</v>
      </c>
      <c r="F186" s="15" t="s">
        <v>982</v>
      </c>
      <c r="G186" s="15" t="s">
        <v>714</v>
      </c>
      <c r="H186" s="15" t="s">
        <v>983</v>
      </c>
      <c r="I186" s="15" t="s">
        <v>717</v>
      </c>
    </row>
    <row r="187" spans="1:9" x14ac:dyDescent="0.15">
      <c r="A187" s="15" t="s">
        <v>984</v>
      </c>
      <c r="B187" s="15"/>
      <c r="C187" s="15" t="s">
        <v>40</v>
      </c>
      <c r="D187" s="15" t="s">
        <v>41</v>
      </c>
      <c r="E187" s="15" t="s">
        <v>985</v>
      </c>
      <c r="F187" s="15" t="s">
        <v>986</v>
      </c>
      <c r="G187" s="15" t="s">
        <v>714</v>
      </c>
      <c r="H187" s="15" t="s">
        <v>987</v>
      </c>
      <c r="I187" s="15" t="s">
        <v>717</v>
      </c>
    </row>
    <row r="188" spans="1:9" x14ac:dyDescent="0.15">
      <c r="A188" s="15" t="s">
        <v>988</v>
      </c>
      <c r="B188" s="15"/>
      <c r="C188" s="15" t="s">
        <v>40</v>
      </c>
      <c r="D188" s="15" t="s">
        <v>41</v>
      </c>
      <c r="E188" s="15" t="s">
        <v>989</v>
      </c>
      <c r="F188" s="15" t="s">
        <v>990</v>
      </c>
      <c r="G188" s="15" t="s">
        <v>714</v>
      </c>
      <c r="H188" s="15" t="s">
        <v>991</v>
      </c>
      <c r="I188" s="15" t="s">
        <v>717</v>
      </c>
    </row>
    <row r="189" spans="1:9" x14ac:dyDescent="0.15">
      <c r="A189" s="15" t="s">
        <v>992</v>
      </c>
      <c r="B189" s="15"/>
      <c r="C189" s="15" t="s">
        <v>40</v>
      </c>
      <c r="D189" s="15" t="s">
        <v>41</v>
      </c>
      <c r="E189" s="15" t="s">
        <v>993</v>
      </c>
      <c r="F189" s="15" t="s">
        <v>994</v>
      </c>
      <c r="G189" s="15" t="s">
        <v>714</v>
      </c>
      <c r="H189" s="15" t="s">
        <v>995</v>
      </c>
      <c r="I189" s="15" t="s">
        <v>717</v>
      </c>
    </row>
    <row r="190" spans="1:9" x14ac:dyDescent="0.15">
      <c r="A190" s="15" t="s">
        <v>996</v>
      </c>
      <c r="B190" s="15"/>
      <c r="C190" s="15" t="s">
        <v>40</v>
      </c>
      <c r="D190" s="15" t="s">
        <v>41</v>
      </c>
      <c r="E190" s="15" t="s">
        <v>997</v>
      </c>
      <c r="F190" s="15" t="s">
        <v>998</v>
      </c>
      <c r="G190" s="15" t="s">
        <v>714</v>
      </c>
      <c r="H190" s="15" t="s">
        <v>999</v>
      </c>
      <c r="I190" s="15" t="s">
        <v>717</v>
      </c>
    </row>
    <row r="191" spans="1:9" x14ac:dyDescent="0.15">
      <c r="A191" s="15" t="s">
        <v>1000</v>
      </c>
      <c r="B191" s="15"/>
      <c r="C191" s="15" t="s">
        <v>40</v>
      </c>
      <c r="D191" s="15" t="s">
        <v>41</v>
      </c>
      <c r="E191" s="15" t="s">
        <v>1001</v>
      </c>
      <c r="F191" s="15" t="s">
        <v>1003</v>
      </c>
      <c r="G191" s="15" t="s">
        <v>1002</v>
      </c>
      <c r="H191" s="15" t="s">
        <v>1004</v>
      </c>
      <c r="I191" s="15" t="s">
        <v>717</v>
      </c>
    </row>
    <row r="192" spans="1:9" x14ac:dyDescent="0.15">
      <c r="A192" s="15" t="s">
        <v>1005</v>
      </c>
      <c r="B192" s="15"/>
      <c r="C192" s="15" t="s">
        <v>40</v>
      </c>
      <c r="D192" s="15" t="s">
        <v>41</v>
      </c>
      <c r="E192" s="15" t="s">
        <v>1006</v>
      </c>
      <c r="F192" s="15" t="s">
        <v>1008</v>
      </c>
      <c r="G192" s="15" t="s">
        <v>1007</v>
      </c>
      <c r="H192" s="15" t="s">
        <v>1009</v>
      </c>
      <c r="I192" s="15" t="s">
        <v>717</v>
      </c>
    </row>
    <row r="193" spans="1:9" x14ac:dyDescent="0.15">
      <c r="A193" s="15" t="s">
        <v>1010</v>
      </c>
      <c r="B193" s="15"/>
      <c r="C193" s="15" t="s">
        <v>40</v>
      </c>
      <c r="D193" s="15" t="s">
        <v>41</v>
      </c>
      <c r="E193" s="15" t="s">
        <v>1011</v>
      </c>
      <c r="F193" s="15" t="s">
        <v>1012</v>
      </c>
      <c r="G193" s="15" t="s">
        <v>714</v>
      </c>
      <c r="H193" s="15" t="s">
        <v>1013</v>
      </c>
      <c r="I193" s="15" t="s">
        <v>717</v>
      </c>
    </row>
    <row r="194" spans="1:9" x14ac:dyDescent="0.15">
      <c r="A194" s="15" t="s">
        <v>1014</v>
      </c>
      <c r="B194" s="15"/>
      <c r="C194" s="15" t="s">
        <v>40</v>
      </c>
      <c r="D194" s="15" t="s">
        <v>41</v>
      </c>
      <c r="E194" s="15" t="s">
        <v>1015</v>
      </c>
      <c r="F194" s="15" t="s">
        <v>1016</v>
      </c>
      <c r="G194" s="15" t="s">
        <v>714</v>
      </c>
      <c r="H194" s="15" t="s">
        <v>1017</v>
      </c>
      <c r="I194" s="15" t="s">
        <v>717</v>
      </c>
    </row>
    <row r="195" spans="1:9" x14ac:dyDescent="0.15">
      <c r="A195" s="15" t="s">
        <v>1018</v>
      </c>
      <c r="B195" s="15"/>
      <c r="C195" s="15" t="s">
        <v>40</v>
      </c>
      <c r="D195" s="15" t="s">
        <v>41</v>
      </c>
      <c r="E195" s="15" t="s">
        <v>1019</v>
      </c>
      <c r="F195" s="15" t="s">
        <v>1020</v>
      </c>
      <c r="G195" s="15" t="s">
        <v>714</v>
      </c>
      <c r="H195" s="15" t="s">
        <v>1021</v>
      </c>
      <c r="I195" s="15" t="s">
        <v>717</v>
      </c>
    </row>
    <row r="196" spans="1:9" x14ac:dyDescent="0.15">
      <c r="A196" s="15" t="s">
        <v>1022</v>
      </c>
      <c r="B196" s="15"/>
      <c r="C196" s="15" t="s">
        <v>40</v>
      </c>
      <c r="D196" s="15" t="s">
        <v>41</v>
      </c>
      <c r="E196" s="15" t="s">
        <v>1023</v>
      </c>
      <c r="F196" s="15" t="s">
        <v>1024</v>
      </c>
      <c r="G196" s="15" t="s">
        <v>714</v>
      </c>
      <c r="H196" s="15" t="s">
        <v>1025</v>
      </c>
      <c r="I196" s="15" t="s">
        <v>717</v>
      </c>
    </row>
    <row r="197" spans="1:9" x14ac:dyDescent="0.15">
      <c r="A197" s="15" t="s">
        <v>1026</v>
      </c>
      <c r="B197" s="15"/>
      <c r="C197" s="15" t="s">
        <v>40</v>
      </c>
      <c r="D197" s="15" t="s">
        <v>41</v>
      </c>
      <c r="E197" s="15" t="s">
        <v>1027</v>
      </c>
      <c r="F197" s="15" t="s">
        <v>1028</v>
      </c>
      <c r="G197" s="15" t="s">
        <v>714</v>
      </c>
      <c r="H197" s="15" t="s">
        <v>1029</v>
      </c>
      <c r="I197" s="15" t="s">
        <v>717</v>
      </c>
    </row>
    <row r="198" spans="1:9" x14ac:dyDescent="0.15">
      <c r="A198" s="15" t="s">
        <v>1030</v>
      </c>
      <c r="B198" s="15"/>
      <c r="C198" s="15" t="s">
        <v>40</v>
      </c>
      <c r="D198" s="15" t="s">
        <v>41</v>
      </c>
      <c r="E198" s="15" t="s">
        <v>1031</v>
      </c>
      <c r="F198" s="15" t="s">
        <v>1032</v>
      </c>
      <c r="G198" s="15" t="s">
        <v>714</v>
      </c>
      <c r="H198" s="15" t="s">
        <v>1033</v>
      </c>
      <c r="I198" s="15" t="s">
        <v>717</v>
      </c>
    </row>
    <row r="199" spans="1:9" x14ac:dyDescent="0.15">
      <c r="A199" s="15" t="s">
        <v>1034</v>
      </c>
      <c r="B199" s="15"/>
      <c r="C199" s="15" t="s">
        <v>40</v>
      </c>
      <c r="D199" s="15" t="s">
        <v>41</v>
      </c>
      <c r="E199" s="15" t="s">
        <v>1035</v>
      </c>
      <c r="F199" s="15" t="s">
        <v>1036</v>
      </c>
      <c r="G199" s="15" t="s">
        <v>714</v>
      </c>
      <c r="H199" s="15" t="s">
        <v>1037</v>
      </c>
      <c r="I199" s="15" t="s">
        <v>717</v>
      </c>
    </row>
    <row r="200" spans="1:9" x14ac:dyDescent="0.15">
      <c r="A200" s="15" t="s">
        <v>1038</v>
      </c>
      <c r="B200" s="15"/>
      <c r="C200" s="15" t="s">
        <v>40</v>
      </c>
      <c r="D200" s="15" t="s">
        <v>41</v>
      </c>
      <c r="E200" s="15" t="s">
        <v>1039</v>
      </c>
      <c r="F200" s="15" t="s">
        <v>1040</v>
      </c>
      <c r="G200" s="15" t="s">
        <v>714</v>
      </c>
      <c r="H200" s="15" t="s">
        <v>1041</v>
      </c>
      <c r="I200" s="15" t="s">
        <v>717</v>
      </c>
    </row>
    <row r="201" spans="1:9" x14ac:dyDescent="0.15">
      <c r="A201" s="15" t="s">
        <v>1042</v>
      </c>
      <c r="B201" s="15"/>
      <c r="C201" s="15" t="s">
        <v>40</v>
      </c>
      <c r="D201" s="15" t="s">
        <v>41</v>
      </c>
      <c r="E201" s="15" t="s">
        <v>1043</v>
      </c>
      <c r="F201" s="15" t="s">
        <v>1044</v>
      </c>
      <c r="G201" s="15" t="s">
        <v>714</v>
      </c>
      <c r="H201" s="15" t="s">
        <v>1045</v>
      </c>
      <c r="I201" s="15" t="s">
        <v>717</v>
      </c>
    </row>
    <row r="202" spans="1:9" x14ac:dyDescent="0.15">
      <c r="A202" s="15" t="s">
        <v>1046</v>
      </c>
      <c r="B202" s="15"/>
      <c r="C202" s="15" t="s">
        <v>40</v>
      </c>
      <c r="D202" s="15" t="s">
        <v>41</v>
      </c>
      <c r="E202" s="15" t="s">
        <v>1047</v>
      </c>
      <c r="F202" s="15" t="s">
        <v>1048</v>
      </c>
      <c r="G202" s="15" t="s">
        <v>714</v>
      </c>
      <c r="H202" s="15" t="s">
        <v>1049</v>
      </c>
      <c r="I202" s="15" t="s">
        <v>717</v>
      </c>
    </row>
    <row r="203" spans="1:9" x14ac:dyDescent="0.15">
      <c r="A203" s="15" t="s">
        <v>1050</v>
      </c>
      <c r="B203" s="15"/>
      <c r="C203" s="15" t="s">
        <v>40</v>
      </c>
      <c r="D203" s="15" t="s">
        <v>41</v>
      </c>
      <c r="E203" s="15" t="s">
        <v>1051</v>
      </c>
      <c r="F203" s="15" t="s">
        <v>1052</v>
      </c>
      <c r="G203" s="15" t="s">
        <v>714</v>
      </c>
      <c r="H203" s="15" t="s">
        <v>1053</v>
      </c>
      <c r="I203" s="15" t="s">
        <v>717</v>
      </c>
    </row>
    <row r="204" spans="1:9" x14ac:dyDescent="0.15">
      <c r="A204" s="15" t="s">
        <v>1054</v>
      </c>
      <c r="B204" s="15"/>
      <c r="C204" s="15" t="s">
        <v>40</v>
      </c>
      <c r="D204" s="15" t="s">
        <v>41</v>
      </c>
      <c r="E204" s="15" t="s">
        <v>1055</v>
      </c>
      <c r="F204" s="15" t="s">
        <v>1057</v>
      </c>
      <c r="G204" s="15" t="s">
        <v>1056</v>
      </c>
      <c r="H204" s="15" t="s">
        <v>1058</v>
      </c>
      <c r="I204" s="15" t="s">
        <v>717</v>
      </c>
    </row>
    <row r="205" spans="1:9" x14ac:dyDescent="0.15">
      <c r="A205" s="15" t="s">
        <v>1059</v>
      </c>
      <c r="B205" s="15"/>
      <c r="C205" s="15" t="s">
        <v>40</v>
      </c>
      <c r="D205" s="15" t="s">
        <v>41</v>
      </c>
      <c r="E205" s="15" t="s">
        <v>1060</v>
      </c>
      <c r="F205" s="15" t="s">
        <v>1061</v>
      </c>
      <c r="G205" s="15" t="s">
        <v>783</v>
      </c>
      <c r="H205" s="15" t="s">
        <v>1062</v>
      </c>
      <c r="I205" s="15" t="s">
        <v>717</v>
      </c>
    </row>
    <row r="206" spans="1:9" x14ac:dyDescent="0.15">
      <c r="A206" s="15" t="s">
        <v>1063</v>
      </c>
      <c r="B206" s="15"/>
      <c r="C206" s="15" t="s">
        <v>40</v>
      </c>
      <c r="D206" s="15" t="s">
        <v>41</v>
      </c>
      <c r="E206" s="15" t="s">
        <v>1064</v>
      </c>
      <c r="F206" s="15" t="s">
        <v>1065</v>
      </c>
      <c r="G206" s="15" t="s">
        <v>714</v>
      </c>
      <c r="H206" s="15" t="s">
        <v>1066</v>
      </c>
      <c r="I206" s="15" t="s">
        <v>717</v>
      </c>
    </row>
    <row r="207" spans="1:9" x14ac:dyDescent="0.15">
      <c r="A207" s="15" t="s">
        <v>1067</v>
      </c>
      <c r="B207" s="15"/>
      <c r="C207" s="15" t="s">
        <v>40</v>
      </c>
      <c r="D207" s="15" t="s">
        <v>41</v>
      </c>
      <c r="E207" s="15" t="s">
        <v>1068</v>
      </c>
      <c r="F207" s="15" t="s">
        <v>1069</v>
      </c>
      <c r="G207" s="15" t="s">
        <v>714</v>
      </c>
      <c r="H207" s="15" t="s">
        <v>1070</v>
      </c>
      <c r="I207" s="15" t="s">
        <v>717</v>
      </c>
    </row>
    <row r="208" spans="1:9" x14ac:dyDescent="0.15">
      <c r="A208" s="15" t="s">
        <v>1071</v>
      </c>
      <c r="B208" s="15"/>
      <c r="C208" s="15" t="s">
        <v>40</v>
      </c>
      <c r="D208" s="15" t="s">
        <v>41</v>
      </c>
      <c r="E208" s="15" t="s">
        <v>1072</v>
      </c>
      <c r="F208" s="15" t="s">
        <v>1074</v>
      </c>
      <c r="G208" s="15" t="s">
        <v>1073</v>
      </c>
      <c r="H208" s="15" t="s">
        <v>1075</v>
      </c>
      <c r="I208" s="15" t="s">
        <v>1076</v>
      </c>
    </row>
    <row r="209" spans="1:9" x14ac:dyDescent="0.15">
      <c r="A209" s="15" t="s">
        <v>1077</v>
      </c>
      <c r="B209" s="15"/>
      <c r="C209" s="15" t="s">
        <v>40</v>
      </c>
      <c r="D209" s="15" t="s">
        <v>41</v>
      </c>
      <c r="E209" s="15" t="s">
        <v>1078</v>
      </c>
      <c r="F209" s="15" t="s">
        <v>1080</v>
      </c>
      <c r="G209" s="15" t="s">
        <v>1079</v>
      </c>
      <c r="H209" s="15" t="s">
        <v>1081</v>
      </c>
      <c r="I209" s="15" t="s">
        <v>1082</v>
      </c>
    </row>
    <row r="210" spans="1:9" x14ac:dyDescent="0.15">
      <c r="A210" s="15" t="s">
        <v>1083</v>
      </c>
      <c r="B210" s="15"/>
      <c r="C210" s="15" t="s">
        <v>40</v>
      </c>
      <c r="D210" s="15" t="s">
        <v>41</v>
      </c>
      <c r="E210" s="15" t="s">
        <v>1084</v>
      </c>
      <c r="F210" s="15" t="s">
        <v>1086</v>
      </c>
      <c r="G210" s="15" t="s">
        <v>1085</v>
      </c>
      <c r="H210" s="15" t="s">
        <v>1087</v>
      </c>
      <c r="I210" s="15" t="s">
        <v>1088</v>
      </c>
    </row>
    <row r="211" spans="1:9" x14ac:dyDescent="0.15">
      <c r="A211" s="15" t="s">
        <v>1089</v>
      </c>
      <c r="B211" s="15"/>
      <c r="C211" s="15" t="s">
        <v>40</v>
      </c>
      <c r="D211" s="15" t="s">
        <v>41</v>
      </c>
      <c r="E211" s="15" t="s">
        <v>1090</v>
      </c>
      <c r="F211" s="15" t="s">
        <v>1092</v>
      </c>
      <c r="G211" s="15" t="s">
        <v>1091</v>
      </c>
      <c r="H211" s="15" t="s">
        <v>1093</v>
      </c>
      <c r="I211" s="15" t="s">
        <v>1088</v>
      </c>
    </row>
    <row r="212" spans="1:9" x14ac:dyDescent="0.15">
      <c r="A212" s="15" t="s">
        <v>1094</v>
      </c>
      <c r="B212" s="15"/>
      <c r="C212" s="15" t="s">
        <v>40</v>
      </c>
      <c r="D212" s="15" t="s">
        <v>41</v>
      </c>
      <c r="E212" s="15" t="s">
        <v>1095</v>
      </c>
      <c r="F212" s="15" t="s">
        <v>1097</v>
      </c>
      <c r="G212" s="15" t="s">
        <v>1096</v>
      </c>
      <c r="H212" s="15" t="s">
        <v>1098</v>
      </c>
      <c r="I212" s="15" t="s">
        <v>1099</v>
      </c>
    </row>
    <row r="213" spans="1:9" x14ac:dyDescent="0.15">
      <c r="A213" s="15" t="s">
        <v>1100</v>
      </c>
      <c r="B213" s="15"/>
      <c r="C213" s="15" t="s">
        <v>40</v>
      </c>
      <c r="D213" s="15" t="s">
        <v>41</v>
      </c>
      <c r="E213" s="15" t="s">
        <v>1101</v>
      </c>
      <c r="F213" s="15" t="s">
        <v>1103</v>
      </c>
      <c r="G213" s="15" t="s">
        <v>1102</v>
      </c>
      <c r="H213" s="15" t="s">
        <v>1104</v>
      </c>
      <c r="I213" s="15" t="s">
        <v>1099</v>
      </c>
    </row>
    <row r="214" spans="1:9" x14ac:dyDescent="0.15">
      <c r="A214" s="15" t="s">
        <v>1105</v>
      </c>
      <c r="B214" s="15"/>
      <c r="C214" s="15" t="s">
        <v>40</v>
      </c>
      <c r="D214" s="15" t="s">
        <v>41</v>
      </c>
      <c r="E214" s="15" t="s">
        <v>1106</v>
      </c>
      <c r="F214" s="15" t="s">
        <v>1108</v>
      </c>
      <c r="G214" s="15" t="s">
        <v>1107</v>
      </c>
      <c r="H214" s="15" t="s">
        <v>1109</v>
      </c>
      <c r="I214" s="15" t="s">
        <v>1099</v>
      </c>
    </row>
    <row r="215" spans="1:9" x14ac:dyDescent="0.15">
      <c r="A215" s="15" t="s">
        <v>1110</v>
      </c>
      <c r="B215" s="15"/>
      <c r="C215" s="15" t="s">
        <v>40</v>
      </c>
      <c r="D215" s="15" t="s">
        <v>41</v>
      </c>
      <c r="E215" s="15" t="s">
        <v>1111</v>
      </c>
      <c r="F215" s="15" t="s">
        <v>1113</v>
      </c>
      <c r="G215" s="15" t="s">
        <v>1112</v>
      </c>
      <c r="H215" s="15" t="s">
        <v>1114</v>
      </c>
      <c r="I215" s="15" t="s">
        <v>1115</v>
      </c>
    </row>
    <row r="216" spans="1:9" x14ac:dyDescent="0.15">
      <c r="A216" s="15" t="s">
        <v>1116</v>
      </c>
      <c r="B216" s="15"/>
      <c r="C216" s="15" t="s">
        <v>40</v>
      </c>
      <c r="D216" s="15" t="s">
        <v>41</v>
      </c>
      <c r="E216" s="15" t="s">
        <v>1117</v>
      </c>
      <c r="F216" s="15" t="s">
        <v>1119</v>
      </c>
      <c r="G216" s="15" t="s">
        <v>1118</v>
      </c>
      <c r="H216" s="15" t="s">
        <v>1120</v>
      </c>
      <c r="I216" s="15" t="s">
        <v>1115</v>
      </c>
    </row>
    <row r="217" spans="1:9" x14ac:dyDescent="0.15">
      <c r="A217" s="15" t="s">
        <v>1121</v>
      </c>
      <c r="B217" s="15"/>
      <c r="C217" s="15" t="s">
        <v>40</v>
      </c>
      <c r="D217" s="15" t="s">
        <v>41</v>
      </c>
      <c r="E217" s="15" t="s">
        <v>1122</v>
      </c>
      <c r="F217" s="15" t="s">
        <v>52</v>
      </c>
      <c r="G217" s="15" t="s">
        <v>1123</v>
      </c>
      <c r="H217" s="15" t="s">
        <v>1124</v>
      </c>
      <c r="I217" s="15" t="s">
        <v>1115</v>
      </c>
    </row>
    <row r="218" spans="1:9" x14ac:dyDescent="0.15">
      <c r="A218" s="15" t="s">
        <v>1125</v>
      </c>
      <c r="B218" s="15"/>
      <c r="C218" s="15" t="s">
        <v>40</v>
      </c>
      <c r="D218" s="15" t="s">
        <v>41</v>
      </c>
      <c r="E218" s="15" t="s">
        <v>1126</v>
      </c>
      <c r="F218" s="15" t="s">
        <v>1128</v>
      </c>
      <c r="G218" s="15" t="s">
        <v>1127</v>
      </c>
      <c r="H218" s="15" t="s">
        <v>1129</v>
      </c>
      <c r="I218" s="15" t="s">
        <v>1115</v>
      </c>
    </row>
    <row r="219" spans="1:9" x14ac:dyDescent="0.15">
      <c r="A219" s="15" t="s">
        <v>1130</v>
      </c>
      <c r="B219" s="15"/>
      <c r="C219" s="15" t="s">
        <v>40</v>
      </c>
      <c r="D219" s="15" t="s">
        <v>41</v>
      </c>
      <c r="E219" s="15" t="s">
        <v>1131</v>
      </c>
      <c r="F219" s="15" t="s">
        <v>1133</v>
      </c>
      <c r="G219" s="15" t="s">
        <v>1132</v>
      </c>
      <c r="H219" s="15" t="s">
        <v>1134</v>
      </c>
      <c r="I219" s="15" t="s">
        <v>1115</v>
      </c>
    </row>
    <row r="220" spans="1:9" x14ac:dyDescent="0.15">
      <c r="A220" s="15" t="s">
        <v>1135</v>
      </c>
      <c r="B220" s="15"/>
      <c r="C220" s="15" t="s">
        <v>40</v>
      </c>
      <c r="D220" s="15" t="s">
        <v>41</v>
      </c>
      <c r="E220" s="15" t="s">
        <v>1136</v>
      </c>
      <c r="F220" s="15" t="s">
        <v>1138</v>
      </c>
      <c r="G220" s="15" t="s">
        <v>1137</v>
      </c>
      <c r="H220" s="15" t="s">
        <v>1139</v>
      </c>
      <c r="I220" s="15" t="s">
        <v>1115</v>
      </c>
    </row>
    <row r="221" spans="1:9" x14ac:dyDescent="0.15">
      <c r="A221" s="15" t="s">
        <v>1140</v>
      </c>
      <c r="B221" s="15"/>
      <c r="C221" s="15" t="s">
        <v>40</v>
      </c>
      <c r="D221" s="15" t="s">
        <v>41</v>
      </c>
      <c r="E221" s="15" t="s">
        <v>1141</v>
      </c>
      <c r="F221" s="15" t="s">
        <v>52</v>
      </c>
      <c r="G221" s="15" t="s">
        <v>714</v>
      </c>
      <c r="H221" s="15" t="s">
        <v>1142</v>
      </c>
      <c r="I221" s="15" t="s">
        <v>1143</v>
      </c>
    </row>
    <row r="222" spans="1:9" x14ac:dyDescent="0.15">
      <c r="A222" s="15" t="s">
        <v>1144</v>
      </c>
      <c r="B222" s="15"/>
      <c r="C222" s="15" t="s">
        <v>40</v>
      </c>
      <c r="D222" s="15" t="s">
        <v>41</v>
      </c>
      <c r="E222" s="15" t="s">
        <v>1145</v>
      </c>
      <c r="F222" s="15" t="s">
        <v>1147</v>
      </c>
      <c r="G222" s="15" t="s">
        <v>1146</v>
      </c>
      <c r="H222" s="15" t="s">
        <v>1148</v>
      </c>
      <c r="I222" s="15" t="s">
        <v>1143</v>
      </c>
    </row>
    <row r="223" spans="1:9" x14ac:dyDescent="0.15">
      <c r="A223" s="15" t="s">
        <v>1149</v>
      </c>
      <c r="B223" s="15"/>
      <c r="C223" s="15" t="s">
        <v>40</v>
      </c>
      <c r="D223" s="15" t="s">
        <v>41</v>
      </c>
      <c r="E223" s="15" t="s">
        <v>1150</v>
      </c>
      <c r="F223" s="15" t="s">
        <v>1152</v>
      </c>
      <c r="G223" s="15" t="s">
        <v>1151</v>
      </c>
      <c r="H223" s="15" t="s">
        <v>1153</v>
      </c>
      <c r="I223" s="15" t="s">
        <v>1143</v>
      </c>
    </row>
    <row r="224" spans="1:9" x14ac:dyDescent="0.15">
      <c r="A224" s="15" t="s">
        <v>1154</v>
      </c>
      <c r="B224" s="15"/>
      <c r="C224" s="15" t="s">
        <v>40</v>
      </c>
      <c r="D224" s="15" t="s">
        <v>41</v>
      </c>
      <c r="E224" s="15" t="s">
        <v>1155</v>
      </c>
      <c r="F224" s="15" t="s">
        <v>1157</v>
      </c>
      <c r="G224" s="15" t="s">
        <v>1156</v>
      </c>
      <c r="H224" s="15" t="s">
        <v>1158</v>
      </c>
      <c r="I224" s="15" t="s">
        <v>1143</v>
      </c>
    </row>
    <row r="225" spans="1:9" x14ac:dyDescent="0.15">
      <c r="A225" s="15" t="s">
        <v>1159</v>
      </c>
      <c r="B225" s="15"/>
      <c r="C225" s="15" t="s">
        <v>40</v>
      </c>
      <c r="D225" s="15" t="s">
        <v>41</v>
      </c>
      <c r="E225" s="15" t="s">
        <v>1160</v>
      </c>
      <c r="F225" s="15" t="s">
        <v>52</v>
      </c>
      <c r="G225" s="15" t="s">
        <v>1161</v>
      </c>
      <c r="H225" s="15" t="s">
        <v>1162</v>
      </c>
      <c r="I225" s="15" t="s">
        <v>1143</v>
      </c>
    </row>
    <row r="226" spans="1:9" x14ac:dyDescent="0.15">
      <c r="A226" s="15" t="s">
        <v>1163</v>
      </c>
      <c r="B226" s="15"/>
      <c r="C226" s="15" t="s">
        <v>40</v>
      </c>
      <c r="D226" s="15" t="s">
        <v>41</v>
      </c>
      <c r="E226" s="15" t="s">
        <v>1164</v>
      </c>
      <c r="F226" s="15" t="s">
        <v>1166</v>
      </c>
      <c r="G226" s="15" t="s">
        <v>1165</v>
      </c>
      <c r="H226" s="15" t="s">
        <v>1167</v>
      </c>
      <c r="I226" s="15" t="s">
        <v>1168</v>
      </c>
    </row>
    <row r="227" spans="1:9" x14ac:dyDescent="0.15">
      <c r="A227" s="15" t="s">
        <v>1169</v>
      </c>
      <c r="B227" s="15"/>
      <c r="C227" s="15" t="s">
        <v>40</v>
      </c>
      <c r="D227" s="15" t="s">
        <v>41</v>
      </c>
      <c r="E227" s="15" t="s">
        <v>1170</v>
      </c>
      <c r="F227" s="15" t="s">
        <v>1171</v>
      </c>
      <c r="G227" s="15" t="s">
        <v>1165</v>
      </c>
      <c r="H227" s="15" t="s">
        <v>1172</v>
      </c>
      <c r="I227" s="15" t="s">
        <v>1168</v>
      </c>
    </row>
    <row r="228" spans="1:9" x14ac:dyDescent="0.15">
      <c r="A228" s="15" t="s">
        <v>1173</v>
      </c>
      <c r="B228" s="15"/>
      <c r="C228" s="15" t="s">
        <v>40</v>
      </c>
      <c r="D228" s="15" t="s">
        <v>41</v>
      </c>
      <c r="E228" s="15" t="s">
        <v>1174</v>
      </c>
      <c r="F228" s="15" t="s">
        <v>1175</v>
      </c>
      <c r="G228" s="15" t="s">
        <v>1165</v>
      </c>
      <c r="H228" s="15" t="s">
        <v>1176</v>
      </c>
      <c r="I228" s="15" t="s">
        <v>1168</v>
      </c>
    </row>
    <row r="229" spans="1:9" x14ac:dyDescent="0.15">
      <c r="A229" s="15" t="s">
        <v>1177</v>
      </c>
      <c r="B229" s="15"/>
      <c r="C229" s="15" t="s">
        <v>40</v>
      </c>
      <c r="D229" s="15" t="s">
        <v>41</v>
      </c>
      <c r="E229" s="15" t="s">
        <v>1178</v>
      </c>
      <c r="F229" s="15" t="s">
        <v>52</v>
      </c>
      <c r="G229" s="15" t="s">
        <v>1179</v>
      </c>
      <c r="H229" s="15" t="s">
        <v>1180</v>
      </c>
      <c r="I229" s="15" t="s">
        <v>1168</v>
      </c>
    </row>
    <row r="230" spans="1:9" x14ac:dyDescent="0.15">
      <c r="A230" s="15" t="s">
        <v>1181</v>
      </c>
      <c r="B230" s="15"/>
      <c r="C230" s="15" t="s">
        <v>40</v>
      </c>
      <c r="D230" s="15" t="s">
        <v>41</v>
      </c>
      <c r="E230" s="15" t="s">
        <v>1182</v>
      </c>
      <c r="F230" s="15" t="s">
        <v>1184</v>
      </c>
      <c r="G230" s="15" t="s">
        <v>1183</v>
      </c>
      <c r="H230" s="15" t="s">
        <v>1185</v>
      </c>
      <c r="I230" s="15" t="s">
        <v>1168</v>
      </c>
    </row>
    <row r="231" spans="1:9" x14ac:dyDescent="0.15">
      <c r="A231" s="15" t="s">
        <v>1186</v>
      </c>
      <c r="B231" s="15"/>
      <c r="C231" s="15" t="s">
        <v>40</v>
      </c>
      <c r="D231" s="15" t="s">
        <v>41</v>
      </c>
      <c r="E231" s="15" t="s">
        <v>1187</v>
      </c>
      <c r="F231" s="15" t="s">
        <v>1188</v>
      </c>
      <c r="G231" s="15" t="s">
        <v>783</v>
      </c>
      <c r="H231" s="15" t="s">
        <v>1189</v>
      </c>
      <c r="I231" s="15" t="s">
        <v>1168</v>
      </c>
    </row>
    <row r="232" spans="1:9" x14ac:dyDescent="0.15">
      <c r="A232" s="15" t="s">
        <v>1190</v>
      </c>
      <c r="B232" s="15"/>
      <c r="C232" s="15" t="s">
        <v>40</v>
      </c>
      <c r="D232" s="15" t="s">
        <v>41</v>
      </c>
      <c r="E232" s="15" t="s">
        <v>1191</v>
      </c>
      <c r="F232" s="15" t="s">
        <v>1184</v>
      </c>
      <c r="G232" s="15" t="s">
        <v>1183</v>
      </c>
      <c r="H232" s="15" t="s">
        <v>1192</v>
      </c>
      <c r="I232" s="15" t="s">
        <v>1168</v>
      </c>
    </row>
    <row r="233" spans="1:9" x14ac:dyDescent="0.15">
      <c r="A233" s="15" t="s">
        <v>1193</v>
      </c>
      <c r="B233" s="15"/>
      <c r="C233" s="15" t="s">
        <v>40</v>
      </c>
      <c r="D233" s="15" t="s">
        <v>41</v>
      </c>
      <c r="E233" s="15" t="s">
        <v>1194</v>
      </c>
      <c r="F233" s="15" t="s">
        <v>1196</v>
      </c>
      <c r="G233" s="15" t="s">
        <v>1195</v>
      </c>
      <c r="H233" s="15" t="s">
        <v>1197</v>
      </c>
      <c r="I233" s="15" t="s">
        <v>1168</v>
      </c>
    </row>
    <row r="234" spans="1:9" x14ac:dyDescent="0.15">
      <c r="A234" s="15" t="s">
        <v>1198</v>
      </c>
      <c r="B234" s="15"/>
      <c r="C234" s="15" t="s">
        <v>40</v>
      </c>
      <c r="D234" s="15" t="s">
        <v>41</v>
      </c>
      <c r="E234" s="15" t="s">
        <v>1199</v>
      </c>
      <c r="F234" s="15" t="s">
        <v>1200</v>
      </c>
      <c r="G234" s="15" t="s">
        <v>1195</v>
      </c>
      <c r="H234" s="15" t="s">
        <v>1201</v>
      </c>
      <c r="I234" s="15" t="s">
        <v>1168</v>
      </c>
    </row>
    <row r="235" spans="1:9" x14ac:dyDescent="0.15">
      <c r="A235" s="15" t="s">
        <v>1202</v>
      </c>
      <c r="B235" s="15"/>
      <c r="C235" s="15" t="s">
        <v>40</v>
      </c>
      <c r="D235" s="15" t="s">
        <v>41</v>
      </c>
      <c r="E235" s="15" t="s">
        <v>1203</v>
      </c>
      <c r="F235" s="15" t="s">
        <v>1184</v>
      </c>
      <c r="G235" s="15" t="s">
        <v>1183</v>
      </c>
      <c r="H235" s="15" t="s">
        <v>1204</v>
      </c>
      <c r="I235" s="15" t="s">
        <v>1168</v>
      </c>
    </row>
    <row r="236" spans="1:9" x14ac:dyDescent="0.15">
      <c r="A236" s="15" t="s">
        <v>1205</v>
      </c>
      <c r="B236" s="15"/>
      <c r="C236" s="15" t="s">
        <v>40</v>
      </c>
      <c r="D236" s="15" t="s">
        <v>41</v>
      </c>
      <c r="E236" s="15" t="s">
        <v>1206</v>
      </c>
      <c r="F236" s="15" t="s">
        <v>1208</v>
      </c>
      <c r="G236" s="15" t="s">
        <v>1207</v>
      </c>
      <c r="H236" s="15" t="s">
        <v>1209</v>
      </c>
      <c r="I236" s="15" t="s">
        <v>1168</v>
      </c>
    </row>
    <row r="237" spans="1:9" x14ac:dyDescent="0.15">
      <c r="A237" s="15" t="s">
        <v>1210</v>
      </c>
      <c r="B237" s="15"/>
      <c r="C237" s="15" t="s">
        <v>40</v>
      </c>
      <c r="D237" s="15" t="s">
        <v>41</v>
      </c>
      <c r="E237" s="15" t="s">
        <v>1211</v>
      </c>
      <c r="F237" s="15" t="s">
        <v>1213</v>
      </c>
      <c r="G237" s="15" t="s">
        <v>1212</v>
      </c>
      <c r="H237" s="15" t="s">
        <v>1214</v>
      </c>
      <c r="I237" s="15" t="s">
        <v>1215</v>
      </c>
    </row>
    <row r="238" spans="1:9" x14ac:dyDescent="0.15">
      <c r="A238" s="15" t="s">
        <v>1216</v>
      </c>
      <c r="B238" s="15"/>
      <c r="C238" s="15" t="s">
        <v>40</v>
      </c>
      <c r="D238" s="15" t="s">
        <v>41</v>
      </c>
      <c r="E238" s="15" t="s">
        <v>1217</v>
      </c>
      <c r="F238" s="15" t="s">
        <v>1218</v>
      </c>
      <c r="G238" s="15" t="s">
        <v>1212</v>
      </c>
      <c r="H238" s="15" t="s">
        <v>1219</v>
      </c>
      <c r="I238" s="15" t="s">
        <v>1215</v>
      </c>
    </row>
    <row r="239" spans="1:9" x14ac:dyDescent="0.15">
      <c r="A239" s="15" t="s">
        <v>1220</v>
      </c>
      <c r="B239" s="15"/>
      <c r="C239" s="15" t="s">
        <v>40</v>
      </c>
      <c r="D239" s="15" t="s">
        <v>41</v>
      </c>
      <c r="E239" s="15" t="s">
        <v>1221</v>
      </c>
      <c r="F239" s="15" t="s">
        <v>52</v>
      </c>
      <c r="G239" s="15" t="s">
        <v>1222</v>
      </c>
      <c r="H239" s="15" t="s">
        <v>1223</v>
      </c>
      <c r="I239" s="15" t="s">
        <v>1215</v>
      </c>
    </row>
    <row r="240" spans="1:9" x14ac:dyDescent="0.15">
      <c r="A240" s="15" t="s">
        <v>1224</v>
      </c>
      <c r="B240" s="15"/>
      <c r="C240" s="15" t="s">
        <v>40</v>
      </c>
      <c r="D240" s="15" t="s">
        <v>41</v>
      </c>
      <c r="E240" s="15" t="s">
        <v>1225</v>
      </c>
      <c r="F240" s="15" t="s">
        <v>1227</v>
      </c>
      <c r="G240" s="15" t="s">
        <v>1226</v>
      </c>
      <c r="H240" s="15" t="s">
        <v>1228</v>
      </c>
      <c r="I240" s="15" t="s">
        <v>1215</v>
      </c>
    </row>
    <row r="241" spans="1:9" x14ac:dyDescent="0.15">
      <c r="A241" s="15" t="s">
        <v>1229</v>
      </c>
      <c r="B241" s="15"/>
      <c r="C241" s="15" t="s">
        <v>40</v>
      </c>
      <c r="D241" s="15" t="s">
        <v>41</v>
      </c>
      <c r="E241" s="15" t="s">
        <v>1230</v>
      </c>
      <c r="F241" s="15" t="s">
        <v>1231</v>
      </c>
      <c r="G241" s="15" t="s">
        <v>1212</v>
      </c>
      <c r="H241" s="15" t="s">
        <v>1232</v>
      </c>
      <c r="I241" s="15" t="s">
        <v>1215</v>
      </c>
    </row>
    <row r="242" spans="1:9" x14ac:dyDescent="0.15">
      <c r="A242" s="15" t="s">
        <v>1233</v>
      </c>
      <c r="B242" s="15"/>
      <c r="C242" s="15" t="s">
        <v>40</v>
      </c>
      <c r="D242" s="15" t="s">
        <v>41</v>
      </c>
      <c r="E242" s="15" t="s">
        <v>1234</v>
      </c>
      <c r="F242" s="15" t="s">
        <v>1235</v>
      </c>
      <c r="G242" s="15" t="s">
        <v>1212</v>
      </c>
      <c r="H242" s="15" t="s">
        <v>1236</v>
      </c>
      <c r="I242" s="15" t="s">
        <v>1215</v>
      </c>
    </row>
    <row r="243" spans="1:9" x14ac:dyDescent="0.15">
      <c r="A243" s="15" t="s">
        <v>1237</v>
      </c>
      <c r="B243" s="15"/>
      <c r="C243" s="15" t="s">
        <v>40</v>
      </c>
      <c r="D243" s="15" t="s">
        <v>41</v>
      </c>
      <c r="E243" s="15" t="s">
        <v>1238</v>
      </c>
      <c r="F243" s="15" t="s">
        <v>1239</v>
      </c>
      <c r="G243" s="15" t="s">
        <v>1212</v>
      </c>
      <c r="H243" s="15" t="s">
        <v>1240</v>
      </c>
      <c r="I243" s="15" t="s">
        <v>1215</v>
      </c>
    </row>
    <row r="244" spans="1:9" x14ac:dyDescent="0.15">
      <c r="A244" s="15" t="s">
        <v>1241</v>
      </c>
      <c r="B244" s="15"/>
      <c r="C244" s="15" t="s">
        <v>40</v>
      </c>
      <c r="D244" s="15" t="s">
        <v>41</v>
      </c>
      <c r="E244" s="15" t="s">
        <v>1242</v>
      </c>
      <c r="F244" s="15" t="s">
        <v>1243</v>
      </c>
      <c r="G244" s="15" t="s">
        <v>1212</v>
      </c>
      <c r="H244" s="15" t="s">
        <v>1244</v>
      </c>
      <c r="I244" s="15" t="s">
        <v>1215</v>
      </c>
    </row>
    <row r="245" spans="1:9" x14ac:dyDescent="0.15">
      <c r="A245" s="15" t="s">
        <v>1245</v>
      </c>
      <c r="B245" s="15"/>
      <c r="C245" s="15" t="s">
        <v>40</v>
      </c>
      <c r="D245" s="15" t="s">
        <v>41</v>
      </c>
      <c r="E245" s="15" t="s">
        <v>1246</v>
      </c>
      <c r="F245" s="15" t="s">
        <v>1247</v>
      </c>
      <c r="G245" s="15" t="s">
        <v>1212</v>
      </c>
      <c r="H245" s="15" t="s">
        <v>1248</v>
      </c>
      <c r="I245" s="15" t="s">
        <v>1215</v>
      </c>
    </row>
    <row r="246" spans="1:9" x14ac:dyDescent="0.15">
      <c r="A246" s="15" t="s">
        <v>1249</v>
      </c>
      <c r="B246" s="15"/>
      <c r="C246" s="15" t="s">
        <v>40</v>
      </c>
      <c r="D246" s="15" t="s">
        <v>41</v>
      </c>
      <c r="E246" s="15" t="s">
        <v>1250</v>
      </c>
      <c r="F246" s="15" t="s">
        <v>1251</v>
      </c>
      <c r="G246" s="15" t="s">
        <v>1212</v>
      </c>
      <c r="H246" s="15" t="s">
        <v>1252</v>
      </c>
      <c r="I246" s="15" t="s">
        <v>1215</v>
      </c>
    </row>
    <row r="247" spans="1:9" x14ac:dyDescent="0.15">
      <c r="A247" s="15" t="s">
        <v>1253</v>
      </c>
      <c r="B247" s="15"/>
      <c r="C247" s="15" t="s">
        <v>40</v>
      </c>
      <c r="D247" s="15" t="s">
        <v>41</v>
      </c>
      <c r="E247" s="15" t="s">
        <v>1254</v>
      </c>
      <c r="F247" s="15" t="s">
        <v>1255</v>
      </c>
      <c r="G247" s="15" t="s">
        <v>1212</v>
      </c>
      <c r="H247" s="15" t="s">
        <v>1256</v>
      </c>
      <c r="I247" s="15" t="s">
        <v>1215</v>
      </c>
    </row>
    <row r="248" spans="1:9" x14ac:dyDescent="0.15">
      <c r="A248" s="15" t="s">
        <v>1257</v>
      </c>
      <c r="B248" s="15"/>
      <c r="C248" s="15" t="s">
        <v>40</v>
      </c>
      <c r="D248" s="15" t="s">
        <v>41</v>
      </c>
      <c r="E248" s="15" t="s">
        <v>1258</v>
      </c>
      <c r="F248" s="15" t="s">
        <v>1259</v>
      </c>
      <c r="G248" s="15" t="s">
        <v>1212</v>
      </c>
      <c r="H248" s="15" t="s">
        <v>1260</v>
      </c>
      <c r="I248" s="15" t="s">
        <v>1215</v>
      </c>
    </row>
    <row r="249" spans="1:9" x14ac:dyDescent="0.15">
      <c r="A249" s="15" t="s">
        <v>1261</v>
      </c>
      <c r="B249" s="15"/>
      <c r="C249" s="15" t="s">
        <v>40</v>
      </c>
      <c r="D249" s="15" t="s">
        <v>41</v>
      </c>
      <c r="E249" s="15" t="s">
        <v>1262</v>
      </c>
      <c r="F249" s="15" t="s">
        <v>1263</v>
      </c>
      <c r="G249" s="15" t="s">
        <v>1212</v>
      </c>
      <c r="H249" s="15" t="s">
        <v>1264</v>
      </c>
      <c r="I249" s="15" t="s">
        <v>1215</v>
      </c>
    </row>
    <row r="250" spans="1:9" x14ac:dyDescent="0.15">
      <c r="A250" s="15" t="s">
        <v>1265</v>
      </c>
      <c r="B250" s="15"/>
      <c r="C250" s="15" t="s">
        <v>40</v>
      </c>
      <c r="D250" s="15" t="s">
        <v>41</v>
      </c>
      <c r="E250" s="15" t="s">
        <v>1266</v>
      </c>
      <c r="F250" s="15" t="s">
        <v>1267</v>
      </c>
      <c r="G250" s="15" t="s">
        <v>1212</v>
      </c>
      <c r="H250" s="15" t="s">
        <v>1268</v>
      </c>
      <c r="I250" s="15" t="s">
        <v>1215</v>
      </c>
    </row>
    <row r="251" spans="1:9" x14ac:dyDescent="0.15">
      <c r="A251" s="15" t="s">
        <v>1269</v>
      </c>
      <c r="B251" s="15"/>
      <c r="C251" s="15" t="s">
        <v>40</v>
      </c>
      <c r="D251" s="15" t="s">
        <v>41</v>
      </c>
      <c r="E251" s="15" t="s">
        <v>1270</v>
      </c>
      <c r="F251" s="15" t="s">
        <v>1271</v>
      </c>
      <c r="G251" s="15" t="s">
        <v>1212</v>
      </c>
      <c r="H251" s="15" t="s">
        <v>1272</v>
      </c>
      <c r="I251" s="15" t="s">
        <v>1215</v>
      </c>
    </row>
    <row r="252" spans="1:9" x14ac:dyDescent="0.15">
      <c r="A252" s="15" t="s">
        <v>1273</v>
      </c>
      <c r="B252" s="15"/>
      <c r="C252" s="15" t="s">
        <v>40</v>
      </c>
      <c r="D252" s="15" t="s">
        <v>41</v>
      </c>
      <c r="E252" s="15" t="s">
        <v>1274</v>
      </c>
      <c r="F252" s="15" t="s">
        <v>1276</v>
      </c>
      <c r="G252" s="15" t="s">
        <v>1275</v>
      </c>
      <c r="H252" s="15" t="s">
        <v>1277</v>
      </c>
      <c r="I252" s="15" t="s">
        <v>1278</v>
      </c>
    </row>
    <row r="253" spans="1:9" x14ac:dyDescent="0.15">
      <c r="A253" s="15" t="s">
        <v>1279</v>
      </c>
      <c r="B253" s="15"/>
      <c r="C253" s="15" t="s">
        <v>40</v>
      </c>
      <c r="D253" s="15" t="s">
        <v>41</v>
      </c>
      <c r="E253" s="15" t="s">
        <v>1280</v>
      </c>
      <c r="F253" s="15" t="s">
        <v>1282</v>
      </c>
      <c r="G253" s="15" t="s">
        <v>1281</v>
      </c>
      <c r="H253" s="15" t="s">
        <v>1283</v>
      </c>
      <c r="I253" s="15" t="s">
        <v>1278</v>
      </c>
    </row>
    <row r="254" spans="1:9" x14ac:dyDescent="0.15">
      <c r="A254" s="15" t="s">
        <v>1284</v>
      </c>
      <c r="B254" s="15"/>
      <c r="C254" s="15" t="s">
        <v>40</v>
      </c>
      <c r="D254" s="15" t="s">
        <v>41</v>
      </c>
      <c r="E254" s="15" t="s">
        <v>1285</v>
      </c>
      <c r="F254" s="15" t="s">
        <v>1287</v>
      </c>
      <c r="G254" s="15" t="s">
        <v>1286</v>
      </c>
      <c r="H254" s="15" t="s">
        <v>1288</v>
      </c>
      <c r="I254" s="15" t="s">
        <v>1278</v>
      </c>
    </row>
    <row r="255" spans="1:9" x14ac:dyDescent="0.15">
      <c r="A255" s="15" t="s">
        <v>1289</v>
      </c>
      <c r="B255" s="15"/>
      <c r="C255" s="15" t="s">
        <v>40</v>
      </c>
      <c r="D255" s="15" t="s">
        <v>41</v>
      </c>
      <c r="E255" s="15" t="s">
        <v>1290</v>
      </c>
      <c r="F255" s="15" t="s">
        <v>1292</v>
      </c>
      <c r="G255" s="15" t="s">
        <v>1291</v>
      </c>
      <c r="H255" s="15" t="s">
        <v>1293</v>
      </c>
      <c r="I255" s="15" t="s">
        <v>1294</v>
      </c>
    </row>
    <row r="256" spans="1:9" x14ac:dyDescent="0.15">
      <c r="A256" s="15" t="s">
        <v>1295</v>
      </c>
      <c r="B256" s="15"/>
      <c r="C256" s="15" t="s">
        <v>40</v>
      </c>
      <c r="D256" s="15" t="s">
        <v>41</v>
      </c>
      <c r="E256" s="15" t="s">
        <v>1296</v>
      </c>
      <c r="F256" s="15" t="s">
        <v>1298</v>
      </c>
      <c r="G256" s="15" t="s">
        <v>1297</v>
      </c>
      <c r="H256" s="15" t="s">
        <v>1299</v>
      </c>
      <c r="I256" s="15" t="s">
        <v>1294</v>
      </c>
    </row>
    <row r="257" spans="1:9" x14ac:dyDescent="0.15">
      <c r="A257" s="15" t="s">
        <v>1300</v>
      </c>
      <c r="B257" s="15"/>
      <c r="C257" s="15" t="s">
        <v>40</v>
      </c>
      <c r="D257" s="15" t="s">
        <v>41</v>
      </c>
      <c r="E257" s="15" t="s">
        <v>1301</v>
      </c>
      <c r="F257" s="15" t="s">
        <v>1303</v>
      </c>
      <c r="G257" s="15" t="s">
        <v>1302</v>
      </c>
      <c r="H257" s="15" t="s">
        <v>1304</v>
      </c>
      <c r="I257" s="15" t="s">
        <v>1294</v>
      </c>
    </row>
    <row r="258" spans="1:9" x14ac:dyDescent="0.15">
      <c r="A258" s="15" t="s">
        <v>1305</v>
      </c>
      <c r="B258" s="15"/>
      <c r="C258" s="15" t="s">
        <v>40</v>
      </c>
      <c r="D258" s="15" t="s">
        <v>41</v>
      </c>
      <c r="E258" s="15" t="s">
        <v>1306</v>
      </c>
      <c r="F258" s="15" t="s">
        <v>1308</v>
      </c>
      <c r="G258" s="15" t="s">
        <v>1307</v>
      </c>
      <c r="H258" s="15" t="s">
        <v>1309</v>
      </c>
      <c r="I258" s="15" t="s">
        <v>1294</v>
      </c>
    </row>
    <row r="259" spans="1:9" x14ac:dyDescent="0.15">
      <c r="A259" s="15" t="s">
        <v>1310</v>
      </c>
      <c r="B259" s="15"/>
      <c r="C259" s="15" t="s">
        <v>40</v>
      </c>
      <c r="D259" s="15" t="s">
        <v>41</v>
      </c>
      <c r="E259" s="15" t="s">
        <v>1311</v>
      </c>
      <c r="F259" s="15" t="s">
        <v>1313</v>
      </c>
      <c r="G259" s="15" t="s">
        <v>1312</v>
      </c>
      <c r="H259" s="15" t="s">
        <v>10</v>
      </c>
      <c r="I259" s="15" t="s">
        <v>1294</v>
      </c>
    </row>
    <row r="260" spans="1:9" x14ac:dyDescent="0.15">
      <c r="A260" s="15" t="s">
        <v>1314</v>
      </c>
      <c r="B260" s="15"/>
      <c r="C260" s="15" t="s">
        <v>40</v>
      </c>
      <c r="D260" s="15" t="s">
        <v>41</v>
      </c>
      <c r="E260" s="15" t="s">
        <v>1315</v>
      </c>
      <c r="F260" s="15" t="s">
        <v>1317</v>
      </c>
      <c r="G260" s="15" t="s">
        <v>1316</v>
      </c>
      <c r="H260" s="15" t="s">
        <v>1318</v>
      </c>
      <c r="I260" s="15" t="s">
        <v>1294</v>
      </c>
    </row>
    <row r="261" spans="1:9" x14ac:dyDescent="0.15">
      <c r="A261" s="15" t="s">
        <v>1319</v>
      </c>
      <c r="B261" s="15"/>
      <c r="C261" s="15" t="s">
        <v>40</v>
      </c>
      <c r="D261" s="15" t="s">
        <v>41</v>
      </c>
      <c r="E261" s="15" t="s">
        <v>1320</v>
      </c>
      <c r="F261" s="15" t="s">
        <v>1321</v>
      </c>
      <c r="G261" s="15" t="s">
        <v>16</v>
      </c>
      <c r="H261" s="15" t="s">
        <v>1322</v>
      </c>
      <c r="I261" s="15" t="s">
        <v>1294</v>
      </c>
    </row>
    <row r="262" spans="1:9" x14ac:dyDescent="0.15">
      <c r="A262" s="15" t="s">
        <v>1323</v>
      </c>
      <c r="B262" s="15"/>
      <c r="C262" s="15" t="s">
        <v>40</v>
      </c>
      <c r="D262" s="15" t="s">
        <v>41</v>
      </c>
      <c r="E262" s="15" t="s">
        <v>1324</v>
      </c>
      <c r="F262" s="15" t="s">
        <v>1326</v>
      </c>
      <c r="G262" s="15" t="s">
        <v>1325</v>
      </c>
      <c r="H262" s="15" t="s">
        <v>1327</v>
      </c>
      <c r="I262" s="15" t="s">
        <v>1294</v>
      </c>
    </row>
    <row r="263" spans="1:9" x14ac:dyDescent="0.15">
      <c r="A263" s="15" t="s">
        <v>1328</v>
      </c>
      <c r="B263" s="15"/>
      <c r="C263" s="15" t="s">
        <v>40</v>
      </c>
      <c r="D263" s="15" t="s">
        <v>41</v>
      </c>
      <c r="E263" s="15" t="s">
        <v>1329</v>
      </c>
      <c r="F263" s="15" t="s">
        <v>1331</v>
      </c>
      <c r="G263" s="15" t="s">
        <v>1330</v>
      </c>
      <c r="H263" s="15" t="s">
        <v>1332</v>
      </c>
      <c r="I263" s="15" t="s">
        <v>1333</v>
      </c>
    </row>
    <row r="264" spans="1:9" x14ac:dyDescent="0.15">
      <c r="A264" s="15" t="s">
        <v>1334</v>
      </c>
      <c r="B264" s="15"/>
      <c r="C264" s="15" t="s">
        <v>40</v>
      </c>
      <c r="D264" s="15" t="s">
        <v>41</v>
      </c>
      <c r="E264" s="15" t="s">
        <v>1335</v>
      </c>
      <c r="F264" s="15" t="s">
        <v>1337</v>
      </c>
      <c r="G264" s="15" t="s">
        <v>1336</v>
      </c>
      <c r="H264" s="15" t="s">
        <v>1338</v>
      </c>
      <c r="I264" s="15" t="s">
        <v>1333</v>
      </c>
    </row>
    <row r="265" spans="1:9" x14ac:dyDescent="0.15">
      <c r="A265" s="15" t="s">
        <v>1339</v>
      </c>
      <c r="B265" s="15"/>
      <c r="C265" s="15" t="s">
        <v>40</v>
      </c>
      <c r="D265" s="15" t="s">
        <v>41</v>
      </c>
      <c r="E265" s="15" t="s">
        <v>1340</v>
      </c>
      <c r="F265" s="15" t="s">
        <v>1342</v>
      </c>
      <c r="G265" s="15" t="s">
        <v>1341</v>
      </c>
      <c r="H265" s="15" t="s">
        <v>1343</v>
      </c>
      <c r="I265" s="15" t="s">
        <v>1333</v>
      </c>
    </row>
    <row r="266" spans="1:9" x14ac:dyDescent="0.15">
      <c r="A266" s="15" t="s">
        <v>1344</v>
      </c>
      <c r="B266" s="15"/>
      <c r="C266" s="15" t="s">
        <v>40</v>
      </c>
      <c r="D266" s="15" t="s">
        <v>41</v>
      </c>
      <c r="E266" s="15" t="s">
        <v>1345</v>
      </c>
      <c r="F266" s="15" t="s">
        <v>1347</v>
      </c>
      <c r="G266" s="15" t="s">
        <v>1346</v>
      </c>
      <c r="H266" s="15" t="s">
        <v>1348</v>
      </c>
      <c r="I266" s="15" t="s">
        <v>1333</v>
      </c>
    </row>
    <row r="267" spans="1:9" x14ac:dyDescent="0.15">
      <c r="A267" s="15" t="s">
        <v>1349</v>
      </c>
      <c r="B267" s="15"/>
      <c r="C267" s="15" t="s">
        <v>40</v>
      </c>
      <c r="D267" s="15" t="s">
        <v>41</v>
      </c>
      <c r="E267" s="15" t="s">
        <v>1350</v>
      </c>
      <c r="F267" s="15" t="s">
        <v>1352</v>
      </c>
      <c r="G267" s="15" t="s">
        <v>1351</v>
      </c>
      <c r="H267" s="15" t="s">
        <v>1353</v>
      </c>
      <c r="I267" s="15" t="s">
        <v>1333</v>
      </c>
    </row>
    <row r="268" spans="1:9" x14ac:dyDescent="0.15">
      <c r="A268" s="15" t="s">
        <v>1354</v>
      </c>
      <c r="B268" s="15"/>
      <c r="C268" s="15" t="s">
        <v>40</v>
      </c>
      <c r="D268" s="15" t="s">
        <v>41</v>
      </c>
      <c r="E268" s="15" t="s">
        <v>1355</v>
      </c>
      <c r="F268" s="15" t="s">
        <v>1357</v>
      </c>
      <c r="G268" s="15" t="s">
        <v>1356</v>
      </c>
      <c r="H268" s="15" t="s">
        <v>1358</v>
      </c>
      <c r="I268" s="15" t="s">
        <v>1333</v>
      </c>
    </row>
    <row r="269" spans="1:9" x14ac:dyDescent="0.15">
      <c r="A269" s="15" t="s">
        <v>1359</v>
      </c>
      <c r="B269" s="15"/>
      <c r="C269" s="15" t="s">
        <v>40</v>
      </c>
      <c r="D269" s="15" t="s">
        <v>41</v>
      </c>
      <c r="E269" s="15" t="s">
        <v>1360</v>
      </c>
      <c r="F269" s="15" t="s">
        <v>1362</v>
      </c>
      <c r="G269" s="15" t="s">
        <v>1361</v>
      </c>
      <c r="H269" s="15" t="s">
        <v>1363</v>
      </c>
      <c r="I269" s="15" t="s">
        <v>1333</v>
      </c>
    </row>
    <row r="270" spans="1:9" x14ac:dyDescent="0.15">
      <c r="A270" s="15" t="s">
        <v>1364</v>
      </c>
      <c r="B270" s="15"/>
      <c r="C270" s="15" t="s">
        <v>40</v>
      </c>
      <c r="D270" s="15" t="s">
        <v>41</v>
      </c>
      <c r="E270" s="15" t="s">
        <v>1365</v>
      </c>
      <c r="F270" s="15" t="s">
        <v>1367</v>
      </c>
      <c r="G270" s="15" t="s">
        <v>1366</v>
      </c>
      <c r="H270" s="15" t="s">
        <v>1368</v>
      </c>
      <c r="I270" s="15" t="s">
        <v>1333</v>
      </c>
    </row>
    <row r="271" spans="1:9" x14ac:dyDescent="0.15">
      <c r="A271" s="15" t="s">
        <v>1369</v>
      </c>
      <c r="B271" s="15"/>
      <c r="C271" s="15" t="s">
        <v>40</v>
      </c>
      <c r="D271" s="15" t="s">
        <v>41</v>
      </c>
      <c r="E271" s="15" t="s">
        <v>1370</v>
      </c>
      <c r="F271" s="15" t="s">
        <v>1372</v>
      </c>
      <c r="G271" s="15" t="s">
        <v>1371</v>
      </c>
      <c r="H271" s="15" t="s">
        <v>1373</v>
      </c>
      <c r="I271" s="15" t="s">
        <v>1333</v>
      </c>
    </row>
    <row r="272" spans="1:9" x14ac:dyDescent="0.15">
      <c r="A272" s="15" t="s">
        <v>1374</v>
      </c>
      <c r="B272" s="15"/>
      <c r="C272" s="15" t="s">
        <v>40</v>
      </c>
      <c r="D272" s="15" t="s">
        <v>41</v>
      </c>
      <c r="E272" s="15" t="s">
        <v>1375</v>
      </c>
      <c r="F272" s="15" t="s">
        <v>1377</v>
      </c>
      <c r="G272" s="15" t="s">
        <v>1376</v>
      </c>
      <c r="H272" s="15" t="s">
        <v>1378</v>
      </c>
      <c r="I272" s="15" t="s">
        <v>1379</v>
      </c>
    </row>
    <row r="273" spans="1:9" x14ac:dyDescent="0.15">
      <c r="A273" s="15" t="s">
        <v>1380</v>
      </c>
      <c r="B273" s="15"/>
      <c r="C273" s="15" t="s">
        <v>40</v>
      </c>
      <c r="D273" s="15" t="s">
        <v>41</v>
      </c>
      <c r="E273" s="15" t="s">
        <v>1381</v>
      </c>
      <c r="F273" s="15" t="s">
        <v>1383</v>
      </c>
      <c r="G273" s="15" t="s">
        <v>1382</v>
      </c>
      <c r="H273" s="15" t="s">
        <v>1384</v>
      </c>
      <c r="I273" s="15" t="s">
        <v>1379</v>
      </c>
    </row>
    <row r="274" spans="1:9" x14ac:dyDescent="0.15">
      <c r="A274" s="15" t="s">
        <v>1385</v>
      </c>
      <c r="B274" s="15"/>
      <c r="C274" s="15" t="s">
        <v>40</v>
      </c>
      <c r="D274" s="15" t="s">
        <v>41</v>
      </c>
      <c r="E274" s="15" t="s">
        <v>1386</v>
      </c>
      <c r="F274" s="15" t="s">
        <v>1388</v>
      </c>
      <c r="G274" s="15" t="s">
        <v>1387</v>
      </c>
      <c r="H274" s="15" t="s">
        <v>1389</v>
      </c>
      <c r="I274" s="15" t="s">
        <v>1379</v>
      </c>
    </row>
    <row r="275" spans="1:9" x14ac:dyDescent="0.15">
      <c r="A275" s="15" t="s">
        <v>1390</v>
      </c>
      <c r="B275" s="15"/>
      <c r="C275" s="15" t="s">
        <v>40</v>
      </c>
      <c r="D275" s="15" t="s">
        <v>41</v>
      </c>
      <c r="E275" s="15" t="s">
        <v>1391</v>
      </c>
      <c r="F275" s="15" t="s">
        <v>1393</v>
      </c>
      <c r="G275" s="15" t="s">
        <v>1392</v>
      </c>
      <c r="H275" s="15" t="s">
        <v>1394</v>
      </c>
      <c r="I275" s="15" t="s">
        <v>1379</v>
      </c>
    </row>
    <row r="276" spans="1:9" x14ac:dyDescent="0.15">
      <c r="A276" s="15" t="s">
        <v>1395</v>
      </c>
      <c r="B276" s="15"/>
      <c r="C276" s="15" t="s">
        <v>40</v>
      </c>
      <c r="D276" s="15" t="s">
        <v>41</v>
      </c>
      <c r="E276" s="15" t="s">
        <v>1396</v>
      </c>
      <c r="F276" s="15" t="s">
        <v>1398</v>
      </c>
      <c r="G276" s="15" t="s">
        <v>1397</v>
      </c>
      <c r="H276" s="15" t="s">
        <v>1399</v>
      </c>
      <c r="I276" s="15" t="s">
        <v>1379</v>
      </c>
    </row>
    <row r="277" spans="1:9" x14ac:dyDescent="0.15">
      <c r="A277" s="15" t="s">
        <v>1400</v>
      </c>
      <c r="B277" s="15"/>
      <c r="C277" s="15" t="s">
        <v>40</v>
      </c>
      <c r="D277" s="15" t="s">
        <v>41</v>
      </c>
      <c r="E277" s="15" t="s">
        <v>1401</v>
      </c>
      <c r="F277" s="15" t="s">
        <v>1403</v>
      </c>
      <c r="G277" s="15" t="s">
        <v>1402</v>
      </c>
      <c r="H277" s="15" t="s">
        <v>1404</v>
      </c>
      <c r="I277" s="15" t="s">
        <v>1379</v>
      </c>
    </row>
    <row r="278" spans="1:9" x14ac:dyDescent="0.15">
      <c r="A278" s="15" t="s">
        <v>1405</v>
      </c>
      <c r="B278" s="15"/>
      <c r="C278" s="15" t="s">
        <v>40</v>
      </c>
      <c r="D278" s="15" t="s">
        <v>41</v>
      </c>
      <c r="E278" s="15" t="s">
        <v>1406</v>
      </c>
      <c r="F278" s="15" t="s">
        <v>1408</v>
      </c>
      <c r="G278" s="15" t="s">
        <v>1407</v>
      </c>
      <c r="H278" s="15" t="s">
        <v>1409</v>
      </c>
      <c r="I278" s="15" t="s">
        <v>1379</v>
      </c>
    </row>
    <row r="279" spans="1:9" x14ac:dyDescent="0.15">
      <c r="A279" s="15" t="s">
        <v>1410</v>
      </c>
      <c r="B279" s="15"/>
      <c r="C279" s="15" t="s">
        <v>40</v>
      </c>
      <c r="D279" s="15" t="s">
        <v>41</v>
      </c>
      <c r="E279" s="15" t="s">
        <v>1411</v>
      </c>
      <c r="F279" s="15" t="s">
        <v>1413</v>
      </c>
      <c r="G279" s="15" t="s">
        <v>1412</v>
      </c>
      <c r="H279" s="15" t="s">
        <v>1414</v>
      </c>
      <c r="I279" s="15" t="s">
        <v>1379</v>
      </c>
    </row>
    <row r="280" spans="1:9" x14ac:dyDescent="0.15">
      <c r="A280" s="15" t="s">
        <v>1415</v>
      </c>
      <c r="B280" s="15"/>
      <c r="C280" s="15" t="s">
        <v>40</v>
      </c>
      <c r="D280" s="15" t="s">
        <v>41</v>
      </c>
      <c r="E280" s="15" t="s">
        <v>1416</v>
      </c>
      <c r="F280" s="15" t="s">
        <v>1418</v>
      </c>
      <c r="G280" s="15" t="s">
        <v>1417</v>
      </c>
      <c r="H280" s="15" t="s">
        <v>1419</v>
      </c>
      <c r="I280" s="15" t="s">
        <v>1420</v>
      </c>
    </row>
    <row r="281" spans="1:9" x14ac:dyDescent="0.15">
      <c r="A281" s="15" t="s">
        <v>1421</v>
      </c>
      <c r="B281" s="15"/>
      <c r="C281" s="15" t="s">
        <v>40</v>
      </c>
      <c r="D281" s="15" t="s">
        <v>41</v>
      </c>
      <c r="E281" s="15" t="s">
        <v>1422</v>
      </c>
      <c r="F281" s="15" t="s">
        <v>1424</v>
      </c>
      <c r="G281" s="15" t="s">
        <v>1423</v>
      </c>
      <c r="H281" s="15" t="s">
        <v>1425</v>
      </c>
      <c r="I281" s="15" t="s">
        <v>1420</v>
      </c>
    </row>
    <row r="282" spans="1:9" x14ac:dyDescent="0.15">
      <c r="A282" s="15" t="s">
        <v>1426</v>
      </c>
      <c r="B282" s="15"/>
      <c r="C282" s="15" t="s">
        <v>40</v>
      </c>
      <c r="D282" s="15" t="s">
        <v>41</v>
      </c>
      <c r="E282" s="15" t="s">
        <v>1427</v>
      </c>
      <c r="F282" s="15" t="s">
        <v>1429</v>
      </c>
      <c r="G282" s="15" t="s">
        <v>1428</v>
      </c>
      <c r="H282" s="15" t="s">
        <v>1430</v>
      </c>
      <c r="I282" s="15" t="s">
        <v>1420</v>
      </c>
    </row>
    <row r="283" spans="1:9" x14ac:dyDescent="0.15">
      <c r="A283" s="15" t="s">
        <v>1431</v>
      </c>
      <c r="B283" s="15"/>
      <c r="C283" s="15" t="s">
        <v>40</v>
      </c>
      <c r="D283" s="15" t="s">
        <v>41</v>
      </c>
      <c r="E283" s="15" t="s">
        <v>1432</v>
      </c>
      <c r="F283" s="15" t="s">
        <v>52</v>
      </c>
      <c r="G283" s="15" t="s">
        <v>714</v>
      </c>
      <c r="H283" s="15" t="s">
        <v>1433</v>
      </c>
      <c r="I283" s="15" t="s">
        <v>1420</v>
      </c>
    </row>
    <row r="284" spans="1:9" x14ac:dyDescent="0.15">
      <c r="A284" s="15" t="s">
        <v>1434</v>
      </c>
      <c r="B284" s="15"/>
      <c r="C284" s="15" t="s">
        <v>40</v>
      </c>
      <c r="D284" s="15" t="s">
        <v>41</v>
      </c>
      <c r="E284" s="15" t="s">
        <v>1435</v>
      </c>
      <c r="F284" s="15" t="s">
        <v>1437</v>
      </c>
      <c r="G284" s="15" t="s">
        <v>1436</v>
      </c>
      <c r="H284" s="15" t="s">
        <v>1438</v>
      </c>
      <c r="I284" s="15" t="s">
        <v>1420</v>
      </c>
    </row>
    <row r="285" spans="1:9" x14ac:dyDescent="0.15">
      <c r="A285" s="15" t="s">
        <v>1439</v>
      </c>
      <c r="B285" s="15"/>
      <c r="C285" s="15" t="s">
        <v>40</v>
      </c>
      <c r="D285" s="15" t="s">
        <v>41</v>
      </c>
      <c r="E285" s="15" t="s">
        <v>1440</v>
      </c>
      <c r="F285" s="15" t="s">
        <v>52</v>
      </c>
      <c r="G285" s="15" t="s">
        <v>714</v>
      </c>
      <c r="H285" s="15" t="s">
        <v>1441</v>
      </c>
      <c r="I285" s="15" t="s">
        <v>1420</v>
      </c>
    </row>
    <row r="286" spans="1:9" x14ac:dyDescent="0.15">
      <c r="A286" s="15" t="s">
        <v>1442</v>
      </c>
      <c r="B286" s="15"/>
      <c r="C286" s="15" t="s">
        <v>40</v>
      </c>
      <c r="D286" s="15" t="s">
        <v>41</v>
      </c>
      <c r="E286" s="15" t="s">
        <v>1443</v>
      </c>
      <c r="F286" s="15" t="s">
        <v>1445</v>
      </c>
      <c r="G286" s="15" t="s">
        <v>1444</v>
      </c>
      <c r="H286" s="15" t="s">
        <v>1446</v>
      </c>
      <c r="I286" s="15" t="s">
        <v>1420</v>
      </c>
    </row>
    <row r="287" spans="1:9" x14ac:dyDescent="0.15">
      <c r="A287" s="15" t="s">
        <v>1447</v>
      </c>
      <c r="B287" s="15"/>
      <c r="C287" s="15" t="s">
        <v>40</v>
      </c>
      <c r="D287" s="15" t="s">
        <v>41</v>
      </c>
      <c r="E287" s="15" t="s">
        <v>1448</v>
      </c>
      <c r="F287" s="15" t="s">
        <v>52</v>
      </c>
      <c r="G287" s="15" t="s">
        <v>714</v>
      </c>
      <c r="H287" s="15" t="s">
        <v>1449</v>
      </c>
      <c r="I287" s="15" t="s">
        <v>1420</v>
      </c>
    </row>
    <row r="288" spans="1:9" x14ac:dyDescent="0.15">
      <c r="A288" s="15" t="s">
        <v>1450</v>
      </c>
      <c r="B288" s="15"/>
      <c r="C288" s="15" t="s">
        <v>40</v>
      </c>
      <c r="D288" s="15" t="s">
        <v>41</v>
      </c>
      <c r="E288" s="15" t="s">
        <v>1451</v>
      </c>
      <c r="F288" s="15" t="s">
        <v>1453</v>
      </c>
      <c r="G288" s="15" t="s">
        <v>1452</v>
      </c>
      <c r="H288" s="15" t="s">
        <v>1454</v>
      </c>
      <c r="I288" s="15" t="s">
        <v>1420</v>
      </c>
    </row>
    <row r="289" spans="1:9" x14ac:dyDescent="0.15">
      <c r="A289" s="15" t="s">
        <v>1455</v>
      </c>
      <c r="B289" s="15"/>
      <c r="C289" s="15" t="s">
        <v>40</v>
      </c>
      <c r="D289" s="15" t="s">
        <v>41</v>
      </c>
      <c r="E289" s="15" t="s">
        <v>1456</v>
      </c>
      <c r="F289" s="15" t="s">
        <v>1458</v>
      </c>
      <c r="G289" s="15" t="s">
        <v>1457</v>
      </c>
      <c r="H289" s="15" t="s">
        <v>1459</v>
      </c>
      <c r="I289" s="15" t="s">
        <v>1420</v>
      </c>
    </row>
    <row r="290" spans="1:9" x14ac:dyDescent="0.15">
      <c r="A290" s="15" t="s">
        <v>1460</v>
      </c>
      <c r="B290" s="15"/>
      <c r="C290" s="15" t="s">
        <v>40</v>
      </c>
      <c r="D290" s="15" t="s">
        <v>41</v>
      </c>
      <c r="E290" s="15" t="s">
        <v>1461</v>
      </c>
      <c r="F290" s="15" t="s">
        <v>52</v>
      </c>
      <c r="G290" s="15" t="s">
        <v>714</v>
      </c>
      <c r="H290" s="15" t="s">
        <v>1462</v>
      </c>
      <c r="I290" s="15" t="s">
        <v>1420</v>
      </c>
    </row>
    <row r="291" spans="1:9" x14ac:dyDescent="0.15">
      <c r="A291" s="15" t="s">
        <v>1463</v>
      </c>
      <c r="B291" s="15"/>
      <c r="C291" s="15" t="s">
        <v>40</v>
      </c>
      <c r="D291" s="15" t="s">
        <v>41</v>
      </c>
      <c r="E291" s="15" t="s">
        <v>1464</v>
      </c>
      <c r="F291" s="15" t="s">
        <v>52</v>
      </c>
      <c r="G291" s="15" t="s">
        <v>1465</v>
      </c>
      <c r="H291" s="15" t="s">
        <v>1466</v>
      </c>
      <c r="I291" s="15" t="s">
        <v>1420</v>
      </c>
    </row>
    <row r="292" spans="1:9" x14ac:dyDescent="0.15">
      <c r="A292" s="15" t="s">
        <v>1467</v>
      </c>
      <c r="B292" s="15"/>
      <c r="C292" s="15" t="s">
        <v>40</v>
      </c>
      <c r="D292" s="15" t="s">
        <v>41</v>
      </c>
      <c r="E292" s="15" t="s">
        <v>1468</v>
      </c>
      <c r="F292" s="15" t="s">
        <v>52</v>
      </c>
      <c r="G292" s="15" t="s">
        <v>714</v>
      </c>
      <c r="H292" s="15" t="s">
        <v>1469</v>
      </c>
      <c r="I292" s="15" t="s">
        <v>1420</v>
      </c>
    </row>
    <row r="293" spans="1:9" x14ac:dyDescent="0.15">
      <c r="A293" s="15" t="s">
        <v>1470</v>
      </c>
      <c r="B293" s="15"/>
      <c r="C293" s="15" t="s">
        <v>40</v>
      </c>
      <c r="D293" s="15" t="s">
        <v>41</v>
      </c>
      <c r="E293" s="15" t="s">
        <v>1471</v>
      </c>
      <c r="F293" s="15" t="s">
        <v>1472</v>
      </c>
      <c r="G293" s="15" t="s">
        <v>1423</v>
      </c>
      <c r="H293" s="15" t="s">
        <v>1473</v>
      </c>
      <c r="I293" s="15" t="s">
        <v>1420</v>
      </c>
    </row>
    <row r="294" spans="1:9" x14ac:dyDescent="0.15">
      <c r="A294" s="15" t="s">
        <v>1474</v>
      </c>
      <c r="B294" s="15"/>
      <c r="C294" s="15" t="s">
        <v>40</v>
      </c>
      <c r="D294" s="15" t="s">
        <v>41</v>
      </c>
      <c r="E294" s="15" t="s">
        <v>1475</v>
      </c>
      <c r="F294" s="15" t="s">
        <v>1477</v>
      </c>
      <c r="G294" s="15" t="s">
        <v>1476</v>
      </c>
      <c r="H294" s="15" t="s">
        <v>1478</v>
      </c>
      <c r="I294" s="15" t="s">
        <v>1479</v>
      </c>
    </row>
    <row r="295" spans="1:9" x14ac:dyDescent="0.15">
      <c r="A295" s="15" t="s">
        <v>1480</v>
      </c>
      <c r="B295" s="15"/>
      <c r="C295" s="15" t="s">
        <v>40</v>
      </c>
      <c r="D295" s="15" t="s">
        <v>41</v>
      </c>
      <c r="E295" s="15" t="s">
        <v>1481</v>
      </c>
      <c r="F295" s="15" t="s">
        <v>1483</v>
      </c>
      <c r="G295" s="15" t="s">
        <v>1482</v>
      </c>
      <c r="H295" s="15" t="s">
        <v>1484</v>
      </c>
      <c r="I295" s="15" t="s">
        <v>1479</v>
      </c>
    </row>
    <row r="296" spans="1:9" x14ac:dyDescent="0.15">
      <c r="A296" s="15" t="s">
        <v>1485</v>
      </c>
      <c r="B296" s="15"/>
      <c r="C296" s="15" t="s">
        <v>40</v>
      </c>
      <c r="D296" s="15" t="s">
        <v>41</v>
      </c>
      <c r="E296" s="15" t="s">
        <v>1486</v>
      </c>
      <c r="F296" s="15" t="s">
        <v>1488</v>
      </c>
      <c r="G296" s="15" t="s">
        <v>1487</v>
      </c>
      <c r="H296" s="15" t="s">
        <v>1489</v>
      </c>
      <c r="I296" s="15" t="s">
        <v>1479</v>
      </c>
    </row>
    <row r="297" spans="1:9" x14ac:dyDescent="0.15">
      <c r="A297" s="15" t="s">
        <v>1490</v>
      </c>
      <c r="B297" s="15"/>
      <c r="C297" s="15" t="s">
        <v>40</v>
      </c>
      <c r="D297" s="15" t="s">
        <v>41</v>
      </c>
      <c r="E297" s="15" t="s">
        <v>1491</v>
      </c>
      <c r="F297" s="15" t="s">
        <v>1493</v>
      </c>
      <c r="G297" s="15" t="s">
        <v>1492</v>
      </c>
      <c r="H297" s="15" t="s">
        <v>1494</v>
      </c>
      <c r="I297" s="15" t="s">
        <v>1479</v>
      </c>
    </row>
    <row r="298" spans="1:9" x14ac:dyDescent="0.15">
      <c r="A298" s="15" t="s">
        <v>1495</v>
      </c>
      <c r="B298" s="15"/>
      <c r="C298" s="15" t="s">
        <v>40</v>
      </c>
      <c r="D298" s="15" t="s">
        <v>41</v>
      </c>
      <c r="E298" s="15" t="s">
        <v>1496</v>
      </c>
      <c r="F298" s="15" t="s">
        <v>1497</v>
      </c>
      <c r="G298" s="15" t="s">
        <v>783</v>
      </c>
      <c r="H298" s="15" t="s">
        <v>1498</v>
      </c>
      <c r="I298" s="15" t="s">
        <v>1479</v>
      </c>
    </row>
    <row r="299" spans="1:9" x14ac:dyDescent="0.15">
      <c r="A299" s="15" t="s">
        <v>1499</v>
      </c>
      <c r="B299" s="15"/>
      <c r="C299" s="15" t="s">
        <v>40</v>
      </c>
      <c r="D299" s="15" t="s">
        <v>41</v>
      </c>
      <c r="E299" s="15" t="s">
        <v>1500</v>
      </c>
      <c r="F299" s="15" t="s">
        <v>1502</v>
      </c>
      <c r="G299" s="15" t="s">
        <v>1501</v>
      </c>
      <c r="H299" s="15" t="s">
        <v>1503</v>
      </c>
      <c r="I299" s="15" t="s">
        <v>1479</v>
      </c>
    </row>
    <row r="300" spans="1:9" x14ac:dyDescent="0.15">
      <c r="A300" s="15" t="s">
        <v>1504</v>
      </c>
      <c r="B300" s="15"/>
      <c r="C300" s="15" t="s">
        <v>40</v>
      </c>
      <c r="D300" s="15" t="s">
        <v>41</v>
      </c>
      <c r="E300" s="15" t="s">
        <v>1505</v>
      </c>
      <c r="F300" s="15" t="s">
        <v>1507</v>
      </c>
      <c r="G300" s="15" t="s">
        <v>1506</v>
      </c>
      <c r="H300" s="15" t="s">
        <v>1508</v>
      </c>
      <c r="I300" s="15" t="s">
        <v>1479</v>
      </c>
    </row>
    <row r="301" spans="1:9" x14ac:dyDescent="0.15">
      <c r="A301" s="15" t="s">
        <v>1509</v>
      </c>
      <c r="B301" s="15"/>
      <c r="C301" s="15" t="s">
        <v>40</v>
      </c>
      <c r="D301" s="15" t="s">
        <v>41</v>
      </c>
      <c r="E301" s="15" t="s">
        <v>1510</v>
      </c>
      <c r="F301" s="15" t="s">
        <v>52</v>
      </c>
      <c r="G301" s="15" t="s">
        <v>1511</v>
      </c>
      <c r="H301" s="15" t="s">
        <v>1512</v>
      </c>
      <c r="I301" s="15" t="s">
        <v>1479</v>
      </c>
    </row>
    <row r="302" spans="1:9" x14ac:dyDescent="0.15">
      <c r="A302" s="15" t="s">
        <v>1513</v>
      </c>
      <c r="B302" s="15"/>
      <c r="C302" s="15" t="s">
        <v>40</v>
      </c>
      <c r="D302" s="15" t="s">
        <v>41</v>
      </c>
      <c r="E302" s="15" t="s">
        <v>1514</v>
      </c>
      <c r="F302" s="15" t="s">
        <v>1515</v>
      </c>
      <c r="G302" s="15" t="s">
        <v>1501</v>
      </c>
      <c r="H302" s="15" t="s">
        <v>1516</v>
      </c>
      <c r="I302" s="15" t="s">
        <v>1479</v>
      </c>
    </row>
    <row r="303" spans="1:9" x14ac:dyDescent="0.15">
      <c r="A303" s="15" t="s">
        <v>1517</v>
      </c>
      <c r="B303" s="15"/>
      <c r="C303" s="15" t="s">
        <v>40</v>
      </c>
      <c r="D303" s="15" t="s">
        <v>41</v>
      </c>
      <c r="E303" s="15" t="s">
        <v>1518</v>
      </c>
      <c r="F303" s="15" t="s">
        <v>52</v>
      </c>
      <c r="G303" s="15" t="s">
        <v>1511</v>
      </c>
      <c r="H303" s="15" t="s">
        <v>1519</v>
      </c>
      <c r="I303" s="15" t="s">
        <v>1479</v>
      </c>
    </row>
    <row r="304" spans="1:9" x14ac:dyDescent="0.15">
      <c r="A304" s="15" t="s">
        <v>1520</v>
      </c>
      <c r="B304" s="15"/>
      <c r="C304" s="15" t="s">
        <v>40</v>
      </c>
      <c r="D304" s="15" t="s">
        <v>41</v>
      </c>
      <c r="E304" s="15" t="s">
        <v>1521</v>
      </c>
      <c r="F304" s="15" t="s">
        <v>52</v>
      </c>
      <c r="G304" s="15" t="s">
        <v>1522</v>
      </c>
      <c r="H304" s="15" t="s">
        <v>1523</v>
      </c>
      <c r="I304" s="15" t="s">
        <v>1524</v>
      </c>
    </row>
    <row r="305" spans="1:9" x14ac:dyDescent="0.15">
      <c r="A305" s="15" t="s">
        <v>1525</v>
      </c>
      <c r="B305" s="15"/>
      <c r="C305" s="15" t="s">
        <v>40</v>
      </c>
      <c r="D305" s="15" t="s">
        <v>41</v>
      </c>
      <c r="E305" s="15" t="s">
        <v>1526</v>
      </c>
      <c r="F305" s="15" t="s">
        <v>1528</v>
      </c>
      <c r="G305" s="15" t="s">
        <v>1527</v>
      </c>
      <c r="H305" s="15" t="s">
        <v>1529</v>
      </c>
      <c r="I305" s="15" t="s">
        <v>1524</v>
      </c>
    </row>
    <row r="306" spans="1:9" x14ac:dyDescent="0.15">
      <c r="A306" s="15" t="s">
        <v>1530</v>
      </c>
      <c r="B306" s="15"/>
      <c r="C306" s="15" t="s">
        <v>40</v>
      </c>
      <c r="D306" s="15" t="s">
        <v>41</v>
      </c>
      <c r="E306" s="15" t="s">
        <v>1531</v>
      </c>
      <c r="F306" s="15" t="s">
        <v>1533</v>
      </c>
      <c r="G306" s="15" t="s">
        <v>1532</v>
      </c>
      <c r="H306" s="15" t="s">
        <v>1534</v>
      </c>
      <c r="I306" s="15" t="s">
        <v>1524</v>
      </c>
    </row>
    <row r="307" spans="1:9" x14ac:dyDescent="0.15">
      <c r="A307" s="15" t="s">
        <v>1535</v>
      </c>
      <c r="B307" s="15"/>
      <c r="C307" s="15" t="s">
        <v>40</v>
      </c>
      <c r="D307" s="15" t="s">
        <v>41</v>
      </c>
      <c r="E307" s="15" t="s">
        <v>1536</v>
      </c>
      <c r="F307" s="15" t="s">
        <v>1538</v>
      </c>
      <c r="G307" s="15" t="s">
        <v>1537</v>
      </c>
      <c r="H307" s="15" t="s">
        <v>1539</v>
      </c>
      <c r="I307" s="15" t="s">
        <v>1540</v>
      </c>
    </row>
    <row r="308" spans="1:9" x14ac:dyDescent="0.15">
      <c r="A308" s="15" t="s">
        <v>1541</v>
      </c>
      <c r="B308" s="15"/>
      <c r="C308" s="15" t="s">
        <v>40</v>
      </c>
      <c r="D308" s="15" t="s">
        <v>41</v>
      </c>
      <c r="E308" s="15" t="s">
        <v>1542</v>
      </c>
      <c r="F308" s="15" t="s">
        <v>1544</v>
      </c>
      <c r="G308" s="15" t="s">
        <v>1543</v>
      </c>
      <c r="H308" s="15" t="s">
        <v>1545</v>
      </c>
      <c r="I308" s="15" t="s">
        <v>1546</v>
      </c>
    </row>
    <row r="309" spans="1:9" x14ac:dyDescent="0.15">
      <c r="A309" s="15" t="s">
        <v>1547</v>
      </c>
      <c r="B309" s="15"/>
      <c r="C309" s="15" t="s">
        <v>40</v>
      </c>
      <c r="D309" s="15" t="s">
        <v>41</v>
      </c>
      <c r="E309" s="15" t="s">
        <v>1548</v>
      </c>
      <c r="F309" s="15" t="s">
        <v>1550</v>
      </c>
      <c r="G309" s="15" t="s">
        <v>1549</v>
      </c>
      <c r="H309" s="15" t="s">
        <v>1551</v>
      </c>
      <c r="I309" s="15" t="s">
        <v>1546</v>
      </c>
    </row>
    <row r="310" spans="1:9" x14ac:dyDescent="0.15">
      <c r="A310" s="15" t="s">
        <v>1552</v>
      </c>
      <c r="B310" s="15"/>
      <c r="C310" s="15" t="s">
        <v>40</v>
      </c>
      <c r="D310" s="15" t="s">
        <v>41</v>
      </c>
      <c r="E310" s="15" t="s">
        <v>1553</v>
      </c>
      <c r="F310" s="15" t="s">
        <v>52</v>
      </c>
      <c r="G310" s="15" t="s">
        <v>1554</v>
      </c>
      <c r="H310" s="15" t="s">
        <v>1555</v>
      </c>
      <c r="I310" s="15" t="s">
        <v>1546</v>
      </c>
    </row>
    <row r="311" spans="1:9" x14ac:dyDescent="0.15">
      <c r="A311" s="15" t="s">
        <v>1556</v>
      </c>
      <c r="B311" s="15"/>
      <c r="C311" s="15" t="s">
        <v>40</v>
      </c>
      <c r="D311" s="15" t="s">
        <v>41</v>
      </c>
      <c r="E311" s="15" t="s">
        <v>1557</v>
      </c>
      <c r="F311" s="15" t="s">
        <v>1559</v>
      </c>
      <c r="G311" s="15" t="s">
        <v>1558</v>
      </c>
      <c r="H311" s="15" t="s">
        <v>1560</v>
      </c>
      <c r="I311" s="15" t="s">
        <v>1546</v>
      </c>
    </row>
    <row r="312" spans="1:9" x14ac:dyDescent="0.15">
      <c r="A312" s="15" t="s">
        <v>1561</v>
      </c>
      <c r="B312" s="15"/>
      <c r="C312" s="15" t="s">
        <v>40</v>
      </c>
      <c r="D312" s="15" t="s">
        <v>41</v>
      </c>
      <c r="E312" s="15" t="s">
        <v>1562</v>
      </c>
      <c r="F312" s="15" t="s">
        <v>1563</v>
      </c>
      <c r="G312" s="15" t="s">
        <v>258</v>
      </c>
      <c r="H312" s="15" t="s">
        <v>1564</v>
      </c>
      <c r="I312" s="15" t="s">
        <v>1546</v>
      </c>
    </row>
    <row r="313" spans="1:9" x14ac:dyDescent="0.15">
      <c r="A313" s="15" t="s">
        <v>1565</v>
      </c>
      <c r="B313" s="15"/>
      <c r="C313" s="15" t="s">
        <v>40</v>
      </c>
      <c r="D313" s="15" t="s">
        <v>41</v>
      </c>
      <c r="E313" s="15" t="s">
        <v>1566</v>
      </c>
      <c r="F313" s="15" t="s">
        <v>1568</v>
      </c>
      <c r="G313" s="15" t="s">
        <v>1567</v>
      </c>
      <c r="H313" s="15" t="s">
        <v>1569</v>
      </c>
      <c r="I313" s="15" t="s">
        <v>1546</v>
      </c>
    </row>
    <row r="314" spans="1:9" x14ac:dyDescent="0.15">
      <c r="A314" s="15" t="s">
        <v>1570</v>
      </c>
      <c r="B314" s="15"/>
      <c r="C314" s="15" t="s">
        <v>40</v>
      </c>
      <c r="D314" s="15" t="s">
        <v>41</v>
      </c>
      <c r="E314" s="15" t="s">
        <v>1571</v>
      </c>
      <c r="F314" s="15" t="s">
        <v>1573</v>
      </c>
      <c r="G314" s="15" t="s">
        <v>1572</v>
      </c>
      <c r="H314" s="15" t="s">
        <v>1574</v>
      </c>
      <c r="I314" s="15" t="s">
        <v>1546</v>
      </c>
    </row>
    <row r="315" spans="1:9" x14ac:dyDescent="0.15">
      <c r="A315" s="15" t="s">
        <v>1575</v>
      </c>
      <c r="B315" s="15"/>
      <c r="C315" s="15" t="s">
        <v>40</v>
      </c>
      <c r="D315" s="15" t="s">
        <v>41</v>
      </c>
      <c r="E315" s="15" t="s">
        <v>1576</v>
      </c>
      <c r="F315" s="15" t="s">
        <v>1578</v>
      </c>
      <c r="G315" s="15" t="s">
        <v>1577</v>
      </c>
      <c r="H315" s="15" t="s">
        <v>1579</v>
      </c>
      <c r="I315" s="15" t="s">
        <v>1546</v>
      </c>
    </row>
    <row r="316" spans="1:9" x14ac:dyDescent="0.15">
      <c r="A316" s="15" t="s">
        <v>1580</v>
      </c>
      <c r="B316" s="15"/>
      <c r="C316" s="15" t="s">
        <v>40</v>
      </c>
      <c r="D316" s="15" t="s">
        <v>41</v>
      </c>
      <c r="E316" s="15" t="s">
        <v>1581</v>
      </c>
      <c r="F316" s="15" t="s">
        <v>1583</v>
      </c>
      <c r="G316" s="15" t="s">
        <v>1582</v>
      </c>
      <c r="H316" s="15" t="s">
        <v>1584</v>
      </c>
      <c r="I316" s="15" t="s">
        <v>1546</v>
      </c>
    </row>
    <row r="317" spans="1:9" x14ac:dyDescent="0.15">
      <c r="A317" s="15" t="s">
        <v>1585</v>
      </c>
      <c r="B317" s="15"/>
      <c r="C317" s="15" t="s">
        <v>40</v>
      </c>
      <c r="D317" s="15" t="s">
        <v>41</v>
      </c>
      <c r="E317" s="15" t="s">
        <v>1586</v>
      </c>
      <c r="F317" s="15" t="s">
        <v>1588</v>
      </c>
      <c r="G317" s="15" t="s">
        <v>1587</v>
      </c>
      <c r="H317" s="15" t="s">
        <v>1589</v>
      </c>
      <c r="I317" s="15" t="s">
        <v>1546</v>
      </c>
    </row>
    <row r="318" spans="1:9" x14ac:dyDescent="0.15">
      <c r="A318" s="15" t="s">
        <v>1590</v>
      </c>
      <c r="B318" s="15"/>
      <c r="C318" s="15" t="s">
        <v>40</v>
      </c>
      <c r="D318" s="15" t="s">
        <v>41</v>
      </c>
      <c r="E318" s="15" t="s">
        <v>1591</v>
      </c>
      <c r="F318" s="15" t="s">
        <v>1593</v>
      </c>
      <c r="G318" s="15" t="s">
        <v>1592</v>
      </c>
      <c r="H318" s="15" t="s">
        <v>1594</v>
      </c>
      <c r="I318" s="15" t="s">
        <v>1546</v>
      </c>
    </row>
    <row r="319" spans="1:9" x14ac:dyDescent="0.15">
      <c r="A319" s="15" t="s">
        <v>1595</v>
      </c>
      <c r="B319" s="15"/>
      <c r="C319" s="15" t="s">
        <v>40</v>
      </c>
      <c r="D319" s="15" t="s">
        <v>41</v>
      </c>
      <c r="E319" s="15" t="s">
        <v>1596</v>
      </c>
      <c r="F319" s="15" t="s">
        <v>1598</v>
      </c>
      <c r="G319" s="15" t="s">
        <v>1597</v>
      </c>
      <c r="H319" s="15" t="s">
        <v>1599</v>
      </c>
      <c r="I319" s="15" t="s">
        <v>1546</v>
      </c>
    </row>
    <row r="320" spans="1:9" x14ac:dyDescent="0.15">
      <c r="A320" s="15" t="s">
        <v>1600</v>
      </c>
      <c r="B320" s="15"/>
      <c r="C320" s="15" t="s">
        <v>40</v>
      </c>
      <c r="D320" s="15" t="s">
        <v>41</v>
      </c>
      <c r="E320" s="15" t="s">
        <v>1601</v>
      </c>
      <c r="F320" s="15" t="s">
        <v>1603</v>
      </c>
      <c r="G320" s="15" t="s">
        <v>1602</v>
      </c>
      <c r="H320" s="15" t="s">
        <v>1604</v>
      </c>
      <c r="I320" s="15" t="s">
        <v>1546</v>
      </c>
    </row>
    <row r="321" spans="1:9" x14ac:dyDescent="0.15">
      <c r="A321" s="15" t="s">
        <v>1605</v>
      </c>
      <c r="B321" s="15"/>
      <c r="C321" s="15" t="s">
        <v>40</v>
      </c>
      <c r="D321" s="15" t="s">
        <v>41</v>
      </c>
      <c r="E321" s="15" t="s">
        <v>1606</v>
      </c>
      <c r="F321" s="15" t="s">
        <v>1608</v>
      </c>
      <c r="G321" s="15" t="s">
        <v>1607</v>
      </c>
      <c r="H321" s="15" t="s">
        <v>1609</v>
      </c>
      <c r="I321" s="15" t="s">
        <v>46</v>
      </c>
    </row>
    <row r="322" spans="1:9" x14ac:dyDescent="0.15">
      <c r="A322" s="15" t="s">
        <v>1610</v>
      </c>
      <c r="B322" s="15"/>
      <c r="C322" s="15" t="s">
        <v>40</v>
      </c>
      <c r="D322" s="15" t="s">
        <v>41</v>
      </c>
      <c r="E322" s="15" t="s">
        <v>1611</v>
      </c>
      <c r="F322" s="15" t="s">
        <v>1613</v>
      </c>
      <c r="G322" s="15" t="s">
        <v>1612</v>
      </c>
      <c r="H322" s="15" t="s">
        <v>1614</v>
      </c>
      <c r="I322" s="15" t="s">
        <v>46</v>
      </c>
    </row>
    <row r="323" spans="1:9" x14ac:dyDescent="0.15">
      <c r="A323" s="15" t="s">
        <v>1615</v>
      </c>
      <c r="B323" s="15"/>
      <c r="C323" s="15" t="s">
        <v>40</v>
      </c>
      <c r="D323" s="15" t="s">
        <v>41</v>
      </c>
      <c r="E323" s="15" t="s">
        <v>1616</v>
      </c>
      <c r="F323" s="15" t="s">
        <v>1618</v>
      </c>
      <c r="G323" s="15" t="s">
        <v>1617</v>
      </c>
      <c r="H323" s="15" t="s">
        <v>1619</v>
      </c>
      <c r="I323" s="15" t="s">
        <v>46</v>
      </c>
    </row>
    <row r="324" spans="1:9" x14ac:dyDescent="0.15">
      <c r="A324" s="15" t="s">
        <v>1620</v>
      </c>
      <c r="B324" s="15"/>
      <c r="C324" s="15" t="s">
        <v>40</v>
      </c>
      <c r="D324" s="15" t="s">
        <v>41</v>
      </c>
      <c r="E324" s="15" t="s">
        <v>1621</v>
      </c>
      <c r="F324" s="15" t="s">
        <v>1623</v>
      </c>
      <c r="G324" s="15" t="s">
        <v>1622</v>
      </c>
      <c r="H324" s="15" t="s">
        <v>1624</v>
      </c>
      <c r="I324" s="15" t="s">
        <v>46</v>
      </c>
    </row>
    <row r="325" spans="1:9" x14ac:dyDescent="0.15">
      <c r="A325" s="15" t="s">
        <v>1625</v>
      </c>
      <c r="B325" s="15"/>
      <c r="C325" s="15" t="s">
        <v>40</v>
      </c>
      <c r="D325" s="15" t="s">
        <v>41</v>
      </c>
      <c r="E325" s="15" t="s">
        <v>1626</v>
      </c>
      <c r="F325" s="15" t="s">
        <v>1628</v>
      </c>
      <c r="G325" s="15" t="s">
        <v>1627</v>
      </c>
      <c r="H325" s="15" t="s">
        <v>1629</v>
      </c>
      <c r="I325" s="15" t="s">
        <v>46</v>
      </c>
    </row>
    <row r="326" spans="1:9" x14ac:dyDescent="0.15">
      <c r="A326" s="15" t="s">
        <v>1630</v>
      </c>
      <c r="B326" s="15"/>
      <c r="C326" s="15" t="s">
        <v>40</v>
      </c>
      <c r="D326" s="15" t="s">
        <v>41</v>
      </c>
      <c r="E326" s="15" t="s">
        <v>1631</v>
      </c>
      <c r="F326" s="15" t="s">
        <v>1633</v>
      </c>
      <c r="G326" s="15" t="s">
        <v>1632</v>
      </c>
      <c r="H326" s="15" t="s">
        <v>1634</v>
      </c>
      <c r="I326" s="15" t="s">
        <v>46</v>
      </c>
    </row>
    <row r="327" spans="1:9" x14ac:dyDescent="0.15">
      <c r="A327" s="15" t="s">
        <v>1635</v>
      </c>
      <c r="B327" s="15"/>
      <c r="C327" s="15" t="s">
        <v>40</v>
      </c>
      <c r="D327" s="15" t="s">
        <v>41</v>
      </c>
      <c r="E327" s="15" t="s">
        <v>1636</v>
      </c>
      <c r="F327" s="15" t="s">
        <v>1638</v>
      </c>
      <c r="G327" s="15" t="s">
        <v>1637</v>
      </c>
      <c r="H327" s="15" t="s">
        <v>1639</v>
      </c>
      <c r="I327" s="15" t="s">
        <v>46</v>
      </c>
    </row>
    <row r="328" spans="1:9" x14ac:dyDescent="0.15">
      <c r="A328" s="15" t="s">
        <v>1640</v>
      </c>
      <c r="B328" s="15"/>
      <c r="C328" s="15" t="s">
        <v>40</v>
      </c>
      <c r="D328" s="15" t="s">
        <v>41</v>
      </c>
      <c r="E328" s="15" t="s">
        <v>1641</v>
      </c>
      <c r="F328" s="15" t="s">
        <v>1643</v>
      </c>
      <c r="G328" s="15" t="s">
        <v>1642</v>
      </c>
      <c r="H328" s="15" t="s">
        <v>1644</v>
      </c>
      <c r="I328" s="15" t="s">
        <v>46</v>
      </c>
    </row>
    <row r="329" spans="1:9" x14ac:dyDescent="0.15">
      <c r="A329" s="15" t="s">
        <v>1645</v>
      </c>
      <c r="B329" s="15"/>
      <c r="C329" s="15" t="s">
        <v>40</v>
      </c>
      <c r="D329" s="15" t="s">
        <v>41</v>
      </c>
      <c r="E329" s="15" t="s">
        <v>1646</v>
      </c>
      <c r="F329" s="15" t="s">
        <v>52</v>
      </c>
      <c r="G329" s="15" t="s">
        <v>1612</v>
      </c>
      <c r="H329" s="15" t="s">
        <v>1647</v>
      </c>
      <c r="I329" s="15" t="s">
        <v>46</v>
      </c>
    </row>
    <row r="330" spans="1:9" x14ac:dyDescent="0.15">
      <c r="A330" s="15" t="s">
        <v>1648</v>
      </c>
      <c r="B330" s="15"/>
      <c r="C330" s="15" t="s">
        <v>40</v>
      </c>
      <c r="D330" s="15" t="s">
        <v>41</v>
      </c>
      <c r="E330" s="15" t="s">
        <v>1649</v>
      </c>
      <c r="F330" s="15" t="s">
        <v>1651</v>
      </c>
      <c r="G330" s="15" t="s">
        <v>1650</v>
      </c>
      <c r="H330" s="15" t="s">
        <v>1652</v>
      </c>
      <c r="I330" s="15" t="s">
        <v>46</v>
      </c>
    </row>
    <row r="331" spans="1:9" x14ac:dyDescent="0.15">
      <c r="A331" s="15" t="s">
        <v>1653</v>
      </c>
      <c r="B331" s="15"/>
      <c r="C331" s="15" t="s">
        <v>40</v>
      </c>
      <c r="D331" s="15" t="s">
        <v>41</v>
      </c>
      <c r="E331" s="15" t="s">
        <v>1654</v>
      </c>
      <c r="F331" s="15" t="s">
        <v>1656</v>
      </c>
      <c r="G331" s="15" t="s">
        <v>1655</v>
      </c>
      <c r="H331" s="15" t="s">
        <v>1657</v>
      </c>
      <c r="I331" s="15" t="s">
        <v>1658</v>
      </c>
    </row>
    <row r="332" spans="1:9" x14ac:dyDescent="0.15">
      <c r="A332" s="15" t="s">
        <v>1659</v>
      </c>
      <c r="B332" s="15"/>
      <c r="C332" s="15" t="s">
        <v>40</v>
      </c>
      <c r="D332" s="15" t="s">
        <v>41</v>
      </c>
      <c r="E332" s="15" t="s">
        <v>1660</v>
      </c>
      <c r="F332" s="15" t="s">
        <v>1662</v>
      </c>
      <c r="G332" s="15" t="s">
        <v>1661</v>
      </c>
      <c r="H332" s="15" t="s">
        <v>1663</v>
      </c>
      <c r="I332" s="15" t="s">
        <v>1658</v>
      </c>
    </row>
    <row r="333" spans="1:9" x14ac:dyDescent="0.15">
      <c r="A333" s="15" t="s">
        <v>1664</v>
      </c>
      <c r="B333" s="15"/>
      <c r="C333" s="15" t="s">
        <v>40</v>
      </c>
      <c r="D333" s="15" t="s">
        <v>41</v>
      </c>
      <c r="E333" s="15" t="s">
        <v>1665</v>
      </c>
      <c r="F333" s="15" t="s">
        <v>1667</v>
      </c>
      <c r="G333" s="15" t="s">
        <v>1666</v>
      </c>
      <c r="H333" s="15" t="s">
        <v>1668</v>
      </c>
      <c r="I333" s="15" t="s">
        <v>1658</v>
      </c>
    </row>
    <row r="334" spans="1:9" x14ac:dyDescent="0.15">
      <c r="A334" s="15" t="s">
        <v>1669</v>
      </c>
      <c r="B334" s="15"/>
      <c r="C334" s="15" t="s">
        <v>40</v>
      </c>
      <c r="D334" s="15" t="s">
        <v>41</v>
      </c>
      <c r="E334" s="15" t="s">
        <v>1670</v>
      </c>
      <c r="F334" s="15" t="s">
        <v>1672</v>
      </c>
      <c r="G334" s="15" t="s">
        <v>1671</v>
      </c>
      <c r="H334" s="15" t="s">
        <v>1673</v>
      </c>
      <c r="I334" s="15" t="s">
        <v>1658</v>
      </c>
    </row>
    <row r="335" spans="1:9" x14ac:dyDescent="0.15">
      <c r="A335" s="15" t="s">
        <v>1674</v>
      </c>
      <c r="B335" s="15"/>
      <c r="C335" s="15" t="s">
        <v>40</v>
      </c>
      <c r="D335" s="15" t="s">
        <v>41</v>
      </c>
      <c r="E335" s="15" t="s">
        <v>1675</v>
      </c>
      <c r="F335" s="15" t="s">
        <v>1677</v>
      </c>
      <c r="G335" s="15" t="s">
        <v>1676</v>
      </c>
      <c r="H335" s="15" t="s">
        <v>1678</v>
      </c>
      <c r="I335" s="15" t="s">
        <v>1658</v>
      </c>
    </row>
    <row r="336" spans="1:9" x14ac:dyDescent="0.15">
      <c r="A336" s="15" t="s">
        <v>1679</v>
      </c>
      <c r="B336" s="15"/>
      <c r="C336" s="15" t="s">
        <v>40</v>
      </c>
      <c r="D336" s="15" t="s">
        <v>41</v>
      </c>
      <c r="E336" s="15" t="s">
        <v>1680</v>
      </c>
      <c r="F336" s="15" t="s">
        <v>1682</v>
      </c>
      <c r="G336" s="15" t="s">
        <v>1681</v>
      </c>
      <c r="H336" s="15" t="s">
        <v>1683</v>
      </c>
      <c r="I336" s="15" t="s">
        <v>1658</v>
      </c>
    </row>
    <row r="337" spans="1:9" x14ac:dyDescent="0.15">
      <c r="A337" s="15" t="s">
        <v>1684</v>
      </c>
      <c r="B337" s="15"/>
      <c r="C337" s="15" t="s">
        <v>40</v>
      </c>
      <c r="D337" s="15" t="s">
        <v>41</v>
      </c>
      <c r="E337" s="15" t="s">
        <v>1685</v>
      </c>
      <c r="F337" s="15" t="s">
        <v>1687</v>
      </c>
      <c r="G337" s="15" t="s">
        <v>1686</v>
      </c>
      <c r="H337" s="15" t="s">
        <v>1688</v>
      </c>
      <c r="I337" s="15" t="s">
        <v>1658</v>
      </c>
    </row>
    <row r="338" spans="1:9" x14ac:dyDescent="0.15">
      <c r="A338" s="15" t="s">
        <v>1689</v>
      </c>
      <c r="B338" s="15"/>
      <c r="C338" s="15" t="s">
        <v>40</v>
      </c>
      <c r="D338" s="15" t="s">
        <v>41</v>
      </c>
      <c r="E338" s="15" t="s">
        <v>1690</v>
      </c>
      <c r="F338" s="15" t="s">
        <v>1692</v>
      </c>
      <c r="G338" s="15" t="s">
        <v>1691</v>
      </c>
      <c r="H338" s="15" t="s">
        <v>1693</v>
      </c>
      <c r="I338" s="15" t="s">
        <v>1658</v>
      </c>
    </row>
    <row r="339" spans="1:9" x14ac:dyDescent="0.15">
      <c r="A339" s="15" t="s">
        <v>1694</v>
      </c>
      <c r="B339" s="15"/>
      <c r="C339" s="15" t="s">
        <v>40</v>
      </c>
      <c r="D339" s="15" t="s">
        <v>41</v>
      </c>
      <c r="E339" s="15" t="s">
        <v>1695</v>
      </c>
      <c r="F339" s="15" t="s">
        <v>1697</v>
      </c>
      <c r="G339" s="15" t="s">
        <v>1696</v>
      </c>
      <c r="H339" s="15" t="s">
        <v>1698</v>
      </c>
      <c r="I339" s="15" t="s">
        <v>1658</v>
      </c>
    </row>
    <row r="340" spans="1:9" x14ac:dyDescent="0.15">
      <c r="A340" s="15" t="s">
        <v>1699</v>
      </c>
      <c r="B340" s="15"/>
      <c r="C340" s="15" t="s">
        <v>40</v>
      </c>
      <c r="D340" s="15" t="s">
        <v>41</v>
      </c>
      <c r="E340" s="15" t="s">
        <v>1700</v>
      </c>
      <c r="F340" s="15" t="s">
        <v>1702</v>
      </c>
      <c r="G340" s="15" t="s">
        <v>1701</v>
      </c>
      <c r="H340" s="15" t="s">
        <v>1703</v>
      </c>
      <c r="I340" s="15" t="s">
        <v>1658</v>
      </c>
    </row>
    <row r="341" spans="1:9" x14ac:dyDescent="0.15">
      <c r="A341" s="15" t="s">
        <v>1704</v>
      </c>
      <c r="B341" s="15"/>
      <c r="C341" s="15" t="s">
        <v>40</v>
      </c>
      <c r="D341" s="15" t="s">
        <v>41</v>
      </c>
      <c r="E341" s="15" t="s">
        <v>1705</v>
      </c>
      <c r="F341" s="15" t="s">
        <v>1707</v>
      </c>
      <c r="G341" s="15" t="s">
        <v>1706</v>
      </c>
      <c r="H341" s="15" t="s">
        <v>1708</v>
      </c>
      <c r="I341" s="15" t="s">
        <v>1709</v>
      </c>
    </row>
    <row r="342" spans="1:9" x14ac:dyDescent="0.15">
      <c r="A342" s="15" t="s">
        <v>1710</v>
      </c>
      <c r="B342" s="15"/>
      <c r="C342" s="15" t="s">
        <v>40</v>
      </c>
      <c r="D342" s="15" t="s">
        <v>41</v>
      </c>
      <c r="E342" s="15" t="s">
        <v>1711</v>
      </c>
      <c r="F342" s="15" t="s">
        <v>1713</v>
      </c>
      <c r="G342" s="15" t="s">
        <v>1712</v>
      </c>
      <c r="H342" s="15" t="s">
        <v>1714</v>
      </c>
      <c r="I342" s="15" t="s">
        <v>1709</v>
      </c>
    </row>
    <row r="343" spans="1:9" x14ac:dyDescent="0.15">
      <c r="A343" s="15" t="s">
        <v>1715</v>
      </c>
      <c r="B343" s="15"/>
      <c r="C343" s="15" t="s">
        <v>40</v>
      </c>
      <c r="D343" s="15" t="s">
        <v>41</v>
      </c>
      <c r="E343" s="15" t="s">
        <v>1716</v>
      </c>
      <c r="F343" s="15" t="s">
        <v>1718</v>
      </c>
      <c r="G343" s="15" t="s">
        <v>1717</v>
      </c>
      <c r="H343" s="15" t="s">
        <v>1719</v>
      </c>
      <c r="I343" s="15" t="s">
        <v>1709</v>
      </c>
    </row>
    <row r="344" spans="1:9" x14ac:dyDescent="0.15">
      <c r="A344" s="15" t="s">
        <v>1720</v>
      </c>
      <c r="B344" s="15"/>
      <c r="C344" s="15" t="s">
        <v>40</v>
      </c>
      <c r="D344" s="15" t="s">
        <v>41</v>
      </c>
      <c r="E344" s="15" t="s">
        <v>1721</v>
      </c>
      <c r="F344" s="15" t="s">
        <v>1723</v>
      </c>
      <c r="G344" s="15" t="s">
        <v>1722</v>
      </c>
      <c r="H344" s="15" t="s">
        <v>1724</v>
      </c>
      <c r="I344" s="15" t="s">
        <v>1709</v>
      </c>
    </row>
    <row r="345" spans="1:9" x14ac:dyDescent="0.15">
      <c r="A345" s="15" t="s">
        <v>1725</v>
      </c>
      <c r="B345" s="15"/>
      <c r="C345" s="15" t="s">
        <v>40</v>
      </c>
      <c r="D345" s="15" t="s">
        <v>41</v>
      </c>
      <c r="E345" s="15" t="s">
        <v>1726</v>
      </c>
      <c r="F345" s="15" t="s">
        <v>1728</v>
      </c>
      <c r="G345" s="15" t="s">
        <v>1727</v>
      </c>
      <c r="H345" s="15" t="s">
        <v>1729</v>
      </c>
      <c r="I345" s="15" t="s">
        <v>1658</v>
      </c>
    </row>
    <row r="346" spans="1:9" x14ac:dyDescent="0.15">
      <c r="A346" s="15" t="s">
        <v>1730</v>
      </c>
      <c r="B346" s="15"/>
      <c r="C346" s="15" t="s">
        <v>40</v>
      </c>
      <c r="D346" s="15" t="s">
        <v>41</v>
      </c>
      <c r="E346" s="15" t="s">
        <v>1731</v>
      </c>
      <c r="F346" s="15" t="s">
        <v>1733</v>
      </c>
      <c r="G346" s="15" t="s">
        <v>1732</v>
      </c>
      <c r="H346" s="15" t="s">
        <v>1734</v>
      </c>
      <c r="I346" s="15" t="s">
        <v>1658</v>
      </c>
    </row>
    <row r="347" spans="1:9" x14ac:dyDescent="0.15">
      <c r="A347" s="15" t="s">
        <v>1735</v>
      </c>
      <c r="B347" s="15"/>
      <c r="C347" s="15" t="s">
        <v>40</v>
      </c>
      <c r="D347" s="15" t="s">
        <v>41</v>
      </c>
      <c r="E347" s="15" t="s">
        <v>1736</v>
      </c>
      <c r="F347" s="15" t="s">
        <v>1738</v>
      </c>
      <c r="G347" s="15" t="s">
        <v>1737</v>
      </c>
      <c r="H347" s="15" t="s">
        <v>1739</v>
      </c>
      <c r="I347" s="15" t="s">
        <v>1658</v>
      </c>
    </row>
    <row r="348" spans="1:9" x14ac:dyDescent="0.15">
      <c r="A348" s="15" t="s">
        <v>1740</v>
      </c>
      <c r="B348" s="15"/>
      <c r="C348" s="15" t="s">
        <v>40</v>
      </c>
      <c r="D348" s="15" t="s">
        <v>41</v>
      </c>
      <c r="E348" s="15" t="s">
        <v>1741</v>
      </c>
      <c r="F348" s="15" t="s">
        <v>1743</v>
      </c>
      <c r="G348" s="15" t="s">
        <v>1742</v>
      </c>
      <c r="H348" s="15" t="s">
        <v>1744</v>
      </c>
      <c r="I348" s="15" t="s">
        <v>1658</v>
      </c>
    </row>
    <row r="349" spans="1:9" x14ac:dyDescent="0.15">
      <c r="A349" s="15" t="s">
        <v>1745</v>
      </c>
      <c r="B349" s="15"/>
      <c r="C349" s="15" t="s">
        <v>40</v>
      </c>
      <c r="D349" s="15" t="s">
        <v>41</v>
      </c>
      <c r="E349" s="15" t="s">
        <v>1746</v>
      </c>
      <c r="F349" s="15" t="s">
        <v>1748</v>
      </c>
      <c r="G349" s="15" t="s">
        <v>1747</v>
      </c>
      <c r="H349" s="15" t="s">
        <v>1749</v>
      </c>
      <c r="I349" s="15" t="s">
        <v>1658</v>
      </c>
    </row>
    <row r="350" spans="1:9" x14ac:dyDescent="0.15">
      <c r="A350" s="15" t="s">
        <v>1750</v>
      </c>
      <c r="B350" s="15"/>
      <c r="C350" s="15" t="s">
        <v>40</v>
      </c>
      <c r="D350" s="15" t="s">
        <v>41</v>
      </c>
      <c r="E350" s="15" t="s">
        <v>1751</v>
      </c>
      <c r="F350" s="15" t="s">
        <v>1753</v>
      </c>
      <c r="G350" s="15" t="s">
        <v>1752</v>
      </c>
      <c r="H350" s="15" t="s">
        <v>1754</v>
      </c>
      <c r="I350" s="15" t="s">
        <v>1658</v>
      </c>
    </row>
    <row r="351" spans="1:9" x14ac:dyDescent="0.15">
      <c r="A351" s="15" t="s">
        <v>1755</v>
      </c>
      <c r="B351" s="15"/>
      <c r="C351" s="15" t="s">
        <v>40</v>
      </c>
      <c r="D351" s="15" t="s">
        <v>41</v>
      </c>
      <c r="E351" s="15" t="s">
        <v>1756</v>
      </c>
      <c r="F351" s="15" t="s">
        <v>1758</v>
      </c>
      <c r="G351" s="15" t="s">
        <v>1757</v>
      </c>
      <c r="H351" s="15" t="s">
        <v>1759</v>
      </c>
      <c r="I351" s="15" t="s">
        <v>1658</v>
      </c>
    </row>
    <row r="352" spans="1:9" x14ac:dyDescent="0.15">
      <c r="A352" s="15" t="s">
        <v>1760</v>
      </c>
      <c r="B352" s="15"/>
      <c r="C352" s="15" t="s">
        <v>40</v>
      </c>
      <c r="D352" s="15" t="s">
        <v>41</v>
      </c>
      <c r="E352" s="15" t="s">
        <v>1761</v>
      </c>
      <c r="F352" s="15" t="s">
        <v>1763</v>
      </c>
      <c r="G352" s="15" t="s">
        <v>1762</v>
      </c>
      <c r="H352" s="15" t="s">
        <v>1764</v>
      </c>
      <c r="I352" s="15" t="s">
        <v>1658</v>
      </c>
    </row>
    <row r="353" spans="1:9" x14ac:dyDescent="0.15">
      <c r="A353" s="15" t="s">
        <v>1765</v>
      </c>
      <c r="B353" s="15"/>
      <c r="C353" s="15" t="s">
        <v>40</v>
      </c>
      <c r="D353" s="15" t="s">
        <v>41</v>
      </c>
      <c r="E353" s="15" t="s">
        <v>1766</v>
      </c>
      <c r="F353" s="15" t="s">
        <v>1768</v>
      </c>
      <c r="G353" s="15" t="s">
        <v>1767</v>
      </c>
      <c r="H353" s="15" t="s">
        <v>1769</v>
      </c>
      <c r="I353" s="15" t="s">
        <v>1658</v>
      </c>
    </row>
    <row r="354" spans="1:9" x14ac:dyDescent="0.15">
      <c r="A354" s="15" t="s">
        <v>1770</v>
      </c>
      <c r="B354" s="15"/>
      <c r="C354" s="15" t="s">
        <v>40</v>
      </c>
      <c r="D354" s="15" t="s">
        <v>41</v>
      </c>
      <c r="E354" s="15" t="s">
        <v>1771</v>
      </c>
      <c r="F354" s="15" t="s">
        <v>1773</v>
      </c>
      <c r="G354" s="15" t="s">
        <v>1772</v>
      </c>
      <c r="H354" s="15" t="s">
        <v>1774</v>
      </c>
      <c r="I354" s="15" t="s">
        <v>1658</v>
      </c>
    </row>
    <row r="355" spans="1:9" x14ac:dyDescent="0.15">
      <c r="A355" s="15" t="s">
        <v>1775</v>
      </c>
      <c r="B355" s="15"/>
      <c r="C355" s="15" t="s">
        <v>40</v>
      </c>
      <c r="D355" s="15" t="s">
        <v>41</v>
      </c>
      <c r="E355" s="15" t="s">
        <v>1776</v>
      </c>
      <c r="F355" s="15" t="s">
        <v>52</v>
      </c>
      <c r="G355" s="15" t="s">
        <v>1777</v>
      </c>
      <c r="H355" s="15" t="s">
        <v>1778</v>
      </c>
      <c r="I355" s="15" t="s">
        <v>1658</v>
      </c>
    </row>
    <row r="356" spans="1:9" x14ac:dyDescent="0.15">
      <c r="A356" s="15" t="s">
        <v>1779</v>
      </c>
      <c r="B356" s="15"/>
      <c r="C356" s="15" t="s">
        <v>40</v>
      </c>
      <c r="D356" s="15" t="s">
        <v>41</v>
      </c>
      <c r="E356" s="15" t="s">
        <v>1780</v>
      </c>
      <c r="F356" s="15" t="s">
        <v>1782</v>
      </c>
      <c r="G356" s="15" t="s">
        <v>1781</v>
      </c>
      <c r="H356" s="15" t="s">
        <v>1783</v>
      </c>
      <c r="I356" s="15" t="s">
        <v>1658</v>
      </c>
    </row>
    <row r="357" spans="1:9" x14ac:dyDescent="0.15">
      <c r="A357" s="15" t="s">
        <v>1784</v>
      </c>
      <c r="B357" s="15"/>
      <c r="C357" s="15" t="s">
        <v>40</v>
      </c>
      <c r="D357" s="15" t="s">
        <v>41</v>
      </c>
      <c r="E357" s="15" t="s">
        <v>1785</v>
      </c>
      <c r="F357" s="15" t="s">
        <v>1786</v>
      </c>
      <c r="G357" s="15" t="s">
        <v>20</v>
      </c>
      <c r="H357" s="15" t="s">
        <v>1787</v>
      </c>
      <c r="I357" s="15" t="s">
        <v>1658</v>
      </c>
    </row>
    <row r="358" spans="1:9" x14ac:dyDescent="0.15">
      <c r="A358" s="15" t="s">
        <v>1788</v>
      </c>
      <c r="B358" s="15"/>
      <c r="C358" s="15" t="s">
        <v>40</v>
      </c>
      <c r="D358" s="15" t="s">
        <v>41</v>
      </c>
      <c r="E358" s="15" t="s">
        <v>1789</v>
      </c>
      <c r="F358" s="15" t="s">
        <v>1791</v>
      </c>
      <c r="G358" s="15" t="s">
        <v>1790</v>
      </c>
      <c r="H358" s="15" t="s">
        <v>1792</v>
      </c>
      <c r="I358" s="15" t="s">
        <v>1658</v>
      </c>
    </row>
    <row r="359" spans="1:9" x14ac:dyDescent="0.15">
      <c r="A359" s="15" t="s">
        <v>1793</v>
      </c>
      <c r="B359" s="15"/>
      <c r="C359" s="15" t="s">
        <v>40</v>
      </c>
      <c r="D359" s="15" t="s">
        <v>41</v>
      </c>
      <c r="E359" s="15" t="s">
        <v>1794</v>
      </c>
      <c r="F359" s="15" t="s">
        <v>1796</v>
      </c>
      <c r="G359" s="15" t="s">
        <v>1795</v>
      </c>
      <c r="H359" s="15" t="s">
        <v>1797</v>
      </c>
      <c r="I359" s="15" t="s">
        <v>1709</v>
      </c>
    </row>
    <row r="360" spans="1:9" x14ac:dyDescent="0.15">
      <c r="A360" s="15" t="s">
        <v>1798</v>
      </c>
      <c r="B360" s="15"/>
      <c r="C360" s="15" t="s">
        <v>40</v>
      </c>
      <c r="D360" s="15" t="s">
        <v>41</v>
      </c>
      <c r="E360" s="15" t="s">
        <v>1799</v>
      </c>
      <c r="F360" s="15" t="s">
        <v>1801</v>
      </c>
      <c r="G360" s="15" t="s">
        <v>1800</v>
      </c>
      <c r="H360" s="15" t="s">
        <v>1802</v>
      </c>
      <c r="I360" s="15" t="s">
        <v>1709</v>
      </c>
    </row>
    <row r="361" spans="1:9" x14ac:dyDescent="0.15">
      <c r="A361" s="15" t="s">
        <v>1803</v>
      </c>
      <c r="B361" s="15"/>
      <c r="C361" s="15" t="s">
        <v>40</v>
      </c>
      <c r="D361" s="15" t="s">
        <v>41</v>
      </c>
      <c r="E361" s="15" t="s">
        <v>1804</v>
      </c>
      <c r="F361" s="15" t="s">
        <v>1806</v>
      </c>
      <c r="G361" s="15" t="s">
        <v>1805</v>
      </c>
      <c r="H361" s="15" t="s">
        <v>1807</v>
      </c>
      <c r="I361" s="15" t="s">
        <v>1709</v>
      </c>
    </row>
    <row r="362" spans="1:9" x14ac:dyDescent="0.15">
      <c r="A362" s="15" t="s">
        <v>1808</v>
      </c>
      <c r="B362" s="15"/>
      <c r="C362" s="15" t="s">
        <v>40</v>
      </c>
      <c r="D362" s="15" t="s">
        <v>41</v>
      </c>
      <c r="E362" s="15" t="s">
        <v>1809</v>
      </c>
      <c r="F362" s="15" t="s">
        <v>1811</v>
      </c>
      <c r="G362" s="15" t="s">
        <v>1810</v>
      </c>
      <c r="H362" s="15" t="s">
        <v>1812</v>
      </c>
      <c r="I362" s="15" t="s">
        <v>1709</v>
      </c>
    </row>
    <row r="363" spans="1:9" x14ac:dyDescent="0.15">
      <c r="A363" s="15" t="s">
        <v>1813</v>
      </c>
      <c r="B363" s="15"/>
      <c r="C363" s="15" t="s">
        <v>40</v>
      </c>
      <c r="D363" s="15" t="s">
        <v>41</v>
      </c>
      <c r="E363" s="15" t="s">
        <v>1814</v>
      </c>
      <c r="F363" s="15" t="s">
        <v>1816</v>
      </c>
      <c r="G363" s="15" t="s">
        <v>1815</v>
      </c>
      <c r="H363" s="15" t="s">
        <v>1817</v>
      </c>
      <c r="I363" s="15" t="s">
        <v>1709</v>
      </c>
    </row>
    <row r="364" spans="1:9" x14ac:dyDescent="0.15">
      <c r="A364" s="15" t="s">
        <v>1818</v>
      </c>
      <c r="B364" s="15"/>
      <c r="C364" s="15" t="s">
        <v>40</v>
      </c>
      <c r="D364" s="15" t="s">
        <v>41</v>
      </c>
      <c r="E364" s="15" t="s">
        <v>1819</v>
      </c>
      <c r="F364" s="15" t="s">
        <v>52</v>
      </c>
      <c r="G364" s="15" t="s">
        <v>1820</v>
      </c>
      <c r="H364" s="15" t="s">
        <v>1821</v>
      </c>
      <c r="I364" s="15" t="s">
        <v>1709</v>
      </c>
    </row>
    <row r="365" spans="1:9" x14ac:dyDescent="0.15">
      <c r="A365" s="15" t="s">
        <v>1822</v>
      </c>
      <c r="B365" s="15"/>
      <c r="C365" s="15" t="s">
        <v>40</v>
      </c>
      <c r="D365" s="15" t="s">
        <v>41</v>
      </c>
      <c r="E365" s="15" t="s">
        <v>1823</v>
      </c>
      <c r="F365" s="15" t="s">
        <v>1825</v>
      </c>
      <c r="G365" s="15" t="s">
        <v>1824</v>
      </c>
      <c r="H365" s="15" t="s">
        <v>1826</v>
      </c>
      <c r="I365" s="15" t="s">
        <v>1709</v>
      </c>
    </row>
    <row r="366" spans="1:9" x14ac:dyDescent="0.15">
      <c r="A366" s="15" t="s">
        <v>1827</v>
      </c>
      <c r="B366" s="15"/>
      <c r="C366" s="15" t="s">
        <v>40</v>
      </c>
      <c r="D366" s="15" t="s">
        <v>41</v>
      </c>
      <c r="E366" s="15" t="s">
        <v>1828</v>
      </c>
      <c r="F366" s="15" t="s">
        <v>1830</v>
      </c>
      <c r="G366" s="15" t="s">
        <v>1829</v>
      </c>
      <c r="H366" s="15" t="s">
        <v>1831</v>
      </c>
      <c r="I366" s="15" t="s">
        <v>1709</v>
      </c>
    </row>
    <row r="367" spans="1:9" x14ac:dyDescent="0.15">
      <c r="A367" s="15" t="s">
        <v>1832</v>
      </c>
      <c r="B367" s="15"/>
      <c r="C367" s="15" t="s">
        <v>40</v>
      </c>
      <c r="D367" s="15" t="s">
        <v>41</v>
      </c>
      <c r="E367" s="15" t="s">
        <v>1833</v>
      </c>
      <c r="F367" s="15" t="s">
        <v>1835</v>
      </c>
      <c r="G367" s="15" t="s">
        <v>1834</v>
      </c>
      <c r="H367" s="15" t="s">
        <v>1836</v>
      </c>
      <c r="I367" s="15" t="s">
        <v>1709</v>
      </c>
    </row>
    <row r="368" spans="1:9" x14ac:dyDescent="0.15">
      <c r="A368" s="15" t="s">
        <v>1837</v>
      </c>
      <c r="B368" s="15"/>
      <c r="C368" s="15" t="s">
        <v>40</v>
      </c>
      <c r="D368" s="15" t="s">
        <v>41</v>
      </c>
      <c r="E368" s="15" t="s">
        <v>1838</v>
      </c>
      <c r="F368" s="15" t="s">
        <v>1840</v>
      </c>
      <c r="G368" s="15" t="s">
        <v>1839</v>
      </c>
      <c r="H368" s="15" t="s">
        <v>1841</v>
      </c>
      <c r="I368" s="15" t="s">
        <v>1709</v>
      </c>
    </row>
    <row r="369" spans="1:9" x14ac:dyDescent="0.15">
      <c r="A369" s="15" t="s">
        <v>1842</v>
      </c>
      <c r="B369" s="15"/>
      <c r="C369" s="15" t="s">
        <v>40</v>
      </c>
      <c r="D369" s="15" t="s">
        <v>41</v>
      </c>
      <c r="E369" s="15" t="s">
        <v>1843</v>
      </c>
      <c r="F369" s="15" t="s">
        <v>1845</v>
      </c>
      <c r="G369" s="15" t="s">
        <v>1844</v>
      </c>
      <c r="H369" s="15" t="s">
        <v>1846</v>
      </c>
      <c r="I369" s="15" t="s">
        <v>1709</v>
      </c>
    </row>
    <row r="370" spans="1:9" x14ac:dyDescent="0.15">
      <c r="A370" s="15" t="s">
        <v>1847</v>
      </c>
      <c r="B370" s="15"/>
      <c r="C370" s="15" t="s">
        <v>40</v>
      </c>
      <c r="D370" s="15" t="s">
        <v>41</v>
      </c>
      <c r="E370" s="15" t="s">
        <v>1848</v>
      </c>
      <c r="F370" s="15" t="s">
        <v>1850</v>
      </c>
      <c r="G370" s="15" t="s">
        <v>1849</v>
      </c>
      <c r="H370" s="15" t="s">
        <v>1851</v>
      </c>
      <c r="I370" s="15" t="s">
        <v>1709</v>
      </c>
    </row>
    <row r="371" spans="1:9" x14ac:dyDescent="0.15">
      <c r="A371" s="15" t="s">
        <v>1852</v>
      </c>
      <c r="B371" s="15"/>
      <c r="C371" s="15" t="s">
        <v>40</v>
      </c>
      <c r="D371" s="15" t="s">
        <v>41</v>
      </c>
      <c r="E371" s="15" t="s">
        <v>1853</v>
      </c>
      <c r="F371" s="15" t="s">
        <v>1855</v>
      </c>
      <c r="G371" s="15" t="s">
        <v>1854</v>
      </c>
      <c r="H371" s="15" t="s">
        <v>1856</v>
      </c>
      <c r="I371" s="15" t="s">
        <v>1709</v>
      </c>
    </row>
    <row r="372" spans="1:9" x14ac:dyDescent="0.15">
      <c r="A372" s="15" t="s">
        <v>1857</v>
      </c>
      <c r="B372" s="15"/>
      <c r="C372" s="15" t="s">
        <v>40</v>
      </c>
      <c r="D372" s="15" t="s">
        <v>41</v>
      </c>
      <c r="E372" s="15" t="s">
        <v>1858</v>
      </c>
      <c r="F372" s="15" t="s">
        <v>1860</v>
      </c>
      <c r="G372" s="15" t="s">
        <v>1859</v>
      </c>
      <c r="H372" s="15" t="s">
        <v>1861</v>
      </c>
      <c r="I372" s="15" t="s">
        <v>1709</v>
      </c>
    </row>
    <row r="373" spans="1:9" x14ac:dyDescent="0.15">
      <c r="A373" s="15" t="s">
        <v>1862</v>
      </c>
      <c r="B373" s="15"/>
      <c r="C373" s="15" t="s">
        <v>40</v>
      </c>
      <c r="D373" s="15" t="s">
        <v>41</v>
      </c>
      <c r="E373" s="15" t="s">
        <v>1863</v>
      </c>
      <c r="F373" s="15" t="s">
        <v>1865</v>
      </c>
      <c r="G373" s="15" t="s">
        <v>1864</v>
      </c>
      <c r="H373" s="15" t="s">
        <v>1866</v>
      </c>
      <c r="I373" s="15" t="s">
        <v>1709</v>
      </c>
    </row>
    <row r="374" spans="1:9" x14ac:dyDescent="0.15">
      <c r="A374" s="15" t="s">
        <v>1867</v>
      </c>
      <c r="B374" s="15"/>
      <c r="C374" s="15" t="s">
        <v>40</v>
      </c>
      <c r="D374" s="15" t="s">
        <v>41</v>
      </c>
      <c r="E374" s="15" t="s">
        <v>1868</v>
      </c>
      <c r="F374" s="15" t="s">
        <v>1870</v>
      </c>
      <c r="G374" s="15" t="s">
        <v>1869</v>
      </c>
      <c r="H374" s="15" t="s">
        <v>1871</v>
      </c>
      <c r="I374" s="15" t="s">
        <v>1709</v>
      </c>
    </row>
    <row r="375" spans="1:9" x14ac:dyDescent="0.15">
      <c r="A375" s="15" t="s">
        <v>1872</v>
      </c>
      <c r="B375" s="15"/>
      <c r="C375" s="15" t="s">
        <v>40</v>
      </c>
      <c r="D375" s="15" t="s">
        <v>41</v>
      </c>
      <c r="E375" s="15" t="s">
        <v>1873</v>
      </c>
      <c r="F375" s="15" t="s">
        <v>1875</v>
      </c>
      <c r="G375" s="15" t="s">
        <v>1874</v>
      </c>
      <c r="H375" s="15" t="s">
        <v>1876</v>
      </c>
      <c r="I375" s="15" t="s">
        <v>1709</v>
      </c>
    </row>
    <row r="376" spans="1:9" x14ac:dyDescent="0.15">
      <c r="A376" s="15" t="s">
        <v>1877</v>
      </c>
      <c r="B376" s="15"/>
      <c r="C376" s="15" t="s">
        <v>40</v>
      </c>
      <c r="D376" s="15" t="s">
        <v>41</v>
      </c>
      <c r="E376" s="15" t="s">
        <v>1878</v>
      </c>
      <c r="F376" s="15" t="s">
        <v>1880</v>
      </c>
      <c r="G376" s="15" t="s">
        <v>1879</v>
      </c>
      <c r="H376" s="15" t="s">
        <v>1881</v>
      </c>
      <c r="I376" s="15" t="s">
        <v>1709</v>
      </c>
    </row>
    <row r="377" spans="1:9" x14ac:dyDescent="0.15">
      <c r="A377" s="15" t="s">
        <v>1882</v>
      </c>
      <c r="B377" s="15"/>
      <c r="C377" s="15" t="s">
        <v>40</v>
      </c>
      <c r="D377" s="15" t="s">
        <v>41</v>
      </c>
      <c r="E377" s="15" t="s">
        <v>1883</v>
      </c>
      <c r="F377" s="15" t="s">
        <v>1885</v>
      </c>
      <c r="G377" s="15" t="s">
        <v>1884</v>
      </c>
      <c r="H377" s="15" t="s">
        <v>1886</v>
      </c>
      <c r="I377" s="15" t="s">
        <v>1709</v>
      </c>
    </row>
    <row r="378" spans="1:9" x14ac:dyDescent="0.15">
      <c r="A378" s="15" t="s">
        <v>1887</v>
      </c>
      <c r="B378" s="15"/>
      <c r="C378" s="15" t="s">
        <v>40</v>
      </c>
      <c r="D378" s="15" t="s">
        <v>41</v>
      </c>
      <c r="E378" s="15" t="s">
        <v>1888</v>
      </c>
      <c r="F378" s="15" t="s">
        <v>1890</v>
      </c>
      <c r="G378" s="15" t="s">
        <v>1889</v>
      </c>
      <c r="H378" s="15" t="s">
        <v>1891</v>
      </c>
      <c r="I378" s="15" t="s">
        <v>1709</v>
      </c>
    </row>
    <row r="379" spans="1:9" x14ac:dyDescent="0.15">
      <c r="A379" s="15" t="s">
        <v>1892</v>
      </c>
      <c r="B379" s="15"/>
      <c r="C379" s="15" t="s">
        <v>40</v>
      </c>
      <c r="D379" s="15" t="s">
        <v>41</v>
      </c>
      <c r="E379" s="15" t="s">
        <v>1893</v>
      </c>
      <c r="F379" s="15" t="s">
        <v>1895</v>
      </c>
      <c r="G379" s="15" t="s">
        <v>1894</v>
      </c>
      <c r="H379" s="15" t="s">
        <v>1896</v>
      </c>
      <c r="I379" s="15" t="s">
        <v>1709</v>
      </c>
    </row>
    <row r="380" spans="1:9" x14ac:dyDescent="0.15">
      <c r="A380" s="15" t="s">
        <v>1897</v>
      </c>
      <c r="B380" s="15"/>
      <c r="C380" s="15" t="s">
        <v>40</v>
      </c>
      <c r="D380" s="15" t="s">
        <v>41</v>
      </c>
      <c r="E380" s="15" t="s">
        <v>1898</v>
      </c>
      <c r="F380" s="15" t="s">
        <v>1900</v>
      </c>
      <c r="G380" s="15" t="s">
        <v>1899</v>
      </c>
      <c r="H380" s="15" t="s">
        <v>1901</v>
      </c>
      <c r="I380" s="15" t="s">
        <v>346</v>
      </c>
    </row>
    <row r="381" spans="1:9" x14ac:dyDescent="0.15">
      <c r="A381" s="15" t="s">
        <v>1902</v>
      </c>
      <c r="B381" s="15"/>
      <c r="C381" s="15" t="s">
        <v>40</v>
      </c>
      <c r="D381" s="15" t="s">
        <v>41</v>
      </c>
      <c r="E381" s="15" t="s">
        <v>1903</v>
      </c>
      <c r="F381" s="15" t="s">
        <v>1905</v>
      </c>
      <c r="G381" s="15" t="s">
        <v>1904</v>
      </c>
      <c r="H381" s="15" t="s">
        <v>1906</v>
      </c>
      <c r="I381" s="15" t="s">
        <v>346</v>
      </c>
    </row>
    <row r="382" spans="1:9" x14ac:dyDescent="0.15">
      <c r="A382" s="15" t="s">
        <v>1907</v>
      </c>
      <c r="B382" s="15"/>
      <c r="C382" s="15" t="s">
        <v>40</v>
      </c>
      <c r="D382" s="15" t="s">
        <v>41</v>
      </c>
      <c r="E382" s="15" t="s">
        <v>1908</v>
      </c>
      <c r="F382" s="15" t="s">
        <v>1910</v>
      </c>
      <c r="G382" s="15" t="s">
        <v>1909</v>
      </c>
      <c r="H382" s="15" t="s">
        <v>1911</v>
      </c>
      <c r="I382" s="15" t="s">
        <v>346</v>
      </c>
    </row>
    <row r="383" spans="1:9" x14ac:dyDescent="0.15">
      <c r="A383" s="15" t="s">
        <v>1912</v>
      </c>
      <c r="B383" s="15"/>
      <c r="C383" s="15" t="s">
        <v>40</v>
      </c>
      <c r="D383" s="15" t="s">
        <v>41</v>
      </c>
      <c r="E383" s="15" t="s">
        <v>1913</v>
      </c>
      <c r="F383" s="15" t="s">
        <v>1915</v>
      </c>
      <c r="G383" s="15" t="s">
        <v>1914</v>
      </c>
      <c r="H383" s="15" t="s">
        <v>1916</v>
      </c>
      <c r="I383" s="15" t="s">
        <v>346</v>
      </c>
    </row>
    <row r="384" spans="1:9" x14ac:dyDescent="0.15">
      <c r="A384" s="15" t="s">
        <v>1917</v>
      </c>
      <c r="B384" s="15"/>
      <c r="C384" s="15" t="s">
        <v>40</v>
      </c>
      <c r="D384" s="15" t="s">
        <v>41</v>
      </c>
      <c r="E384" s="15" t="s">
        <v>1918</v>
      </c>
      <c r="F384" s="15" t="s">
        <v>1920</v>
      </c>
      <c r="G384" s="15" t="s">
        <v>1919</v>
      </c>
      <c r="H384" s="15" t="s">
        <v>1921</v>
      </c>
      <c r="I384" s="15" t="s">
        <v>346</v>
      </c>
    </row>
    <row r="385" spans="1:9" x14ac:dyDescent="0.15">
      <c r="A385" s="15" t="s">
        <v>1922</v>
      </c>
      <c r="B385" s="15"/>
      <c r="C385" s="15" t="s">
        <v>40</v>
      </c>
      <c r="D385" s="15" t="s">
        <v>41</v>
      </c>
      <c r="E385" s="15" t="s">
        <v>1923</v>
      </c>
      <c r="F385" s="15" t="s">
        <v>1925</v>
      </c>
      <c r="G385" s="15" t="s">
        <v>1924</v>
      </c>
      <c r="H385" s="15" t="s">
        <v>1926</v>
      </c>
      <c r="I385" s="15" t="s">
        <v>346</v>
      </c>
    </row>
    <row r="386" spans="1:9" x14ac:dyDescent="0.15">
      <c r="A386" s="15" t="s">
        <v>1927</v>
      </c>
      <c r="B386" s="15"/>
      <c r="C386" s="15" t="s">
        <v>40</v>
      </c>
      <c r="D386" s="15" t="s">
        <v>41</v>
      </c>
      <c r="E386" s="15" t="s">
        <v>1928</v>
      </c>
      <c r="F386" s="15" t="s">
        <v>1929</v>
      </c>
      <c r="G386" s="15" t="s">
        <v>359</v>
      </c>
      <c r="H386" s="15" t="s">
        <v>1930</v>
      </c>
      <c r="I386" s="15" t="s">
        <v>346</v>
      </c>
    </row>
    <row r="387" spans="1:9" x14ac:dyDescent="0.15">
      <c r="A387" s="15" t="s">
        <v>1931</v>
      </c>
      <c r="B387" s="15"/>
      <c r="C387" s="15" t="s">
        <v>40</v>
      </c>
      <c r="D387" s="15" t="s">
        <v>41</v>
      </c>
      <c r="E387" s="15" t="s">
        <v>1932</v>
      </c>
      <c r="F387" s="15" t="s">
        <v>1934</v>
      </c>
      <c r="G387" s="15" t="s">
        <v>1933</v>
      </c>
      <c r="H387" s="15" t="s">
        <v>1935</v>
      </c>
      <c r="I387" s="15" t="s">
        <v>346</v>
      </c>
    </row>
    <row r="388" spans="1:9" x14ac:dyDescent="0.15">
      <c r="A388" s="15" t="s">
        <v>1936</v>
      </c>
      <c r="B388" s="15"/>
      <c r="C388" s="15" t="s">
        <v>40</v>
      </c>
      <c r="D388" s="15" t="s">
        <v>41</v>
      </c>
      <c r="E388" s="15" t="s">
        <v>1937</v>
      </c>
      <c r="F388" s="15" t="s">
        <v>1939</v>
      </c>
      <c r="G388" s="15" t="s">
        <v>1938</v>
      </c>
      <c r="H388" s="15" t="s">
        <v>1940</v>
      </c>
      <c r="I388" s="15" t="s">
        <v>1709</v>
      </c>
    </row>
    <row r="389" spans="1:9" x14ac:dyDescent="0.15">
      <c r="A389" s="15" t="s">
        <v>1941</v>
      </c>
      <c r="B389" s="15"/>
      <c r="C389" s="15" t="s">
        <v>40</v>
      </c>
      <c r="D389" s="15" t="s">
        <v>41</v>
      </c>
      <c r="E389" s="15" t="s">
        <v>1942</v>
      </c>
      <c r="F389" s="15" t="s">
        <v>1944</v>
      </c>
      <c r="G389" s="15" t="s">
        <v>1943</v>
      </c>
      <c r="H389" s="15" t="s">
        <v>1945</v>
      </c>
      <c r="I389" s="15" t="s">
        <v>1709</v>
      </c>
    </row>
    <row r="390" spans="1:9" x14ac:dyDescent="0.15">
      <c r="A390" s="15" t="s">
        <v>1946</v>
      </c>
      <c r="B390" s="15"/>
      <c r="C390" s="15" t="s">
        <v>40</v>
      </c>
      <c r="D390" s="15" t="s">
        <v>41</v>
      </c>
      <c r="E390" s="15" t="s">
        <v>1947</v>
      </c>
      <c r="F390" s="15" t="s">
        <v>1949</v>
      </c>
      <c r="G390" s="15" t="s">
        <v>1948</v>
      </c>
      <c r="H390" s="15" t="s">
        <v>1950</v>
      </c>
      <c r="I390" s="15" t="s">
        <v>1709</v>
      </c>
    </row>
    <row r="391" spans="1:9" x14ac:dyDescent="0.15">
      <c r="A391" s="15" t="s">
        <v>1951</v>
      </c>
      <c r="B391" s="15"/>
      <c r="C391" s="15" t="s">
        <v>40</v>
      </c>
      <c r="D391" s="15" t="s">
        <v>41</v>
      </c>
      <c r="E391" s="15" t="s">
        <v>1952</v>
      </c>
      <c r="F391" s="15" t="s">
        <v>1954</v>
      </c>
      <c r="G391" s="15" t="s">
        <v>1953</v>
      </c>
      <c r="H391" s="15" t="s">
        <v>1955</v>
      </c>
      <c r="I391" s="15" t="s">
        <v>1709</v>
      </c>
    </row>
    <row r="392" spans="1:9" x14ac:dyDescent="0.15">
      <c r="A392" s="15" t="s">
        <v>1956</v>
      </c>
      <c r="B392" s="15"/>
      <c r="C392" s="15" t="s">
        <v>40</v>
      </c>
      <c r="D392" s="15" t="s">
        <v>41</v>
      </c>
      <c r="E392" s="15" t="s">
        <v>1957</v>
      </c>
      <c r="F392" s="15" t="s">
        <v>1959</v>
      </c>
      <c r="G392" s="15" t="s">
        <v>1958</v>
      </c>
      <c r="H392" s="15" t="s">
        <v>1960</v>
      </c>
      <c r="I392" s="15" t="s">
        <v>1709</v>
      </c>
    </row>
    <row r="393" spans="1:9" x14ac:dyDescent="0.15">
      <c r="A393" s="15" t="s">
        <v>1961</v>
      </c>
      <c r="B393" s="15"/>
      <c r="C393" s="15" t="s">
        <v>40</v>
      </c>
      <c r="D393" s="15" t="s">
        <v>41</v>
      </c>
      <c r="E393" s="15" t="s">
        <v>1962</v>
      </c>
      <c r="F393" s="15" t="s">
        <v>1964</v>
      </c>
      <c r="G393" s="15" t="s">
        <v>1963</v>
      </c>
      <c r="H393" s="15" t="s">
        <v>1965</v>
      </c>
      <c r="I393" s="15" t="s">
        <v>1709</v>
      </c>
    </row>
    <row r="394" spans="1:9" x14ac:dyDescent="0.15">
      <c r="A394" s="15" t="s">
        <v>1966</v>
      </c>
      <c r="B394" s="15"/>
      <c r="C394" s="15" t="s">
        <v>40</v>
      </c>
      <c r="D394" s="15" t="s">
        <v>41</v>
      </c>
      <c r="E394" s="15" t="s">
        <v>1967</v>
      </c>
      <c r="F394" s="15" t="s">
        <v>1969</v>
      </c>
      <c r="G394" s="15" t="s">
        <v>1968</v>
      </c>
      <c r="H394" s="15" t="s">
        <v>1970</v>
      </c>
      <c r="I394" s="15" t="s">
        <v>1709</v>
      </c>
    </row>
    <row r="395" spans="1:9" x14ac:dyDescent="0.15">
      <c r="A395" s="15" t="s">
        <v>1971</v>
      </c>
      <c r="B395" s="15"/>
      <c r="C395" s="15" t="s">
        <v>40</v>
      </c>
      <c r="D395" s="15" t="s">
        <v>41</v>
      </c>
      <c r="E395" s="15" t="s">
        <v>1972</v>
      </c>
      <c r="F395" s="15" t="s">
        <v>1974</v>
      </c>
      <c r="G395" s="15" t="s">
        <v>1973</v>
      </c>
      <c r="H395" s="15" t="s">
        <v>1975</v>
      </c>
      <c r="I395" s="15" t="s">
        <v>1709</v>
      </c>
    </row>
    <row r="396" spans="1:9" x14ac:dyDescent="0.15">
      <c r="A396" s="15" t="s">
        <v>1976</v>
      </c>
      <c r="B396" s="15"/>
      <c r="C396" s="15" t="s">
        <v>40</v>
      </c>
      <c r="D396" s="15" t="s">
        <v>41</v>
      </c>
      <c r="E396" s="15" t="s">
        <v>1977</v>
      </c>
      <c r="F396" s="15" t="s">
        <v>1979</v>
      </c>
      <c r="G396" s="15" t="s">
        <v>1978</v>
      </c>
      <c r="H396" s="15" t="s">
        <v>1980</v>
      </c>
      <c r="I396" s="15" t="s">
        <v>1709</v>
      </c>
    </row>
    <row r="397" spans="1:9" x14ac:dyDescent="0.15">
      <c r="A397" s="15" t="s">
        <v>1981</v>
      </c>
      <c r="B397" s="15"/>
      <c r="C397" s="15" t="s">
        <v>40</v>
      </c>
      <c r="D397" s="15" t="s">
        <v>41</v>
      </c>
      <c r="E397" s="15" t="s">
        <v>1982</v>
      </c>
      <c r="F397" s="15" t="s">
        <v>1983</v>
      </c>
      <c r="G397" s="15" t="s">
        <v>1978</v>
      </c>
      <c r="H397" s="15" t="s">
        <v>1984</v>
      </c>
      <c r="I397" s="15" t="s">
        <v>1709</v>
      </c>
    </row>
    <row r="398" spans="1:9" x14ac:dyDescent="0.15">
      <c r="A398" s="15" t="s">
        <v>1985</v>
      </c>
      <c r="B398" s="15"/>
      <c r="C398" s="15" t="s">
        <v>40</v>
      </c>
      <c r="D398" s="15" t="s">
        <v>41</v>
      </c>
      <c r="E398" s="15" t="s">
        <v>1986</v>
      </c>
      <c r="F398" s="15" t="s">
        <v>1988</v>
      </c>
      <c r="G398" s="15" t="s">
        <v>1987</v>
      </c>
      <c r="H398" s="15" t="s">
        <v>1989</v>
      </c>
      <c r="I398" s="15" t="s">
        <v>1709</v>
      </c>
    </row>
    <row r="399" spans="1:9" x14ac:dyDescent="0.15">
      <c r="A399" s="15" t="s">
        <v>1990</v>
      </c>
      <c r="B399" s="15"/>
      <c r="C399" s="15" t="s">
        <v>40</v>
      </c>
      <c r="D399" s="15" t="s">
        <v>41</v>
      </c>
      <c r="E399" s="15" t="s">
        <v>1991</v>
      </c>
      <c r="F399" s="15" t="s">
        <v>1993</v>
      </c>
      <c r="G399" s="15" t="s">
        <v>1992</v>
      </c>
      <c r="H399" s="15" t="s">
        <v>1994</v>
      </c>
      <c r="I399" s="15" t="s">
        <v>1709</v>
      </c>
    </row>
    <row r="400" spans="1:9" x14ac:dyDescent="0.15">
      <c r="A400" s="15" t="s">
        <v>1995</v>
      </c>
      <c r="B400" s="15"/>
      <c r="C400" s="15" t="s">
        <v>40</v>
      </c>
      <c r="D400" s="15" t="s">
        <v>41</v>
      </c>
      <c r="E400" s="15" t="s">
        <v>1996</v>
      </c>
      <c r="F400" s="15" t="s">
        <v>52</v>
      </c>
      <c r="G400" s="15" t="s">
        <v>1997</v>
      </c>
      <c r="H400" s="15" t="s">
        <v>1998</v>
      </c>
      <c r="I400" s="15" t="s">
        <v>1709</v>
      </c>
    </row>
    <row r="401" spans="1:9" x14ac:dyDescent="0.15">
      <c r="A401" s="15" t="s">
        <v>1999</v>
      </c>
      <c r="B401" s="15"/>
      <c r="C401" s="15" t="s">
        <v>40</v>
      </c>
      <c r="D401" s="15" t="s">
        <v>41</v>
      </c>
      <c r="E401" s="15" t="s">
        <v>2000</v>
      </c>
      <c r="F401" s="15" t="s">
        <v>2002</v>
      </c>
      <c r="G401" s="15" t="s">
        <v>2001</v>
      </c>
      <c r="H401" s="15" t="s">
        <v>2003</v>
      </c>
      <c r="I401" s="15" t="s">
        <v>346</v>
      </c>
    </row>
    <row r="402" spans="1:9" x14ac:dyDescent="0.15">
      <c r="A402" s="15" t="s">
        <v>2004</v>
      </c>
      <c r="B402" s="15"/>
      <c r="C402" s="15" t="s">
        <v>40</v>
      </c>
      <c r="D402" s="15" t="s">
        <v>41</v>
      </c>
      <c r="E402" s="15" t="s">
        <v>2005</v>
      </c>
      <c r="F402" s="15" t="s">
        <v>2007</v>
      </c>
      <c r="G402" s="15" t="s">
        <v>2006</v>
      </c>
      <c r="H402" s="15" t="s">
        <v>2008</v>
      </c>
      <c r="I402" s="15" t="s">
        <v>346</v>
      </c>
    </row>
    <row r="403" spans="1:9" x14ac:dyDescent="0.15">
      <c r="A403" s="15" t="s">
        <v>2009</v>
      </c>
      <c r="B403" s="15"/>
      <c r="C403" s="15" t="s">
        <v>40</v>
      </c>
      <c r="D403" s="15" t="s">
        <v>41</v>
      </c>
      <c r="E403" s="15" t="s">
        <v>2010</v>
      </c>
      <c r="F403" s="15" t="s">
        <v>2012</v>
      </c>
      <c r="G403" s="15" t="s">
        <v>2011</v>
      </c>
      <c r="H403" s="15" t="s">
        <v>2013</v>
      </c>
      <c r="I403" s="15" t="s">
        <v>346</v>
      </c>
    </row>
    <row r="404" spans="1:9" x14ac:dyDescent="0.15">
      <c r="A404" s="15" t="s">
        <v>2014</v>
      </c>
      <c r="B404" s="15"/>
      <c r="C404" s="15" t="s">
        <v>40</v>
      </c>
      <c r="D404" s="15" t="s">
        <v>41</v>
      </c>
      <c r="E404" s="15" t="s">
        <v>2015</v>
      </c>
      <c r="F404" s="15" t="s">
        <v>2017</v>
      </c>
      <c r="G404" s="15" t="s">
        <v>2016</v>
      </c>
      <c r="H404" s="15" t="s">
        <v>2018</v>
      </c>
      <c r="I404" s="15" t="s">
        <v>346</v>
      </c>
    </row>
    <row r="405" spans="1:9" x14ac:dyDescent="0.15">
      <c r="A405" s="15" t="s">
        <v>2019</v>
      </c>
      <c r="B405" s="15"/>
      <c r="C405" s="15" t="s">
        <v>40</v>
      </c>
      <c r="D405" s="15" t="s">
        <v>41</v>
      </c>
      <c r="E405" s="15" t="s">
        <v>2020</v>
      </c>
      <c r="F405" s="15" t="s">
        <v>2022</v>
      </c>
      <c r="G405" s="15" t="s">
        <v>2021</v>
      </c>
      <c r="H405" s="15" t="s">
        <v>2023</v>
      </c>
      <c r="I405" s="15" t="s">
        <v>346</v>
      </c>
    </row>
    <row r="406" spans="1:9" x14ac:dyDescent="0.15">
      <c r="A406" s="15" t="s">
        <v>2024</v>
      </c>
      <c r="B406" s="15"/>
      <c r="C406" s="15" t="s">
        <v>40</v>
      </c>
      <c r="D406" s="15" t="s">
        <v>41</v>
      </c>
      <c r="E406" s="15" t="s">
        <v>2025</v>
      </c>
      <c r="F406" s="15" t="s">
        <v>2027</v>
      </c>
      <c r="G406" s="15" t="s">
        <v>2026</v>
      </c>
      <c r="H406" s="15" t="s">
        <v>2028</v>
      </c>
      <c r="I406" s="15" t="s">
        <v>346</v>
      </c>
    </row>
    <row r="407" spans="1:9" x14ac:dyDescent="0.15">
      <c r="A407" s="15" t="s">
        <v>2029</v>
      </c>
      <c r="B407" s="15"/>
      <c r="C407" s="15" t="s">
        <v>40</v>
      </c>
      <c r="D407" s="15" t="s">
        <v>41</v>
      </c>
      <c r="E407" s="15" t="s">
        <v>2030</v>
      </c>
      <c r="F407" s="15" t="s">
        <v>2032</v>
      </c>
      <c r="G407" s="15" t="s">
        <v>2031</v>
      </c>
      <c r="H407" s="15" t="s">
        <v>2033</v>
      </c>
      <c r="I407" s="15" t="s">
        <v>346</v>
      </c>
    </row>
    <row r="408" spans="1:9" x14ac:dyDescent="0.15">
      <c r="A408" s="15" t="s">
        <v>2034</v>
      </c>
      <c r="B408" s="15"/>
      <c r="C408" s="15" t="s">
        <v>40</v>
      </c>
      <c r="D408" s="15" t="s">
        <v>41</v>
      </c>
      <c r="E408" s="15" t="s">
        <v>2035</v>
      </c>
      <c r="F408" s="15" t="s">
        <v>2037</v>
      </c>
      <c r="G408" s="15" t="s">
        <v>2036</v>
      </c>
      <c r="H408" s="15" t="s">
        <v>2038</v>
      </c>
      <c r="I408" s="15" t="s">
        <v>346</v>
      </c>
    </row>
    <row r="409" spans="1:9" x14ac:dyDescent="0.15">
      <c r="A409" s="15" t="s">
        <v>2039</v>
      </c>
      <c r="B409" s="15"/>
      <c r="C409" s="15" t="s">
        <v>40</v>
      </c>
      <c r="D409" s="15" t="s">
        <v>41</v>
      </c>
      <c r="E409" s="15" t="s">
        <v>2040</v>
      </c>
      <c r="F409" s="15" t="s">
        <v>2042</v>
      </c>
      <c r="G409" s="15" t="s">
        <v>2041</v>
      </c>
      <c r="H409" s="15" t="s">
        <v>2043</v>
      </c>
      <c r="I409" s="15" t="s">
        <v>346</v>
      </c>
    </row>
    <row r="410" spans="1:9" x14ac:dyDescent="0.15">
      <c r="A410" s="15" t="s">
        <v>2044</v>
      </c>
      <c r="B410" s="15"/>
      <c r="C410" s="15" t="s">
        <v>40</v>
      </c>
      <c r="D410" s="15" t="s">
        <v>41</v>
      </c>
      <c r="E410" s="15" t="s">
        <v>2045</v>
      </c>
      <c r="F410" s="15" t="s">
        <v>2047</v>
      </c>
      <c r="G410" s="15" t="s">
        <v>2046</v>
      </c>
      <c r="H410" s="15" t="s">
        <v>2048</v>
      </c>
      <c r="I410" s="15" t="s">
        <v>346</v>
      </c>
    </row>
    <row r="411" spans="1:9" x14ac:dyDescent="0.15">
      <c r="A411" s="15" t="s">
        <v>2049</v>
      </c>
      <c r="B411" s="15"/>
      <c r="C411" s="15" t="s">
        <v>40</v>
      </c>
      <c r="D411" s="15" t="s">
        <v>41</v>
      </c>
      <c r="E411" s="15" t="s">
        <v>2050</v>
      </c>
      <c r="F411" s="15" t="s">
        <v>2052</v>
      </c>
      <c r="G411" s="15" t="s">
        <v>2051</v>
      </c>
      <c r="H411" s="15" t="s">
        <v>2053</v>
      </c>
      <c r="I411" s="15" t="s">
        <v>346</v>
      </c>
    </row>
    <row r="412" spans="1:9" x14ac:dyDescent="0.15">
      <c r="A412" s="15" t="s">
        <v>2054</v>
      </c>
      <c r="B412" s="15"/>
      <c r="C412" s="15" t="s">
        <v>40</v>
      </c>
      <c r="D412" s="15" t="s">
        <v>41</v>
      </c>
      <c r="E412" s="15" t="s">
        <v>2055</v>
      </c>
      <c r="F412" s="15" t="s">
        <v>2057</v>
      </c>
      <c r="G412" s="15" t="s">
        <v>2056</v>
      </c>
      <c r="H412" s="15" t="s">
        <v>2058</v>
      </c>
      <c r="I412" s="15" t="s">
        <v>346</v>
      </c>
    </row>
    <row r="413" spans="1:9" x14ac:dyDescent="0.15">
      <c r="A413" s="15" t="s">
        <v>2059</v>
      </c>
      <c r="B413" s="15"/>
      <c r="C413" s="15" t="s">
        <v>40</v>
      </c>
      <c r="D413" s="15" t="s">
        <v>41</v>
      </c>
      <c r="E413" s="15" t="s">
        <v>2060</v>
      </c>
      <c r="F413" s="15" t="s">
        <v>2062</v>
      </c>
      <c r="G413" s="15" t="s">
        <v>2061</v>
      </c>
      <c r="H413" s="15" t="s">
        <v>2063</v>
      </c>
      <c r="I413" s="15" t="s">
        <v>346</v>
      </c>
    </row>
    <row r="414" spans="1:9" x14ac:dyDescent="0.15">
      <c r="A414" s="15" t="s">
        <v>2064</v>
      </c>
      <c r="B414" s="15"/>
      <c r="C414" s="15" t="s">
        <v>40</v>
      </c>
      <c r="D414" s="15" t="s">
        <v>41</v>
      </c>
      <c r="E414" s="15" t="s">
        <v>2065</v>
      </c>
      <c r="F414" s="15" t="s">
        <v>2067</v>
      </c>
      <c r="G414" s="15" t="s">
        <v>2066</v>
      </c>
      <c r="H414" s="15" t="s">
        <v>2068</v>
      </c>
      <c r="I414" s="15" t="s">
        <v>346</v>
      </c>
    </row>
    <row r="415" spans="1:9" x14ac:dyDescent="0.15">
      <c r="A415" s="15" t="s">
        <v>2069</v>
      </c>
      <c r="B415" s="15"/>
      <c r="C415" s="15" t="s">
        <v>40</v>
      </c>
      <c r="D415" s="15" t="s">
        <v>41</v>
      </c>
      <c r="E415" s="15" t="s">
        <v>2070</v>
      </c>
      <c r="F415" s="15" t="s">
        <v>2072</v>
      </c>
      <c r="G415" s="15" t="s">
        <v>2071</v>
      </c>
      <c r="H415" s="15" t="s">
        <v>2073</v>
      </c>
      <c r="I415" s="15" t="s">
        <v>2074</v>
      </c>
    </row>
    <row r="416" spans="1:9" x14ac:dyDescent="0.15">
      <c r="A416" s="15" t="s">
        <v>2075</v>
      </c>
      <c r="B416" s="15"/>
      <c r="C416" s="15" t="s">
        <v>40</v>
      </c>
      <c r="D416" s="15" t="s">
        <v>41</v>
      </c>
      <c r="E416" s="15" t="s">
        <v>2076</v>
      </c>
      <c r="F416" s="15" t="s">
        <v>2078</v>
      </c>
      <c r="G416" s="15" t="s">
        <v>2077</v>
      </c>
      <c r="H416" s="15" t="s">
        <v>2079</v>
      </c>
      <c r="I416" s="15" t="s">
        <v>2074</v>
      </c>
    </row>
    <row r="417" spans="1:9" x14ac:dyDescent="0.15">
      <c r="A417" s="15" t="s">
        <v>2080</v>
      </c>
      <c r="B417" s="15"/>
      <c r="C417" s="15" t="s">
        <v>40</v>
      </c>
      <c r="D417" s="15" t="s">
        <v>41</v>
      </c>
      <c r="E417" s="15" t="s">
        <v>2081</v>
      </c>
      <c r="F417" s="15" t="s">
        <v>2083</v>
      </c>
      <c r="G417" s="15" t="s">
        <v>2082</v>
      </c>
      <c r="H417" s="15" t="s">
        <v>2084</v>
      </c>
      <c r="I417" s="15" t="s">
        <v>2074</v>
      </c>
    </row>
    <row r="418" spans="1:9" x14ac:dyDescent="0.15">
      <c r="A418" s="15" t="s">
        <v>2085</v>
      </c>
      <c r="B418" s="15"/>
      <c r="C418" s="15" t="s">
        <v>40</v>
      </c>
      <c r="D418" s="15" t="s">
        <v>41</v>
      </c>
      <c r="E418" s="15" t="s">
        <v>2086</v>
      </c>
      <c r="F418" s="15" t="s">
        <v>2088</v>
      </c>
      <c r="G418" s="15" t="s">
        <v>2087</v>
      </c>
      <c r="H418" s="15" t="s">
        <v>2089</v>
      </c>
      <c r="I418" s="15" t="s">
        <v>2074</v>
      </c>
    </row>
    <row r="419" spans="1:9" x14ac:dyDescent="0.15">
      <c r="A419" s="15" t="s">
        <v>2090</v>
      </c>
      <c r="B419" s="15"/>
      <c r="C419" s="15" t="s">
        <v>40</v>
      </c>
      <c r="D419" s="15" t="s">
        <v>41</v>
      </c>
      <c r="E419" s="15" t="s">
        <v>2091</v>
      </c>
      <c r="F419" s="15" t="s">
        <v>2093</v>
      </c>
      <c r="G419" s="15" t="s">
        <v>2092</v>
      </c>
      <c r="H419" s="15" t="s">
        <v>2094</v>
      </c>
      <c r="I419" s="15" t="s">
        <v>2074</v>
      </c>
    </row>
    <row r="420" spans="1:9" x14ac:dyDescent="0.15">
      <c r="A420" s="15" t="s">
        <v>2095</v>
      </c>
      <c r="B420" s="15"/>
      <c r="C420" s="15" t="s">
        <v>40</v>
      </c>
      <c r="D420" s="15" t="s">
        <v>41</v>
      </c>
      <c r="E420" s="15" t="s">
        <v>2096</v>
      </c>
      <c r="F420" s="15" t="s">
        <v>2098</v>
      </c>
      <c r="G420" s="15" t="s">
        <v>2097</v>
      </c>
      <c r="H420" s="15" t="s">
        <v>2099</v>
      </c>
      <c r="I420" s="15" t="s">
        <v>2074</v>
      </c>
    </row>
    <row r="421" spans="1:9" x14ac:dyDescent="0.15">
      <c r="A421" s="15" t="s">
        <v>2100</v>
      </c>
      <c r="B421" s="15"/>
      <c r="C421" s="15" t="s">
        <v>40</v>
      </c>
      <c r="D421" s="15" t="s">
        <v>41</v>
      </c>
      <c r="E421" s="15" t="s">
        <v>2101</v>
      </c>
      <c r="F421" s="15" t="s">
        <v>2103</v>
      </c>
      <c r="G421" s="15" t="s">
        <v>2102</v>
      </c>
      <c r="H421" s="15" t="s">
        <v>2104</v>
      </c>
      <c r="I421" s="15" t="s">
        <v>2074</v>
      </c>
    </row>
    <row r="422" spans="1:9" x14ac:dyDescent="0.15">
      <c r="A422" s="15" t="s">
        <v>2105</v>
      </c>
      <c r="B422" s="15"/>
      <c r="C422" s="15" t="s">
        <v>40</v>
      </c>
      <c r="D422" s="15" t="s">
        <v>41</v>
      </c>
      <c r="E422" s="15" t="s">
        <v>2106</v>
      </c>
      <c r="F422" s="15" t="s">
        <v>2108</v>
      </c>
      <c r="G422" s="15" t="s">
        <v>2107</v>
      </c>
      <c r="H422" s="15" t="s">
        <v>2109</v>
      </c>
      <c r="I422" s="15" t="s">
        <v>2074</v>
      </c>
    </row>
    <row r="423" spans="1:9" x14ac:dyDescent="0.15">
      <c r="A423" s="15" t="s">
        <v>2110</v>
      </c>
      <c r="B423" s="15"/>
      <c r="C423" s="15" t="s">
        <v>40</v>
      </c>
      <c r="D423" s="15" t="s">
        <v>41</v>
      </c>
      <c r="E423" s="15" t="s">
        <v>2111</v>
      </c>
      <c r="F423" s="15" t="s">
        <v>2113</v>
      </c>
      <c r="G423" s="15" t="s">
        <v>2112</v>
      </c>
      <c r="H423" s="15" t="s">
        <v>2114</v>
      </c>
      <c r="I423" s="15" t="s">
        <v>2074</v>
      </c>
    </row>
    <row r="424" spans="1:9" x14ac:dyDescent="0.15">
      <c r="A424" s="15" t="s">
        <v>2115</v>
      </c>
      <c r="B424" s="15"/>
      <c r="C424" s="15" t="s">
        <v>40</v>
      </c>
      <c r="D424" s="15" t="s">
        <v>41</v>
      </c>
      <c r="E424" s="15" t="s">
        <v>2116</v>
      </c>
      <c r="F424" s="15" t="s">
        <v>52</v>
      </c>
      <c r="G424" s="15" t="s">
        <v>2117</v>
      </c>
      <c r="H424" s="15" t="s">
        <v>2118</v>
      </c>
      <c r="I424" s="15" t="s">
        <v>2074</v>
      </c>
    </row>
    <row r="425" spans="1:9" x14ac:dyDescent="0.15">
      <c r="A425" s="15" t="s">
        <v>2119</v>
      </c>
      <c r="B425" s="15"/>
      <c r="C425" s="15" t="s">
        <v>40</v>
      </c>
      <c r="D425" s="15" t="s">
        <v>41</v>
      </c>
      <c r="E425" s="15" t="s">
        <v>2120</v>
      </c>
      <c r="F425" s="15" t="s">
        <v>2122</v>
      </c>
      <c r="G425" s="15" t="s">
        <v>2121</v>
      </c>
      <c r="H425" s="15" t="s">
        <v>2123</v>
      </c>
      <c r="I425" s="15" t="s">
        <v>2074</v>
      </c>
    </row>
    <row r="426" spans="1:9" x14ac:dyDescent="0.15">
      <c r="A426" s="15" t="s">
        <v>2124</v>
      </c>
      <c r="B426" s="15"/>
      <c r="C426" s="15" t="s">
        <v>40</v>
      </c>
      <c r="D426" s="15" t="s">
        <v>41</v>
      </c>
      <c r="E426" s="15" t="s">
        <v>2125</v>
      </c>
      <c r="F426" s="15" t="s">
        <v>52</v>
      </c>
      <c r="G426" s="15" t="s">
        <v>2126</v>
      </c>
      <c r="H426" s="15" t="s">
        <v>2127</v>
      </c>
      <c r="I426" s="15" t="s">
        <v>2074</v>
      </c>
    </row>
    <row r="427" spans="1:9" x14ac:dyDescent="0.15">
      <c r="A427" s="15" t="s">
        <v>2128</v>
      </c>
      <c r="B427" s="15"/>
      <c r="C427" s="15" t="s">
        <v>40</v>
      </c>
      <c r="D427" s="15" t="s">
        <v>41</v>
      </c>
      <c r="E427" s="15" t="s">
        <v>2129</v>
      </c>
      <c r="F427" s="15" t="s">
        <v>52</v>
      </c>
      <c r="G427" s="15" t="s">
        <v>2130</v>
      </c>
      <c r="H427" s="15" t="s">
        <v>2131</v>
      </c>
      <c r="I427" s="15" t="s">
        <v>2074</v>
      </c>
    </row>
    <row r="428" spans="1:9" x14ac:dyDescent="0.15">
      <c r="A428" s="15" t="s">
        <v>2132</v>
      </c>
      <c r="B428" s="15"/>
      <c r="C428" s="15" t="s">
        <v>40</v>
      </c>
      <c r="D428" s="15" t="s">
        <v>41</v>
      </c>
      <c r="E428" s="15" t="s">
        <v>2133</v>
      </c>
      <c r="F428" s="15" t="s">
        <v>2134</v>
      </c>
      <c r="G428" s="15" t="s">
        <v>2097</v>
      </c>
      <c r="H428" s="15" t="s">
        <v>2135</v>
      </c>
      <c r="I428" s="15" t="s">
        <v>2074</v>
      </c>
    </row>
    <row r="429" spans="1:9" x14ac:dyDescent="0.15">
      <c r="A429" s="15" t="s">
        <v>2136</v>
      </c>
      <c r="B429" s="15"/>
      <c r="C429" s="15" t="s">
        <v>40</v>
      </c>
      <c r="D429" s="15" t="s">
        <v>41</v>
      </c>
      <c r="E429" s="15" t="s">
        <v>2137</v>
      </c>
      <c r="F429" s="15" t="s">
        <v>2138</v>
      </c>
      <c r="G429" s="15" t="s">
        <v>215</v>
      </c>
      <c r="H429" s="15" t="s">
        <v>2139</v>
      </c>
      <c r="I429" s="15" t="s">
        <v>197</v>
      </c>
    </row>
    <row r="430" spans="1:9" x14ac:dyDescent="0.15">
      <c r="A430" s="15" t="s">
        <v>2140</v>
      </c>
      <c r="B430" s="15"/>
      <c r="C430" s="15" t="s">
        <v>40</v>
      </c>
      <c r="D430" s="15" t="s">
        <v>41</v>
      </c>
      <c r="E430" s="15" t="s">
        <v>2141</v>
      </c>
      <c r="F430" s="15" t="s">
        <v>2143</v>
      </c>
      <c r="G430" s="15" t="s">
        <v>2142</v>
      </c>
      <c r="H430" s="15" t="s">
        <v>2144</v>
      </c>
      <c r="I430" s="15" t="s">
        <v>197</v>
      </c>
    </row>
    <row r="431" spans="1:9" x14ac:dyDescent="0.15">
      <c r="A431" s="15" t="s">
        <v>2145</v>
      </c>
      <c r="B431" s="15"/>
      <c r="C431" s="15" t="s">
        <v>40</v>
      </c>
      <c r="D431" s="15" t="s">
        <v>41</v>
      </c>
      <c r="E431" s="15" t="s">
        <v>2146</v>
      </c>
      <c r="F431" s="15" t="s">
        <v>2148</v>
      </c>
      <c r="G431" s="15" t="s">
        <v>2147</v>
      </c>
      <c r="H431" s="15" t="s">
        <v>2149</v>
      </c>
      <c r="I431" s="15" t="s">
        <v>197</v>
      </c>
    </row>
    <row r="432" spans="1:9" x14ac:dyDescent="0.15">
      <c r="A432" s="15" t="s">
        <v>2150</v>
      </c>
      <c r="B432" s="15"/>
      <c r="C432" s="15" t="s">
        <v>40</v>
      </c>
      <c r="D432" s="15" t="s">
        <v>41</v>
      </c>
      <c r="E432" s="15" t="s">
        <v>2151</v>
      </c>
      <c r="F432" s="15" t="s">
        <v>2153</v>
      </c>
      <c r="G432" s="15" t="s">
        <v>2152</v>
      </c>
      <c r="H432" s="15" t="s">
        <v>2154</v>
      </c>
      <c r="I432" s="15" t="s">
        <v>197</v>
      </c>
    </row>
    <row r="433" spans="1:9" x14ac:dyDescent="0.15">
      <c r="A433" s="15" t="s">
        <v>2155</v>
      </c>
      <c r="B433" s="15"/>
      <c r="C433" s="15" t="s">
        <v>40</v>
      </c>
      <c r="D433" s="15" t="s">
        <v>41</v>
      </c>
      <c r="E433" s="15" t="s">
        <v>2156</v>
      </c>
      <c r="F433" s="15" t="s">
        <v>2158</v>
      </c>
      <c r="G433" s="15" t="s">
        <v>2157</v>
      </c>
      <c r="H433" s="15" t="s">
        <v>2159</v>
      </c>
      <c r="I433" s="15" t="s">
        <v>2160</v>
      </c>
    </row>
    <row r="434" spans="1:9" x14ac:dyDescent="0.15">
      <c r="A434" s="15" t="s">
        <v>2161</v>
      </c>
      <c r="B434" s="15"/>
      <c r="C434" s="15" t="s">
        <v>40</v>
      </c>
      <c r="D434" s="15" t="s">
        <v>41</v>
      </c>
      <c r="E434" s="15" t="s">
        <v>2162</v>
      </c>
      <c r="F434" s="15" t="s">
        <v>2164</v>
      </c>
      <c r="G434" s="15" t="s">
        <v>2163</v>
      </c>
      <c r="H434" s="15" t="s">
        <v>2165</v>
      </c>
      <c r="I434" s="15" t="s">
        <v>2160</v>
      </c>
    </row>
    <row r="435" spans="1:9" x14ac:dyDescent="0.15">
      <c r="A435" s="15" t="s">
        <v>2166</v>
      </c>
      <c r="B435" s="15"/>
      <c r="C435" s="15" t="s">
        <v>40</v>
      </c>
      <c r="D435" s="15" t="s">
        <v>41</v>
      </c>
      <c r="E435" s="15" t="s">
        <v>2167</v>
      </c>
      <c r="F435" s="15" t="s">
        <v>2169</v>
      </c>
      <c r="G435" s="15" t="s">
        <v>2168</v>
      </c>
      <c r="H435" s="15" t="s">
        <v>2170</v>
      </c>
      <c r="I435" s="15" t="s">
        <v>197</v>
      </c>
    </row>
    <row r="436" spans="1:9" x14ac:dyDescent="0.15">
      <c r="A436" s="15" t="s">
        <v>2171</v>
      </c>
      <c r="B436" s="15"/>
      <c r="C436" s="15" t="s">
        <v>40</v>
      </c>
      <c r="D436" s="15" t="s">
        <v>41</v>
      </c>
      <c r="E436" s="15" t="s">
        <v>2172</v>
      </c>
      <c r="F436" s="15" t="s">
        <v>2174</v>
      </c>
      <c r="G436" s="15" t="s">
        <v>2173</v>
      </c>
      <c r="H436" s="15" t="s">
        <v>2175</v>
      </c>
      <c r="I436" s="15" t="s">
        <v>2160</v>
      </c>
    </row>
    <row r="437" spans="1:9" x14ac:dyDescent="0.15">
      <c r="A437" s="15" t="s">
        <v>2176</v>
      </c>
      <c r="B437" s="15"/>
      <c r="C437" s="15" t="s">
        <v>40</v>
      </c>
      <c r="D437" s="15" t="s">
        <v>41</v>
      </c>
      <c r="E437" s="15" t="s">
        <v>2177</v>
      </c>
      <c r="F437" s="15" t="s">
        <v>2179</v>
      </c>
      <c r="G437" s="15" t="s">
        <v>2178</v>
      </c>
      <c r="H437" s="15" t="s">
        <v>2180</v>
      </c>
      <c r="I437" s="15" t="s">
        <v>2181</v>
      </c>
    </row>
    <row r="438" spans="1:9" x14ac:dyDescent="0.15">
      <c r="A438" s="15" t="s">
        <v>2182</v>
      </c>
      <c r="B438" s="15"/>
      <c r="C438" s="15" t="s">
        <v>40</v>
      </c>
      <c r="D438" s="15" t="s">
        <v>41</v>
      </c>
      <c r="E438" s="15" t="s">
        <v>2183</v>
      </c>
      <c r="F438" s="15" t="s">
        <v>2184</v>
      </c>
      <c r="G438" s="15" t="s">
        <v>14</v>
      </c>
      <c r="H438" s="15" t="s">
        <v>2185</v>
      </c>
      <c r="I438" s="15" t="s">
        <v>2181</v>
      </c>
    </row>
    <row r="439" spans="1:9" x14ac:dyDescent="0.15">
      <c r="A439" s="15" t="s">
        <v>2186</v>
      </c>
      <c r="B439" s="15"/>
      <c r="C439" s="15" t="s">
        <v>40</v>
      </c>
      <c r="D439" s="15" t="s">
        <v>41</v>
      </c>
      <c r="E439" s="15" t="s">
        <v>2187</v>
      </c>
      <c r="F439" s="15" t="s">
        <v>2189</v>
      </c>
      <c r="G439" s="15" t="s">
        <v>2188</v>
      </c>
      <c r="H439" s="15" t="s">
        <v>2190</v>
      </c>
      <c r="I439" s="15" t="s">
        <v>2191</v>
      </c>
    </row>
    <row r="440" spans="1:9" x14ac:dyDescent="0.15">
      <c r="A440" s="15" t="s">
        <v>2192</v>
      </c>
      <c r="B440" s="15"/>
      <c r="C440" s="15" t="s">
        <v>40</v>
      </c>
      <c r="D440" s="15" t="s">
        <v>41</v>
      </c>
      <c r="E440" s="15" t="s">
        <v>2193</v>
      </c>
      <c r="F440" s="15" t="s">
        <v>2194</v>
      </c>
      <c r="G440" s="15" t="s">
        <v>200</v>
      </c>
      <c r="H440" s="15" t="s">
        <v>2195</v>
      </c>
      <c r="I440" s="15" t="s">
        <v>2191</v>
      </c>
    </row>
    <row r="441" spans="1:9" x14ac:dyDescent="0.15">
      <c r="A441" s="15" t="s">
        <v>2196</v>
      </c>
      <c r="B441" s="15"/>
      <c r="C441" s="15" t="s">
        <v>40</v>
      </c>
      <c r="D441" s="15" t="s">
        <v>41</v>
      </c>
      <c r="E441" s="15" t="s">
        <v>2197</v>
      </c>
      <c r="F441" s="15" t="s">
        <v>2199</v>
      </c>
      <c r="G441" s="15" t="s">
        <v>2198</v>
      </c>
      <c r="H441" s="15" t="s">
        <v>2200</v>
      </c>
      <c r="I441" s="15" t="s">
        <v>2191</v>
      </c>
    </row>
    <row r="442" spans="1:9" x14ac:dyDescent="0.15">
      <c r="A442" s="15" t="s">
        <v>2201</v>
      </c>
      <c r="B442" s="15"/>
      <c r="C442" s="15" t="s">
        <v>40</v>
      </c>
      <c r="D442" s="15" t="s">
        <v>41</v>
      </c>
      <c r="E442" s="15" t="s">
        <v>2202</v>
      </c>
      <c r="F442" s="15" t="s">
        <v>2203</v>
      </c>
      <c r="G442" s="15" t="s">
        <v>24</v>
      </c>
      <c r="H442" s="15" t="s">
        <v>2204</v>
      </c>
      <c r="I442" s="15" t="s">
        <v>2191</v>
      </c>
    </row>
    <row r="443" spans="1:9" x14ac:dyDescent="0.15">
      <c r="A443" s="15" t="s">
        <v>2205</v>
      </c>
      <c r="B443" s="15"/>
      <c r="C443" s="15" t="s">
        <v>40</v>
      </c>
      <c r="D443" s="15" t="s">
        <v>41</v>
      </c>
      <c r="E443" s="15" t="s">
        <v>2206</v>
      </c>
      <c r="F443" s="15" t="s">
        <v>2208</v>
      </c>
      <c r="G443" s="15" t="s">
        <v>2207</v>
      </c>
      <c r="H443" s="15" t="s">
        <v>2209</v>
      </c>
      <c r="I443" s="15" t="s">
        <v>2191</v>
      </c>
    </row>
    <row r="444" spans="1:9" x14ac:dyDescent="0.15">
      <c r="A444" s="15" t="s">
        <v>2210</v>
      </c>
      <c r="B444" s="15"/>
      <c r="C444" s="15" t="s">
        <v>40</v>
      </c>
      <c r="D444" s="15" t="s">
        <v>41</v>
      </c>
      <c r="E444" s="15" t="s">
        <v>2211</v>
      </c>
      <c r="F444" s="15" t="s">
        <v>2212</v>
      </c>
      <c r="G444" s="15" t="s">
        <v>189</v>
      </c>
      <c r="H444" s="15" t="s">
        <v>2213</v>
      </c>
      <c r="I444" s="15" t="s">
        <v>2191</v>
      </c>
    </row>
    <row r="445" spans="1:9" x14ac:dyDescent="0.15">
      <c r="A445" s="15" t="s">
        <v>2214</v>
      </c>
      <c r="B445" s="15"/>
      <c r="C445" s="15" t="s">
        <v>40</v>
      </c>
      <c r="D445" s="15" t="s">
        <v>41</v>
      </c>
      <c r="E445" s="15" t="s">
        <v>2215</v>
      </c>
      <c r="F445" s="15" t="s">
        <v>2217</v>
      </c>
      <c r="G445" s="15" t="s">
        <v>2216</v>
      </c>
      <c r="H445" s="15" t="s">
        <v>2218</v>
      </c>
      <c r="I445" s="15" t="s">
        <v>2191</v>
      </c>
    </row>
    <row r="446" spans="1:9" x14ac:dyDescent="0.15">
      <c r="A446" s="15" t="s">
        <v>2219</v>
      </c>
      <c r="B446" s="15"/>
      <c r="C446" s="15" t="s">
        <v>40</v>
      </c>
      <c r="D446" s="15" t="s">
        <v>41</v>
      </c>
      <c r="E446" s="15" t="s">
        <v>2220</v>
      </c>
      <c r="F446" s="15" t="s">
        <v>2222</v>
      </c>
      <c r="G446" s="15" t="s">
        <v>2221</v>
      </c>
      <c r="H446" s="15" t="s">
        <v>2223</v>
      </c>
      <c r="I446" s="15" t="s">
        <v>2191</v>
      </c>
    </row>
    <row r="447" spans="1:9" x14ac:dyDescent="0.15">
      <c r="A447" s="15" t="s">
        <v>2224</v>
      </c>
      <c r="B447" s="15"/>
      <c r="C447" s="15" t="s">
        <v>40</v>
      </c>
      <c r="D447" s="15" t="s">
        <v>41</v>
      </c>
      <c r="E447" s="15" t="s">
        <v>2225</v>
      </c>
      <c r="F447" s="15" t="s">
        <v>52</v>
      </c>
      <c r="G447" s="15" t="s">
        <v>2226</v>
      </c>
      <c r="H447" s="15" t="s">
        <v>2227</v>
      </c>
      <c r="I447" s="15" t="s">
        <v>2191</v>
      </c>
    </row>
    <row r="448" spans="1:9" x14ac:dyDescent="0.15">
      <c r="A448" s="15" t="s">
        <v>2228</v>
      </c>
      <c r="B448" s="15"/>
      <c r="C448" s="15" t="s">
        <v>40</v>
      </c>
      <c r="D448" s="15" t="s">
        <v>41</v>
      </c>
      <c r="E448" s="15" t="s">
        <v>2229</v>
      </c>
      <c r="F448" s="15" t="s">
        <v>2231</v>
      </c>
      <c r="G448" s="15" t="s">
        <v>2230</v>
      </c>
      <c r="H448" s="15" t="s">
        <v>2232</v>
      </c>
      <c r="I448" s="15" t="s">
        <v>2191</v>
      </c>
    </row>
    <row r="449" spans="1:9" x14ac:dyDescent="0.15">
      <c r="A449" s="15" t="s">
        <v>2233</v>
      </c>
      <c r="B449" s="15"/>
      <c r="C449" s="15" t="s">
        <v>40</v>
      </c>
      <c r="D449" s="15" t="s">
        <v>41</v>
      </c>
      <c r="E449" s="15" t="s">
        <v>2234</v>
      </c>
      <c r="F449" s="15" t="s">
        <v>2236</v>
      </c>
      <c r="G449" s="15" t="s">
        <v>2235</v>
      </c>
      <c r="H449" s="15" t="s">
        <v>2237</v>
      </c>
      <c r="I449" s="15" t="s">
        <v>2191</v>
      </c>
    </row>
    <row r="450" spans="1:9" x14ac:dyDescent="0.15">
      <c r="A450" s="15" t="s">
        <v>2238</v>
      </c>
      <c r="B450" s="15"/>
      <c r="C450" s="15" t="s">
        <v>40</v>
      </c>
      <c r="D450" s="15" t="s">
        <v>41</v>
      </c>
      <c r="E450" s="15" t="s">
        <v>2239</v>
      </c>
      <c r="F450" s="15" t="s">
        <v>2240</v>
      </c>
      <c r="G450" s="15" t="s">
        <v>2221</v>
      </c>
      <c r="H450" s="15" t="s">
        <v>2241</v>
      </c>
      <c r="I450" s="15" t="s">
        <v>2191</v>
      </c>
    </row>
    <row r="451" spans="1:9" x14ac:dyDescent="0.15">
      <c r="A451" s="15" t="s">
        <v>2242</v>
      </c>
      <c r="B451" s="15"/>
      <c r="C451" s="15" t="s">
        <v>40</v>
      </c>
      <c r="D451" s="15" t="s">
        <v>41</v>
      </c>
      <c r="E451" s="15" t="s">
        <v>2243</v>
      </c>
      <c r="F451" s="15" t="s">
        <v>2245</v>
      </c>
      <c r="G451" s="15" t="s">
        <v>2244</v>
      </c>
      <c r="H451" s="15" t="s">
        <v>2246</v>
      </c>
      <c r="I451" s="15" t="s">
        <v>2191</v>
      </c>
    </row>
    <row r="452" spans="1:9" x14ac:dyDescent="0.15">
      <c r="A452" s="15" t="s">
        <v>2247</v>
      </c>
      <c r="B452" s="15"/>
      <c r="C452" s="15" t="s">
        <v>40</v>
      </c>
      <c r="D452" s="15" t="s">
        <v>41</v>
      </c>
      <c r="E452" s="15" t="s">
        <v>2248</v>
      </c>
      <c r="F452" s="15" t="s">
        <v>2250</v>
      </c>
      <c r="G452" s="15" t="s">
        <v>2249</v>
      </c>
      <c r="H452" s="15" t="s">
        <v>2251</v>
      </c>
      <c r="I452" s="15" t="s">
        <v>2191</v>
      </c>
    </row>
    <row r="453" spans="1:9" x14ac:dyDescent="0.15">
      <c r="A453" s="15" t="s">
        <v>2252</v>
      </c>
      <c r="B453" s="15"/>
      <c r="C453" s="15" t="s">
        <v>40</v>
      </c>
      <c r="D453" s="15" t="s">
        <v>41</v>
      </c>
      <c r="E453" s="15" t="s">
        <v>2253</v>
      </c>
      <c r="F453" s="15" t="s">
        <v>2255</v>
      </c>
      <c r="G453" s="15" t="s">
        <v>2254</v>
      </c>
      <c r="H453" s="15" t="s">
        <v>2256</v>
      </c>
      <c r="I453" s="15" t="s">
        <v>2191</v>
      </c>
    </row>
    <row r="454" spans="1:9" x14ac:dyDescent="0.15">
      <c r="A454" s="15" t="s">
        <v>2257</v>
      </c>
      <c r="B454" s="15"/>
      <c r="C454" s="15" t="s">
        <v>40</v>
      </c>
      <c r="D454" s="15" t="s">
        <v>41</v>
      </c>
      <c r="E454" s="15" t="s">
        <v>2258</v>
      </c>
      <c r="F454" s="15" t="s">
        <v>2260</v>
      </c>
      <c r="G454" s="15" t="s">
        <v>2259</v>
      </c>
      <c r="H454" s="15" t="s">
        <v>2261</v>
      </c>
      <c r="I454" s="15" t="s">
        <v>2191</v>
      </c>
    </row>
    <row r="455" spans="1:9" x14ac:dyDescent="0.15">
      <c r="A455" s="15" t="s">
        <v>2262</v>
      </c>
      <c r="B455" s="15"/>
      <c r="C455" s="15" t="s">
        <v>40</v>
      </c>
      <c r="D455" s="15" t="s">
        <v>41</v>
      </c>
      <c r="E455" s="15" t="s">
        <v>2263</v>
      </c>
      <c r="F455" s="15" t="s">
        <v>2265</v>
      </c>
      <c r="G455" s="15" t="s">
        <v>2264</v>
      </c>
      <c r="H455" s="15" t="s">
        <v>2266</v>
      </c>
      <c r="I455" s="15" t="s">
        <v>2191</v>
      </c>
    </row>
    <row r="456" spans="1:9" x14ac:dyDescent="0.15">
      <c r="A456" s="15" t="s">
        <v>2267</v>
      </c>
      <c r="B456" s="15"/>
      <c r="C456" s="15" t="s">
        <v>40</v>
      </c>
      <c r="D456" s="15" t="s">
        <v>41</v>
      </c>
      <c r="E456" s="15" t="s">
        <v>2268</v>
      </c>
      <c r="F456" s="15" t="s">
        <v>2269</v>
      </c>
      <c r="G456" s="15" t="s">
        <v>2221</v>
      </c>
      <c r="H456" s="15" t="s">
        <v>2270</v>
      </c>
      <c r="I456" s="15" t="s">
        <v>2191</v>
      </c>
    </row>
    <row r="457" spans="1:9" x14ac:dyDescent="0.15">
      <c r="A457" s="15" t="s">
        <v>2271</v>
      </c>
      <c r="B457" s="15"/>
      <c r="C457" s="15" t="s">
        <v>40</v>
      </c>
      <c r="D457" s="15" t="s">
        <v>41</v>
      </c>
      <c r="E457" s="15" t="s">
        <v>2272</v>
      </c>
      <c r="F457" s="15" t="s">
        <v>2274</v>
      </c>
      <c r="G457" s="15" t="s">
        <v>2273</v>
      </c>
      <c r="H457" s="15" t="s">
        <v>2275</v>
      </c>
      <c r="I457" s="15" t="s">
        <v>2191</v>
      </c>
    </row>
    <row r="458" spans="1:9" x14ac:dyDescent="0.15">
      <c r="A458" s="15" t="s">
        <v>2276</v>
      </c>
      <c r="B458" s="15"/>
      <c r="C458" s="15" t="s">
        <v>40</v>
      </c>
      <c r="D458" s="15" t="s">
        <v>41</v>
      </c>
      <c r="E458" s="15" t="s">
        <v>2277</v>
      </c>
      <c r="F458" s="15" t="s">
        <v>2278</v>
      </c>
      <c r="G458" s="15" t="s">
        <v>200</v>
      </c>
      <c r="H458" s="15" t="s">
        <v>2279</v>
      </c>
      <c r="I458" s="15" t="s">
        <v>2191</v>
      </c>
    </row>
    <row r="459" spans="1:9" x14ac:dyDescent="0.15">
      <c r="A459" s="15" t="s">
        <v>2280</v>
      </c>
      <c r="B459" s="15"/>
      <c r="C459" s="15" t="s">
        <v>40</v>
      </c>
      <c r="D459" s="15" t="s">
        <v>41</v>
      </c>
      <c r="E459" s="15" t="s">
        <v>2281</v>
      </c>
      <c r="F459" s="15" t="s">
        <v>2283</v>
      </c>
      <c r="G459" s="15" t="s">
        <v>2282</v>
      </c>
      <c r="H459" s="15" t="s">
        <v>2284</v>
      </c>
      <c r="I459" s="15" t="s">
        <v>2191</v>
      </c>
    </row>
    <row r="460" spans="1:9" x14ac:dyDescent="0.15">
      <c r="A460" s="15" t="s">
        <v>2285</v>
      </c>
      <c r="B460" s="15"/>
      <c r="C460" s="15" t="s">
        <v>40</v>
      </c>
      <c r="D460" s="15" t="s">
        <v>41</v>
      </c>
      <c r="E460" s="15" t="s">
        <v>2286</v>
      </c>
      <c r="F460" s="15" t="s">
        <v>2287</v>
      </c>
      <c r="G460" s="15" t="s">
        <v>2282</v>
      </c>
      <c r="H460" s="15" t="s">
        <v>2288</v>
      </c>
      <c r="I460" s="15" t="s">
        <v>2191</v>
      </c>
    </row>
    <row r="461" spans="1:9" x14ac:dyDescent="0.15">
      <c r="A461" s="15" t="s">
        <v>2289</v>
      </c>
      <c r="B461" s="15"/>
      <c r="C461" s="15" t="s">
        <v>40</v>
      </c>
      <c r="D461" s="15" t="s">
        <v>41</v>
      </c>
      <c r="E461" s="15" t="s">
        <v>2290</v>
      </c>
      <c r="F461" s="15" t="s">
        <v>2291</v>
      </c>
      <c r="G461" s="15" t="s">
        <v>2273</v>
      </c>
      <c r="H461" s="15" t="s">
        <v>2292</v>
      </c>
      <c r="I461" s="15" t="s">
        <v>2191</v>
      </c>
    </row>
    <row r="462" spans="1:9" x14ac:dyDescent="0.15">
      <c r="A462" s="15" t="s">
        <v>2293</v>
      </c>
      <c r="B462" s="15"/>
      <c r="C462" s="15" t="s">
        <v>40</v>
      </c>
      <c r="D462" s="15" t="s">
        <v>41</v>
      </c>
      <c r="E462" s="15" t="s">
        <v>2294</v>
      </c>
      <c r="F462" s="15" t="s">
        <v>2295</v>
      </c>
      <c r="G462" s="15" t="s">
        <v>2221</v>
      </c>
      <c r="H462" s="15" t="s">
        <v>2296</v>
      </c>
      <c r="I462" s="15" t="s">
        <v>2191</v>
      </c>
    </row>
    <row r="463" spans="1:9" x14ac:dyDescent="0.15">
      <c r="A463" s="15" t="s">
        <v>2297</v>
      </c>
      <c r="B463" s="15"/>
      <c r="C463" s="15" t="s">
        <v>40</v>
      </c>
      <c r="D463" s="15" t="s">
        <v>41</v>
      </c>
      <c r="E463" s="15" t="s">
        <v>2298</v>
      </c>
      <c r="F463" s="15" t="s">
        <v>2300</v>
      </c>
      <c r="G463" s="15" t="s">
        <v>2299</v>
      </c>
      <c r="H463" s="15" t="s">
        <v>2301</v>
      </c>
      <c r="I463" s="15" t="s">
        <v>2191</v>
      </c>
    </row>
    <row r="464" spans="1:9" x14ac:dyDescent="0.15">
      <c r="A464" s="15" t="s">
        <v>2302</v>
      </c>
      <c r="B464" s="15"/>
      <c r="C464" s="15" t="s">
        <v>40</v>
      </c>
      <c r="D464" s="15" t="s">
        <v>41</v>
      </c>
      <c r="E464" s="15" t="s">
        <v>2303</v>
      </c>
      <c r="F464" s="15" t="s">
        <v>2245</v>
      </c>
      <c r="G464" s="15" t="s">
        <v>2244</v>
      </c>
      <c r="H464" s="15" t="s">
        <v>2304</v>
      </c>
      <c r="I464" s="15" t="s">
        <v>2191</v>
      </c>
    </row>
    <row r="465" spans="1:9" x14ac:dyDescent="0.15">
      <c r="A465" s="15" t="s">
        <v>2305</v>
      </c>
      <c r="B465" s="15"/>
      <c r="C465" s="15" t="s">
        <v>40</v>
      </c>
      <c r="D465" s="15" t="s">
        <v>41</v>
      </c>
      <c r="E465" s="15" t="s">
        <v>2306</v>
      </c>
      <c r="F465" s="15" t="s">
        <v>2308</v>
      </c>
      <c r="G465" s="15" t="s">
        <v>2307</v>
      </c>
      <c r="H465" s="15" t="s">
        <v>2309</v>
      </c>
      <c r="I465" s="15" t="s">
        <v>2191</v>
      </c>
    </row>
    <row r="466" spans="1:9" x14ac:dyDescent="0.15">
      <c r="A466" s="15" t="s">
        <v>2310</v>
      </c>
      <c r="B466" s="15"/>
      <c r="C466" s="15" t="s">
        <v>40</v>
      </c>
      <c r="D466" s="15" t="s">
        <v>41</v>
      </c>
      <c r="E466" s="15" t="s">
        <v>2311</v>
      </c>
      <c r="F466" s="15" t="s">
        <v>2313</v>
      </c>
      <c r="G466" s="15" t="s">
        <v>2312</v>
      </c>
      <c r="H466" s="15" t="s">
        <v>2314</v>
      </c>
      <c r="I466" s="15" t="s">
        <v>2191</v>
      </c>
    </row>
    <row r="467" spans="1:9" x14ac:dyDescent="0.15">
      <c r="A467" s="15" t="s">
        <v>2315</v>
      </c>
      <c r="B467" s="15"/>
      <c r="C467" s="15" t="s">
        <v>40</v>
      </c>
      <c r="D467" s="15" t="s">
        <v>41</v>
      </c>
      <c r="E467" s="15" t="s">
        <v>2316</v>
      </c>
      <c r="F467" s="15" t="s">
        <v>2318</v>
      </c>
      <c r="G467" s="15" t="s">
        <v>2317</v>
      </c>
      <c r="H467" s="15" t="s">
        <v>2319</v>
      </c>
      <c r="I467" s="15" t="s">
        <v>2191</v>
      </c>
    </row>
    <row r="468" spans="1:9" x14ac:dyDescent="0.15">
      <c r="A468" s="15" t="s">
        <v>2320</v>
      </c>
      <c r="B468" s="15"/>
      <c r="C468" s="15" t="s">
        <v>40</v>
      </c>
      <c r="D468" s="15" t="s">
        <v>41</v>
      </c>
      <c r="E468" s="15" t="s">
        <v>2321</v>
      </c>
      <c r="F468" s="15" t="s">
        <v>2323</v>
      </c>
      <c r="G468" s="15" t="s">
        <v>2322</v>
      </c>
      <c r="H468" s="15" t="s">
        <v>2324</v>
      </c>
      <c r="I468" s="15" t="s">
        <v>2191</v>
      </c>
    </row>
    <row r="469" spans="1:9" x14ac:dyDescent="0.15">
      <c r="A469" s="15" t="s">
        <v>2325</v>
      </c>
      <c r="B469" s="15"/>
      <c r="C469" s="15" t="s">
        <v>40</v>
      </c>
      <c r="D469" s="15" t="s">
        <v>41</v>
      </c>
      <c r="E469" s="15" t="s">
        <v>2326</v>
      </c>
      <c r="F469" s="15" t="s">
        <v>2328</v>
      </c>
      <c r="G469" s="15" t="s">
        <v>2327</v>
      </c>
      <c r="H469" s="15" t="s">
        <v>2329</v>
      </c>
      <c r="I469" s="15" t="s">
        <v>2191</v>
      </c>
    </row>
    <row r="470" spans="1:9" x14ac:dyDescent="0.15">
      <c r="A470" s="15" t="s">
        <v>2330</v>
      </c>
      <c r="B470" s="15"/>
      <c r="C470" s="15" t="s">
        <v>40</v>
      </c>
      <c r="D470" s="15" t="s">
        <v>41</v>
      </c>
      <c r="E470" s="15" t="s">
        <v>2331</v>
      </c>
      <c r="F470" s="15" t="s">
        <v>2333</v>
      </c>
      <c r="G470" s="15" t="s">
        <v>2332</v>
      </c>
      <c r="H470" s="15" t="s">
        <v>2334</v>
      </c>
      <c r="I470" s="15" t="s">
        <v>2191</v>
      </c>
    </row>
    <row r="471" spans="1:9" x14ac:dyDescent="0.15">
      <c r="A471" s="15" t="s">
        <v>2335</v>
      </c>
      <c r="B471" s="15"/>
      <c r="C471" s="15" t="s">
        <v>40</v>
      </c>
      <c r="D471" s="15" t="s">
        <v>41</v>
      </c>
      <c r="E471" s="15" t="s">
        <v>2336</v>
      </c>
      <c r="F471" s="15" t="s">
        <v>2338</v>
      </c>
      <c r="G471" s="15" t="s">
        <v>2337</v>
      </c>
      <c r="H471" s="15" t="s">
        <v>2339</v>
      </c>
      <c r="I471" s="15" t="s">
        <v>2191</v>
      </c>
    </row>
    <row r="472" spans="1:9" x14ac:dyDescent="0.15">
      <c r="A472" s="15" t="s">
        <v>2340</v>
      </c>
      <c r="B472" s="15"/>
      <c r="C472" s="15" t="s">
        <v>40</v>
      </c>
      <c r="D472" s="15" t="s">
        <v>41</v>
      </c>
      <c r="E472" s="15" t="s">
        <v>2341</v>
      </c>
      <c r="F472" s="15" t="s">
        <v>2342</v>
      </c>
      <c r="G472" s="15" t="s">
        <v>2221</v>
      </c>
      <c r="H472" s="15" t="s">
        <v>2343</v>
      </c>
      <c r="I472" s="15" t="s">
        <v>2191</v>
      </c>
    </row>
    <row r="473" spans="1:9" x14ac:dyDescent="0.15">
      <c r="A473" s="15" t="s">
        <v>2344</v>
      </c>
      <c r="B473" s="15"/>
      <c r="C473" s="15" t="s">
        <v>40</v>
      </c>
      <c r="D473" s="15" t="s">
        <v>41</v>
      </c>
      <c r="E473" s="15" t="s">
        <v>2345</v>
      </c>
      <c r="F473" s="15" t="s">
        <v>2347</v>
      </c>
      <c r="G473" s="15" t="s">
        <v>2346</v>
      </c>
      <c r="H473" s="15" t="s">
        <v>2348</v>
      </c>
      <c r="I473" s="15" t="s">
        <v>2191</v>
      </c>
    </row>
    <row r="474" spans="1:9" x14ac:dyDescent="0.15">
      <c r="A474" s="15" t="s">
        <v>2349</v>
      </c>
      <c r="B474" s="15"/>
      <c r="C474" s="15" t="s">
        <v>40</v>
      </c>
      <c r="D474" s="15" t="s">
        <v>41</v>
      </c>
      <c r="E474" s="15" t="s">
        <v>2350</v>
      </c>
      <c r="F474" s="15" t="s">
        <v>2352</v>
      </c>
      <c r="G474" s="15" t="s">
        <v>2351</v>
      </c>
      <c r="H474" s="15" t="s">
        <v>2353</v>
      </c>
      <c r="I474" s="15" t="s">
        <v>2191</v>
      </c>
    </row>
    <row r="475" spans="1:9" x14ac:dyDescent="0.15">
      <c r="A475" s="15" t="s">
        <v>2354</v>
      </c>
      <c r="B475" s="15"/>
      <c r="C475" s="15" t="s">
        <v>40</v>
      </c>
      <c r="D475" s="15" t="s">
        <v>41</v>
      </c>
      <c r="E475" s="15" t="s">
        <v>2355</v>
      </c>
      <c r="F475" s="15" t="s">
        <v>2357</v>
      </c>
      <c r="G475" s="15" t="s">
        <v>2356</v>
      </c>
      <c r="H475" s="15" t="s">
        <v>2358</v>
      </c>
      <c r="I475" s="15" t="s">
        <v>2191</v>
      </c>
    </row>
    <row r="476" spans="1:9" x14ac:dyDescent="0.15">
      <c r="A476" s="15" t="s">
        <v>2359</v>
      </c>
      <c r="B476" s="15"/>
      <c r="C476" s="15" t="s">
        <v>40</v>
      </c>
      <c r="D476" s="15" t="s">
        <v>41</v>
      </c>
      <c r="E476" s="15" t="s">
        <v>2360</v>
      </c>
      <c r="F476" s="15" t="s">
        <v>2362</v>
      </c>
      <c r="G476" s="15" t="s">
        <v>2361</v>
      </c>
      <c r="H476" s="15" t="s">
        <v>2363</v>
      </c>
      <c r="I476" s="15" t="s">
        <v>2191</v>
      </c>
    </row>
    <row r="477" spans="1:9" x14ac:dyDescent="0.15">
      <c r="A477" s="15" t="s">
        <v>2364</v>
      </c>
      <c r="B477" s="15"/>
      <c r="C477" s="15" t="s">
        <v>40</v>
      </c>
      <c r="D477" s="15" t="s">
        <v>41</v>
      </c>
      <c r="E477" s="15" t="s">
        <v>2365</v>
      </c>
      <c r="F477" s="15" t="s">
        <v>2366</v>
      </c>
      <c r="G477" s="15" t="s">
        <v>2221</v>
      </c>
      <c r="H477" s="15" t="s">
        <v>2367</v>
      </c>
      <c r="I477" s="15" t="s">
        <v>2191</v>
      </c>
    </row>
    <row r="478" spans="1:9" x14ac:dyDescent="0.15">
      <c r="A478" s="15" t="s">
        <v>2368</v>
      </c>
      <c r="B478" s="15"/>
      <c r="C478" s="15" t="s">
        <v>40</v>
      </c>
      <c r="D478" s="15" t="s">
        <v>41</v>
      </c>
      <c r="E478" s="15" t="s">
        <v>2369</v>
      </c>
      <c r="F478" s="15" t="s">
        <v>2371</v>
      </c>
      <c r="G478" s="15" t="s">
        <v>2370</v>
      </c>
      <c r="H478" s="15" t="s">
        <v>2372</v>
      </c>
      <c r="I478" s="15" t="s">
        <v>2191</v>
      </c>
    </row>
    <row r="479" spans="1:9" x14ac:dyDescent="0.15">
      <c r="A479" s="15" t="s">
        <v>2373</v>
      </c>
      <c r="B479" s="15"/>
      <c r="C479" s="15" t="s">
        <v>40</v>
      </c>
      <c r="D479" s="15" t="s">
        <v>41</v>
      </c>
      <c r="E479" s="15" t="s">
        <v>2374</v>
      </c>
      <c r="F479" s="15" t="s">
        <v>2376</v>
      </c>
      <c r="G479" s="15" t="s">
        <v>2375</v>
      </c>
      <c r="H479" s="15" t="s">
        <v>2377</v>
      </c>
      <c r="I479" s="15" t="s">
        <v>2191</v>
      </c>
    </row>
    <row r="480" spans="1:9" x14ac:dyDescent="0.15">
      <c r="A480" s="15" t="s">
        <v>2378</v>
      </c>
      <c r="B480" s="15"/>
      <c r="C480" s="15" t="s">
        <v>40</v>
      </c>
      <c r="D480" s="15" t="s">
        <v>41</v>
      </c>
      <c r="E480" s="15" t="s">
        <v>2379</v>
      </c>
      <c r="F480" s="15" t="s">
        <v>2381</v>
      </c>
      <c r="G480" s="15" t="s">
        <v>2380</v>
      </c>
      <c r="H480" s="15" t="s">
        <v>2382</v>
      </c>
      <c r="I480" s="15" t="s">
        <v>2383</v>
      </c>
    </row>
    <row r="481" spans="1:9" x14ac:dyDescent="0.15">
      <c r="A481" s="15" t="s">
        <v>2384</v>
      </c>
      <c r="B481" s="15"/>
      <c r="C481" s="15" t="s">
        <v>40</v>
      </c>
      <c r="D481" s="15" t="s">
        <v>41</v>
      </c>
      <c r="E481" s="15" t="s">
        <v>2385</v>
      </c>
      <c r="F481" s="15" t="s">
        <v>2387</v>
      </c>
      <c r="G481" s="15" t="s">
        <v>2386</v>
      </c>
      <c r="H481" s="15" t="s">
        <v>2388</v>
      </c>
      <c r="I481" s="15" t="s">
        <v>2383</v>
      </c>
    </row>
    <row r="482" spans="1:9" x14ac:dyDescent="0.15">
      <c r="A482" s="15" t="s">
        <v>2389</v>
      </c>
      <c r="B482" s="15"/>
      <c r="C482" s="15" t="s">
        <v>40</v>
      </c>
      <c r="D482" s="15" t="s">
        <v>41</v>
      </c>
      <c r="E482" s="15" t="s">
        <v>2390</v>
      </c>
      <c r="F482" s="15" t="s">
        <v>2392</v>
      </c>
      <c r="G482" s="15" t="s">
        <v>2391</v>
      </c>
      <c r="H482" s="15" t="s">
        <v>2393</v>
      </c>
      <c r="I482" s="15" t="s">
        <v>2383</v>
      </c>
    </row>
    <row r="483" spans="1:9" x14ac:dyDescent="0.15">
      <c r="A483" s="15" t="s">
        <v>2394</v>
      </c>
      <c r="B483" s="15"/>
      <c r="C483" s="15" t="s">
        <v>40</v>
      </c>
      <c r="D483" s="15" t="s">
        <v>41</v>
      </c>
      <c r="E483" s="15" t="s">
        <v>2395</v>
      </c>
      <c r="F483" s="15" t="s">
        <v>2397</v>
      </c>
      <c r="G483" s="15" t="s">
        <v>2396</v>
      </c>
      <c r="H483" s="15" t="s">
        <v>2398</v>
      </c>
      <c r="I483" s="15" t="s">
        <v>2383</v>
      </c>
    </row>
    <row r="484" spans="1:9" x14ac:dyDescent="0.15">
      <c r="A484" s="15" t="s">
        <v>2399</v>
      </c>
      <c r="B484" s="15"/>
      <c r="C484" s="15" t="s">
        <v>40</v>
      </c>
      <c r="D484" s="15" t="s">
        <v>41</v>
      </c>
      <c r="E484" s="15" t="s">
        <v>2400</v>
      </c>
      <c r="F484" s="15" t="s">
        <v>2402</v>
      </c>
      <c r="G484" s="15" t="s">
        <v>2401</v>
      </c>
      <c r="H484" s="15" t="s">
        <v>2403</v>
      </c>
      <c r="I484" s="15" t="s">
        <v>2383</v>
      </c>
    </row>
    <row r="485" spans="1:9" x14ac:dyDescent="0.15">
      <c r="A485" s="15" t="s">
        <v>2404</v>
      </c>
      <c r="B485" s="15"/>
      <c r="C485" s="15" t="s">
        <v>40</v>
      </c>
      <c r="D485" s="15" t="s">
        <v>41</v>
      </c>
      <c r="E485" s="15" t="s">
        <v>2405</v>
      </c>
      <c r="F485" s="15" t="s">
        <v>2407</v>
      </c>
      <c r="G485" s="15" t="s">
        <v>2406</v>
      </c>
      <c r="H485" s="15" t="s">
        <v>2408</v>
      </c>
      <c r="I485" s="15" t="s">
        <v>2383</v>
      </c>
    </row>
    <row r="486" spans="1:9" x14ac:dyDescent="0.15">
      <c r="A486" s="15" t="s">
        <v>2409</v>
      </c>
      <c r="B486" s="15"/>
      <c r="C486" s="15" t="s">
        <v>40</v>
      </c>
      <c r="D486" s="15" t="s">
        <v>41</v>
      </c>
      <c r="E486" s="15" t="s">
        <v>2410</v>
      </c>
      <c r="F486" s="15" t="s">
        <v>2412</v>
      </c>
      <c r="G486" s="15" t="s">
        <v>2411</v>
      </c>
      <c r="H486" s="15" t="s">
        <v>2413</v>
      </c>
      <c r="I486" s="15" t="s">
        <v>2383</v>
      </c>
    </row>
    <row r="487" spans="1:9" x14ac:dyDescent="0.15">
      <c r="A487" s="15" t="s">
        <v>2414</v>
      </c>
      <c r="B487" s="15"/>
      <c r="C487" s="15" t="s">
        <v>40</v>
      </c>
      <c r="D487" s="15" t="s">
        <v>41</v>
      </c>
      <c r="E487" s="15" t="s">
        <v>2415</v>
      </c>
      <c r="F487" s="15" t="s">
        <v>2416</v>
      </c>
      <c r="G487" s="15" t="s">
        <v>2396</v>
      </c>
      <c r="H487" s="15" t="s">
        <v>2417</v>
      </c>
      <c r="I487" s="15" t="s">
        <v>2383</v>
      </c>
    </row>
    <row r="488" spans="1:9" x14ac:dyDescent="0.15">
      <c r="A488" s="15" t="s">
        <v>2418</v>
      </c>
      <c r="B488" s="15"/>
      <c r="C488" s="15" t="s">
        <v>40</v>
      </c>
      <c r="D488" s="15" t="s">
        <v>41</v>
      </c>
      <c r="E488" s="15" t="s">
        <v>2419</v>
      </c>
      <c r="F488" s="15" t="s">
        <v>2421</v>
      </c>
      <c r="G488" s="15" t="s">
        <v>2420</v>
      </c>
      <c r="H488" s="15" t="s">
        <v>2422</v>
      </c>
      <c r="I488" s="15" t="s">
        <v>2383</v>
      </c>
    </row>
    <row r="489" spans="1:9" x14ac:dyDescent="0.15">
      <c r="A489" s="15" t="s">
        <v>2423</v>
      </c>
      <c r="B489" s="15"/>
      <c r="C489" s="15" t="s">
        <v>40</v>
      </c>
      <c r="D489" s="15" t="s">
        <v>41</v>
      </c>
      <c r="E489" s="15" t="s">
        <v>2424</v>
      </c>
      <c r="F489" s="15" t="s">
        <v>2426</v>
      </c>
      <c r="G489" s="15" t="s">
        <v>2425</v>
      </c>
      <c r="H489" s="15" t="s">
        <v>2427</v>
      </c>
      <c r="I489" s="15" t="s">
        <v>2383</v>
      </c>
    </row>
    <row r="490" spans="1:9" x14ac:dyDescent="0.15">
      <c r="A490" s="15" t="s">
        <v>2428</v>
      </c>
      <c r="B490" s="15"/>
      <c r="C490" s="15" t="s">
        <v>40</v>
      </c>
      <c r="D490" s="15" t="s">
        <v>41</v>
      </c>
      <c r="E490" s="15" t="s">
        <v>2429</v>
      </c>
      <c r="F490" s="15" t="s">
        <v>2431</v>
      </c>
      <c r="G490" s="15" t="s">
        <v>2430</v>
      </c>
      <c r="H490" s="15" t="s">
        <v>2432</v>
      </c>
      <c r="I490" s="15" t="s">
        <v>2383</v>
      </c>
    </row>
    <row r="491" spans="1:9" x14ac:dyDescent="0.15">
      <c r="A491" s="15" t="s">
        <v>2433</v>
      </c>
      <c r="B491" s="15"/>
      <c r="C491" s="15" t="s">
        <v>40</v>
      </c>
      <c r="D491" s="15" t="s">
        <v>41</v>
      </c>
      <c r="E491" s="15" t="s">
        <v>2434</v>
      </c>
      <c r="F491" s="15" t="s">
        <v>2436</v>
      </c>
      <c r="G491" s="15" t="s">
        <v>2435</v>
      </c>
      <c r="H491" s="15" t="s">
        <v>2437</v>
      </c>
      <c r="I491" s="15" t="s">
        <v>2383</v>
      </c>
    </row>
    <row r="492" spans="1:9" x14ac:dyDescent="0.15">
      <c r="A492" s="15" t="s">
        <v>2438</v>
      </c>
      <c r="B492" s="15"/>
      <c r="C492" s="15" t="s">
        <v>40</v>
      </c>
      <c r="D492" s="15" t="s">
        <v>41</v>
      </c>
      <c r="E492" s="15" t="s">
        <v>2439</v>
      </c>
      <c r="F492" s="15" t="s">
        <v>2441</v>
      </c>
      <c r="G492" s="15" t="s">
        <v>2440</v>
      </c>
      <c r="H492" s="15" t="s">
        <v>2442</v>
      </c>
      <c r="I492" s="15" t="s">
        <v>2383</v>
      </c>
    </row>
    <row r="493" spans="1:9" x14ac:dyDescent="0.15">
      <c r="A493" s="15" t="s">
        <v>2443</v>
      </c>
      <c r="B493" s="15"/>
      <c r="C493" s="15" t="s">
        <v>40</v>
      </c>
      <c r="D493" s="15" t="s">
        <v>41</v>
      </c>
      <c r="E493" s="15" t="s">
        <v>2444</v>
      </c>
      <c r="F493" s="15" t="s">
        <v>52</v>
      </c>
      <c r="G493" s="15" t="s">
        <v>714</v>
      </c>
      <c r="H493" s="15" t="s">
        <v>2445</v>
      </c>
      <c r="I493" s="15" t="s">
        <v>2383</v>
      </c>
    </row>
    <row r="494" spans="1:9" x14ac:dyDescent="0.15">
      <c r="A494" s="15" t="s">
        <v>2446</v>
      </c>
      <c r="B494" s="15"/>
      <c r="C494" s="15" t="s">
        <v>40</v>
      </c>
      <c r="D494" s="15" t="s">
        <v>41</v>
      </c>
      <c r="E494" s="15" t="s">
        <v>2447</v>
      </c>
      <c r="F494" s="15" t="s">
        <v>2449</v>
      </c>
      <c r="G494" s="15" t="s">
        <v>2448</v>
      </c>
      <c r="H494" s="15" t="s">
        <v>2450</v>
      </c>
      <c r="I494" s="15" t="s">
        <v>2383</v>
      </c>
    </row>
    <row r="495" spans="1:9" x14ac:dyDescent="0.15">
      <c r="A495" s="15" t="s">
        <v>2451</v>
      </c>
      <c r="B495" s="15"/>
      <c r="C495" s="15" t="s">
        <v>40</v>
      </c>
      <c r="D495" s="15" t="s">
        <v>41</v>
      </c>
      <c r="E495" s="15" t="s">
        <v>2452</v>
      </c>
      <c r="F495" s="15" t="s">
        <v>2454</v>
      </c>
      <c r="G495" s="15" t="s">
        <v>2453</v>
      </c>
      <c r="H495" s="15" t="s">
        <v>2455</v>
      </c>
      <c r="I495" s="15" t="s">
        <v>2383</v>
      </c>
    </row>
    <row r="496" spans="1:9" x14ac:dyDescent="0.15">
      <c r="A496" s="15" t="s">
        <v>2456</v>
      </c>
      <c r="B496" s="15"/>
      <c r="C496" s="15" t="s">
        <v>40</v>
      </c>
      <c r="D496" s="15" t="s">
        <v>41</v>
      </c>
      <c r="E496" s="15" t="s">
        <v>2457</v>
      </c>
      <c r="F496" s="15" t="s">
        <v>2459</v>
      </c>
      <c r="G496" s="15" t="s">
        <v>2458</v>
      </c>
      <c r="H496" s="15" t="s">
        <v>2460</v>
      </c>
      <c r="I496" s="15" t="s">
        <v>2383</v>
      </c>
    </row>
    <row r="497" spans="1:9" x14ac:dyDescent="0.15">
      <c r="A497" s="15" t="s">
        <v>2461</v>
      </c>
      <c r="B497" s="15"/>
      <c r="C497" s="15" t="s">
        <v>40</v>
      </c>
      <c r="D497" s="15" t="s">
        <v>41</v>
      </c>
      <c r="E497" s="15" t="s">
        <v>2462</v>
      </c>
      <c r="F497" s="15" t="s">
        <v>2464</v>
      </c>
      <c r="G497" s="15" t="s">
        <v>2463</v>
      </c>
      <c r="H497" s="15" t="s">
        <v>2465</v>
      </c>
      <c r="I497" s="15" t="s">
        <v>2383</v>
      </c>
    </row>
    <row r="498" spans="1:9" x14ac:dyDescent="0.15">
      <c r="A498" s="15" t="s">
        <v>2466</v>
      </c>
      <c r="B498" s="15"/>
      <c r="C498" s="15" t="s">
        <v>40</v>
      </c>
      <c r="D498" s="15" t="s">
        <v>41</v>
      </c>
      <c r="E498" s="15" t="s">
        <v>2467</v>
      </c>
      <c r="F498" s="15" t="s">
        <v>2469</v>
      </c>
      <c r="G498" s="15" t="s">
        <v>2468</v>
      </c>
      <c r="H498" s="15" t="s">
        <v>2470</v>
      </c>
      <c r="I498" s="15" t="s">
        <v>2383</v>
      </c>
    </row>
    <row r="499" spans="1:9" x14ac:dyDescent="0.15">
      <c r="A499" s="15" t="s">
        <v>2471</v>
      </c>
      <c r="B499" s="15"/>
      <c r="C499" s="15" t="s">
        <v>40</v>
      </c>
      <c r="D499" s="15" t="s">
        <v>41</v>
      </c>
      <c r="E499" s="15" t="s">
        <v>2472</v>
      </c>
      <c r="F499" s="15" t="s">
        <v>2474</v>
      </c>
      <c r="G499" s="15" t="s">
        <v>2473</v>
      </c>
      <c r="H499" s="15" t="s">
        <v>2475</v>
      </c>
      <c r="I499" s="15" t="s">
        <v>2383</v>
      </c>
    </row>
    <row r="500" spans="1:9" x14ac:dyDescent="0.15">
      <c r="A500" s="15" t="s">
        <v>2476</v>
      </c>
      <c r="B500" s="15"/>
      <c r="C500" s="15" t="s">
        <v>40</v>
      </c>
      <c r="D500" s="15" t="s">
        <v>41</v>
      </c>
      <c r="E500" s="15" t="s">
        <v>2477</v>
      </c>
      <c r="F500" s="15" t="s">
        <v>2479</v>
      </c>
      <c r="G500" s="15" t="s">
        <v>2478</v>
      </c>
      <c r="H500" s="15" t="s">
        <v>2480</v>
      </c>
      <c r="I500" s="15" t="s">
        <v>2383</v>
      </c>
    </row>
    <row r="501" spans="1:9" x14ac:dyDescent="0.15">
      <c r="A501" s="15" t="s">
        <v>2481</v>
      </c>
      <c r="B501" s="15"/>
      <c r="C501" s="15" t="s">
        <v>40</v>
      </c>
      <c r="D501" s="15" t="s">
        <v>41</v>
      </c>
      <c r="E501" s="15" t="s">
        <v>2482</v>
      </c>
      <c r="F501" s="15" t="s">
        <v>2484</v>
      </c>
      <c r="G501" s="15" t="s">
        <v>2483</v>
      </c>
      <c r="H501" s="15" t="s">
        <v>2485</v>
      </c>
      <c r="I501" s="15" t="s">
        <v>2383</v>
      </c>
    </row>
    <row r="502" spans="1:9" x14ac:dyDescent="0.15">
      <c r="A502" s="15" t="s">
        <v>2486</v>
      </c>
      <c r="B502" s="15"/>
      <c r="C502" s="15" t="s">
        <v>40</v>
      </c>
      <c r="D502" s="15" t="s">
        <v>41</v>
      </c>
      <c r="E502" s="15" t="s">
        <v>2487</v>
      </c>
      <c r="F502" s="15" t="s">
        <v>2489</v>
      </c>
      <c r="G502" s="15" t="s">
        <v>2488</v>
      </c>
      <c r="H502" s="15" t="s">
        <v>2490</v>
      </c>
      <c r="I502" s="15" t="s">
        <v>2383</v>
      </c>
    </row>
    <row r="503" spans="1:9" x14ac:dyDescent="0.15">
      <c r="A503" s="15" t="s">
        <v>2491</v>
      </c>
      <c r="B503" s="15"/>
      <c r="C503" s="15" t="s">
        <v>40</v>
      </c>
      <c r="D503" s="15" t="s">
        <v>41</v>
      </c>
      <c r="E503" s="15" t="s">
        <v>2492</v>
      </c>
      <c r="F503" s="15" t="s">
        <v>2494</v>
      </c>
      <c r="G503" s="15" t="s">
        <v>2493</v>
      </c>
      <c r="H503" s="15" t="s">
        <v>2495</v>
      </c>
      <c r="I503" s="15" t="s">
        <v>2383</v>
      </c>
    </row>
    <row r="504" spans="1:9" x14ac:dyDescent="0.15">
      <c r="A504" s="15" t="s">
        <v>2496</v>
      </c>
      <c r="B504" s="15"/>
      <c r="C504" s="15" t="s">
        <v>40</v>
      </c>
      <c r="D504" s="15" t="s">
        <v>41</v>
      </c>
      <c r="E504" s="15" t="s">
        <v>2497</v>
      </c>
      <c r="F504" s="15" t="s">
        <v>2499</v>
      </c>
      <c r="G504" s="15" t="s">
        <v>2498</v>
      </c>
      <c r="H504" s="15" t="s">
        <v>2500</v>
      </c>
      <c r="I504" s="15" t="s">
        <v>2383</v>
      </c>
    </row>
    <row r="505" spans="1:9" x14ac:dyDescent="0.15">
      <c r="A505" s="15" t="s">
        <v>2501</v>
      </c>
      <c r="B505" s="15"/>
      <c r="C505" s="15" t="s">
        <v>40</v>
      </c>
      <c r="D505" s="15" t="s">
        <v>41</v>
      </c>
      <c r="E505" s="15" t="s">
        <v>2502</v>
      </c>
      <c r="F505" s="15" t="s">
        <v>2504</v>
      </c>
      <c r="G505" s="15" t="s">
        <v>2503</v>
      </c>
      <c r="H505" s="15" t="s">
        <v>2505</v>
      </c>
      <c r="I505" s="15" t="s">
        <v>2383</v>
      </c>
    </row>
    <row r="506" spans="1:9" x14ac:dyDescent="0.15">
      <c r="A506" s="15" t="s">
        <v>2506</v>
      </c>
      <c r="B506" s="15"/>
      <c r="C506" s="15" t="s">
        <v>40</v>
      </c>
      <c r="D506" s="15" t="s">
        <v>41</v>
      </c>
      <c r="E506" s="15" t="s">
        <v>2507</v>
      </c>
      <c r="F506" s="15" t="s">
        <v>2509</v>
      </c>
      <c r="G506" s="15" t="s">
        <v>2508</v>
      </c>
      <c r="H506" s="15" t="s">
        <v>2510</v>
      </c>
      <c r="I506" s="15" t="s">
        <v>2383</v>
      </c>
    </row>
    <row r="507" spans="1:9" x14ac:dyDescent="0.15">
      <c r="A507" s="15" t="s">
        <v>2511</v>
      </c>
      <c r="B507" s="15"/>
      <c r="C507" s="15" t="s">
        <v>40</v>
      </c>
      <c r="D507" s="15" t="s">
        <v>41</v>
      </c>
      <c r="E507" s="15" t="s">
        <v>2512</v>
      </c>
      <c r="F507" s="15" t="s">
        <v>2514</v>
      </c>
      <c r="G507" s="15" t="s">
        <v>2513</v>
      </c>
      <c r="H507" s="15" t="s">
        <v>2515</v>
      </c>
      <c r="I507" s="15" t="s">
        <v>2383</v>
      </c>
    </row>
    <row r="508" spans="1:9" x14ac:dyDescent="0.15">
      <c r="A508" s="15" t="s">
        <v>2516</v>
      </c>
      <c r="B508" s="15"/>
      <c r="C508" s="15" t="s">
        <v>40</v>
      </c>
      <c r="D508" s="15" t="s">
        <v>41</v>
      </c>
      <c r="E508" s="15" t="s">
        <v>2517</v>
      </c>
      <c r="F508" s="15" t="s">
        <v>2518</v>
      </c>
      <c r="G508" s="15" t="s">
        <v>2440</v>
      </c>
      <c r="H508" s="15" t="s">
        <v>2519</v>
      </c>
      <c r="I508" s="15" t="s">
        <v>2383</v>
      </c>
    </row>
    <row r="509" spans="1:9" x14ac:dyDescent="0.15">
      <c r="A509" s="15" t="s">
        <v>2520</v>
      </c>
      <c r="B509" s="15"/>
      <c r="C509" s="15" t="s">
        <v>40</v>
      </c>
      <c r="D509" s="15" t="s">
        <v>41</v>
      </c>
      <c r="E509" s="15" t="s">
        <v>2521</v>
      </c>
      <c r="F509" s="15" t="s">
        <v>2523</v>
      </c>
      <c r="G509" s="15" t="s">
        <v>2522</v>
      </c>
      <c r="H509" s="15" t="s">
        <v>2524</v>
      </c>
      <c r="I509" s="15" t="s">
        <v>2383</v>
      </c>
    </row>
    <row r="510" spans="1:9" x14ac:dyDescent="0.15">
      <c r="A510" s="15" t="s">
        <v>2525</v>
      </c>
      <c r="B510" s="15"/>
      <c r="C510" s="15" t="s">
        <v>40</v>
      </c>
      <c r="D510" s="15" t="s">
        <v>41</v>
      </c>
      <c r="E510" s="15" t="s">
        <v>2526</v>
      </c>
      <c r="F510" s="15" t="s">
        <v>2528</v>
      </c>
      <c r="G510" s="15" t="s">
        <v>2527</v>
      </c>
      <c r="H510" s="15" t="s">
        <v>2529</v>
      </c>
      <c r="I510" s="15" t="s">
        <v>2383</v>
      </c>
    </row>
    <row r="511" spans="1:9" x14ac:dyDescent="0.15">
      <c r="A511" s="15" t="s">
        <v>2530</v>
      </c>
      <c r="B511" s="15"/>
      <c r="C511" s="15" t="s">
        <v>40</v>
      </c>
      <c r="D511" s="15" t="s">
        <v>41</v>
      </c>
      <c r="E511" s="15" t="s">
        <v>2531</v>
      </c>
      <c r="F511" s="15" t="s">
        <v>2533</v>
      </c>
      <c r="G511" s="15" t="s">
        <v>2532</v>
      </c>
      <c r="H511" s="15" t="s">
        <v>2534</v>
      </c>
      <c r="I511" s="15" t="s">
        <v>2383</v>
      </c>
    </row>
    <row r="512" spans="1:9" x14ac:dyDescent="0.15">
      <c r="A512" s="15" t="s">
        <v>2535</v>
      </c>
      <c r="B512" s="15"/>
      <c r="C512" s="15" t="s">
        <v>40</v>
      </c>
      <c r="D512" s="15" t="s">
        <v>41</v>
      </c>
      <c r="E512" s="15" t="s">
        <v>2536</v>
      </c>
      <c r="F512" s="15" t="s">
        <v>2538</v>
      </c>
      <c r="G512" s="15" t="s">
        <v>2537</v>
      </c>
      <c r="H512" s="15" t="s">
        <v>2539</v>
      </c>
      <c r="I512" s="15" t="s">
        <v>2383</v>
      </c>
    </row>
    <row r="513" spans="1:9" x14ac:dyDescent="0.15">
      <c r="A513" s="15" t="s">
        <v>2540</v>
      </c>
      <c r="B513" s="15"/>
      <c r="C513" s="15" t="s">
        <v>40</v>
      </c>
      <c r="D513" s="15" t="s">
        <v>41</v>
      </c>
      <c r="E513" s="15" t="s">
        <v>2541</v>
      </c>
      <c r="F513" s="15" t="s">
        <v>2543</v>
      </c>
      <c r="G513" s="15" t="s">
        <v>2542</v>
      </c>
      <c r="H513" s="15" t="s">
        <v>2544</v>
      </c>
      <c r="I513" s="15" t="s">
        <v>2383</v>
      </c>
    </row>
    <row r="514" spans="1:9" x14ac:dyDescent="0.15">
      <c r="A514" s="15" t="s">
        <v>2545</v>
      </c>
      <c r="B514" s="15"/>
      <c r="C514" s="15" t="s">
        <v>40</v>
      </c>
      <c r="D514" s="15" t="s">
        <v>41</v>
      </c>
      <c r="E514" s="15" t="s">
        <v>2546</v>
      </c>
      <c r="F514" s="15" t="s">
        <v>2547</v>
      </c>
      <c r="G514" s="15" t="s">
        <v>2406</v>
      </c>
      <c r="H514" s="15" t="s">
        <v>2548</v>
      </c>
      <c r="I514" s="15" t="s">
        <v>2383</v>
      </c>
    </row>
    <row r="515" spans="1:9" x14ac:dyDescent="0.15">
      <c r="A515" s="15" t="s">
        <v>2549</v>
      </c>
      <c r="B515" s="15"/>
      <c r="C515" s="15" t="s">
        <v>40</v>
      </c>
      <c r="D515" s="15" t="s">
        <v>41</v>
      </c>
      <c r="E515" s="15" t="s">
        <v>2550</v>
      </c>
      <c r="F515" s="15" t="s">
        <v>2552</v>
      </c>
      <c r="G515" s="15" t="s">
        <v>2551</v>
      </c>
      <c r="H515" s="15" t="s">
        <v>2553</v>
      </c>
      <c r="I515" s="15" t="s">
        <v>2383</v>
      </c>
    </row>
    <row r="516" spans="1:9" x14ac:dyDescent="0.15">
      <c r="A516" s="15" t="s">
        <v>2554</v>
      </c>
      <c r="B516" s="15"/>
      <c r="C516" s="15" t="s">
        <v>40</v>
      </c>
      <c r="D516" s="15" t="s">
        <v>41</v>
      </c>
      <c r="E516" s="15" t="s">
        <v>2555</v>
      </c>
      <c r="F516" s="15" t="s">
        <v>2557</v>
      </c>
      <c r="G516" s="15" t="s">
        <v>2556</v>
      </c>
      <c r="H516" s="15" t="s">
        <v>2558</v>
      </c>
      <c r="I516" s="15" t="s">
        <v>2383</v>
      </c>
    </row>
    <row r="517" spans="1:9" x14ac:dyDescent="0.15">
      <c r="A517" s="15" t="s">
        <v>2559</v>
      </c>
      <c r="B517" s="15"/>
      <c r="C517" s="15" t="s">
        <v>40</v>
      </c>
      <c r="D517" s="15" t="s">
        <v>41</v>
      </c>
      <c r="E517" s="15" t="s">
        <v>2560</v>
      </c>
      <c r="F517" s="15" t="s">
        <v>2562</v>
      </c>
      <c r="G517" s="15" t="s">
        <v>2561</v>
      </c>
      <c r="H517" s="15" t="s">
        <v>2563</v>
      </c>
      <c r="I517" s="15" t="s">
        <v>2383</v>
      </c>
    </row>
    <row r="518" spans="1:9" x14ac:dyDescent="0.15">
      <c r="A518" s="15" t="s">
        <v>2564</v>
      </c>
      <c r="B518" s="15"/>
      <c r="C518" s="15" t="s">
        <v>40</v>
      </c>
      <c r="D518" s="15" t="s">
        <v>41</v>
      </c>
      <c r="E518" s="15" t="s">
        <v>2565</v>
      </c>
      <c r="F518" s="15" t="s">
        <v>2567</v>
      </c>
      <c r="G518" s="15" t="s">
        <v>2566</v>
      </c>
      <c r="H518" s="15" t="s">
        <v>2568</v>
      </c>
      <c r="I518" s="15" t="s">
        <v>2383</v>
      </c>
    </row>
    <row r="519" spans="1:9" x14ac:dyDescent="0.15">
      <c r="A519" s="15" t="s">
        <v>2569</v>
      </c>
      <c r="B519" s="15"/>
      <c r="C519" s="15" t="s">
        <v>40</v>
      </c>
      <c r="D519" s="15" t="s">
        <v>41</v>
      </c>
      <c r="E519" s="15" t="s">
        <v>2570</v>
      </c>
      <c r="F519" s="15" t="s">
        <v>2572</v>
      </c>
      <c r="G519" s="15" t="s">
        <v>2571</v>
      </c>
      <c r="H519" s="15" t="s">
        <v>2573</v>
      </c>
      <c r="I519" s="15" t="s">
        <v>2383</v>
      </c>
    </row>
    <row r="520" spans="1:9" x14ac:dyDescent="0.15">
      <c r="A520" s="15" t="s">
        <v>2574</v>
      </c>
      <c r="B520" s="15"/>
      <c r="C520" s="15" t="s">
        <v>40</v>
      </c>
      <c r="D520" s="15" t="s">
        <v>41</v>
      </c>
      <c r="E520" s="15" t="s">
        <v>2575</v>
      </c>
      <c r="F520" s="15" t="s">
        <v>2577</v>
      </c>
      <c r="G520" s="15" t="s">
        <v>2576</v>
      </c>
      <c r="H520" s="15" t="s">
        <v>2578</v>
      </c>
      <c r="I520" s="15" t="s">
        <v>2579</v>
      </c>
    </row>
    <row r="521" spans="1:9" x14ac:dyDescent="0.15">
      <c r="A521" s="15" t="s">
        <v>2580</v>
      </c>
      <c r="B521" s="15"/>
      <c r="C521" s="15" t="s">
        <v>40</v>
      </c>
      <c r="D521" s="15" t="s">
        <v>41</v>
      </c>
      <c r="E521" s="15" t="s">
        <v>2581</v>
      </c>
      <c r="F521" s="15" t="s">
        <v>2583</v>
      </c>
      <c r="G521" s="15" t="s">
        <v>2582</v>
      </c>
      <c r="H521" s="15" t="s">
        <v>2584</v>
      </c>
      <c r="I521" s="15" t="s">
        <v>2579</v>
      </c>
    </row>
    <row r="522" spans="1:9" x14ac:dyDescent="0.15">
      <c r="A522" s="15" t="s">
        <v>2585</v>
      </c>
      <c r="B522" s="15"/>
      <c r="C522" s="15" t="s">
        <v>40</v>
      </c>
      <c r="D522" s="15" t="s">
        <v>41</v>
      </c>
      <c r="E522" s="15" t="s">
        <v>2586</v>
      </c>
      <c r="F522" s="15" t="s">
        <v>2588</v>
      </c>
      <c r="G522" s="15" t="s">
        <v>2587</v>
      </c>
      <c r="H522" s="15" t="s">
        <v>2589</v>
      </c>
      <c r="I522" s="15" t="s">
        <v>2579</v>
      </c>
    </row>
    <row r="523" spans="1:9" x14ac:dyDescent="0.15">
      <c r="A523" s="15" t="s">
        <v>2590</v>
      </c>
      <c r="B523" s="15"/>
      <c r="C523" s="15" t="s">
        <v>40</v>
      </c>
      <c r="D523" s="15" t="s">
        <v>41</v>
      </c>
      <c r="E523" s="15" t="s">
        <v>2591</v>
      </c>
      <c r="F523" s="15" t="s">
        <v>2593</v>
      </c>
      <c r="G523" s="15" t="s">
        <v>2592</v>
      </c>
      <c r="H523" s="15" t="s">
        <v>2594</v>
      </c>
      <c r="I523" s="15" t="s">
        <v>2579</v>
      </c>
    </row>
    <row r="524" spans="1:9" x14ac:dyDescent="0.15">
      <c r="A524" s="15" t="s">
        <v>2595</v>
      </c>
      <c r="B524" s="15"/>
      <c r="C524" s="15" t="s">
        <v>40</v>
      </c>
      <c r="D524" s="15" t="s">
        <v>41</v>
      </c>
      <c r="E524" s="15" t="s">
        <v>2596</v>
      </c>
      <c r="F524" s="15" t="s">
        <v>2598</v>
      </c>
      <c r="G524" s="15" t="s">
        <v>2597</v>
      </c>
      <c r="H524" s="15" t="s">
        <v>2599</v>
      </c>
      <c r="I524" s="15" t="s">
        <v>2579</v>
      </c>
    </row>
    <row r="525" spans="1:9" x14ac:dyDescent="0.15">
      <c r="A525" s="15" t="s">
        <v>2600</v>
      </c>
      <c r="B525" s="15"/>
      <c r="C525" s="15" t="s">
        <v>40</v>
      </c>
      <c r="D525" s="15" t="s">
        <v>41</v>
      </c>
      <c r="E525" s="15" t="s">
        <v>2601</v>
      </c>
      <c r="F525" s="15" t="s">
        <v>2603</v>
      </c>
      <c r="G525" s="15" t="s">
        <v>2602</v>
      </c>
      <c r="H525" s="15" t="s">
        <v>2604</v>
      </c>
      <c r="I525" s="15" t="s">
        <v>2579</v>
      </c>
    </row>
    <row r="526" spans="1:9" x14ac:dyDescent="0.15">
      <c r="A526" s="15" t="s">
        <v>2605</v>
      </c>
      <c r="B526" s="15"/>
      <c r="C526" s="15" t="s">
        <v>40</v>
      </c>
      <c r="D526" s="15" t="s">
        <v>41</v>
      </c>
      <c r="E526" s="15" t="s">
        <v>2606</v>
      </c>
      <c r="F526" s="15" t="s">
        <v>2608</v>
      </c>
      <c r="G526" s="15" t="s">
        <v>2607</v>
      </c>
      <c r="H526" s="15" t="s">
        <v>2609</v>
      </c>
      <c r="I526" s="15" t="s">
        <v>2579</v>
      </c>
    </row>
    <row r="527" spans="1:9" x14ac:dyDescent="0.15">
      <c r="A527" s="15" t="s">
        <v>2610</v>
      </c>
      <c r="B527" s="15"/>
      <c r="C527" s="15" t="s">
        <v>40</v>
      </c>
      <c r="D527" s="15" t="s">
        <v>41</v>
      </c>
      <c r="E527" s="15" t="s">
        <v>2611</v>
      </c>
      <c r="F527" s="15" t="s">
        <v>2613</v>
      </c>
      <c r="G527" s="15" t="s">
        <v>2612</v>
      </c>
      <c r="H527" s="15" t="s">
        <v>2614</v>
      </c>
      <c r="I527" s="15" t="s">
        <v>2579</v>
      </c>
    </row>
    <row r="528" spans="1:9" x14ac:dyDescent="0.15">
      <c r="A528" s="15" t="s">
        <v>2615</v>
      </c>
      <c r="B528" s="15"/>
      <c r="C528" s="15" t="s">
        <v>40</v>
      </c>
      <c r="D528" s="15" t="s">
        <v>41</v>
      </c>
      <c r="E528" s="15" t="s">
        <v>2616</v>
      </c>
      <c r="F528" s="15" t="s">
        <v>2617</v>
      </c>
      <c r="G528" s="15" t="s">
        <v>2597</v>
      </c>
      <c r="H528" s="15" t="s">
        <v>2618</v>
      </c>
      <c r="I528" s="15" t="s">
        <v>2579</v>
      </c>
    </row>
    <row r="529" spans="1:9" x14ac:dyDescent="0.15">
      <c r="A529" s="15" t="s">
        <v>2619</v>
      </c>
      <c r="B529" s="15"/>
      <c r="C529" s="15" t="s">
        <v>40</v>
      </c>
      <c r="D529" s="15" t="s">
        <v>41</v>
      </c>
      <c r="E529" s="15" t="s">
        <v>2620</v>
      </c>
      <c r="F529" s="15" t="s">
        <v>2622</v>
      </c>
      <c r="G529" s="15" t="s">
        <v>2621</v>
      </c>
      <c r="H529" s="15" t="s">
        <v>2623</v>
      </c>
      <c r="I529" s="15" t="s">
        <v>2579</v>
      </c>
    </row>
    <row r="530" spans="1:9" x14ac:dyDescent="0.15">
      <c r="A530" s="15" t="s">
        <v>2624</v>
      </c>
      <c r="B530" s="15"/>
      <c r="C530" s="15" t="s">
        <v>40</v>
      </c>
      <c r="D530" s="15" t="s">
        <v>41</v>
      </c>
      <c r="E530" s="15" t="s">
        <v>2625</v>
      </c>
      <c r="F530" s="15" t="s">
        <v>2626</v>
      </c>
      <c r="G530" s="15" t="s">
        <v>2597</v>
      </c>
      <c r="H530" s="15" t="s">
        <v>2627</v>
      </c>
      <c r="I530" s="15" t="s">
        <v>2579</v>
      </c>
    </row>
    <row r="531" spans="1:9" x14ac:dyDescent="0.15">
      <c r="A531" s="15" t="s">
        <v>2628</v>
      </c>
      <c r="B531" s="15"/>
      <c r="C531" s="15" t="s">
        <v>40</v>
      </c>
      <c r="D531" s="15" t="s">
        <v>41</v>
      </c>
      <c r="E531" s="15" t="s">
        <v>2629</v>
      </c>
      <c r="F531" s="15" t="s">
        <v>2630</v>
      </c>
      <c r="G531" s="15" t="s">
        <v>2597</v>
      </c>
      <c r="H531" s="15" t="s">
        <v>2631</v>
      </c>
      <c r="I531" s="15" t="s">
        <v>2579</v>
      </c>
    </row>
    <row r="532" spans="1:9" x14ac:dyDescent="0.15">
      <c r="A532" s="15" t="s">
        <v>2632</v>
      </c>
      <c r="B532" s="15"/>
      <c r="C532" s="15" t="s">
        <v>40</v>
      </c>
      <c r="D532" s="15" t="s">
        <v>41</v>
      </c>
      <c r="E532" s="15" t="s">
        <v>2633</v>
      </c>
      <c r="F532" s="15" t="s">
        <v>2634</v>
      </c>
      <c r="G532" s="15" t="s">
        <v>2597</v>
      </c>
      <c r="H532" s="15" t="s">
        <v>2635</v>
      </c>
      <c r="I532" s="15" t="s">
        <v>2579</v>
      </c>
    </row>
    <row r="533" spans="1:9" x14ac:dyDescent="0.15">
      <c r="A533" s="15" t="s">
        <v>2636</v>
      </c>
      <c r="B533" s="15"/>
      <c r="C533" s="15" t="s">
        <v>40</v>
      </c>
      <c r="D533" s="15" t="s">
        <v>41</v>
      </c>
      <c r="E533" s="15" t="s">
        <v>2637</v>
      </c>
      <c r="F533" s="15" t="s">
        <v>2638</v>
      </c>
      <c r="G533" s="15" t="s">
        <v>2602</v>
      </c>
      <c r="H533" s="15" t="s">
        <v>2639</v>
      </c>
      <c r="I533" s="15" t="s">
        <v>2579</v>
      </c>
    </row>
    <row r="534" spans="1:9" x14ac:dyDescent="0.15">
      <c r="A534" s="15" t="s">
        <v>2640</v>
      </c>
      <c r="B534" s="15"/>
      <c r="C534" s="15" t="s">
        <v>40</v>
      </c>
      <c r="D534" s="15" t="s">
        <v>41</v>
      </c>
      <c r="E534" s="15" t="s">
        <v>2641</v>
      </c>
      <c r="F534" s="15" t="s">
        <v>2643</v>
      </c>
      <c r="G534" s="15" t="s">
        <v>2642</v>
      </c>
      <c r="H534" s="15" t="s">
        <v>2644</v>
      </c>
      <c r="I534" s="15" t="s">
        <v>2579</v>
      </c>
    </row>
    <row r="535" spans="1:9" x14ac:dyDescent="0.15">
      <c r="A535" s="15" t="s">
        <v>2645</v>
      </c>
      <c r="B535" s="15"/>
      <c r="C535" s="15" t="s">
        <v>40</v>
      </c>
      <c r="D535" s="15" t="s">
        <v>41</v>
      </c>
      <c r="E535" s="15" t="s">
        <v>2646</v>
      </c>
      <c r="F535" s="15" t="s">
        <v>2648</v>
      </c>
      <c r="G535" s="15" t="s">
        <v>2647</v>
      </c>
      <c r="H535" s="15" t="s">
        <v>2649</v>
      </c>
      <c r="I535" s="15" t="s">
        <v>2650</v>
      </c>
    </row>
    <row r="536" spans="1:9" x14ac:dyDescent="0.15">
      <c r="A536" s="15" t="s">
        <v>2651</v>
      </c>
      <c r="B536" s="15"/>
      <c r="C536" s="15" t="s">
        <v>40</v>
      </c>
      <c r="D536" s="15" t="s">
        <v>41</v>
      </c>
      <c r="E536" s="15" t="s">
        <v>2652</v>
      </c>
      <c r="F536" s="15" t="s">
        <v>2654</v>
      </c>
      <c r="G536" s="15" t="s">
        <v>2653</v>
      </c>
      <c r="H536" s="15" t="s">
        <v>2655</v>
      </c>
      <c r="I536" s="15" t="s">
        <v>2650</v>
      </c>
    </row>
    <row r="537" spans="1:9" x14ac:dyDescent="0.15">
      <c r="A537" s="15" t="s">
        <v>2656</v>
      </c>
      <c r="B537" s="15"/>
      <c r="C537" s="15" t="s">
        <v>40</v>
      </c>
      <c r="D537" s="15" t="s">
        <v>41</v>
      </c>
      <c r="E537" s="15" t="s">
        <v>2657</v>
      </c>
      <c r="F537" s="15" t="s">
        <v>2659</v>
      </c>
      <c r="G537" s="15" t="s">
        <v>2658</v>
      </c>
      <c r="H537" s="15" t="s">
        <v>2660</v>
      </c>
      <c r="I537" s="15" t="s">
        <v>2650</v>
      </c>
    </row>
    <row r="538" spans="1:9" x14ac:dyDescent="0.15">
      <c r="A538" s="15" t="s">
        <v>2661</v>
      </c>
      <c r="B538" s="15"/>
      <c r="C538" s="15" t="s">
        <v>40</v>
      </c>
      <c r="D538" s="15" t="s">
        <v>41</v>
      </c>
      <c r="E538" s="15" t="s">
        <v>2662</v>
      </c>
      <c r="F538" s="15" t="s">
        <v>2664</v>
      </c>
      <c r="G538" s="15" t="s">
        <v>2663</v>
      </c>
      <c r="H538" s="15" t="s">
        <v>2665</v>
      </c>
      <c r="I538" s="15" t="s">
        <v>2650</v>
      </c>
    </row>
    <row r="539" spans="1:9" x14ac:dyDescent="0.15">
      <c r="A539" s="15" t="s">
        <v>2666</v>
      </c>
      <c r="B539" s="15"/>
      <c r="C539" s="15" t="s">
        <v>40</v>
      </c>
      <c r="D539" s="15" t="s">
        <v>41</v>
      </c>
      <c r="E539" s="15" t="s">
        <v>2667</v>
      </c>
      <c r="F539" s="15" t="s">
        <v>2669</v>
      </c>
      <c r="G539" s="15" t="s">
        <v>2668</v>
      </c>
      <c r="H539" s="15" t="s">
        <v>2670</v>
      </c>
      <c r="I539" s="15" t="s">
        <v>2650</v>
      </c>
    </row>
    <row r="540" spans="1:9" x14ac:dyDescent="0.15">
      <c r="A540" s="15" t="s">
        <v>2671</v>
      </c>
      <c r="B540" s="15"/>
      <c r="C540" s="15" t="s">
        <v>40</v>
      </c>
      <c r="D540" s="15" t="s">
        <v>41</v>
      </c>
      <c r="E540" s="15" t="s">
        <v>2672</v>
      </c>
      <c r="F540" s="15" t="s">
        <v>2674</v>
      </c>
      <c r="G540" s="15" t="s">
        <v>2673</v>
      </c>
      <c r="H540" s="15" t="s">
        <v>2675</v>
      </c>
      <c r="I540" s="15" t="s">
        <v>2650</v>
      </c>
    </row>
    <row r="541" spans="1:9" x14ac:dyDescent="0.15">
      <c r="A541" s="15" t="s">
        <v>2676</v>
      </c>
      <c r="B541" s="15"/>
      <c r="C541" s="15" t="s">
        <v>40</v>
      </c>
      <c r="D541" s="15" t="s">
        <v>41</v>
      </c>
      <c r="E541" s="15" t="s">
        <v>2677</v>
      </c>
      <c r="F541" s="15" t="s">
        <v>2679</v>
      </c>
      <c r="G541" s="15" t="s">
        <v>2678</v>
      </c>
      <c r="H541" s="15" t="s">
        <v>2680</v>
      </c>
      <c r="I541" s="15" t="s">
        <v>2650</v>
      </c>
    </row>
    <row r="542" spans="1:9" x14ac:dyDescent="0.15">
      <c r="A542" s="15" t="s">
        <v>2681</v>
      </c>
      <c r="B542" s="15"/>
      <c r="C542" s="15" t="s">
        <v>40</v>
      </c>
      <c r="D542" s="15" t="s">
        <v>41</v>
      </c>
      <c r="E542" s="15" t="s">
        <v>2682</v>
      </c>
      <c r="F542" s="15" t="s">
        <v>2684</v>
      </c>
      <c r="G542" s="15" t="s">
        <v>2683</v>
      </c>
      <c r="H542" s="15" t="s">
        <v>2685</v>
      </c>
      <c r="I542" s="15" t="s">
        <v>2686</v>
      </c>
    </row>
    <row r="543" spans="1:9" x14ac:dyDescent="0.15">
      <c r="A543" s="15" t="s">
        <v>2687</v>
      </c>
      <c r="B543" s="15"/>
      <c r="C543" s="15" t="s">
        <v>40</v>
      </c>
      <c r="D543" s="15" t="s">
        <v>41</v>
      </c>
      <c r="E543" s="15" t="s">
        <v>2688</v>
      </c>
      <c r="F543" s="15" t="s">
        <v>2690</v>
      </c>
      <c r="G543" s="15" t="s">
        <v>2689</v>
      </c>
      <c r="H543" s="15" t="s">
        <v>2691</v>
      </c>
      <c r="I543" s="15" t="s">
        <v>2692</v>
      </c>
    </row>
    <row r="544" spans="1:9" x14ac:dyDescent="0.15">
      <c r="A544" s="15" t="s">
        <v>2693</v>
      </c>
      <c r="B544" s="15"/>
      <c r="C544" s="15" t="s">
        <v>40</v>
      </c>
      <c r="D544" s="15" t="s">
        <v>41</v>
      </c>
      <c r="E544" s="15" t="s">
        <v>2694</v>
      </c>
      <c r="F544" s="15" t="s">
        <v>2696</v>
      </c>
      <c r="G544" s="15" t="s">
        <v>2695</v>
      </c>
      <c r="H544" s="15" t="s">
        <v>2697</v>
      </c>
      <c r="I544" s="15" t="s">
        <v>2692</v>
      </c>
    </row>
    <row r="545" spans="1:9" x14ac:dyDescent="0.15">
      <c r="A545" s="15" t="s">
        <v>2698</v>
      </c>
      <c r="B545" s="15"/>
      <c r="C545" s="15" t="s">
        <v>40</v>
      </c>
      <c r="D545" s="15" t="s">
        <v>41</v>
      </c>
      <c r="E545" s="15" t="s">
        <v>2699</v>
      </c>
      <c r="F545" s="15" t="s">
        <v>2701</v>
      </c>
      <c r="G545" s="15" t="s">
        <v>2700</v>
      </c>
      <c r="H545" s="15" t="s">
        <v>2702</v>
      </c>
      <c r="I545" s="15" t="s">
        <v>2692</v>
      </c>
    </row>
    <row r="546" spans="1:9" x14ac:dyDescent="0.15">
      <c r="A546" s="15" t="s">
        <v>2703</v>
      </c>
      <c r="B546" s="15"/>
      <c r="C546" s="15" t="s">
        <v>40</v>
      </c>
      <c r="D546" s="15" t="s">
        <v>41</v>
      </c>
      <c r="E546" s="15" t="s">
        <v>2704</v>
      </c>
      <c r="F546" s="15" t="s">
        <v>2706</v>
      </c>
      <c r="G546" s="15" t="s">
        <v>2705</v>
      </c>
      <c r="H546" s="15" t="s">
        <v>2707</v>
      </c>
      <c r="I546" s="15" t="s">
        <v>2692</v>
      </c>
    </row>
    <row r="547" spans="1:9" x14ac:dyDescent="0.15">
      <c r="A547" s="15" t="s">
        <v>2708</v>
      </c>
      <c r="B547" s="15"/>
      <c r="C547" s="15" t="s">
        <v>40</v>
      </c>
      <c r="D547" s="15" t="s">
        <v>41</v>
      </c>
      <c r="E547" s="15" t="s">
        <v>2709</v>
      </c>
      <c r="F547" s="15" t="s">
        <v>2711</v>
      </c>
      <c r="G547" s="15" t="s">
        <v>2710</v>
      </c>
      <c r="H547" s="15" t="s">
        <v>2712</v>
      </c>
      <c r="I547" s="15" t="s">
        <v>2692</v>
      </c>
    </row>
    <row r="548" spans="1:9" x14ac:dyDescent="0.15">
      <c r="A548" s="15" t="s">
        <v>2713</v>
      </c>
      <c r="B548" s="15"/>
      <c r="C548" s="15" t="s">
        <v>40</v>
      </c>
      <c r="D548" s="15" t="s">
        <v>41</v>
      </c>
      <c r="E548" s="15" t="s">
        <v>2714</v>
      </c>
      <c r="F548" s="15" t="s">
        <v>2716</v>
      </c>
      <c r="G548" s="15" t="s">
        <v>2715</v>
      </c>
      <c r="H548" s="15" t="s">
        <v>2717</v>
      </c>
      <c r="I548" s="15" t="s">
        <v>2692</v>
      </c>
    </row>
    <row r="549" spans="1:9" x14ac:dyDescent="0.15">
      <c r="A549" s="15" t="s">
        <v>2718</v>
      </c>
      <c r="B549" s="15"/>
      <c r="C549" s="15" t="s">
        <v>40</v>
      </c>
      <c r="D549" s="15" t="s">
        <v>41</v>
      </c>
      <c r="E549" s="15" t="s">
        <v>2719</v>
      </c>
      <c r="F549" s="15" t="s">
        <v>2721</v>
      </c>
      <c r="G549" s="15" t="s">
        <v>2720</v>
      </c>
      <c r="H549" s="15" t="s">
        <v>2722</v>
      </c>
      <c r="I549" s="15" t="s">
        <v>2692</v>
      </c>
    </row>
    <row r="550" spans="1:9" x14ac:dyDescent="0.15">
      <c r="A550" s="15" t="s">
        <v>2723</v>
      </c>
      <c r="B550" s="15"/>
      <c r="C550" s="15" t="s">
        <v>40</v>
      </c>
      <c r="D550" s="15" t="s">
        <v>41</v>
      </c>
      <c r="E550" s="15" t="s">
        <v>2724</v>
      </c>
      <c r="F550" s="15" t="s">
        <v>2726</v>
      </c>
      <c r="G550" s="15" t="s">
        <v>2725</v>
      </c>
      <c r="H550" s="15" t="s">
        <v>2727</v>
      </c>
      <c r="I550" s="15" t="s">
        <v>2692</v>
      </c>
    </row>
    <row r="551" spans="1:9" x14ac:dyDescent="0.15">
      <c r="A551" s="15" t="s">
        <v>2728</v>
      </c>
      <c r="B551" s="15"/>
      <c r="C551" s="15" t="s">
        <v>40</v>
      </c>
      <c r="D551" s="15" t="s">
        <v>41</v>
      </c>
      <c r="E551" s="15" t="s">
        <v>2729</v>
      </c>
      <c r="F551" s="15" t="s">
        <v>2731</v>
      </c>
      <c r="G551" s="15" t="s">
        <v>2730</v>
      </c>
      <c r="H551" s="15" t="s">
        <v>2732</v>
      </c>
      <c r="I551" s="15" t="s">
        <v>2692</v>
      </c>
    </row>
    <row r="552" spans="1:9" x14ac:dyDescent="0.15">
      <c r="A552" s="15" t="s">
        <v>2733</v>
      </c>
      <c r="B552" s="15"/>
      <c r="C552" s="15" t="s">
        <v>40</v>
      </c>
      <c r="D552" s="15" t="s">
        <v>41</v>
      </c>
      <c r="E552" s="15" t="s">
        <v>2734</v>
      </c>
      <c r="F552" s="15" t="s">
        <v>2736</v>
      </c>
      <c r="G552" s="15" t="s">
        <v>2735</v>
      </c>
      <c r="H552" s="15" t="s">
        <v>2737</v>
      </c>
      <c r="I552" s="15" t="s">
        <v>2692</v>
      </c>
    </row>
    <row r="553" spans="1:9" x14ac:dyDescent="0.15">
      <c r="A553" s="15" t="s">
        <v>2738</v>
      </c>
      <c r="B553" s="15"/>
      <c r="C553" s="15" t="s">
        <v>40</v>
      </c>
      <c r="D553" s="15" t="s">
        <v>41</v>
      </c>
      <c r="E553" s="15" t="s">
        <v>2739</v>
      </c>
      <c r="F553" s="15" t="s">
        <v>2741</v>
      </c>
      <c r="G553" s="15" t="s">
        <v>2740</v>
      </c>
      <c r="H553" s="15" t="s">
        <v>2742</v>
      </c>
      <c r="I553" s="15" t="s">
        <v>2692</v>
      </c>
    </row>
    <row r="554" spans="1:9" x14ac:dyDescent="0.15">
      <c r="A554" s="15" t="s">
        <v>2743</v>
      </c>
      <c r="B554" s="15"/>
      <c r="C554" s="15" t="s">
        <v>40</v>
      </c>
      <c r="D554" s="15" t="s">
        <v>41</v>
      </c>
      <c r="E554" s="15" t="s">
        <v>2744</v>
      </c>
      <c r="F554" s="15" t="s">
        <v>2746</v>
      </c>
      <c r="G554" s="15" t="s">
        <v>2745</v>
      </c>
      <c r="H554" s="15" t="s">
        <v>2747</v>
      </c>
      <c r="I554" s="15" t="s">
        <v>2692</v>
      </c>
    </row>
    <row r="555" spans="1:9" x14ac:dyDescent="0.15">
      <c r="A555" s="15" t="s">
        <v>2748</v>
      </c>
      <c r="B555" s="15"/>
      <c r="C555" s="15" t="s">
        <v>40</v>
      </c>
      <c r="D555" s="15" t="s">
        <v>41</v>
      </c>
      <c r="E555" s="15" t="s">
        <v>2749</v>
      </c>
      <c r="F555" s="15" t="s">
        <v>2751</v>
      </c>
      <c r="G555" s="15" t="s">
        <v>2750</v>
      </c>
      <c r="H555" s="15" t="s">
        <v>2752</v>
      </c>
      <c r="I555" s="15" t="s">
        <v>2692</v>
      </c>
    </row>
    <row r="556" spans="1:9" x14ac:dyDescent="0.15">
      <c r="A556" s="15" t="s">
        <v>2753</v>
      </c>
      <c r="B556" s="15"/>
      <c r="C556" s="15" t="s">
        <v>40</v>
      </c>
      <c r="D556" s="15" t="s">
        <v>41</v>
      </c>
      <c r="E556" s="15" t="s">
        <v>2754</v>
      </c>
      <c r="F556" s="15" t="s">
        <v>2756</v>
      </c>
      <c r="G556" s="15" t="s">
        <v>2755</v>
      </c>
      <c r="H556" s="15" t="s">
        <v>2757</v>
      </c>
      <c r="I556" s="15" t="s">
        <v>2692</v>
      </c>
    </row>
    <row r="557" spans="1:9" x14ac:dyDescent="0.15">
      <c r="A557" s="15" t="s">
        <v>2758</v>
      </c>
      <c r="B557" s="15"/>
      <c r="C557" s="15" t="s">
        <v>40</v>
      </c>
      <c r="D557" s="15" t="s">
        <v>41</v>
      </c>
      <c r="E557" s="15" t="s">
        <v>2759</v>
      </c>
      <c r="F557" s="15" t="s">
        <v>2761</v>
      </c>
      <c r="G557" s="15" t="s">
        <v>2760</v>
      </c>
      <c r="H557" s="15" t="s">
        <v>2762</v>
      </c>
      <c r="I557" s="15" t="s">
        <v>1658</v>
      </c>
    </row>
    <row r="558" spans="1:9" x14ac:dyDescent="0.15">
      <c r="A558" s="15" t="s">
        <v>2763</v>
      </c>
      <c r="B558" s="15"/>
      <c r="C558" s="15" t="s">
        <v>40</v>
      </c>
      <c r="D558" s="15" t="s">
        <v>41</v>
      </c>
      <c r="E558" s="15" t="s">
        <v>2764</v>
      </c>
      <c r="F558" s="15" t="s">
        <v>2766</v>
      </c>
      <c r="G558" s="15" t="s">
        <v>2765</v>
      </c>
      <c r="H558" s="15" t="s">
        <v>2767</v>
      </c>
      <c r="I558" s="15" t="s">
        <v>1658</v>
      </c>
    </row>
    <row r="559" spans="1:9" x14ac:dyDescent="0.15">
      <c r="A559" s="15" t="s">
        <v>2768</v>
      </c>
      <c r="B559" s="15"/>
      <c r="C559" s="15" t="s">
        <v>40</v>
      </c>
      <c r="D559" s="15" t="s">
        <v>41</v>
      </c>
      <c r="E559" s="15" t="s">
        <v>2769</v>
      </c>
      <c r="F559" s="15" t="s">
        <v>2771</v>
      </c>
      <c r="G559" s="15" t="s">
        <v>2770</v>
      </c>
      <c r="H559" s="15" t="s">
        <v>2772</v>
      </c>
      <c r="I559" s="15" t="s">
        <v>1658</v>
      </c>
    </row>
    <row r="560" spans="1:9" x14ac:dyDescent="0.15">
      <c r="A560" s="15" t="s">
        <v>2773</v>
      </c>
      <c r="B560" s="15"/>
      <c r="C560" s="15" t="s">
        <v>40</v>
      </c>
      <c r="D560" s="15" t="s">
        <v>41</v>
      </c>
      <c r="E560" s="15" t="s">
        <v>2774</v>
      </c>
      <c r="F560" s="15" t="s">
        <v>2776</v>
      </c>
      <c r="G560" s="15" t="s">
        <v>2775</v>
      </c>
      <c r="H560" s="15" t="s">
        <v>2777</v>
      </c>
      <c r="I560" s="15" t="s">
        <v>1658</v>
      </c>
    </row>
    <row r="561" spans="1:9" x14ac:dyDescent="0.15">
      <c r="A561" s="15" t="s">
        <v>2778</v>
      </c>
      <c r="B561" s="15"/>
      <c r="C561" s="15" t="s">
        <v>40</v>
      </c>
      <c r="D561" s="15" t="s">
        <v>41</v>
      </c>
      <c r="E561" s="15" t="s">
        <v>2779</v>
      </c>
      <c r="F561" s="15" t="s">
        <v>2781</v>
      </c>
      <c r="G561" s="15" t="s">
        <v>2780</v>
      </c>
      <c r="H561" s="15" t="s">
        <v>2782</v>
      </c>
      <c r="I561" s="15" t="s">
        <v>1658</v>
      </c>
    </row>
    <row r="562" spans="1:9" x14ac:dyDescent="0.15">
      <c r="A562" s="15" t="s">
        <v>2783</v>
      </c>
      <c r="B562" s="15"/>
      <c r="C562" s="15" t="s">
        <v>40</v>
      </c>
      <c r="D562" s="15" t="s">
        <v>41</v>
      </c>
      <c r="E562" s="15" t="s">
        <v>2784</v>
      </c>
      <c r="F562" s="15" t="s">
        <v>2786</v>
      </c>
      <c r="G562" s="15" t="s">
        <v>2785</v>
      </c>
      <c r="H562" s="15" t="s">
        <v>2787</v>
      </c>
      <c r="I562" s="15" t="s">
        <v>1658</v>
      </c>
    </row>
    <row r="563" spans="1:9" x14ac:dyDescent="0.15">
      <c r="A563" s="15" t="s">
        <v>2788</v>
      </c>
      <c r="B563" s="15"/>
      <c r="C563" s="15" t="s">
        <v>40</v>
      </c>
      <c r="D563" s="15" t="s">
        <v>41</v>
      </c>
      <c r="E563" s="15" t="s">
        <v>2789</v>
      </c>
      <c r="F563" s="15" t="s">
        <v>2791</v>
      </c>
      <c r="G563" s="15" t="s">
        <v>2790</v>
      </c>
      <c r="H563" s="15" t="s">
        <v>2792</v>
      </c>
      <c r="I563" s="15" t="s">
        <v>1658</v>
      </c>
    </row>
    <row r="564" spans="1:9" x14ac:dyDescent="0.15">
      <c r="A564" s="15" t="s">
        <v>2793</v>
      </c>
      <c r="B564" s="15"/>
      <c r="C564" s="15" t="s">
        <v>40</v>
      </c>
      <c r="D564" s="15" t="s">
        <v>41</v>
      </c>
      <c r="E564" s="15" t="s">
        <v>2794</v>
      </c>
      <c r="F564" s="15" t="s">
        <v>2796</v>
      </c>
      <c r="G564" s="15" t="s">
        <v>2795</v>
      </c>
      <c r="H564" s="15" t="s">
        <v>2797</v>
      </c>
      <c r="I564" s="15" t="s">
        <v>1658</v>
      </c>
    </row>
    <row r="565" spans="1:9" x14ac:dyDescent="0.15">
      <c r="A565" s="15" t="s">
        <v>2798</v>
      </c>
      <c r="B565" s="15"/>
      <c r="C565" s="15" t="s">
        <v>40</v>
      </c>
      <c r="D565" s="15" t="s">
        <v>41</v>
      </c>
      <c r="E565" s="15" t="s">
        <v>2799</v>
      </c>
      <c r="F565" s="15" t="s">
        <v>2801</v>
      </c>
      <c r="G565" s="15" t="s">
        <v>2800</v>
      </c>
      <c r="H565" s="15" t="s">
        <v>2802</v>
      </c>
      <c r="I565" s="15" t="s">
        <v>1658</v>
      </c>
    </row>
    <row r="566" spans="1:9" x14ac:dyDescent="0.15">
      <c r="A566" s="15" t="s">
        <v>2803</v>
      </c>
      <c r="B566" s="15"/>
      <c r="C566" s="15" t="s">
        <v>40</v>
      </c>
      <c r="D566" s="15" t="s">
        <v>41</v>
      </c>
      <c r="E566" s="15" t="s">
        <v>2804</v>
      </c>
      <c r="F566" s="15" t="s">
        <v>2806</v>
      </c>
      <c r="G566" s="15" t="s">
        <v>2805</v>
      </c>
      <c r="H566" s="15" t="s">
        <v>2807</v>
      </c>
      <c r="I566" s="15" t="s">
        <v>1658</v>
      </c>
    </row>
    <row r="567" spans="1:9" x14ac:dyDescent="0.15">
      <c r="A567" s="15" t="s">
        <v>2808</v>
      </c>
      <c r="B567" s="15"/>
      <c r="C567" s="15" t="s">
        <v>40</v>
      </c>
      <c r="D567" s="15" t="s">
        <v>41</v>
      </c>
      <c r="E567" s="15" t="s">
        <v>2809</v>
      </c>
      <c r="F567" s="15" t="s">
        <v>2811</v>
      </c>
      <c r="G567" s="15" t="s">
        <v>2810</v>
      </c>
      <c r="H567" s="15" t="s">
        <v>2812</v>
      </c>
      <c r="I567" s="15" t="s">
        <v>1658</v>
      </c>
    </row>
    <row r="568" spans="1:9" x14ac:dyDescent="0.15">
      <c r="A568" s="15" t="s">
        <v>2813</v>
      </c>
      <c r="B568" s="15"/>
      <c r="C568" s="15" t="s">
        <v>40</v>
      </c>
      <c r="D568" s="15" t="s">
        <v>41</v>
      </c>
      <c r="E568" s="15" t="s">
        <v>2814</v>
      </c>
      <c r="F568" s="15" t="s">
        <v>2816</v>
      </c>
      <c r="G568" s="15" t="s">
        <v>2815</v>
      </c>
      <c r="H568" s="15" t="s">
        <v>2817</v>
      </c>
      <c r="I568" s="15" t="s">
        <v>1658</v>
      </c>
    </row>
    <row r="569" spans="1:9" x14ac:dyDescent="0.15">
      <c r="A569" s="15" t="s">
        <v>2818</v>
      </c>
      <c r="B569" s="15"/>
      <c r="C569" s="15" t="s">
        <v>40</v>
      </c>
      <c r="D569" s="15" t="s">
        <v>41</v>
      </c>
      <c r="E569" s="15" t="s">
        <v>2819</v>
      </c>
      <c r="F569" s="15" t="s">
        <v>2821</v>
      </c>
      <c r="G569" s="15" t="s">
        <v>2820</v>
      </c>
      <c r="H569" s="15" t="s">
        <v>2822</v>
      </c>
      <c r="I569" s="15" t="s">
        <v>1658</v>
      </c>
    </row>
    <row r="570" spans="1:9" x14ac:dyDescent="0.15">
      <c r="A570" s="15" t="s">
        <v>2823</v>
      </c>
      <c r="B570" s="15"/>
      <c r="C570" s="15" t="s">
        <v>40</v>
      </c>
      <c r="D570" s="15" t="s">
        <v>41</v>
      </c>
      <c r="E570" s="15" t="s">
        <v>2824</v>
      </c>
      <c r="F570" s="15" t="s">
        <v>2826</v>
      </c>
      <c r="G570" s="15" t="s">
        <v>2825</v>
      </c>
      <c r="H570" s="15" t="s">
        <v>2827</v>
      </c>
      <c r="I570" s="15" t="s">
        <v>1658</v>
      </c>
    </row>
    <row r="571" spans="1:9" x14ac:dyDescent="0.15">
      <c r="A571" s="15" t="s">
        <v>2828</v>
      </c>
      <c r="B571" s="15"/>
      <c r="C571" s="15" t="s">
        <v>40</v>
      </c>
      <c r="D571" s="15" t="s">
        <v>41</v>
      </c>
      <c r="E571" s="15" t="s">
        <v>2829</v>
      </c>
      <c r="F571" s="15" t="s">
        <v>2831</v>
      </c>
      <c r="G571" s="15" t="s">
        <v>2830</v>
      </c>
      <c r="H571" s="15" t="s">
        <v>2832</v>
      </c>
      <c r="I571" s="15" t="s">
        <v>1709</v>
      </c>
    </row>
    <row r="572" spans="1:9" x14ac:dyDescent="0.15">
      <c r="A572" s="15" t="s">
        <v>2833</v>
      </c>
      <c r="B572" s="15"/>
      <c r="C572" s="15" t="s">
        <v>40</v>
      </c>
      <c r="D572" s="15" t="s">
        <v>41</v>
      </c>
      <c r="E572" s="15" t="s">
        <v>2834</v>
      </c>
      <c r="F572" s="15" t="s">
        <v>2836</v>
      </c>
      <c r="G572" s="15" t="s">
        <v>2835</v>
      </c>
      <c r="H572" s="15" t="s">
        <v>2837</v>
      </c>
      <c r="I572" s="15" t="s">
        <v>1709</v>
      </c>
    </row>
    <row r="573" spans="1:9" x14ac:dyDescent="0.15">
      <c r="A573" s="15" t="s">
        <v>2838</v>
      </c>
      <c r="B573" s="15"/>
      <c r="C573" s="15" t="s">
        <v>40</v>
      </c>
      <c r="D573" s="15" t="s">
        <v>41</v>
      </c>
      <c r="E573" s="15" t="s">
        <v>2839</v>
      </c>
      <c r="F573" s="15" t="s">
        <v>2841</v>
      </c>
      <c r="G573" s="15" t="s">
        <v>2840</v>
      </c>
      <c r="H573" s="15" t="s">
        <v>2842</v>
      </c>
      <c r="I573" s="15" t="s">
        <v>1709</v>
      </c>
    </row>
    <row r="574" spans="1:9" x14ac:dyDescent="0.15">
      <c r="A574" s="15" t="s">
        <v>2843</v>
      </c>
      <c r="B574" s="15"/>
      <c r="C574" s="15" t="s">
        <v>40</v>
      </c>
      <c r="D574" s="15" t="s">
        <v>41</v>
      </c>
      <c r="E574" s="15" t="s">
        <v>2844</v>
      </c>
      <c r="F574" s="15" t="s">
        <v>2846</v>
      </c>
      <c r="G574" s="15" t="s">
        <v>2845</v>
      </c>
      <c r="H574" s="15" t="s">
        <v>2847</v>
      </c>
      <c r="I574" s="15" t="s">
        <v>1709</v>
      </c>
    </row>
    <row r="575" spans="1:9" x14ac:dyDescent="0.15">
      <c r="A575" s="15" t="s">
        <v>2848</v>
      </c>
      <c r="B575" s="15"/>
      <c r="C575" s="15" t="s">
        <v>40</v>
      </c>
      <c r="D575" s="15" t="s">
        <v>41</v>
      </c>
      <c r="E575" s="15" t="s">
        <v>2849</v>
      </c>
      <c r="F575" s="15" t="s">
        <v>2851</v>
      </c>
      <c r="G575" s="15" t="s">
        <v>2850</v>
      </c>
      <c r="H575" s="15" t="s">
        <v>2852</v>
      </c>
      <c r="I575" s="15" t="s">
        <v>1709</v>
      </c>
    </row>
    <row r="576" spans="1:9" x14ac:dyDescent="0.15">
      <c r="A576" s="15" t="s">
        <v>2853</v>
      </c>
      <c r="B576" s="15"/>
      <c r="C576" s="15" t="s">
        <v>40</v>
      </c>
      <c r="D576" s="15" t="s">
        <v>41</v>
      </c>
      <c r="E576" s="15" t="s">
        <v>2854</v>
      </c>
      <c r="F576" s="15" t="s">
        <v>2856</v>
      </c>
      <c r="G576" s="15" t="s">
        <v>2855</v>
      </c>
      <c r="H576" s="15" t="s">
        <v>2857</v>
      </c>
      <c r="I576" s="15" t="s">
        <v>1709</v>
      </c>
    </row>
    <row r="577" spans="1:9" x14ac:dyDescent="0.15">
      <c r="A577" s="15" t="s">
        <v>2858</v>
      </c>
      <c r="B577" s="15"/>
      <c r="C577" s="15" t="s">
        <v>40</v>
      </c>
      <c r="D577" s="15" t="s">
        <v>41</v>
      </c>
      <c r="E577" s="15" t="s">
        <v>2859</v>
      </c>
      <c r="F577" s="15" t="s">
        <v>2861</v>
      </c>
      <c r="G577" s="15" t="s">
        <v>2860</v>
      </c>
      <c r="H577" s="15" t="s">
        <v>2862</v>
      </c>
      <c r="I577" s="15" t="s">
        <v>1709</v>
      </c>
    </row>
    <row r="578" spans="1:9" x14ac:dyDescent="0.15">
      <c r="A578" s="15" t="s">
        <v>2863</v>
      </c>
      <c r="B578" s="15"/>
      <c r="C578" s="15" t="s">
        <v>40</v>
      </c>
      <c r="D578" s="15" t="s">
        <v>41</v>
      </c>
      <c r="E578" s="15" t="s">
        <v>2864</v>
      </c>
      <c r="F578" s="15" t="s">
        <v>2866</v>
      </c>
      <c r="G578" s="15" t="s">
        <v>2865</v>
      </c>
      <c r="H578" s="15" t="s">
        <v>2867</v>
      </c>
      <c r="I578" s="15" t="s">
        <v>1709</v>
      </c>
    </row>
    <row r="579" spans="1:9" x14ac:dyDescent="0.15">
      <c r="A579" s="15" t="s">
        <v>2868</v>
      </c>
      <c r="B579" s="15"/>
      <c r="C579" s="15" t="s">
        <v>40</v>
      </c>
      <c r="D579" s="15" t="s">
        <v>41</v>
      </c>
      <c r="E579" s="15" t="s">
        <v>2869</v>
      </c>
      <c r="F579" s="15" t="s">
        <v>2871</v>
      </c>
      <c r="G579" s="15" t="s">
        <v>2870</v>
      </c>
      <c r="H579" s="15" t="s">
        <v>2872</v>
      </c>
      <c r="I579" s="15" t="s">
        <v>1709</v>
      </c>
    </row>
    <row r="580" spans="1:9" x14ac:dyDescent="0.15">
      <c r="A580" s="15" t="s">
        <v>2873</v>
      </c>
      <c r="B580" s="15"/>
      <c r="C580" s="15" t="s">
        <v>40</v>
      </c>
      <c r="D580" s="15" t="s">
        <v>41</v>
      </c>
      <c r="E580" s="15" t="s">
        <v>2874</v>
      </c>
      <c r="F580" s="15" t="s">
        <v>2876</v>
      </c>
      <c r="G580" s="15" t="s">
        <v>2875</v>
      </c>
      <c r="H580" s="15" t="s">
        <v>2877</v>
      </c>
      <c r="I580" s="15" t="s">
        <v>1709</v>
      </c>
    </row>
    <row r="581" spans="1:9" x14ac:dyDescent="0.15">
      <c r="A581" s="15" t="s">
        <v>2878</v>
      </c>
      <c r="B581" s="15"/>
      <c r="C581" s="15" t="s">
        <v>40</v>
      </c>
      <c r="D581" s="15" t="s">
        <v>41</v>
      </c>
      <c r="E581" s="15" t="s">
        <v>2879</v>
      </c>
      <c r="F581" s="15" t="s">
        <v>2881</v>
      </c>
      <c r="G581" s="15" t="s">
        <v>2880</v>
      </c>
      <c r="H581" s="15" t="s">
        <v>2882</v>
      </c>
      <c r="I581" s="15" t="s">
        <v>1709</v>
      </c>
    </row>
    <row r="582" spans="1:9" x14ac:dyDescent="0.15">
      <c r="A582" s="15" t="s">
        <v>2883</v>
      </c>
      <c r="B582" s="15"/>
      <c r="C582" s="15" t="s">
        <v>40</v>
      </c>
      <c r="D582" s="15" t="s">
        <v>41</v>
      </c>
      <c r="E582" s="15" t="s">
        <v>2884</v>
      </c>
      <c r="F582" s="15" t="s">
        <v>2886</v>
      </c>
      <c r="G582" s="15" t="s">
        <v>2885</v>
      </c>
      <c r="H582" s="15" t="s">
        <v>2887</v>
      </c>
      <c r="I582" s="15" t="s">
        <v>1709</v>
      </c>
    </row>
    <row r="583" spans="1:9" x14ac:dyDescent="0.15">
      <c r="A583" s="15" t="s">
        <v>2888</v>
      </c>
      <c r="B583" s="15"/>
      <c r="C583" s="15" t="s">
        <v>40</v>
      </c>
      <c r="D583" s="15" t="s">
        <v>41</v>
      </c>
      <c r="E583" s="15" t="s">
        <v>2889</v>
      </c>
      <c r="F583" s="15" t="s">
        <v>2891</v>
      </c>
      <c r="G583" s="15" t="s">
        <v>2890</v>
      </c>
      <c r="H583" s="15" t="s">
        <v>2892</v>
      </c>
      <c r="I583" s="15" t="s">
        <v>1709</v>
      </c>
    </row>
    <row r="584" spans="1:9" x14ac:dyDescent="0.15">
      <c r="A584" s="15" t="s">
        <v>2893</v>
      </c>
      <c r="B584" s="15"/>
      <c r="C584" s="15" t="s">
        <v>40</v>
      </c>
      <c r="D584" s="15" t="s">
        <v>41</v>
      </c>
      <c r="E584" s="15" t="s">
        <v>2894</v>
      </c>
      <c r="F584" s="15" t="s">
        <v>2896</v>
      </c>
      <c r="G584" s="15" t="s">
        <v>2895</v>
      </c>
      <c r="H584" s="15" t="s">
        <v>2897</v>
      </c>
      <c r="I584" s="15" t="s">
        <v>1709</v>
      </c>
    </row>
    <row r="585" spans="1:9" x14ac:dyDescent="0.15">
      <c r="A585" s="15" t="s">
        <v>2898</v>
      </c>
      <c r="B585" s="15"/>
      <c r="C585" s="15" t="s">
        <v>40</v>
      </c>
      <c r="D585" s="15" t="s">
        <v>41</v>
      </c>
      <c r="E585" s="15" t="s">
        <v>2899</v>
      </c>
      <c r="F585" s="15" t="s">
        <v>2901</v>
      </c>
      <c r="G585" s="15" t="s">
        <v>2900</v>
      </c>
      <c r="H585" s="15" t="s">
        <v>2902</v>
      </c>
      <c r="I585" s="15" t="s">
        <v>1709</v>
      </c>
    </row>
    <row r="586" spans="1:9" x14ac:dyDescent="0.15">
      <c r="A586" s="15" t="s">
        <v>2903</v>
      </c>
      <c r="B586" s="15"/>
      <c r="C586" s="15" t="s">
        <v>40</v>
      </c>
      <c r="D586" s="15" t="s">
        <v>41</v>
      </c>
      <c r="E586" s="15" t="s">
        <v>2904</v>
      </c>
      <c r="F586" s="15" t="s">
        <v>2906</v>
      </c>
      <c r="G586" s="15" t="s">
        <v>2905</v>
      </c>
      <c r="H586" s="15" t="s">
        <v>2907</v>
      </c>
      <c r="I586" s="15" t="s">
        <v>1709</v>
      </c>
    </row>
    <row r="587" spans="1:9" x14ac:dyDescent="0.15">
      <c r="A587" s="15" t="s">
        <v>2908</v>
      </c>
      <c r="B587" s="15"/>
      <c r="C587" s="15" t="s">
        <v>40</v>
      </c>
      <c r="D587" s="15" t="s">
        <v>41</v>
      </c>
      <c r="E587" s="15" t="s">
        <v>2909</v>
      </c>
      <c r="F587" s="15" t="s">
        <v>2911</v>
      </c>
      <c r="G587" s="15" t="s">
        <v>2910</v>
      </c>
      <c r="H587" s="15" t="s">
        <v>2912</v>
      </c>
      <c r="I587" s="15" t="s">
        <v>1709</v>
      </c>
    </row>
    <row r="588" spans="1:9" x14ac:dyDescent="0.15">
      <c r="A588" s="15" t="s">
        <v>2913</v>
      </c>
      <c r="B588" s="15"/>
      <c r="C588" s="15" t="s">
        <v>40</v>
      </c>
      <c r="D588" s="15" t="s">
        <v>41</v>
      </c>
      <c r="E588" s="15" t="s">
        <v>2914</v>
      </c>
      <c r="F588" s="15" t="s">
        <v>2916</v>
      </c>
      <c r="G588" s="15" t="s">
        <v>2915</v>
      </c>
      <c r="H588" s="15" t="s">
        <v>2917</v>
      </c>
      <c r="I588" s="15" t="s">
        <v>1709</v>
      </c>
    </row>
    <row r="589" spans="1:9" x14ac:dyDescent="0.15">
      <c r="A589" s="15" t="s">
        <v>2918</v>
      </c>
      <c r="B589" s="15"/>
      <c r="C589" s="15" t="s">
        <v>40</v>
      </c>
      <c r="D589" s="15" t="s">
        <v>41</v>
      </c>
      <c r="E589" s="15" t="s">
        <v>2919</v>
      </c>
      <c r="F589" s="15" t="s">
        <v>2921</v>
      </c>
      <c r="G589" s="15" t="s">
        <v>2920</v>
      </c>
      <c r="H589" s="15" t="s">
        <v>2922</v>
      </c>
      <c r="I589" s="15" t="s">
        <v>1709</v>
      </c>
    </row>
    <row r="590" spans="1:9" x14ac:dyDescent="0.15">
      <c r="A590" s="15" t="s">
        <v>2923</v>
      </c>
      <c r="B590" s="15"/>
      <c r="C590" s="15" t="s">
        <v>40</v>
      </c>
      <c r="D590" s="15" t="s">
        <v>41</v>
      </c>
      <c r="E590" s="15" t="s">
        <v>2924</v>
      </c>
      <c r="F590" s="15" t="s">
        <v>2926</v>
      </c>
      <c r="G590" s="15" t="s">
        <v>2925</v>
      </c>
      <c r="H590" s="15" t="s">
        <v>2927</v>
      </c>
      <c r="I590" s="15" t="s">
        <v>1709</v>
      </c>
    </row>
    <row r="591" spans="1:9" x14ac:dyDescent="0.15">
      <c r="A591" s="15" t="s">
        <v>2928</v>
      </c>
      <c r="B591" s="15"/>
      <c r="C591" s="15" t="s">
        <v>40</v>
      </c>
      <c r="D591" s="15" t="s">
        <v>41</v>
      </c>
      <c r="E591" s="15" t="s">
        <v>2929</v>
      </c>
      <c r="F591" s="15" t="s">
        <v>2931</v>
      </c>
      <c r="G591" s="15" t="s">
        <v>2930</v>
      </c>
      <c r="H591" s="15" t="s">
        <v>2932</v>
      </c>
      <c r="I591" s="15" t="s">
        <v>1709</v>
      </c>
    </row>
    <row r="592" spans="1:9" x14ac:dyDescent="0.15">
      <c r="A592" s="15" t="s">
        <v>2933</v>
      </c>
      <c r="B592" s="15"/>
      <c r="C592" s="15" t="s">
        <v>40</v>
      </c>
      <c r="D592" s="15" t="s">
        <v>41</v>
      </c>
      <c r="E592" s="15" t="s">
        <v>2934</v>
      </c>
      <c r="F592" s="15" t="s">
        <v>2936</v>
      </c>
      <c r="G592" s="15" t="s">
        <v>2935</v>
      </c>
      <c r="H592" s="15" t="s">
        <v>2937</v>
      </c>
      <c r="I592" s="15" t="s">
        <v>1709</v>
      </c>
    </row>
    <row r="593" spans="1:9" x14ac:dyDescent="0.15">
      <c r="A593" s="15" t="s">
        <v>2938</v>
      </c>
      <c r="B593" s="15"/>
      <c r="C593" s="15" t="s">
        <v>40</v>
      </c>
      <c r="D593" s="15" t="s">
        <v>41</v>
      </c>
      <c r="E593" s="15" t="s">
        <v>2939</v>
      </c>
      <c r="F593" s="15" t="s">
        <v>2941</v>
      </c>
      <c r="G593" s="15" t="s">
        <v>2940</v>
      </c>
      <c r="H593" s="15" t="s">
        <v>2942</v>
      </c>
      <c r="I593" s="15" t="s">
        <v>1709</v>
      </c>
    </row>
    <row r="594" spans="1:9" x14ac:dyDescent="0.15">
      <c r="A594" s="15" t="s">
        <v>2943</v>
      </c>
      <c r="B594" s="15"/>
      <c r="C594" s="15" t="s">
        <v>40</v>
      </c>
      <c r="D594" s="15" t="s">
        <v>41</v>
      </c>
      <c r="E594" s="15" t="s">
        <v>2944</v>
      </c>
      <c r="F594" s="15" t="s">
        <v>2946</v>
      </c>
      <c r="G594" s="15" t="s">
        <v>2945</v>
      </c>
      <c r="H594" s="15" t="s">
        <v>2947</v>
      </c>
      <c r="I594" s="15" t="s">
        <v>1709</v>
      </c>
    </row>
    <row r="595" spans="1:9" x14ac:dyDescent="0.15">
      <c r="A595" s="15" t="s">
        <v>2948</v>
      </c>
      <c r="B595" s="15"/>
      <c r="C595" s="15" t="s">
        <v>40</v>
      </c>
      <c r="D595" s="15" t="s">
        <v>41</v>
      </c>
      <c r="E595" s="15" t="s">
        <v>2949</v>
      </c>
      <c r="F595" s="15" t="s">
        <v>2951</v>
      </c>
      <c r="G595" s="15" t="s">
        <v>2950</v>
      </c>
      <c r="H595" s="15" t="s">
        <v>2952</v>
      </c>
      <c r="I595" s="15" t="s">
        <v>1709</v>
      </c>
    </row>
    <row r="596" spans="1:9" x14ac:dyDescent="0.15">
      <c r="A596" s="15" t="s">
        <v>2953</v>
      </c>
      <c r="B596" s="15"/>
      <c r="C596" s="15" t="s">
        <v>40</v>
      </c>
      <c r="D596" s="15" t="s">
        <v>41</v>
      </c>
      <c r="E596" s="15" t="s">
        <v>2954</v>
      </c>
      <c r="F596" s="15" t="s">
        <v>2955</v>
      </c>
      <c r="G596" s="15" t="s">
        <v>1717</v>
      </c>
      <c r="H596" s="15" t="s">
        <v>2956</v>
      </c>
      <c r="I596" s="15" t="s">
        <v>1709</v>
      </c>
    </row>
    <row r="597" spans="1:9" x14ac:dyDescent="0.15">
      <c r="A597" s="15" t="s">
        <v>2957</v>
      </c>
      <c r="B597" s="15"/>
      <c r="C597" s="15" t="s">
        <v>40</v>
      </c>
      <c r="D597" s="15" t="s">
        <v>41</v>
      </c>
      <c r="E597" s="15" t="s">
        <v>2958</v>
      </c>
      <c r="F597" s="15" t="s">
        <v>52</v>
      </c>
      <c r="G597" s="15" t="s">
        <v>2959</v>
      </c>
      <c r="H597" s="15" t="s">
        <v>2960</v>
      </c>
      <c r="I597" s="15" t="s">
        <v>1709</v>
      </c>
    </row>
    <row r="598" spans="1:9" x14ac:dyDescent="0.15">
      <c r="A598" s="15" t="s">
        <v>2961</v>
      </c>
      <c r="B598" s="15"/>
      <c r="C598" s="15" t="s">
        <v>40</v>
      </c>
      <c r="D598" s="15" t="s">
        <v>41</v>
      </c>
      <c r="E598" s="15" t="s">
        <v>2962</v>
      </c>
      <c r="F598" s="15" t="s">
        <v>2964</v>
      </c>
      <c r="G598" s="15" t="s">
        <v>2963</v>
      </c>
      <c r="H598" s="15" t="s">
        <v>2965</v>
      </c>
      <c r="I598" s="15" t="s">
        <v>1709</v>
      </c>
    </row>
    <row r="599" spans="1:9" x14ac:dyDescent="0.15">
      <c r="A599" s="15" t="s">
        <v>2966</v>
      </c>
      <c r="B599" s="15"/>
      <c r="C599" s="15" t="s">
        <v>40</v>
      </c>
      <c r="D599" s="15" t="s">
        <v>41</v>
      </c>
      <c r="E599" s="15" t="s">
        <v>2967</v>
      </c>
      <c r="F599" s="15" t="s">
        <v>2969</v>
      </c>
      <c r="G599" s="15" t="s">
        <v>2968</v>
      </c>
      <c r="H599" s="15" t="s">
        <v>2970</v>
      </c>
      <c r="I599" s="15" t="s">
        <v>416</v>
      </c>
    </row>
    <row r="600" spans="1:9" x14ac:dyDescent="0.15">
      <c r="A600" s="15" t="s">
        <v>2971</v>
      </c>
      <c r="B600" s="15"/>
      <c r="C600" s="15" t="s">
        <v>40</v>
      </c>
      <c r="D600" s="15" t="s">
        <v>41</v>
      </c>
      <c r="E600" s="15" t="s">
        <v>2972</v>
      </c>
      <c r="F600" s="15" t="s">
        <v>2974</v>
      </c>
      <c r="G600" s="15" t="s">
        <v>2973</v>
      </c>
      <c r="H600" s="15" t="s">
        <v>2975</v>
      </c>
      <c r="I600" s="15" t="s">
        <v>416</v>
      </c>
    </row>
    <row r="601" spans="1:9" x14ac:dyDescent="0.15">
      <c r="A601" s="15" t="s">
        <v>2976</v>
      </c>
      <c r="B601" s="15"/>
      <c r="C601" s="15" t="s">
        <v>40</v>
      </c>
      <c r="D601" s="15" t="s">
        <v>41</v>
      </c>
      <c r="E601" s="15" t="s">
        <v>2977</v>
      </c>
      <c r="F601" s="15" t="s">
        <v>2979</v>
      </c>
      <c r="G601" s="15" t="s">
        <v>2978</v>
      </c>
      <c r="H601" s="15" t="s">
        <v>2980</v>
      </c>
      <c r="I601" s="15" t="s">
        <v>416</v>
      </c>
    </row>
    <row r="602" spans="1:9" x14ac:dyDescent="0.15">
      <c r="A602" s="15" t="s">
        <v>2981</v>
      </c>
      <c r="B602" s="15"/>
      <c r="C602" s="15" t="s">
        <v>40</v>
      </c>
      <c r="D602" s="15" t="s">
        <v>41</v>
      </c>
      <c r="E602" s="15" t="s">
        <v>2982</v>
      </c>
      <c r="F602" s="15" t="s">
        <v>2984</v>
      </c>
      <c r="G602" s="15" t="s">
        <v>2983</v>
      </c>
      <c r="H602" s="15" t="s">
        <v>2985</v>
      </c>
      <c r="I602" s="15" t="s">
        <v>416</v>
      </c>
    </row>
    <row r="603" spans="1:9" x14ac:dyDescent="0.15">
      <c r="A603" s="15" t="s">
        <v>2986</v>
      </c>
      <c r="B603" s="15"/>
      <c r="C603" s="15" t="s">
        <v>40</v>
      </c>
      <c r="D603" s="15" t="s">
        <v>41</v>
      </c>
      <c r="E603" s="15" t="s">
        <v>2987</v>
      </c>
      <c r="F603" s="15" t="s">
        <v>2989</v>
      </c>
      <c r="G603" s="15" t="s">
        <v>2988</v>
      </c>
      <c r="H603" s="15" t="s">
        <v>2990</v>
      </c>
      <c r="I603" s="15" t="s">
        <v>416</v>
      </c>
    </row>
    <row r="604" spans="1:9" x14ac:dyDescent="0.15">
      <c r="A604" s="15" t="s">
        <v>2991</v>
      </c>
      <c r="B604" s="15"/>
      <c r="C604" s="15" t="s">
        <v>40</v>
      </c>
      <c r="D604" s="15" t="s">
        <v>41</v>
      </c>
      <c r="E604" s="15" t="s">
        <v>2992</v>
      </c>
      <c r="F604" s="15" t="s">
        <v>2993</v>
      </c>
      <c r="G604" s="15" t="s">
        <v>2805</v>
      </c>
      <c r="H604" s="15" t="s">
        <v>2994</v>
      </c>
      <c r="I604" s="15" t="s">
        <v>416</v>
      </c>
    </row>
    <row r="605" spans="1:9" x14ac:dyDescent="0.15">
      <c r="A605" s="15" t="s">
        <v>2995</v>
      </c>
      <c r="B605" s="15"/>
      <c r="C605" s="15" t="s">
        <v>40</v>
      </c>
      <c r="D605" s="15" t="s">
        <v>41</v>
      </c>
      <c r="E605" s="15" t="s">
        <v>2996</v>
      </c>
      <c r="F605" s="15" t="s">
        <v>2998</v>
      </c>
      <c r="G605" s="15" t="s">
        <v>2997</v>
      </c>
      <c r="H605" s="15" t="s">
        <v>2999</v>
      </c>
      <c r="I605" s="15" t="s">
        <v>416</v>
      </c>
    </row>
    <row r="606" spans="1:9" x14ac:dyDescent="0.15">
      <c r="A606" s="15" t="s">
        <v>3000</v>
      </c>
      <c r="B606" s="15"/>
      <c r="C606" s="15" t="s">
        <v>40</v>
      </c>
      <c r="D606" s="15" t="s">
        <v>41</v>
      </c>
      <c r="E606" s="15" t="s">
        <v>3001</v>
      </c>
      <c r="F606" s="15" t="s">
        <v>3003</v>
      </c>
      <c r="G606" s="15" t="s">
        <v>3002</v>
      </c>
      <c r="H606" s="15" t="s">
        <v>3004</v>
      </c>
      <c r="I606" s="15" t="s">
        <v>416</v>
      </c>
    </row>
    <row r="607" spans="1:9" x14ac:dyDescent="0.15">
      <c r="A607" s="15" t="s">
        <v>3005</v>
      </c>
      <c r="B607" s="15"/>
      <c r="C607" s="15" t="s">
        <v>40</v>
      </c>
      <c r="D607" s="15" t="s">
        <v>41</v>
      </c>
      <c r="E607" s="15" t="s">
        <v>3006</v>
      </c>
      <c r="F607" s="15" t="s">
        <v>3007</v>
      </c>
      <c r="G607" s="15" t="s">
        <v>3002</v>
      </c>
      <c r="H607" s="15" t="s">
        <v>3008</v>
      </c>
      <c r="I607" s="15" t="s">
        <v>416</v>
      </c>
    </row>
    <row r="608" spans="1:9" x14ac:dyDescent="0.15">
      <c r="A608" s="15" t="s">
        <v>3009</v>
      </c>
      <c r="B608" s="15"/>
      <c r="C608" s="15" t="s">
        <v>40</v>
      </c>
      <c r="D608" s="15" t="s">
        <v>41</v>
      </c>
      <c r="E608" s="15" t="s">
        <v>3010</v>
      </c>
      <c r="F608" s="15" t="s">
        <v>3012</v>
      </c>
      <c r="G608" s="15" t="s">
        <v>3011</v>
      </c>
      <c r="H608" s="15" t="s">
        <v>3013</v>
      </c>
      <c r="I608" s="15" t="s">
        <v>416</v>
      </c>
    </row>
    <row r="609" spans="1:9" x14ac:dyDescent="0.15">
      <c r="A609" s="15" t="s">
        <v>3014</v>
      </c>
      <c r="B609" s="15"/>
      <c r="C609" s="15" t="s">
        <v>40</v>
      </c>
      <c r="D609" s="15" t="s">
        <v>41</v>
      </c>
      <c r="E609" s="15" t="s">
        <v>3015</v>
      </c>
      <c r="F609" s="15" t="s">
        <v>3017</v>
      </c>
      <c r="G609" s="15" t="s">
        <v>3016</v>
      </c>
      <c r="H609" s="15" t="s">
        <v>3018</v>
      </c>
      <c r="I609" s="15" t="s">
        <v>416</v>
      </c>
    </row>
    <row r="610" spans="1:9" x14ac:dyDescent="0.15">
      <c r="A610" s="15" t="s">
        <v>3019</v>
      </c>
      <c r="B610" s="15"/>
      <c r="C610" s="15" t="s">
        <v>40</v>
      </c>
      <c r="D610" s="15" t="s">
        <v>41</v>
      </c>
      <c r="E610" s="15" t="s">
        <v>3020</v>
      </c>
      <c r="F610" s="15" t="s">
        <v>52</v>
      </c>
      <c r="G610" s="15" t="s">
        <v>3021</v>
      </c>
      <c r="H610" s="15" t="s">
        <v>3022</v>
      </c>
      <c r="I610" s="15" t="s">
        <v>416</v>
      </c>
    </row>
    <row r="611" spans="1:9" x14ac:dyDescent="0.15">
      <c r="A611" s="15" t="s">
        <v>3023</v>
      </c>
      <c r="B611" s="15"/>
      <c r="C611" s="15" t="s">
        <v>40</v>
      </c>
      <c r="D611" s="15" t="s">
        <v>41</v>
      </c>
      <c r="E611" s="15" t="s">
        <v>3024</v>
      </c>
      <c r="F611" s="15" t="s">
        <v>3026</v>
      </c>
      <c r="G611" s="15" t="s">
        <v>3025</v>
      </c>
      <c r="H611" s="15" t="s">
        <v>3027</v>
      </c>
      <c r="I611" s="15" t="s">
        <v>416</v>
      </c>
    </row>
    <row r="612" spans="1:9" x14ac:dyDescent="0.15">
      <c r="A612" s="15" t="s">
        <v>3028</v>
      </c>
      <c r="B612" s="15"/>
      <c r="C612" s="15" t="s">
        <v>40</v>
      </c>
      <c r="D612" s="15" t="s">
        <v>41</v>
      </c>
      <c r="E612" s="15" t="s">
        <v>3029</v>
      </c>
      <c r="F612" s="15" t="s">
        <v>3031</v>
      </c>
      <c r="G612" s="15" t="s">
        <v>3030</v>
      </c>
      <c r="H612" s="15" t="s">
        <v>3032</v>
      </c>
      <c r="I612" s="15" t="s">
        <v>416</v>
      </c>
    </row>
    <row r="613" spans="1:9" x14ac:dyDescent="0.15">
      <c r="A613" s="15" t="s">
        <v>3033</v>
      </c>
      <c r="B613" s="15"/>
      <c r="C613" s="15" t="s">
        <v>40</v>
      </c>
      <c r="D613" s="15" t="s">
        <v>41</v>
      </c>
      <c r="E613" s="15" t="s">
        <v>3034</v>
      </c>
      <c r="F613" s="15" t="s">
        <v>3036</v>
      </c>
      <c r="G613" s="15" t="s">
        <v>3035</v>
      </c>
      <c r="H613" s="15" t="s">
        <v>3037</v>
      </c>
      <c r="I613" s="15" t="s">
        <v>2686</v>
      </c>
    </row>
    <row r="614" spans="1:9" x14ac:dyDescent="0.15">
      <c r="A614" s="15" t="s">
        <v>3038</v>
      </c>
      <c r="B614" s="15"/>
      <c r="C614" s="15" t="s">
        <v>40</v>
      </c>
      <c r="D614" s="15" t="s">
        <v>41</v>
      </c>
      <c r="E614" s="15" t="s">
        <v>3039</v>
      </c>
      <c r="F614" s="15" t="s">
        <v>3041</v>
      </c>
      <c r="G614" s="15" t="s">
        <v>3040</v>
      </c>
      <c r="H614" s="15" t="s">
        <v>3042</v>
      </c>
      <c r="I614" s="15" t="s">
        <v>2686</v>
      </c>
    </row>
    <row r="615" spans="1:9" x14ac:dyDescent="0.15">
      <c r="A615" s="15" t="s">
        <v>3043</v>
      </c>
      <c r="B615" s="15"/>
      <c r="C615" s="15" t="s">
        <v>40</v>
      </c>
      <c r="D615" s="15" t="s">
        <v>41</v>
      </c>
      <c r="E615" s="15" t="s">
        <v>3044</v>
      </c>
      <c r="F615" s="15" t="s">
        <v>3046</v>
      </c>
      <c r="G615" s="15" t="s">
        <v>3045</v>
      </c>
      <c r="H615" s="15" t="s">
        <v>3047</v>
      </c>
      <c r="I615" s="15" t="s">
        <v>2686</v>
      </c>
    </row>
    <row r="616" spans="1:9" x14ac:dyDescent="0.15">
      <c r="A616" s="15" t="s">
        <v>3048</v>
      </c>
      <c r="B616" s="15"/>
      <c r="C616" s="15" t="s">
        <v>40</v>
      </c>
      <c r="D616" s="15" t="s">
        <v>41</v>
      </c>
      <c r="E616" s="15" t="s">
        <v>3049</v>
      </c>
      <c r="F616" s="15" t="s">
        <v>3051</v>
      </c>
      <c r="G616" s="15" t="s">
        <v>3050</v>
      </c>
      <c r="H616" s="15" t="s">
        <v>3052</v>
      </c>
      <c r="I616" s="15" t="s">
        <v>2686</v>
      </c>
    </row>
    <row r="617" spans="1:9" x14ac:dyDescent="0.15">
      <c r="A617" s="15" t="s">
        <v>3053</v>
      </c>
      <c r="B617" s="15"/>
      <c r="C617" s="15" t="s">
        <v>40</v>
      </c>
      <c r="D617" s="15" t="s">
        <v>41</v>
      </c>
      <c r="E617" s="15" t="s">
        <v>3054</v>
      </c>
      <c r="F617" s="15" t="s">
        <v>3056</v>
      </c>
      <c r="G617" s="15" t="s">
        <v>3055</v>
      </c>
      <c r="H617" s="15" t="s">
        <v>3057</v>
      </c>
      <c r="I617" s="15" t="s">
        <v>2686</v>
      </c>
    </row>
    <row r="618" spans="1:9" x14ac:dyDescent="0.15">
      <c r="A618" s="15" t="s">
        <v>3058</v>
      </c>
      <c r="B618" s="15"/>
      <c r="C618" s="15" t="s">
        <v>40</v>
      </c>
      <c r="D618" s="15" t="s">
        <v>41</v>
      </c>
      <c r="E618" s="15" t="s">
        <v>3059</v>
      </c>
      <c r="F618" s="15" t="s">
        <v>3061</v>
      </c>
      <c r="G618" s="15" t="s">
        <v>3060</v>
      </c>
      <c r="H618" s="15" t="s">
        <v>3062</v>
      </c>
      <c r="I618" s="15" t="s">
        <v>2686</v>
      </c>
    </row>
    <row r="619" spans="1:9" x14ac:dyDescent="0.15">
      <c r="A619" s="15" t="s">
        <v>3063</v>
      </c>
      <c r="B619" s="15"/>
      <c r="C619" s="15" t="s">
        <v>40</v>
      </c>
      <c r="D619" s="15" t="s">
        <v>41</v>
      </c>
      <c r="E619" s="15" t="s">
        <v>3064</v>
      </c>
      <c r="F619" s="15" t="s">
        <v>3066</v>
      </c>
      <c r="G619" s="15" t="s">
        <v>3065</v>
      </c>
      <c r="H619" s="15" t="s">
        <v>3067</v>
      </c>
      <c r="I619" s="15" t="s">
        <v>2686</v>
      </c>
    </row>
    <row r="620" spans="1:9" x14ac:dyDescent="0.15">
      <c r="A620" s="15" t="s">
        <v>3068</v>
      </c>
      <c r="B620" s="15"/>
      <c r="C620" s="15" t="s">
        <v>40</v>
      </c>
      <c r="D620" s="15" t="s">
        <v>41</v>
      </c>
      <c r="E620" s="15" t="s">
        <v>3069</v>
      </c>
      <c r="F620" s="15" t="s">
        <v>3071</v>
      </c>
      <c r="G620" s="15" t="s">
        <v>3070</v>
      </c>
      <c r="H620" s="15" t="s">
        <v>3072</v>
      </c>
      <c r="I620" s="15" t="s">
        <v>2686</v>
      </c>
    </row>
    <row r="621" spans="1:9" x14ac:dyDescent="0.15">
      <c r="A621" s="15" t="s">
        <v>3073</v>
      </c>
      <c r="B621" s="15"/>
      <c r="C621" s="15" t="s">
        <v>40</v>
      </c>
      <c r="D621" s="15" t="s">
        <v>41</v>
      </c>
      <c r="E621" s="15" t="s">
        <v>3074</v>
      </c>
      <c r="F621" s="15" t="s">
        <v>3076</v>
      </c>
      <c r="G621" s="15" t="s">
        <v>3075</v>
      </c>
      <c r="H621" s="15" t="s">
        <v>3077</v>
      </c>
      <c r="I621" s="15" t="s">
        <v>2686</v>
      </c>
    </row>
    <row r="622" spans="1:9" x14ac:dyDescent="0.15">
      <c r="A622" s="15" t="s">
        <v>3078</v>
      </c>
      <c r="B622" s="15"/>
      <c r="C622" s="15" t="s">
        <v>40</v>
      </c>
      <c r="D622" s="15" t="s">
        <v>41</v>
      </c>
      <c r="E622" s="15" t="s">
        <v>3079</v>
      </c>
      <c r="F622" s="15" t="s">
        <v>3081</v>
      </c>
      <c r="G622" s="15" t="s">
        <v>3080</v>
      </c>
      <c r="H622" s="15" t="s">
        <v>3082</v>
      </c>
      <c r="I622" s="15" t="s">
        <v>2686</v>
      </c>
    </row>
    <row r="623" spans="1:9" x14ac:dyDescent="0.15">
      <c r="A623" s="15" t="s">
        <v>3083</v>
      </c>
      <c r="B623" s="15"/>
      <c r="C623" s="15" t="s">
        <v>40</v>
      </c>
      <c r="D623" s="15" t="s">
        <v>41</v>
      </c>
      <c r="E623" s="15" t="s">
        <v>3084</v>
      </c>
      <c r="F623" s="15" t="s">
        <v>3086</v>
      </c>
      <c r="G623" s="15" t="s">
        <v>3085</v>
      </c>
      <c r="H623" s="15" t="s">
        <v>3087</v>
      </c>
      <c r="I623" s="15" t="s">
        <v>2686</v>
      </c>
    </row>
    <row r="624" spans="1:9" x14ac:dyDescent="0.15">
      <c r="A624" s="15" t="s">
        <v>3088</v>
      </c>
      <c r="B624" s="15"/>
      <c r="C624" s="15" t="s">
        <v>40</v>
      </c>
      <c r="D624" s="15" t="s">
        <v>41</v>
      </c>
      <c r="E624" s="15" t="s">
        <v>3089</v>
      </c>
      <c r="F624" s="15" t="s">
        <v>3091</v>
      </c>
      <c r="G624" s="15" t="s">
        <v>3090</v>
      </c>
      <c r="H624" s="15" t="s">
        <v>3092</v>
      </c>
      <c r="I624" s="15" t="s">
        <v>2686</v>
      </c>
    </row>
    <row r="625" spans="1:9" x14ac:dyDescent="0.15">
      <c r="A625" s="15" t="s">
        <v>3093</v>
      </c>
      <c r="B625" s="15"/>
      <c r="C625" s="15" t="s">
        <v>40</v>
      </c>
      <c r="D625" s="15" t="s">
        <v>41</v>
      </c>
      <c r="E625" s="15" t="s">
        <v>3094</v>
      </c>
      <c r="F625" s="15" t="s">
        <v>3096</v>
      </c>
      <c r="G625" s="15" t="s">
        <v>3095</v>
      </c>
      <c r="H625" s="15" t="s">
        <v>3097</v>
      </c>
      <c r="I625" s="15" t="s">
        <v>2686</v>
      </c>
    </row>
    <row r="626" spans="1:9" x14ac:dyDescent="0.15">
      <c r="A626" s="15" t="s">
        <v>3098</v>
      </c>
      <c r="B626" s="15"/>
      <c r="C626" s="15" t="s">
        <v>40</v>
      </c>
      <c r="D626" s="15" t="s">
        <v>41</v>
      </c>
      <c r="E626" s="15" t="s">
        <v>3099</v>
      </c>
      <c r="F626" s="15" t="s">
        <v>3101</v>
      </c>
      <c r="G626" s="15" t="s">
        <v>3100</v>
      </c>
      <c r="H626" s="15" t="s">
        <v>3102</v>
      </c>
      <c r="I626" s="15" t="s">
        <v>2686</v>
      </c>
    </row>
    <row r="627" spans="1:9" x14ac:dyDescent="0.15">
      <c r="A627" s="15" t="s">
        <v>3103</v>
      </c>
      <c r="B627" s="15"/>
      <c r="C627" s="15" t="s">
        <v>40</v>
      </c>
      <c r="D627" s="15" t="s">
        <v>41</v>
      </c>
      <c r="E627" s="15" t="s">
        <v>3104</v>
      </c>
      <c r="F627" s="15" t="s">
        <v>3105</v>
      </c>
      <c r="G627" s="15" t="s">
        <v>3090</v>
      </c>
      <c r="H627" s="15" t="s">
        <v>3106</v>
      </c>
      <c r="I627" s="15" t="s">
        <v>2686</v>
      </c>
    </row>
    <row r="628" spans="1:9" x14ac:dyDescent="0.15">
      <c r="A628" s="15" t="s">
        <v>3107</v>
      </c>
      <c r="B628" s="15"/>
      <c r="C628" s="15" t="s">
        <v>40</v>
      </c>
      <c r="D628" s="15" t="s">
        <v>41</v>
      </c>
      <c r="E628" s="15" t="s">
        <v>3108</v>
      </c>
      <c r="F628" s="15" t="s">
        <v>52</v>
      </c>
      <c r="G628" s="15" t="s">
        <v>3109</v>
      </c>
      <c r="H628" s="15" t="s">
        <v>3110</v>
      </c>
      <c r="I628" s="15" t="s">
        <v>2686</v>
      </c>
    </row>
    <row r="629" spans="1:9" x14ac:dyDescent="0.15">
      <c r="A629" s="15" t="s">
        <v>3111</v>
      </c>
      <c r="B629" s="15"/>
      <c r="C629" s="15" t="s">
        <v>40</v>
      </c>
      <c r="D629" s="15" t="s">
        <v>41</v>
      </c>
      <c r="E629" s="15" t="s">
        <v>3112</v>
      </c>
      <c r="F629" s="15" t="s">
        <v>3114</v>
      </c>
      <c r="G629" s="15" t="s">
        <v>3113</v>
      </c>
      <c r="H629" s="15" t="s">
        <v>3115</v>
      </c>
      <c r="I629" s="15" t="s">
        <v>2686</v>
      </c>
    </row>
    <row r="630" spans="1:9" x14ac:dyDescent="0.15">
      <c r="A630" s="15" t="s">
        <v>3116</v>
      </c>
      <c r="B630" s="15"/>
      <c r="C630" s="15" t="s">
        <v>40</v>
      </c>
      <c r="D630" s="15" t="s">
        <v>41</v>
      </c>
      <c r="E630" s="15" t="s">
        <v>3117</v>
      </c>
      <c r="F630" s="15" t="s">
        <v>52</v>
      </c>
      <c r="G630" s="15" t="s">
        <v>14</v>
      </c>
      <c r="H630" s="15" t="s">
        <v>3118</v>
      </c>
      <c r="I630" s="15" t="s">
        <v>2686</v>
      </c>
    </row>
    <row r="631" spans="1:9" x14ac:dyDescent="0.15">
      <c r="A631" s="15" t="s">
        <v>3119</v>
      </c>
      <c r="B631" s="15"/>
      <c r="C631" s="15" t="s">
        <v>40</v>
      </c>
      <c r="D631" s="15" t="s">
        <v>41</v>
      </c>
      <c r="E631" s="15" t="s">
        <v>3120</v>
      </c>
      <c r="F631" s="15" t="s">
        <v>3121</v>
      </c>
      <c r="G631" s="15" t="s">
        <v>3055</v>
      </c>
      <c r="H631" s="15" t="s">
        <v>3122</v>
      </c>
      <c r="I631" s="15" t="s">
        <v>2686</v>
      </c>
    </row>
    <row r="632" spans="1:9" x14ac:dyDescent="0.15">
      <c r="A632" s="15" t="s">
        <v>3123</v>
      </c>
      <c r="B632" s="15"/>
      <c r="C632" s="15" t="s">
        <v>40</v>
      </c>
      <c r="D632" s="15" t="s">
        <v>41</v>
      </c>
      <c r="E632" s="15" t="s">
        <v>3124</v>
      </c>
      <c r="F632" s="15" t="s">
        <v>3126</v>
      </c>
      <c r="G632" s="15" t="s">
        <v>3125</v>
      </c>
      <c r="H632" s="15" t="s">
        <v>3127</v>
      </c>
      <c r="I632" s="15" t="s">
        <v>2686</v>
      </c>
    </row>
    <row r="633" spans="1:9" x14ac:dyDescent="0.15">
      <c r="A633" s="15" t="s">
        <v>3128</v>
      </c>
      <c r="B633" s="15"/>
      <c r="C633" s="15" t="s">
        <v>40</v>
      </c>
      <c r="D633" s="15" t="s">
        <v>41</v>
      </c>
      <c r="E633" s="15" t="s">
        <v>3129</v>
      </c>
      <c r="F633" s="15" t="s">
        <v>3131</v>
      </c>
      <c r="G633" s="15" t="s">
        <v>3130</v>
      </c>
      <c r="H633" s="15" t="s">
        <v>3132</v>
      </c>
      <c r="I633" s="15" t="s">
        <v>2686</v>
      </c>
    </row>
    <row r="634" spans="1:9" x14ac:dyDescent="0.15">
      <c r="A634" s="15" t="s">
        <v>3133</v>
      </c>
      <c r="B634" s="15"/>
      <c r="C634" s="15" t="s">
        <v>40</v>
      </c>
      <c r="D634" s="15" t="s">
        <v>41</v>
      </c>
      <c r="E634" s="15" t="s">
        <v>3134</v>
      </c>
      <c r="F634" s="15" t="s">
        <v>3136</v>
      </c>
      <c r="G634" s="15" t="s">
        <v>3135</v>
      </c>
      <c r="H634" s="15" t="s">
        <v>3137</v>
      </c>
      <c r="I634" s="15" t="s">
        <v>2686</v>
      </c>
    </row>
    <row r="635" spans="1:9" x14ac:dyDescent="0.15">
      <c r="A635" s="15" t="s">
        <v>3138</v>
      </c>
      <c r="B635" s="15"/>
      <c r="C635" s="15" t="s">
        <v>40</v>
      </c>
      <c r="D635" s="15" t="s">
        <v>41</v>
      </c>
      <c r="E635" s="15" t="s">
        <v>3139</v>
      </c>
      <c r="F635" s="15" t="s">
        <v>3141</v>
      </c>
      <c r="G635" s="15" t="s">
        <v>3140</v>
      </c>
      <c r="H635" s="15" t="s">
        <v>3142</v>
      </c>
      <c r="I635" s="15" t="s">
        <v>2686</v>
      </c>
    </row>
    <row r="636" spans="1:9" x14ac:dyDescent="0.15">
      <c r="A636" s="15" t="s">
        <v>3143</v>
      </c>
      <c r="B636" s="15"/>
      <c r="C636" s="15" t="s">
        <v>40</v>
      </c>
      <c r="D636" s="15" t="s">
        <v>41</v>
      </c>
      <c r="E636" s="15" t="s">
        <v>3144</v>
      </c>
      <c r="F636" s="15" t="s">
        <v>3146</v>
      </c>
      <c r="G636" s="15" t="s">
        <v>3145</v>
      </c>
      <c r="H636" s="15" t="s">
        <v>3147</v>
      </c>
      <c r="I636" s="15" t="s">
        <v>2686</v>
      </c>
    </row>
    <row r="637" spans="1:9" x14ac:dyDescent="0.15">
      <c r="A637" s="15" t="s">
        <v>3148</v>
      </c>
      <c r="B637" s="15"/>
      <c r="C637" s="15" t="s">
        <v>40</v>
      </c>
      <c r="D637" s="15" t="s">
        <v>41</v>
      </c>
      <c r="E637" s="15" t="s">
        <v>3149</v>
      </c>
      <c r="F637" s="15" t="s">
        <v>3151</v>
      </c>
      <c r="G637" s="15" t="s">
        <v>3150</v>
      </c>
      <c r="H637" s="15" t="s">
        <v>3152</v>
      </c>
      <c r="I637" s="15" t="s">
        <v>2686</v>
      </c>
    </row>
    <row r="638" spans="1:9" x14ac:dyDescent="0.15">
      <c r="A638" s="15" t="s">
        <v>3153</v>
      </c>
      <c r="B638" s="15"/>
      <c r="C638" s="15" t="s">
        <v>40</v>
      </c>
      <c r="D638" s="15" t="s">
        <v>41</v>
      </c>
      <c r="E638" s="15" t="s">
        <v>3154</v>
      </c>
      <c r="F638" s="15" t="s">
        <v>3156</v>
      </c>
      <c r="G638" s="15" t="s">
        <v>3155</v>
      </c>
      <c r="H638" s="15" t="s">
        <v>3157</v>
      </c>
      <c r="I638" s="15" t="s">
        <v>2686</v>
      </c>
    </row>
    <row r="639" spans="1:9" x14ac:dyDescent="0.15">
      <c r="A639" s="15" t="s">
        <v>3158</v>
      </c>
      <c r="B639" s="15"/>
      <c r="C639" s="15" t="s">
        <v>40</v>
      </c>
      <c r="D639" s="15" t="s">
        <v>41</v>
      </c>
      <c r="E639" s="15" t="s">
        <v>3159</v>
      </c>
      <c r="F639" s="15" t="s">
        <v>3161</v>
      </c>
      <c r="G639" s="15" t="s">
        <v>3160</v>
      </c>
      <c r="H639" s="15" t="s">
        <v>3162</v>
      </c>
      <c r="I639" s="15" t="s">
        <v>2686</v>
      </c>
    </row>
    <row r="640" spans="1:9" x14ac:dyDescent="0.15">
      <c r="A640" s="15" t="s">
        <v>3163</v>
      </c>
      <c r="B640" s="15"/>
      <c r="C640" s="15" t="s">
        <v>40</v>
      </c>
      <c r="D640" s="15" t="s">
        <v>41</v>
      </c>
      <c r="E640" s="15" t="s">
        <v>3164</v>
      </c>
      <c r="F640" s="15" t="s">
        <v>3165</v>
      </c>
      <c r="G640" s="15" t="s">
        <v>3130</v>
      </c>
      <c r="H640" s="15" t="s">
        <v>3166</v>
      </c>
      <c r="I640" s="15" t="s">
        <v>2686</v>
      </c>
    </row>
    <row r="641" spans="1:9" x14ac:dyDescent="0.15">
      <c r="A641" s="15" t="s">
        <v>3167</v>
      </c>
      <c r="B641" s="15"/>
      <c r="C641" s="15" t="s">
        <v>40</v>
      </c>
      <c r="D641" s="15" t="s">
        <v>41</v>
      </c>
      <c r="E641" s="15" t="s">
        <v>3168</v>
      </c>
      <c r="F641" s="15" t="s">
        <v>3169</v>
      </c>
      <c r="G641" s="15" t="s">
        <v>3130</v>
      </c>
      <c r="H641" s="15" t="s">
        <v>3170</v>
      </c>
      <c r="I641" s="15" t="s">
        <v>2686</v>
      </c>
    </row>
    <row r="642" spans="1:9" x14ac:dyDescent="0.15">
      <c r="A642" s="15" t="s">
        <v>3171</v>
      </c>
      <c r="B642" s="15"/>
      <c r="C642" s="15" t="s">
        <v>40</v>
      </c>
      <c r="D642" s="15" t="s">
        <v>41</v>
      </c>
      <c r="E642" s="15" t="s">
        <v>3172</v>
      </c>
      <c r="F642" s="15" t="s">
        <v>3174</v>
      </c>
      <c r="G642" s="15" t="s">
        <v>3173</v>
      </c>
      <c r="H642" s="15" t="s">
        <v>3175</v>
      </c>
      <c r="I642" s="15" t="s">
        <v>2686</v>
      </c>
    </row>
    <row r="643" spans="1:9" x14ac:dyDescent="0.15">
      <c r="A643" s="15" t="s">
        <v>3176</v>
      </c>
      <c r="B643" s="15"/>
      <c r="C643" s="15" t="s">
        <v>40</v>
      </c>
      <c r="D643" s="15" t="s">
        <v>41</v>
      </c>
      <c r="E643" s="15" t="s">
        <v>3177</v>
      </c>
      <c r="F643" s="15" t="s">
        <v>3179</v>
      </c>
      <c r="G643" s="15" t="s">
        <v>3178</v>
      </c>
      <c r="H643" s="15" t="s">
        <v>3180</v>
      </c>
      <c r="I643" s="15" t="s">
        <v>2686</v>
      </c>
    </row>
    <row r="644" spans="1:9" x14ac:dyDescent="0.15">
      <c r="A644" s="15" t="s">
        <v>3181</v>
      </c>
      <c r="B644" s="15"/>
      <c r="C644" s="15" t="s">
        <v>40</v>
      </c>
      <c r="D644" s="15" t="s">
        <v>41</v>
      </c>
      <c r="E644" s="15" t="s">
        <v>3182</v>
      </c>
      <c r="F644" s="15" t="s">
        <v>3184</v>
      </c>
      <c r="G644" s="15" t="s">
        <v>3183</v>
      </c>
      <c r="H644" s="15" t="s">
        <v>3185</v>
      </c>
      <c r="I644" s="15" t="s">
        <v>2686</v>
      </c>
    </row>
    <row r="645" spans="1:9" x14ac:dyDescent="0.15">
      <c r="A645" s="15" t="s">
        <v>3186</v>
      </c>
      <c r="B645" s="15"/>
      <c r="C645" s="15" t="s">
        <v>40</v>
      </c>
      <c r="D645" s="15" t="s">
        <v>41</v>
      </c>
      <c r="E645" s="15" t="s">
        <v>3187</v>
      </c>
      <c r="F645" s="15" t="s">
        <v>3189</v>
      </c>
      <c r="G645" s="15" t="s">
        <v>3188</v>
      </c>
      <c r="H645" s="15" t="s">
        <v>3190</v>
      </c>
      <c r="I645" s="15" t="s">
        <v>2686</v>
      </c>
    </row>
    <row r="646" spans="1:9" x14ac:dyDescent="0.15">
      <c r="A646" s="15" t="s">
        <v>3191</v>
      </c>
      <c r="B646" s="15"/>
      <c r="C646" s="15" t="s">
        <v>40</v>
      </c>
      <c r="D646" s="15" t="s">
        <v>41</v>
      </c>
      <c r="E646" s="15" t="s">
        <v>3192</v>
      </c>
      <c r="F646" s="15" t="s">
        <v>52</v>
      </c>
      <c r="G646" s="15" t="s">
        <v>3193</v>
      </c>
      <c r="H646" s="15" t="s">
        <v>3194</v>
      </c>
      <c r="I646" s="15" t="s">
        <v>2686</v>
      </c>
    </row>
    <row r="647" spans="1:9" x14ac:dyDescent="0.15">
      <c r="A647" s="15" t="s">
        <v>3195</v>
      </c>
      <c r="B647" s="15"/>
      <c r="C647" s="15" t="s">
        <v>40</v>
      </c>
      <c r="D647" s="15" t="s">
        <v>41</v>
      </c>
      <c r="E647" s="15" t="s">
        <v>3196</v>
      </c>
      <c r="F647" s="15" t="s">
        <v>3198</v>
      </c>
      <c r="G647" s="15" t="s">
        <v>3197</v>
      </c>
      <c r="H647" s="15" t="s">
        <v>3199</v>
      </c>
      <c r="I647" s="15" t="s">
        <v>2686</v>
      </c>
    </row>
    <row r="648" spans="1:9" x14ac:dyDescent="0.15">
      <c r="A648" s="15" t="s">
        <v>3200</v>
      </c>
      <c r="B648" s="15"/>
      <c r="C648" s="15" t="s">
        <v>40</v>
      </c>
      <c r="D648" s="15" t="s">
        <v>41</v>
      </c>
      <c r="E648" s="15" t="s">
        <v>3201</v>
      </c>
      <c r="F648" s="15" t="s">
        <v>3202</v>
      </c>
      <c r="G648" s="15" t="s">
        <v>3130</v>
      </c>
      <c r="H648" s="15" t="s">
        <v>3203</v>
      </c>
      <c r="I648" s="15" t="s">
        <v>2686</v>
      </c>
    </row>
    <row r="649" spans="1:9" x14ac:dyDescent="0.15">
      <c r="A649" s="15" t="s">
        <v>3204</v>
      </c>
      <c r="B649" s="15"/>
      <c r="C649" s="15" t="s">
        <v>40</v>
      </c>
      <c r="D649" s="15" t="s">
        <v>41</v>
      </c>
      <c r="E649" s="15" t="s">
        <v>3205</v>
      </c>
      <c r="F649" s="15" t="s">
        <v>3207</v>
      </c>
      <c r="G649" s="15" t="s">
        <v>3206</v>
      </c>
      <c r="H649" s="15" t="s">
        <v>3208</v>
      </c>
      <c r="I649" s="15" t="s">
        <v>2686</v>
      </c>
    </row>
    <row r="650" spans="1:9" x14ac:dyDescent="0.15">
      <c r="A650" s="15" t="s">
        <v>3209</v>
      </c>
      <c r="B650" s="15"/>
      <c r="C650" s="15" t="s">
        <v>40</v>
      </c>
      <c r="D650" s="15" t="s">
        <v>41</v>
      </c>
      <c r="E650" s="15" t="s">
        <v>3210</v>
      </c>
      <c r="F650" s="15" t="s">
        <v>3212</v>
      </c>
      <c r="G650" s="15" t="s">
        <v>3211</v>
      </c>
      <c r="H650" s="15" t="s">
        <v>3213</v>
      </c>
      <c r="I650" s="15" t="s">
        <v>2686</v>
      </c>
    </row>
    <row r="651" spans="1:9" x14ac:dyDescent="0.15">
      <c r="A651" s="15" t="s">
        <v>3214</v>
      </c>
      <c r="B651" s="15"/>
      <c r="C651" s="15" t="s">
        <v>40</v>
      </c>
      <c r="D651" s="15" t="s">
        <v>41</v>
      </c>
      <c r="E651" s="15" t="s">
        <v>3215</v>
      </c>
      <c r="F651" s="15" t="s">
        <v>3216</v>
      </c>
      <c r="G651" s="15" t="s">
        <v>3085</v>
      </c>
      <c r="H651" s="15" t="s">
        <v>3217</v>
      </c>
      <c r="I651" s="15" t="s">
        <v>2686</v>
      </c>
    </row>
    <row r="652" spans="1:9" x14ac:dyDescent="0.15">
      <c r="A652" s="15" t="s">
        <v>3218</v>
      </c>
      <c r="B652" s="15"/>
      <c r="C652" s="15" t="s">
        <v>40</v>
      </c>
      <c r="D652" s="15" t="s">
        <v>41</v>
      </c>
      <c r="E652" s="15" t="s">
        <v>3219</v>
      </c>
      <c r="F652" s="15" t="s">
        <v>3221</v>
      </c>
      <c r="G652" s="15" t="s">
        <v>3220</v>
      </c>
      <c r="H652" s="15" t="s">
        <v>3222</v>
      </c>
      <c r="I652" s="15" t="s">
        <v>2686</v>
      </c>
    </row>
    <row r="653" spans="1:9" x14ac:dyDescent="0.15">
      <c r="A653" s="15" t="s">
        <v>3223</v>
      </c>
      <c r="B653" s="15"/>
      <c r="C653" s="15" t="s">
        <v>40</v>
      </c>
      <c r="D653" s="15" t="s">
        <v>41</v>
      </c>
      <c r="E653" s="15" t="s">
        <v>3224</v>
      </c>
      <c r="F653" s="15" t="s">
        <v>3226</v>
      </c>
      <c r="G653" s="15" t="s">
        <v>3225</v>
      </c>
      <c r="H653" s="15" t="s">
        <v>3227</v>
      </c>
      <c r="I653" s="15" t="s">
        <v>3228</v>
      </c>
    </row>
    <row r="654" spans="1:9" x14ac:dyDescent="0.15">
      <c r="A654" s="15" t="s">
        <v>3229</v>
      </c>
      <c r="B654" s="15"/>
      <c r="C654" s="15" t="s">
        <v>40</v>
      </c>
      <c r="D654" s="15" t="s">
        <v>41</v>
      </c>
      <c r="E654" s="15" t="s">
        <v>3230</v>
      </c>
      <c r="F654" s="15" t="s">
        <v>3232</v>
      </c>
      <c r="G654" s="15" t="s">
        <v>3231</v>
      </c>
      <c r="H654" s="15" t="s">
        <v>3233</v>
      </c>
      <c r="I654" s="15" t="s">
        <v>3228</v>
      </c>
    </row>
    <row r="655" spans="1:9" x14ac:dyDescent="0.15">
      <c r="A655" s="15" t="s">
        <v>3234</v>
      </c>
      <c r="B655" s="15"/>
      <c r="C655" s="15" t="s">
        <v>40</v>
      </c>
      <c r="D655" s="15" t="s">
        <v>41</v>
      </c>
      <c r="E655" s="15" t="s">
        <v>3235</v>
      </c>
      <c r="F655" s="15" t="s">
        <v>3237</v>
      </c>
      <c r="G655" s="15" t="s">
        <v>3236</v>
      </c>
      <c r="H655" s="15" t="s">
        <v>3238</v>
      </c>
      <c r="I655" s="15" t="s">
        <v>3228</v>
      </c>
    </row>
    <row r="656" spans="1:9" x14ac:dyDescent="0.15">
      <c r="A656" s="15" t="s">
        <v>3239</v>
      </c>
      <c r="B656" s="15"/>
      <c r="C656" s="15" t="s">
        <v>40</v>
      </c>
      <c r="D656" s="15" t="s">
        <v>41</v>
      </c>
      <c r="E656" s="15" t="s">
        <v>3240</v>
      </c>
      <c r="F656" s="15" t="s">
        <v>3242</v>
      </c>
      <c r="G656" s="15" t="s">
        <v>3241</v>
      </c>
      <c r="H656" s="15" t="s">
        <v>3243</v>
      </c>
      <c r="I656" s="15" t="s">
        <v>3228</v>
      </c>
    </row>
    <row r="657" spans="1:9" x14ac:dyDescent="0.15">
      <c r="A657" s="15" t="s">
        <v>3244</v>
      </c>
      <c r="B657" s="15"/>
      <c r="C657" s="15" t="s">
        <v>40</v>
      </c>
      <c r="D657" s="15" t="s">
        <v>41</v>
      </c>
      <c r="E657" s="15" t="s">
        <v>3245</v>
      </c>
      <c r="F657" s="15" t="s">
        <v>3247</v>
      </c>
      <c r="G657" s="15" t="s">
        <v>3246</v>
      </c>
      <c r="H657" s="15" t="s">
        <v>3248</v>
      </c>
      <c r="I657" s="15" t="s">
        <v>3228</v>
      </c>
    </row>
    <row r="658" spans="1:9" x14ac:dyDescent="0.15">
      <c r="A658" s="15" t="s">
        <v>3249</v>
      </c>
      <c r="B658" s="15"/>
      <c r="C658" s="15" t="s">
        <v>40</v>
      </c>
      <c r="D658" s="15" t="s">
        <v>41</v>
      </c>
      <c r="E658" s="15" t="s">
        <v>3250</v>
      </c>
      <c r="F658" s="15" t="s">
        <v>3252</v>
      </c>
      <c r="G658" s="15" t="s">
        <v>3251</v>
      </c>
      <c r="H658" s="15" t="s">
        <v>3253</v>
      </c>
      <c r="I658" s="15" t="s">
        <v>3254</v>
      </c>
    </row>
    <row r="659" spans="1:9" x14ac:dyDescent="0.15">
      <c r="A659" s="15" t="s">
        <v>3255</v>
      </c>
      <c r="B659" s="15"/>
      <c r="C659" s="15" t="s">
        <v>40</v>
      </c>
      <c r="D659" s="15" t="s">
        <v>41</v>
      </c>
      <c r="E659" s="15" t="s">
        <v>3256</v>
      </c>
      <c r="F659" s="15" t="s">
        <v>3258</v>
      </c>
      <c r="G659" s="15" t="s">
        <v>3257</v>
      </c>
      <c r="H659" s="15" t="s">
        <v>3259</v>
      </c>
      <c r="I659" s="15" t="s">
        <v>3254</v>
      </c>
    </row>
    <row r="660" spans="1:9" x14ac:dyDescent="0.15">
      <c r="A660" s="15" t="s">
        <v>3260</v>
      </c>
      <c r="B660" s="15"/>
      <c r="C660" s="15" t="s">
        <v>40</v>
      </c>
      <c r="D660" s="15" t="s">
        <v>41</v>
      </c>
      <c r="E660" s="15" t="s">
        <v>3261</v>
      </c>
      <c r="F660" s="15" t="s">
        <v>3262</v>
      </c>
      <c r="G660" s="15" t="s">
        <v>3257</v>
      </c>
      <c r="H660" s="15" t="s">
        <v>3263</v>
      </c>
      <c r="I660" s="15" t="s">
        <v>3254</v>
      </c>
    </row>
    <row r="661" spans="1:9" x14ac:dyDescent="0.15">
      <c r="A661" s="15" t="s">
        <v>3264</v>
      </c>
      <c r="B661" s="15"/>
      <c r="C661" s="15" t="s">
        <v>40</v>
      </c>
      <c r="D661" s="15" t="s">
        <v>41</v>
      </c>
      <c r="E661" s="15" t="s">
        <v>3265</v>
      </c>
      <c r="F661" s="15" t="s">
        <v>3267</v>
      </c>
      <c r="G661" s="15" t="s">
        <v>3266</v>
      </c>
      <c r="H661" s="15" t="s">
        <v>3268</v>
      </c>
      <c r="I661" s="15" t="s">
        <v>3254</v>
      </c>
    </row>
    <row r="662" spans="1:9" x14ac:dyDescent="0.15">
      <c r="A662" s="15" t="s">
        <v>3269</v>
      </c>
      <c r="B662" s="15"/>
      <c r="C662" s="15" t="s">
        <v>40</v>
      </c>
      <c r="D662" s="15" t="s">
        <v>41</v>
      </c>
      <c r="E662" s="15" t="s">
        <v>3270</v>
      </c>
      <c r="F662" s="15" t="s">
        <v>3272</v>
      </c>
      <c r="G662" s="15" t="s">
        <v>3271</v>
      </c>
      <c r="H662" s="15" t="s">
        <v>3273</v>
      </c>
      <c r="I662" s="15" t="s">
        <v>3254</v>
      </c>
    </row>
    <row r="663" spans="1:9" x14ac:dyDescent="0.15">
      <c r="A663" s="15" t="s">
        <v>3274</v>
      </c>
      <c r="B663" s="15"/>
      <c r="C663" s="15" t="s">
        <v>40</v>
      </c>
      <c r="D663" s="15" t="s">
        <v>41</v>
      </c>
      <c r="E663" s="15" t="s">
        <v>3275</v>
      </c>
      <c r="F663" s="15" t="s">
        <v>3277</v>
      </c>
      <c r="G663" s="15" t="s">
        <v>3276</v>
      </c>
      <c r="H663" s="15" t="s">
        <v>3278</v>
      </c>
      <c r="I663" s="15" t="s">
        <v>3254</v>
      </c>
    </row>
    <row r="664" spans="1:9" x14ac:dyDescent="0.15">
      <c r="A664" s="15" t="s">
        <v>3279</v>
      </c>
      <c r="B664" s="15"/>
      <c r="C664" s="15" t="s">
        <v>40</v>
      </c>
      <c r="D664" s="15" t="s">
        <v>41</v>
      </c>
      <c r="E664" s="15" t="s">
        <v>3280</v>
      </c>
      <c r="F664" s="15" t="s">
        <v>3282</v>
      </c>
      <c r="G664" s="15" t="s">
        <v>3281</v>
      </c>
      <c r="H664" s="15" t="s">
        <v>3283</v>
      </c>
      <c r="I664" s="15" t="s">
        <v>3254</v>
      </c>
    </row>
    <row r="665" spans="1:9" x14ac:dyDescent="0.15">
      <c r="A665" s="15" t="s">
        <v>3284</v>
      </c>
      <c r="B665" s="15"/>
      <c r="C665" s="15" t="s">
        <v>40</v>
      </c>
      <c r="D665" s="15" t="s">
        <v>41</v>
      </c>
      <c r="E665" s="15" t="s">
        <v>3285</v>
      </c>
      <c r="F665" s="15" t="s">
        <v>3287</v>
      </c>
      <c r="G665" s="15" t="s">
        <v>3286</v>
      </c>
      <c r="H665" s="15" t="s">
        <v>3288</v>
      </c>
      <c r="I665" s="15" t="s">
        <v>3254</v>
      </c>
    </row>
    <row r="666" spans="1:9" x14ac:dyDescent="0.15">
      <c r="A666" s="15" t="s">
        <v>3289</v>
      </c>
      <c r="B666" s="15"/>
      <c r="C666" s="15" t="s">
        <v>40</v>
      </c>
      <c r="D666" s="15" t="s">
        <v>41</v>
      </c>
      <c r="E666" s="15" t="s">
        <v>3290</v>
      </c>
      <c r="F666" s="15" t="s">
        <v>3291</v>
      </c>
      <c r="G666" s="15" t="s">
        <v>3257</v>
      </c>
      <c r="H666" s="15" t="s">
        <v>3292</v>
      </c>
      <c r="I666" s="15" t="s">
        <v>3254</v>
      </c>
    </row>
    <row r="667" spans="1:9" x14ac:dyDescent="0.15">
      <c r="A667" s="15" t="s">
        <v>3293</v>
      </c>
      <c r="B667" s="15"/>
      <c r="C667" s="15" t="s">
        <v>40</v>
      </c>
      <c r="D667" s="15" t="s">
        <v>41</v>
      </c>
      <c r="E667" s="15" t="s">
        <v>3294</v>
      </c>
      <c r="F667" s="15" t="s">
        <v>3296</v>
      </c>
      <c r="G667" s="15" t="s">
        <v>3295</v>
      </c>
      <c r="H667" s="15" t="s">
        <v>3297</v>
      </c>
      <c r="I667" s="15" t="s">
        <v>3254</v>
      </c>
    </row>
    <row r="668" spans="1:9" x14ac:dyDescent="0.15">
      <c r="A668" s="15" t="s">
        <v>3298</v>
      </c>
      <c r="B668" s="15"/>
      <c r="C668" s="15" t="s">
        <v>40</v>
      </c>
      <c r="D668" s="15" t="s">
        <v>41</v>
      </c>
      <c r="E668" s="15" t="s">
        <v>3299</v>
      </c>
      <c r="F668" s="15" t="s">
        <v>3301</v>
      </c>
      <c r="G668" s="15" t="s">
        <v>3300</v>
      </c>
      <c r="H668" s="15" t="s">
        <v>3302</v>
      </c>
      <c r="I668" s="15" t="s">
        <v>346</v>
      </c>
    </row>
    <row r="669" spans="1:9" x14ac:dyDescent="0.15">
      <c r="A669" s="15" t="s">
        <v>3303</v>
      </c>
      <c r="B669" s="15"/>
      <c r="C669" s="15" t="s">
        <v>40</v>
      </c>
      <c r="D669" s="15" t="s">
        <v>41</v>
      </c>
      <c r="E669" s="15" t="s">
        <v>3304</v>
      </c>
      <c r="F669" s="15" t="s">
        <v>3306</v>
      </c>
      <c r="G669" s="15" t="s">
        <v>3305</v>
      </c>
      <c r="H669" s="15" t="s">
        <v>3307</v>
      </c>
      <c r="I669" s="15" t="s">
        <v>346</v>
      </c>
    </row>
    <row r="670" spans="1:9" x14ac:dyDescent="0.15">
      <c r="A670" s="15" t="s">
        <v>3308</v>
      </c>
      <c r="B670" s="15"/>
      <c r="C670" s="15" t="s">
        <v>40</v>
      </c>
      <c r="D670" s="15" t="s">
        <v>41</v>
      </c>
      <c r="E670" s="15" t="s">
        <v>3309</v>
      </c>
      <c r="F670" s="15" t="s">
        <v>3311</v>
      </c>
      <c r="G670" s="15" t="s">
        <v>3310</v>
      </c>
      <c r="H670" s="15" t="s">
        <v>3312</v>
      </c>
      <c r="I670" s="15" t="s">
        <v>346</v>
      </c>
    </row>
    <row r="671" spans="1:9" x14ac:dyDescent="0.15">
      <c r="A671" s="15" t="s">
        <v>3313</v>
      </c>
      <c r="B671" s="15"/>
      <c r="C671" s="15" t="s">
        <v>40</v>
      </c>
      <c r="D671" s="15" t="s">
        <v>41</v>
      </c>
      <c r="E671" s="15" t="s">
        <v>3314</v>
      </c>
      <c r="F671" s="15" t="s">
        <v>3316</v>
      </c>
      <c r="G671" s="15" t="s">
        <v>3315</v>
      </c>
      <c r="H671" s="15" t="s">
        <v>3317</v>
      </c>
      <c r="I671" s="15" t="s">
        <v>346</v>
      </c>
    </row>
    <row r="672" spans="1:9" x14ac:dyDescent="0.15">
      <c r="A672" s="15" t="s">
        <v>3318</v>
      </c>
      <c r="B672" s="15"/>
      <c r="C672" s="15" t="s">
        <v>40</v>
      </c>
      <c r="D672" s="15" t="s">
        <v>41</v>
      </c>
      <c r="E672" s="15" t="s">
        <v>3319</v>
      </c>
      <c r="F672" s="15" t="s">
        <v>3320</v>
      </c>
      <c r="G672" s="15" t="s">
        <v>359</v>
      </c>
      <c r="H672" s="15" t="s">
        <v>3321</v>
      </c>
      <c r="I672" s="15" t="s">
        <v>346</v>
      </c>
    </row>
    <row r="673" spans="1:9" x14ac:dyDescent="0.15">
      <c r="A673" s="15" t="s">
        <v>3322</v>
      </c>
      <c r="B673" s="15"/>
      <c r="C673" s="15" t="s">
        <v>40</v>
      </c>
      <c r="D673" s="15" t="s">
        <v>41</v>
      </c>
      <c r="E673" s="15" t="s">
        <v>3323</v>
      </c>
      <c r="F673" s="15" t="s">
        <v>3325</v>
      </c>
      <c r="G673" s="15" t="s">
        <v>3324</v>
      </c>
      <c r="H673" s="15" t="s">
        <v>3326</v>
      </c>
      <c r="I673" s="15" t="s">
        <v>346</v>
      </c>
    </row>
    <row r="674" spans="1:9" x14ac:dyDescent="0.15">
      <c r="A674" s="15" t="s">
        <v>3327</v>
      </c>
      <c r="B674" s="15"/>
      <c r="C674" s="15" t="s">
        <v>40</v>
      </c>
      <c r="D674" s="15" t="s">
        <v>41</v>
      </c>
      <c r="E674" s="15" t="s">
        <v>3328</v>
      </c>
      <c r="F674" s="15" t="s">
        <v>3330</v>
      </c>
      <c r="G674" s="15" t="s">
        <v>3329</v>
      </c>
      <c r="H674" s="15" t="s">
        <v>3331</v>
      </c>
      <c r="I674" s="15" t="s">
        <v>346</v>
      </c>
    </row>
    <row r="675" spans="1:9" x14ac:dyDescent="0.15">
      <c r="A675" s="15" t="s">
        <v>3332</v>
      </c>
      <c r="B675" s="15"/>
      <c r="C675" s="15" t="s">
        <v>40</v>
      </c>
      <c r="D675" s="15" t="s">
        <v>41</v>
      </c>
      <c r="E675" s="15" t="s">
        <v>3333</v>
      </c>
      <c r="F675" s="15" t="s">
        <v>3334</v>
      </c>
      <c r="G675" s="15" t="s">
        <v>2046</v>
      </c>
      <c r="H675" s="15" t="s">
        <v>3335</v>
      </c>
      <c r="I675" s="15" t="s">
        <v>346</v>
      </c>
    </row>
    <row r="676" spans="1:9" x14ac:dyDescent="0.15">
      <c r="A676" s="15" t="s">
        <v>3336</v>
      </c>
      <c r="B676" s="15"/>
      <c r="C676" s="15" t="s">
        <v>40</v>
      </c>
      <c r="D676" s="15" t="s">
        <v>41</v>
      </c>
      <c r="E676" s="15" t="s">
        <v>3337</v>
      </c>
      <c r="F676" s="15" t="s">
        <v>3338</v>
      </c>
      <c r="G676" s="15" t="s">
        <v>2046</v>
      </c>
      <c r="H676" s="15" t="s">
        <v>3339</v>
      </c>
      <c r="I676" s="15" t="s">
        <v>346</v>
      </c>
    </row>
    <row r="677" spans="1:9" x14ac:dyDescent="0.15">
      <c r="A677" s="15" t="s">
        <v>3340</v>
      </c>
      <c r="B677" s="15"/>
      <c r="C677" s="15" t="s">
        <v>40</v>
      </c>
      <c r="D677" s="15" t="s">
        <v>41</v>
      </c>
      <c r="E677" s="15" t="s">
        <v>3341</v>
      </c>
      <c r="F677" s="15" t="s">
        <v>3343</v>
      </c>
      <c r="G677" s="15" t="s">
        <v>3342</v>
      </c>
      <c r="H677" s="15" t="s">
        <v>3344</v>
      </c>
      <c r="I677" s="15" t="s">
        <v>346</v>
      </c>
    </row>
    <row r="678" spans="1:9" x14ac:dyDescent="0.15">
      <c r="A678" s="15" t="s">
        <v>3345</v>
      </c>
      <c r="B678" s="15"/>
      <c r="C678" s="15" t="s">
        <v>40</v>
      </c>
      <c r="D678" s="15" t="s">
        <v>41</v>
      </c>
      <c r="E678" s="15" t="s">
        <v>3346</v>
      </c>
      <c r="F678" s="15" t="s">
        <v>52</v>
      </c>
      <c r="G678" s="15" t="s">
        <v>3347</v>
      </c>
      <c r="H678" s="15" t="s">
        <v>3348</v>
      </c>
      <c r="I678" s="15" t="s">
        <v>346</v>
      </c>
    </row>
    <row r="679" spans="1:9" x14ac:dyDescent="0.15">
      <c r="A679" s="15" t="s">
        <v>3349</v>
      </c>
      <c r="B679" s="15"/>
      <c r="C679" s="15" t="s">
        <v>40</v>
      </c>
      <c r="D679" s="15" t="s">
        <v>41</v>
      </c>
      <c r="E679" s="15" t="s">
        <v>3350</v>
      </c>
      <c r="F679" s="15" t="s">
        <v>3352</v>
      </c>
      <c r="G679" s="15" t="s">
        <v>3351</v>
      </c>
      <c r="H679" s="15" t="s">
        <v>3353</v>
      </c>
      <c r="I679" s="15" t="s">
        <v>346</v>
      </c>
    </row>
    <row r="680" spans="1:9" x14ac:dyDescent="0.15">
      <c r="A680" s="15" t="s">
        <v>3354</v>
      </c>
      <c r="B680" s="15"/>
      <c r="C680" s="15" t="s">
        <v>40</v>
      </c>
      <c r="D680" s="15" t="s">
        <v>41</v>
      </c>
      <c r="E680" s="15" t="s">
        <v>3355</v>
      </c>
      <c r="F680" s="15" t="s">
        <v>3357</v>
      </c>
      <c r="G680" s="15" t="s">
        <v>3356</v>
      </c>
      <c r="H680" s="15" t="s">
        <v>3358</v>
      </c>
      <c r="I680" s="15" t="s">
        <v>346</v>
      </c>
    </row>
    <row r="681" spans="1:9" x14ac:dyDescent="0.15">
      <c r="A681" s="15" t="s">
        <v>3359</v>
      </c>
      <c r="B681" s="15"/>
      <c r="C681" s="15" t="s">
        <v>40</v>
      </c>
      <c r="D681" s="15" t="s">
        <v>41</v>
      </c>
      <c r="E681" s="15" t="s">
        <v>3360</v>
      </c>
      <c r="F681" s="15" t="s">
        <v>3361</v>
      </c>
      <c r="G681" s="15" t="s">
        <v>15</v>
      </c>
      <c r="H681" s="15" t="s">
        <v>3362</v>
      </c>
      <c r="I681" s="15" t="s">
        <v>346</v>
      </c>
    </row>
    <row r="682" spans="1:9" x14ac:dyDescent="0.15">
      <c r="A682" s="15" t="s">
        <v>3363</v>
      </c>
      <c r="B682" s="15"/>
      <c r="C682" s="15" t="s">
        <v>40</v>
      </c>
      <c r="D682" s="15" t="s">
        <v>41</v>
      </c>
      <c r="E682" s="15" t="s">
        <v>3364</v>
      </c>
      <c r="F682" s="15" t="s">
        <v>3366</v>
      </c>
      <c r="G682" s="15" t="s">
        <v>3365</v>
      </c>
      <c r="H682" s="15" t="s">
        <v>3367</v>
      </c>
      <c r="I682" s="15" t="s">
        <v>346</v>
      </c>
    </row>
    <row r="683" spans="1:9" x14ac:dyDescent="0.15">
      <c r="A683" s="15" t="s">
        <v>3368</v>
      </c>
      <c r="B683" s="15"/>
      <c r="C683" s="15" t="s">
        <v>40</v>
      </c>
      <c r="D683" s="15" t="s">
        <v>41</v>
      </c>
      <c r="E683" s="15" t="s">
        <v>3369</v>
      </c>
      <c r="F683" s="15" t="s">
        <v>3371</v>
      </c>
      <c r="G683" s="15" t="s">
        <v>3370</v>
      </c>
      <c r="H683" s="15" t="s">
        <v>3372</v>
      </c>
      <c r="I683" s="15" t="s">
        <v>2686</v>
      </c>
    </row>
    <row r="684" spans="1:9" x14ac:dyDescent="0.15">
      <c r="A684" s="15" t="s">
        <v>3373</v>
      </c>
      <c r="B684" s="15"/>
      <c r="C684" s="15" t="s">
        <v>40</v>
      </c>
      <c r="D684" s="15" t="s">
        <v>41</v>
      </c>
      <c r="E684" s="15" t="s">
        <v>3374</v>
      </c>
      <c r="F684" s="15" t="s">
        <v>3376</v>
      </c>
      <c r="G684" s="15" t="s">
        <v>3375</v>
      </c>
      <c r="H684" s="15" t="s">
        <v>3377</v>
      </c>
      <c r="I684" s="15" t="s">
        <v>2686</v>
      </c>
    </row>
    <row r="685" spans="1:9" x14ac:dyDescent="0.15">
      <c r="A685" s="15" t="s">
        <v>3378</v>
      </c>
      <c r="B685" s="15"/>
      <c r="C685" s="15" t="s">
        <v>40</v>
      </c>
      <c r="D685" s="15" t="s">
        <v>41</v>
      </c>
      <c r="E685" s="15" t="s">
        <v>3379</v>
      </c>
      <c r="F685" s="15" t="s">
        <v>3381</v>
      </c>
      <c r="G685" s="15" t="s">
        <v>3380</v>
      </c>
      <c r="H685" s="15" t="s">
        <v>3382</v>
      </c>
      <c r="I685" s="15" t="s">
        <v>2686</v>
      </c>
    </row>
    <row r="686" spans="1:9" x14ac:dyDescent="0.15">
      <c r="A686" s="15" t="s">
        <v>3383</v>
      </c>
      <c r="B686" s="15"/>
      <c r="C686" s="15" t="s">
        <v>40</v>
      </c>
      <c r="D686" s="15" t="s">
        <v>41</v>
      </c>
      <c r="E686" s="15" t="s">
        <v>3384</v>
      </c>
      <c r="F686" s="15" t="s">
        <v>3386</v>
      </c>
      <c r="G686" s="15" t="s">
        <v>3385</v>
      </c>
      <c r="H686" s="15" t="s">
        <v>3387</v>
      </c>
      <c r="I686" s="15" t="s">
        <v>2686</v>
      </c>
    </row>
    <row r="687" spans="1:9" x14ac:dyDescent="0.15">
      <c r="A687" s="15" t="s">
        <v>3388</v>
      </c>
      <c r="B687" s="15"/>
      <c r="C687" s="15" t="s">
        <v>40</v>
      </c>
      <c r="D687" s="15" t="s">
        <v>41</v>
      </c>
      <c r="E687" s="15" t="s">
        <v>3389</v>
      </c>
      <c r="F687" s="15" t="s">
        <v>3391</v>
      </c>
      <c r="G687" s="15" t="s">
        <v>3390</v>
      </c>
      <c r="H687" s="15" t="s">
        <v>3392</v>
      </c>
      <c r="I687" s="15" t="s">
        <v>2686</v>
      </c>
    </row>
    <row r="688" spans="1:9" x14ac:dyDescent="0.15">
      <c r="A688" s="15" t="s">
        <v>3393</v>
      </c>
      <c r="B688" s="15"/>
      <c r="C688" s="15" t="s">
        <v>40</v>
      </c>
      <c r="D688" s="15" t="s">
        <v>41</v>
      </c>
      <c r="E688" s="15" t="s">
        <v>3394</v>
      </c>
      <c r="F688" s="15" t="s">
        <v>3395</v>
      </c>
      <c r="G688" s="15" t="s">
        <v>3130</v>
      </c>
      <c r="H688" s="15" t="s">
        <v>3396</v>
      </c>
      <c r="I688" s="15" t="s">
        <v>2686</v>
      </c>
    </row>
    <row r="689" spans="1:9" x14ac:dyDescent="0.15">
      <c r="A689" s="15" t="s">
        <v>3397</v>
      </c>
      <c r="B689" s="15"/>
      <c r="C689" s="15" t="s">
        <v>40</v>
      </c>
      <c r="D689" s="15" t="s">
        <v>41</v>
      </c>
      <c r="E689" s="15" t="s">
        <v>3398</v>
      </c>
      <c r="F689" s="15" t="s">
        <v>3400</v>
      </c>
      <c r="G689" s="15" t="s">
        <v>3399</v>
      </c>
      <c r="H689" s="15" t="s">
        <v>3401</v>
      </c>
      <c r="I689" s="15" t="s">
        <v>2686</v>
      </c>
    </row>
    <row r="690" spans="1:9" x14ac:dyDescent="0.15">
      <c r="A690" s="15" t="s">
        <v>3402</v>
      </c>
      <c r="B690" s="15"/>
      <c r="C690" s="15" t="s">
        <v>40</v>
      </c>
      <c r="D690" s="15" t="s">
        <v>41</v>
      </c>
      <c r="E690" s="15" t="s">
        <v>3403</v>
      </c>
      <c r="F690" s="15" t="s">
        <v>3405</v>
      </c>
      <c r="G690" s="15" t="s">
        <v>3404</v>
      </c>
      <c r="H690" s="15" t="s">
        <v>3406</v>
      </c>
      <c r="I690" s="15" t="s">
        <v>2686</v>
      </c>
    </row>
    <row r="691" spans="1:9" x14ac:dyDescent="0.15">
      <c r="A691" s="15" t="s">
        <v>3407</v>
      </c>
      <c r="B691" s="15"/>
      <c r="C691" s="15" t="s">
        <v>40</v>
      </c>
      <c r="D691" s="15" t="s">
        <v>41</v>
      </c>
      <c r="E691" s="15" t="s">
        <v>3408</v>
      </c>
      <c r="F691" s="15" t="s">
        <v>3410</v>
      </c>
      <c r="G691" s="15" t="s">
        <v>3409</v>
      </c>
      <c r="H691" s="15" t="s">
        <v>3411</v>
      </c>
      <c r="I691" s="15" t="s">
        <v>2686</v>
      </c>
    </row>
    <row r="692" spans="1:9" x14ac:dyDescent="0.15">
      <c r="A692" s="15" t="s">
        <v>3412</v>
      </c>
      <c r="B692" s="15"/>
      <c r="C692" s="15" t="s">
        <v>40</v>
      </c>
      <c r="D692" s="15" t="s">
        <v>41</v>
      </c>
      <c r="E692" s="15" t="s">
        <v>3413</v>
      </c>
      <c r="F692" s="15" t="s">
        <v>3414</v>
      </c>
      <c r="G692" s="15" t="s">
        <v>3409</v>
      </c>
      <c r="H692" s="15" t="s">
        <v>3415</v>
      </c>
      <c r="I692" s="15" t="s">
        <v>2686</v>
      </c>
    </row>
    <row r="693" spans="1:9" x14ac:dyDescent="0.15">
      <c r="A693" s="15" t="s">
        <v>3416</v>
      </c>
      <c r="B693" s="15"/>
      <c r="C693" s="15" t="s">
        <v>40</v>
      </c>
      <c r="D693" s="15" t="s">
        <v>41</v>
      </c>
      <c r="E693" s="15" t="s">
        <v>3417</v>
      </c>
      <c r="F693" s="15" t="s">
        <v>3418</v>
      </c>
      <c r="G693" s="15" t="s">
        <v>3090</v>
      </c>
      <c r="H693" s="15" t="s">
        <v>3419</v>
      </c>
      <c r="I693" s="15" t="s">
        <v>2686</v>
      </c>
    </row>
    <row r="694" spans="1:9" x14ac:dyDescent="0.15">
      <c r="A694" s="15" t="s">
        <v>3420</v>
      </c>
      <c r="B694" s="15"/>
      <c r="C694" s="15" t="s">
        <v>40</v>
      </c>
      <c r="D694" s="15" t="s">
        <v>41</v>
      </c>
      <c r="E694" s="15" t="s">
        <v>3421</v>
      </c>
      <c r="F694" s="15" t="s">
        <v>52</v>
      </c>
      <c r="G694" s="15" t="s">
        <v>3422</v>
      </c>
      <c r="H694" s="15" t="s">
        <v>3423</v>
      </c>
      <c r="I694" s="15" t="s">
        <v>2686</v>
      </c>
    </row>
    <row r="695" spans="1:9" x14ac:dyDescent="0.15">
      <c r="A695" s="15" t="s">
        <v>3424</v>
      </c>
      <c r="B695" s="15"/>
      <c r="C695" s="15" t="s">
        <v>40</v>
      </c>
      <c r="D695" s="15" t="s">
        <v>41</v>
      </c>
      <c r="E695" s="15" t="s">
        <v>3425</v>
      </c>
      <c r="F695" s="15" t="s">
        <v>3427</v>
      </c>
      <c r="G695" s="15" t="s">
        <v>3426</v>
      </c>
      <c r="H695" s="15" t="s">
        <v>3428</v>
      </c>
      <c r="I695" s="15" t="s">
        <v>2686</v>
      </c>
    </row>
    <row r="696" spans="1:9" x14ac:dyDescent="0.15">
      <c r="A696" s="15" t="s">
        <v>3429</v>
      </c>
      <c r="B696" s="15"/>
      <c r="C696" s="15" t="s">
        <v>40</v>
      </c>
      <c r="D696" s="15" t="s">
        <v>41</v>
      </c>
      <c r="E696" s="15" t="s">
        <v>3430</v>
      </c>
      <c r="F696" s="15" t="s">
        <v>3432</v>
      </c>
      <c r="G696" s="15" t="s">
        <v>3431</v>
      </c>
      <c r="H696" s="15" t="s">
        <v>3433</v>
      </c>
      <c r="I696" s="15" t="s">
        <v>2686</v>
      </c>
    </row>
    <row r="697" spans="1:9" x14ac:dyDescent="0.15">
      <c r="A697" s="15" t="s">
        <v>3434</v>
      </c>
      <c r="B697" s="15"/>
      <c r="C697" s="15" t="s">
        <v>40</v>
      </c>
      <c r="D697" s="15" t="s">
        <v>41</v>
      </c>
      <c r="E697" s="15" t="s">
        <v>3435</v>
      </c>
      <c r="F697" s="15" t="s">
        <v>3437</v>
      </c>
      <c r="G697" s="15" t="s">
        <v>3436</v>
      </c>
      <c r="H697" s="15" t="s">
        <v>3438</v>
      </c>
      <c r="I697" s="15" t="s">
        <v>2686</v>
      </c>
    </row>
    <row r="698" spans="1:9" x14ac:dyDescent="0.15">
      <c r="A698" s="15" t="s">
        <v>3439</v>
      </c>
      <c r="B698" s="15"/>
      <c r="C698" s="15" t="s">
        <v>40</v>
      </c>
      <c r="D698" s="15" t="s">
        <v>41</v>
      </c>
      <c r="E698" s="15" t="s">
        <v>3440</v>
      </c>
      <c r="F698" s="15" t="s">
        <v>3442</v>
      </c>
      <c r="G698" s="15" t="s">
        <v>3441</v>
      </c>
      <c r="H698" s="15" t="s">
        <v>3443</v>
      </c>
      <c r="I698" s="15" t="s">
        <v>2686</v>
      </c>
    </row>
    <row r="699" spans="1:9" x14ac:dyDescent="0.15">
      <c r="A699" s="15" t="s">
        <v>3444</v>
      </c>
      <c r="B699" s="15"/>
      <c r="C699" s="15" t="s">
        <v>40</v>
      </c>
      <c r="D699" s="15" t="s">
        <v>41</v>
      </c>
      <c r="E699" s="15" t="s">
        <v>3445</v>
      </c>
      <c r="F699" s="15" t="s">
        <v>3447</v>
      </c>
      <c r="G699" s="15" t="s">
        <v>3446</v>
      </c>
      <c r="H699" s="15" t="s">
        <v>3448</v>
      </c>
      <c r="I699" s="15" t="s">
        <v>2686</v>
      </c>
    </row>
    <row r="700" spans="1:9" x14ac:dyDescent="0.15">
      <c r="A700" s="15" t="s">
        <v>3449</v>
      </c>
      <c r="B700" s="15"/>
      <c r="C700" s="15" t="s">
        <v>40</v>
      </c>
      <c r="D700" s="15" t="s">
        <v>41</v>
      </c>
      <c r="E700" s="15" t="s">
        <v>3450</v>
      </c>
      <c r="F700" s="15" t="s">
        <v>3451</v>
      </c>
      <c r="G700" s="15" t="s">
        <v>3375</v>
      </c>
      <c r="H700" s="15" t="s">
        <v>3452</v>
      </c>
      <c r="I700" s="15" t="s">
        <v>2686</v>
      </c>
    </row>
    <row r="701" spans="1:9" x14ac:dyDescent="0.15">
      <c r="A701" s="15" t="s">
        <v>3453</v>
      </c>
      <c r="B701" s="15"/>
      <c r="C701" s="15" t="s">
        <v>40</v>
      </c>
      <c r="D701" s="15" t="s">
        <v>41</v>
      </c>
      <c r="E701" s="15" t="s">
        <v>3454</v>
      </c>
      <c r="F701" s="15" t="s">
        <v>3456</v>
      </c>
      <c r="G701" s="15" t="s">
        <v>3455</v>
      </c>
      <c r="H701" s="15" t="s">
        <v>3457</v>
      </c>
      <c r="I701" s="15" t="s">
        <v>2686</v>
      </c>
    </row>
    <row r="702" spans="1:9" x14ac:dyDescent="0.15">
      <c r="A702" s="15" t="s">
        <v>3458</v>
      </c>
      <c r="B702" s="15"/>
      <c r="C702" s="15" t="s">
        <v>40</v>
      </c>
      <c r="D702" s="15" t="s">
        <v>41</v>
      </c>
      <c r="E702" s="15" t="s">
        <v>3459</v>
      </c>
      <c r="F702" s="15" t="s">
        <v>3461</v>
      </c>
      <c r="G702" s="15" t="s">
        <v>3460</v>
      </c>
      <c r="H702" s="15" t="s">
        <v>3462</v>
      </c>
      <c r="I702" s="15" t="s">
        <v>2686</v>
      </c>
    </row>
    <row r="703" spans="1:9" x14ac:dyDescent="0.15">
      <c r="A703" s="15" t="s">
        <v>3463</v>
      </c>
      <c r="B703" s="15"/>
      <c r="C703" s="15" t="s">
        <v>40</v>
      </c>
      <c r="D703" s="15" t="s">
        <v>41</v>
      </c>
      <c r="E703" s="15" t="s">
        <v>3464</v>
      </c>
      <c r="F703" s="15" t="s">
        <v>3466</v>
      </c>
      <c r="G703" s="15" t="s">
        <v>3465</v>
      </c>
      <c r="H703" s="15" t="s">
        <v>3467</v>
      </c>
      <c r="I703" s="15" t="s">
        <v>276</v>
      </c>
    </row>
    <row r="704" spans="1:9" x14ac:dyDescent="0.15">
      <c r="A704" s="15" t="s">
        <v>3468</v>
      </c>
      <c r="B704" s="15"/>
      <c r="C704" s="15" t="s">
        <v>40</v>
      </c>
      <c r="D704" s="15" t="s">
        <v>41</v>
      </c>
      <c r="E704" s="15" t="s">
        <v>3469</v>
      </c>
      <c r="F704" s="15" t="s">
        <v>52</v>
      </c>
      <c r="G704" s="15" t="s">
        <v>3470</v>
      </c>
      <c r="H704" s="15" t="s">
        <v>3471</v>
      </c>
      <c r="I704" s="15" t="s">
        <v>276</v>
      </c>
    </row>
    <row r="705" spans="1:9" x14ac:dyDescent="0.15">
      <c r="A705" s="15" t="s">
        <v>3472</v>
      </c>
      <c r="B705" s="15"/>
      <c r="C705" s="15" t="s">
        <v>40</v>
      </c>
      <c r="D705" s="15" t="s">
        <v>41</v>
      </c>
      <c r="E705" s="15" t="s">
        <v>3473</v>
      </c>
      <c r="F705" s="15" t="s">
        <v>3475</v>
      </c>
      <c r="G705" s="15" t="s">
        <v>3474</v>
      </c>
      <c r="H705" s="15" t="s">
        <v>3476</v>
      </c>
      <c r="I705" s="15" t="s">
        <v>276</v>
      </c>
    </row>
    <row r="706" spans="1:9" x14ac:dyDescent="0.15">
      <c r="A706" s="15" t="s">
        <v>3477</v>
      </c>
      <c r="B706" s="15"/>
      <c r="C706" s="15" t="s">
        <v>40</v>
      </c>
      <c r="D706" s="15" t="s">
        <v>41</v>
      </c>
      <c r="E706" s="15" t="s">
        <v>3478</v>
      </c>
      <c r="F706" s="15" t="s">
        <v>3480</v>
      </c>
      <c r="G706" s="15" t="s">
        <v>3479</v>
      </c>
      <c r="H706" s="15" t="s">
        <v>3481</v>
      </c>
      <c r="I706" s="15" t="s">
        <v>276</v>
      </c>
    </row>
    <row r="707" spans="1:9" x14ac:dyDescent="0.15">
      <c r="A707" s="15" t="s">
        <v>3482</v>
      </c>
      <c r="B707" s="15"/>
      <c r="C707" s="15" t="s">
        <v>40</v>
      </c>
      <c r="D707" s="15" t="s">
        <v>41</v>
      </c>
      <c r="E707" s="15" t="s">
        <v>3483</v>
      </c>
      <c r="F707" s="15" t="s">
        <v>52</v>
      </c>
      <c r="G707" s="15" t="s">
        <v>3484</v>
      </c>
      <c r="H707" s="15" t="s">
        <v>3485</v>
      </c>
      <c r="I707" s="15" t="s">
        <v>276</v>
      </c>
    </row>
    <row r="708" spans="1:9" x14ac:dyDescent="0.15">
      <c r="A708" s="15" t="s">
        <v>3486</v>
      </c>
      <c r="B708" s="15"/>
      <c r="C708" s="15" t="s">
        <v>40</v>
      </c>
      <c r="D708" s="15" t="s">
        <v>41</v>
      </c>
      <c r="E708" s="15" t="s">
        <v>3487</v>
      </c>
      <c r="F708" s="15" t="s">
        <v>3489</v>
      </c>
      <c r="G708" s="15" t="s">
        <v>3488</v>
      </c>
      <c r="H708" s="15" t="s">
        <v>3490</v>
      </c>
      <c r="I708" s="15" t="s">
        <v>276</v>
      </c>
    </row>
    <row r="709" spans="1:9" x14ac:dyDescent="0.15">
      <c r="A709" s="15" t="s">
        <v>3491</v>
      </c>
      <c r="B709" s="15"/>
      <c r="C709" s="15" t="s">
        <v>40</v>
      </c>
      <c r="D709" s="15" t="s">
        <v>41</v>
      </c>
      <c r="E709" s="15" t="s">
        <v>3492</v>
      </c>
      <c r="F709" s="15" t="s">
        <v>3494</v>
      </c>
      <c r="G709" s="15" t="s">
        <v>3493</v>
      </c>
      <c r="H709" s="15" t="s">
        <v>3495</v>
      </c>
      <c r="I709" s="15" t="s">
        <v>276</v>
      </c>
    </row>
    <row r="710" spans="1:9" x14ac:dyDescent="0.15">
      <c r="A710" s="15" t="s">
        <v>3496</v>
      </c>
      <c r="B710" s="15"/>
      <c r="C710" s="15" t="s">
        <v>40</v>
      </c>
      <c r="D710" s="15" t="s">
        <v>41</v>
      </c>
      <c r="E710" s="15" t="s">
        <v>3497</v>
      </c>
      <c r="F710" s="15" t="s">
        <v>3499</v>
      </c>
      <c r="G710" s="15" t="s">
        <v>3498</v>
      </c>
      <c r="H710" s="15" t="s">
        <v>3500</v>
      </c>
      <c r="I710" s="15" t="s">
        <v>276</v>
      </c>
    </row>
    <row r="711" spans="1:9" x14ac:dyDescent="0.15">
      <c r="A711" s="15" t="s">
        <v>3501</v>
      </c>
      <c r="B711" s="15"/>
      <c r="C711" s="15" t="s">
        <v>40</v>
      </c>
      <c r="D711" s="15" t="s">
        <v>41</v>
      </c>
      <c r="E711" s="15" t="s">
        <v>3502</v>
      </c>
      <c r="F711" s="15" t="s">
        <v>3504</v>
      </c>
      <c r="G711" s="15" t="s">
        <v>3503</v>
      </c>
      <c r="H711" s="15" t="s">
        <v>3505</v>
      </c>
      <c r="I711" s="15" t="s">
        <v>276</v>
      </c>
    </row>
    <row r="712" spans="1:9" x14ac:dyDescent="0.15">
      <c r="A712" s="15" t="s">
        <v>3506</v>
      </c>
      <c r="B712" s="15"/>
      <c r="C712" s="15" t="s">
        <v>40</v>
      </c>
      <c r="D712" s="15" t="s">
        <v>41</v>
      </c>
      <c r="E712" s="15" t="s">
        <v>3507</v>
      </c>
      <c r="F712" s="15" t="s">
        <v>3509</v>
      </c>
      <c r="G712" s="15" t="s">
        <v>3508</v>
      </c>
      <c r="H712" s="15" t="s">
        <v>3510</v>
      </c>
      <c r="I712" s="15" t="s">
        <v>276</v>
      </c>
    </row>
    <row r="713" spans="1:9" x14ac:dyDescent="0.15">
      <c r="A713" s="15" t="s">
        <v>3511</v>
      </c>
      <c r="B713" s="15"/>
      <c r="C713" s="15" t="s">
        <v>40</v>
      </c>
      <c r="D713" s="15" t="s">
        <v>41</v>
      </c>
      <c r="E713" s="15" t="s">
        <v>3512</v>
      </c>
      <c r="F713" s="15" t="s">
        <v>3514</v>
      </c>
      <c r="G713" s="15" t="s">
        <v>3513</v>
      </c>
      <c r="H713" s="15" t="s">
        <v>3515</v>
      </c>
      <c r="I713" s="15" t="s">
        <v>276</v>
      </c>
    </row>
    <row r="714" spans="1:9" x14ac:dyDescent="0.15">
      <c r="A714" s="15" t="s">
        <v>3516</v>
      </c>
      <c r="B714" s="15"/>
      <c r="C714" s="15" t="s">
        <v>40</v>
      </c>
      <c r="D714" s="15" t="s">
        <v>41</v>
      </c>
      <c r="E714" s="15" t="s">
        <v>3517</v>
      </c>
      <c r="F714" s="15" t="s">
        <v>3519</v>
      </c>
      <c r="G714" s="15" t="s">
        <v>3518</v>
      </c>
      <c r="H714" s="15" t="s">
        <v>3520</v>
      </c>
      <c r="I714" s="15" t="s">
        <v>276</v>
      </c>
    </row>
    <row r="715" spans="1:9" x14ac:dyDescent="0.15">
      <c r="A715" s="15" t="s">
        <v>3521</v>
      </c>
      <c r="B715" s="15"/>
      <c r="C715" s="15" t="s">
        <v>40</v>
      </c>
      <c r="D715" s="15" t="s">
        <v>41</v>
      </c>
      <c r="E715" s="15" t="s">
        <v>3522</v>
      </c>
      <c r="F715" s="15" t="s">
        <v>3524</v>
      </c>
      <c r="G715" s="15" t="s">
        <v>3523</v>
      </c>
      <c r="H715" s="15" t="s">
        <v>3525</v>
      </c>
      <c r="I715" s="15" t="s">
        <v>276</v>
      </c>
    </row>
    <row r="716" spans="1:9" x14ac:dyDescent="0.15">
      <c r="A716" s="15" t="s">
        <v>3526</v>
      </c>
      <c r="B716" s="15"/>
      <c r="C716" s="15" t="s">
        <v>40</v>
      </c>
      <c r="D716" s="15" t="s">
        <v>41</v>
      </c>
      <c r="E716" s="15" t="s">
        <v>3527</v>
      </c>
      <c r="F716" s="15" t="s">
        <v>3528</v>
      </c>
      <c r="G716" s="15" t="s">
        <v>323</v>
      </c>
      <c r="H716" s="15" t="s">
        <v>3529</v>
      </c>
      <c r="I716" s="15" t="s">
        <v>276</v>
      </c>
    </row>
    <row r="717" spans="1:9" x14ac:dyDescent="0.15">
      <c r="A717" s="15" t="s">
        <v>3530</v>
      </c>
      <c r="B717" s="15"/>
      <c r="C717" s="15" t="s">
        <v>40</v>
      </c>
      <c r="D717" s="15" t="s">
        <v>41</v>
      </c>
      <c r="E717" s="15" t="s">
        <v>3531</v>
      </c>
      <c r="F717" s="15" t="s">
        <v>3533</v>
      </c>
      <c r="G717" s="15" t="s">
        <v>3532</v>
      </c>
      <c r="H717" s="15" t="s">
        <v>3534</v>
      </c>
      <c r="I717" s="15" t="s">
        <v>276</v>
      </c>
    </row>
    <row r="718" spans="1:9" x14ac:dyDescent="0.15">
      <c r="A718" s="15" t="s">
        <v>3535</v>
      </c>
      <c r="B718" s="15"/>
      <c r="C718" s="15" t="s">
        <v>40</v>
      </c>
      <c r="D718" s="15" t="s">
        <v>41</v>
      </c>
      <c r="E718" s="15" t="s">
        <v>3536</v>
      </c>
      <c r="F718" s="15" t="s">
        <v>52</v>
      </c>
      <c r="G718" s="15" t="s">
        <v>3537</v>
      </c>
      <c r="H718" s="15" t="s">
        <v>3538</v>
      </c>
      <c r="I718" s="15" t="s">
        <v>276</v>
      </c>
    </row>
    <row r="719" spans="1:9" x14ac:dyDescent="0.15">
      <c r="A719" s="15" t="s">
        <v>3539</v>
      </c>
      <c r="B719" s="15"/>
      <c r="C719" s="15" t="s">
        <v>40</v>
      </c>
      <c r="D719" s="15" t="s">
        <v>41</v>
      </c>
      <c r="E719" s="15" t="s">
        <v>3540</v>
      </c>
      <c r="F719" s="15" t="s">
        <v>3542</v>
      </c>
      <c r="G719" s="15" t="s">
        <v>3541</v>
      </c>
      <c r="H719" s="15" t="s">
        <v>3543</v>
      </c>
      <c r="I719" s="15" t="s">
        <v>276</v>
      </c>
    </row>
    <row r="720" spans="1:9" x14ac:dyDescent="0.15">
      <c r="A720" s="15" t="s">
        <v>3544</v>
      </c>
      <c r="B720" s="15"/>
      <c r="C720" s="15" t="s">
        <v>40</v>
      </c>
      <c r="D720" s="15" t="s">
        <v>41</v>
      </c>
      <c r="E720" s="15" t="s">
        <v>3545</v>
      </c>
      <c r="F720" s="15" t="s">
        <v>3547</v>
      </c>
      <c r="G720" s="15" t="s">
        <v>3546</v>
      </c>
      <c r="H720" s="15" t="s">
        <v>3548</v>
      </c>
      <c r="I720" s="15" t="s">
        <v>276</v>
      </c>
    </row>
    <row r="721" spans="1:9" x14ac:dyDescent="0.15">
      <c r="A721" s="15" t="s">
        <v>3549</v>
      </c>
      <c r="B721" s="15"/>
      <c r="C721" s="15" t="s">
        <v>40</v>
      </c>
      <c r="D721" s="15" t="s">
        <v>41</v>
      </c>
      <c r="E721" s="15" t="s">
        <v>3550</v>
      </c>
      <c r="F721" s="15" t="s">
        <v>3552</v>
      </c>
      <c r="G721" s="15" t="s">
        <v>3551</v>
      </c>
      <c r="H721" s="15" t="s">
        <v>3553</v>
      </c>
      <c r="I721" s="15" t="s">
        <v>276</v>
      </c>
    </row>
    <row r="722" spans="1:9" x14ac:dyDescent="0.15">
      <c r="A722" s="15" t="s">
        <v>3554</v>
      </c>
      <c r="B722" s="15"/>
      <c r="C722" s="15" t="s">
        <v>40</v>
      </c>
      <c r="D722" s="15" t="s">
        <v>41</v>
      </c>
      <c r="E722" s="15" t="s">
        <v>3555</v>
      </c>
      <c r="F722" s="15" t="s">
        <v>3557</v>
      </c>
      <c r="G722" s="15" t="s">
        <v>3556</v>
      </c>
      <c r="H722" s="15" t="s">
        <v>3558</v>
      </c>
      <c r="I722" s="15" t="s">
        <v>276</v>
      </c>
    </row>
    <row r="723" spans="1:9" x14ac:dyDescent="0.15">
      <c r="A723" s="15" t="s">
        <v>3559</v>
      </c>
      <c r="B723" s="15"/>
      <c r="C723" s="15" t="s">
        <v>40</v>
      </c>
      <c r="D723" s="15" t="s">
        <v>41</v>
      </c>
      <c r="E723" s="15" t="s">
        <v>3560</v>
      </c>
      <c r="F723" s="15" t="s">
        <v>3562</v>
      </c>
      <c r="G723" s="15" t="s">
        <v>3561</v>
      </c>
      <c r="H723" s="15" t="s">
        <v>3563</v>
      </c>
      <c r="I723" s="15" t="s">
        <v>276</v>
      </c>
    </row>
    <row r="724" spans="1:9" x14ac:dyDescent="0.15">
      <c r="A724" s="15" t="s">
        <v>3564</v>
      </c>
      <c r="B724" s="15"/>
      <c r="C724" s="15" t="s">
        <v>40</v>
      </c>
      <c r="D724" s="15" t="s">
        <v>41</v>
      </c>
      <c r="E724" s="15" t="s">
        <v>3565</v>
      </c>
      <c r="F724" s="15" t="s">
        <v>3566</v>
      </c>
      <c r="G724" s="15" t="s">
        <v>3508</v>
      </c>
      <c r="H724" s="15" t="s">
        <v>3567</v>
      </c>
      <c r="I724" s="15" t="s">
        <v>276</v>
      </c>
    </row>
    <row r="725" spans="1:9" x14ac:dyDescent="0.15">
      <c r="A725" s="15" t="s">
        <v>3568</v>
      </c>
      <c r="B725" s="15"/>
      <c r="C725" s="15" t="s">
        <v>40</v>
      </c>
      <c r="D725" s="15" t="s">
        <v>41</v>
      </c>
      <c r="E725" s="15" t="s">
        <v>3569</v>
      </c>
      <c r="F725" s="15" t="s">
        <v>3571</v>
      </c>
      <c r="G725" s="15" t="s">
        <v>3570</v>
      </c>
      <c r="H725" s="15" t="s">
        <v>3572</v>
      </c>
      <c r="I725" s="15" t="s">
        <v>276</v>
      </c>
    </row>
    <row r="726" spans="1:9" x14ac:dyDescent="0.15">
      <c r="A726" s="15" t="s">
        <v>3573</v>
      </c>
      <c r="B726" s="15"/>
      <c r="C726" s="15" t="s">
        <v>40</v>
      </c>
      <c r="D726" s="15" t="s">
        <v>41</v>
      </c>
      <c r="E726" s="15" t="s">
        <v>3574</v>
      </c>
      <c r="F726" s="15" t="s">
        <v>3576</v>
      </c>
      <c r="G726" s="15" t="s">
        <v>3575</v>
      </c>
      <c r="H726" s="15" t="s">
        <v>3577</v>
      </c>
      <c r="I726" s="15" t="s">
        <v>276</v>
      </c>
    </row>
    <row r="727" spans="1:9" x14ac:dyDescent="0.15">
      <c r="A727" s="15" t="s">
        <v>3578</v>
      </c>
      <c r="B727" s="15"/>
      <c r="C727" s="15" t="s">
        <v>40</v>
      </c>
      <c r="D727" s="15" t="s">
        <v>41</v>
      </c>
      <c r="E727" s="15" t="s">
        <v>3579</v>
      </c>
      <c r="F727" s="15" t="s">
        <v>3580</v>
      </c>
      <c r="G727" s="15" t="s">
        <v>313</v>
      </c>
      <c r="H727" s="15" t="s">
        <v>3581</v>
      </c>
      <c r="I727" s="15" t="s">
        <v>276</v>
      </c>
    </row>
    <row r="728" spans="1:9" x14ac:dyDescent="0.15">
      <c r="A728" s="15" t="s">
        <v>3582</v>
      </c>
      <c r="B728" s="15"/>
      <c r="C728" s="15" t="s">
        <v>40</v>
      </c>
      <c r="D728" s="15" t="s">
        <v>41</v>
      </c>
      <c r="E728" s="15" t="s">
        <v>3583</v>
      </c>
      <c r="F728" s="15" t="s">
        <v>3584</v>
      </c>
      <c r="G728" s="15" t="s">
        <v>1183</v>
      </c>
      <c r="H728" s="15" t="s">
        <v>3585</v>
      </c>
      <c r="I728" s="15" t="s">
        <v>276</v>
      </c>
    </row>
    <row r="729" spans="1:9" x14ac:dyDescent="0.15">
      <c r="A729" s="15" t="s">
        <v>3586</v>
      </c>
      <c r="B729" s="15"/>
      <c r="C729" s="15" t="s">
        <v>40</v>
      </c>
      <c r="D729" s="15" t="s">
        <v>41</v>
      </c>
      <c r="E729" s="15" t="s">
        <v>3587</v>
      </c>
      <c r="F729" s="15" t="s">
        <v>3588</v>
      </c>
      <c r="G729" s="15" t="s">
        <v>1183</v>
      </c>
      <c r="H729" s="15" t="s">
        <v>3589</v>
      </c>
      <c r="I729" s="15" t="s">
        <v>276</v>
      </c>
    </row>
    <row r="730" spans="1:9" x14ac:dyDescent="0.15">
      <c r="A730" s="15" t="s">
        <v>3590</v>
      </c>
      <c r="B730" s="15"/>
      <c r="C730" s="15" t="s">
        <v>40</v>
      </c>
      <c r="D730" s="15" t="s">
        <v>41</v>
      </c>
      <c r="E730" s="15" t="s">
        <v>3591</v>
      </c>
      <c r="F730" s="15" t="s">
        <v>3593</v>
      </c>
      <c r="G730" s="15" t="s">
        <v>3592</v>
      </c>
      <c r="H730" s="15" t="s">
        <v>3594</v>
      </c>
      <c r="I730" s="15" t="s">
        <v>276</v>
      </c>
    </row>
    <row r="731" spans="1:9" x14ac:dyDescent="0.15">
      <c r="A731" s="15" t="s">
        <v>3595</v>
      </c>
      <c r="B731" s="15"/>
      <c r="C731" s="15" t="s">
        <v>40</v>
      </c>
      <c r="D731" s="15" t="s">
        <v>41</v>
      </c>
      <c r="E731" s="15" t="s">
        <v>3596</v>
      </c>
      <c r="F731" s="15" t="s">
        <v>3598</v>
      </c>
      <c r="G731" s="15" t="s">
        <v>3597</v>
      </c>
      <c r="H731" s="15" t="s">
        <v>3599</v>
      </c>
      <c r="I731" s="15" t="s">
        <v>276</v>
      </c>
    </row>
    <row r="732" spans="1:9" x14ac:dyDescent="0.15">
      <c r="A732" s="15" t="s">
        <v>3600</v>
      </c>
      <c r="B732" s="15"/>
      <c r="C732" s="15" t="s">
        <v>40</v>
      </c>
      <c r="D732" s="15" t="s">
        <v>41</v>
      </c>
      <c r="E732" s="15" t="s">
        <v>3601</v>
      </c>
      <c r="F732" s="15" t="s">
        <v>3603</v>
      </c>
      <c r="G732" s="15" t="s">
        <v>3602</v>
      </c>
      <c r="H732" s="15" t="s">
        <v>3604</v>
      </c>
      <c r="I732" s="15" t="s">
        <v>276</v>
      </c>
    </row>
    <row r="733" spans="1:9" x14ac:dyDescent="0.15">
      <c r="A733" s="15" t="s">
        <v>3605</v>
      </c>
      <c r="B733" s="15"/>
      <c r="C733" s="15" t="s">
        <v>40</v>
      </c>
      <c r="D733" s="15" t="s">
        <v>41</v>
      </c>
      <c r="E733" s="15" t="s">
        <v>3606</v>
      </c>
      <c r="F733" s="15" t="s">
        <v>3608</v>
      </c>
      <c r="G733" s="15" t="s">
        <v>3607</v>
      </c>
      <c r="H733" s="15" t="s">
        <v>3609</v>
      </c>
      <c r="I733" s="15" t="s">
        <v>276</v>
      </c>
    </row>
    <row r="734" spans="1:9" x14ac:dyDescent="0.15">
      <c r="A734" s="15" t="s">
        <v>3610</v>
      </c>
      <c r="B734" s="15"/>
      <c r="C734" s="15" t="s">
        <v>40</v>
      </c>
      <c r="D734" s="15" t="s">
        <v>41</v>
      </c>
      <c r="E734" s="15" t="s">
        <v>3611</v>
      </c>
      <c r="F734" s="15" t="s">
        <v>3613</v>
      </c>
      <c r="G734" s="15" t="s">
        <v>3612</v>
      </c>
      <c r="H734" s="15" t="s">
        <v>3614</v>
      </c>
      <c r="I734" s="15" t="s">
        <v>276</v>
      </c>
    </row>
    <row r="735" spans="1:9" x14ac:dyDescent="0.15">
      <c r="A735" s="15" t="s">
        <v>3615</v>
      </c>
      <c r="B735" s="15"/>
      <c r="C735" s="15" t="s">
        <v>40</v>
      </c>
      <c r="D735" s="15" t="s">
        <v>41</v>
      </c>
      <c r="E735" s="15" t="s">
        <v>3616</v>
      </c>
      <c r="F735" s="15" t="s">
        <v>3618</v>
      </c>
      <c r="G735" s="15" t="s">
        <v>3617</v>
      </c>
      <c r="H735" s="15" t="s">
        <v>3619</v>
      </c>
      <c r="I735" s="15" t="s">
        <v>276</v>
      </c>
    </row>
    <row r="736" spans="1:9" x14ac:dyDescent="0.15">
      <c r="A736" s="15" t="s">
        <v>3620</v>
      </c>
      <c r="B736" s="15"/>
      <c r="C736" s="15" t="s">
        <v>40</v>
      </c>
      <c r="D736" s="15" t="s">
        <v>41</v>
      </c>
      <c r="E736" s="15" t="s">
        <v>3621</v>
      </c>
      <c r="F736" s="15" t="s">
        <v>3623</v>
      </c>
      <c r="G736" s="15" t="s">
        <v>3622</v>
      </c>
      <c r="H736" s="15" t="s">
        <v>3624</v>
      </c>
      <c r="I736" s="15" t="s">
        <v>276</v>
      </c>
    </row>
    <row r="737" spans="1:9" x14ac:dyDescent="0.15">
      <c r="A737" s="15" t="s">
        <v>3625</v>
      </c>
      <c r="B737" s="15"/>
      <c r="C737" s="15" t="s">
        <v>40</v>
      </c>
      <c r="D737" s="15" t="s">
        <v>41</v>
      </c>
      <c r="E737" s="15" t="s">
        <v>3626</v>
      </c>
      <c r="F737" s="15" t="s">
        <v>3627</v>
      </c>
      <c r="G737" s="15" t="s">
        <v>273</v>
      </c>
      <c r="H737" s="15" t="s">
        <v>3628</v>
      </c>
      <c r="I737" s="15" t="s">
        <v>276</v>
      </c>
    </row>
    <row r="738" spans="1:9" x14ac:dyDescent="0.15">
      <c r="A738" s="15" t="s">
        <v>3629</v>
      </c>
      <c r="B738" s="15"/>
      <c r="C738" s="15" t="s">
        <v>40</v>
      </c>
      <c r="D738" s="15" t="s">
        <v>41</v>
      </c>
      <c r="E738" s="15" t="s">
        <v>3630</v>
      </c>
      <c r="F738" s="15" t="s">
        <v>52</v>
      </c>
      <c r="G738" s="15" t="s">
        <v>3631</v>
      </c>
      <c r="H738" s="15" t="s">
        <v>3632</v>
      </c>
      <c r="I738" s="15" t="s">
        <v>276</v>
      </c>
    </row>
    <row r="739" spans="1:9" x14ac:dyDescent="0.15">
      <c r="A739" s="15" t="s">
        <v>3633</v>
      </c>
      <c r="B739" s="15"/>
      <c r="C739" s="15" t="s">
        <v>40</v>
      </c>
      <c r="D739" s="15" t="s">
        <v>41</v>
      </c>
      <c r="E739" s="15" t="s">
        <v>3634</v>
      </c>
      <c r="F739" s="15" t="s">
        <v>3636</v>
      </c>
      <c r="G739" s="15" t="s">
        <v>3635</v>
      </c>
      <c r="H739" s="15" t="s">
        <v>3637</v>
      </c>
      <c r="I739" s="15" t="s">
        <v>276</v>
      </c>
    </row>
    <row r="740" spans="1:9" x14ac:dyDescent="0.15">
      <c r="A740" s="15" t="s">
        <v>3638</v>
      </c>
      <c r="B740" s="15"/>
      <c r="C740" s="15" t="s">
        <v>40</v>
      </c>
      <c r="D740" s="15" t="s">
        <v>41</v>
      </c>
      <c r="E740" s="15" t="s">
        <v>3639</v>
      </c>
      <c r="F740" s="15" t="s">
        <v>3641</v>
      </c>
      <c r="G740" s="15" t="s">
        <v>3640</v>
      </c>
      <c r="H740" s="15" t="s">
        <v>3642</v>
      </c>
      <c r="I740" s="15" t="s">
        <v>276</v>
      </c>
    </row>
    <row r="741" spans="1:9" x14ac:dyDescent="0.15">
      <c r="A741" s="15" t="s">
        <v>3643</v>
      </c>
      <c r="B741" s="15"/>
      <c r="C741" s="15" t="s">
        <v>40</v>
      </c>
      <c r="D741" s="15" t="s">
        <v>41</v>
      </c>
      <c r="E741" s="15" t="s">
        <v>3644</v>
      </c>
      <c r="F741" s="15" t="s">
        <v>3646</v>
      </c>
      <c r="G741" s="15" t="s">
        <v>3645</v>
      </c>
      <c r="H741" s="15" t="s">
        <v>3647</v>
      </c>
      <c r="I741" s="15" t="s">
        <v>276</v>
      </c>
    </row>
    <row r="742" spans="1:9" x14ac:dyDescent="0.15">
      <c r="A742" s="15" t="s">
        <v>3648</v>
      </c>
      <c r="B742" s="15"/>
      <c r="C742" s="15" t="s">
        <v>40</v>
      </c>
      <c r="D742" s="15" t="s">
        <v>41</v>
      </c>
      <c r="E742" s="15" t="s">
        <v>3649</v>
      </c>
      <c r="F742" s="15" t="s">
        <v>3651</v>
      </c>
      <c r="G742" s="15" t="s">
        <v>3650</v>
      </c>
      <c r="H742" s="15" t="s">
        <v>3652</v>
      </c>
      <c r="I742" s="15" t="s">
        <v>276</v>
      </c>
    </row>
    <row r="743" spans="1:9" x14ac:dyDescent="0.15">
      <c r="A743" s="15" t="s">
        <v>3653</v>
      </c>
      <c r="B743" s="15"/>
      <c r="C743" s="15" t="s">
        <v>40</v>
      </c>
      <c r="D743" s="15" t="s">
        <v>41</v>
      </c>
      <c r="E743" s="15" t="s">
        <v>3654</v>
      </c>
      <c r="F743" s="15" t="s">
        <v>3656</v>
      </c>
      <c r="G743" s="15" t="s">
        <v>3655</v>
      </c>
      <c r="H743" s="15" t="s">
        <v>3657</v>
      </c>
      <c r="I743" s="15" t="s">
        <v>276</v>
      </c>
    </row>
    <row r="744" spans="1:9" x14ac:dyDescent="0.15">
      <c r="A744" s="15" t="s">
        <v>3658</v>
      </c>
      <c r="B744" s="15"/>
      <c r="C744" s="15" t="s">
        <v>40</v>
      </c>
      <c r="D744" s="15" t="s">
        <v>41</v>
      </c>
      <c r="E744" s="15" t="s">
        <v>3659</v>
      </c>
      <c r="F744" s="15" t="s">
        <v>3660</v>
      </c>
      <c r="G744" s="15" t="s">
        <v>18</v>
      </c>
      <c r="H744" s="15" t="s">
        <v>3661</v>
      </c>
      <c r="I744" s="15" t="s">
        <v>276</v>
      </c>
    </row>
    <row r="745" spans="1:9" x14ac:dyDescent="0.15">
      <c r="A745" s="15" t="s">
        <v>3662</v>
      </c>
      <c r="B745" s="15"/>
      <c r="C745" s="15" t="s">
        <v>40</v>
      </c>
      <c r="D745" s="15" t="s">
        <v>41</v>
      </c>
      <c r="E745" s="15" t="s">
        <v>3663</v>
      </c>
      <c r="F745" s="15" t="s">
        <v>3665</v>
      </c>
      <c r="G745" s="15" t="s">
        <v>3664</v>
      </c>
      <c r="H745" s="15" t="s">
        <v>3666</v>
      </c>
      <c r="I745" s="15" t="s">
        <v>276</v>
      </c>
    </row>
    <row r="746" spans="1:9" x14ac:dyDescent="0.15">
      <c r="A746" s="15" t="s">
        <v>3667</v>
      </c>
      <c r="B746" s="15"/>
      <c r="C746" s="15" t="s">
        <v>40</v>
      </c>
      <c r="D746" s="15" t="s">
        <v>41</v>
      </c>
      <c r="E746" s="15" t="s">
        <v>3668</v>
      </c>
      <c r="F746" s="15" t="s">
        <v>3670</v>
      </c>
      <c r="G746" s="15" t="s">
        <v>3669</v>
      </c>
      <c r="H746" s="15" t="s">
        <v>3671</v>
      </c>
      <c r="I746" s="15" t="s">
        <v>276</v>
      </c>
    </row>
    <row r="747" spans="1:9" x14ac:dyDescent="0.15">
      <c r="A747" s="15" t="s">
        <v>3672</v>
      </c>
      <c r="B747" s="15"/>
      <c r="C747" s="15" t="s">
        <v>40</v>
      </c>
      <c r="D747" s="15" t="s">
        <v>41</v>
      </c>
      <c r="E747" s="15" t="s">
        <v>3673</v>
      </c>
      <c r="F747" s="15" t="s">
        <v>3675</v>
      </c>
      <c r="G747" s="15" t="s">
        <v>3674</v>
      </c>
      <c r="H747" s="15" t="s">
        <v>3676</v>
      </c>
      <c r="I747" s="15" t="s">
        <v>276</v>
      </c>
    </row>
    <row r="748" spans="1:9" x14ac:dyDescent="0.15">
      <c r="A748" s="15" t="s">
        <v>3677</v>
      </c>
      <c r="B748" s="15"/>
      <c r="C748" s="15" t="s">
        <v>40</v>
      </c>
      <c r="D748" s="15" t="s">
        <v>41</v>
      </c>
      <c r="E748" s="15" t="s">
        <v>3678</v>
      </c>
      <c r="F748" s="15" t="s">
        <v>3680</v>
      </c>
      <c r="G748" s="15" t="s">
        <v>3679</v>
      </c>
      <c r="H748" s="15" t="s">
        <v>3681</v>
      </c>
      <c r="I748" s="15" t="s">
        <v>276</v>
      </c>
    </row>
    <row r="749" spans="1:9" x14ac:dyDescent="0.15">
      <c r="A749" s="15" t="s">
        <v>3682</v>
      </c>
      <c r="B749" s="15"/>
      <c r="C749" s="15" t="s">
        <v>40</v>
      </c>
      <c r="D749" s="15" t="s">
        <v>41</v>
      </c>
      <c r="E749" s="15" t="s">
        <v>3683</v>
      </c>
      <c r="F749" s="15" t="s">
        <v>3685</v>
      </c>
      <c r="G749" s="15" t="s">
        <v>3684</v>
      </c>
      <c r="H749" s="15" t="s">
        <v>3686</v>
      </c>
      <c r="I749" s="15" t="s">
        <v>276</v>
      </c>
    </row>
    <row r="750" spans="1:9" x14ac:dyDescent="0.15">
      <c r="A750" s="15" t="s">
        <v>3687</v>
      </c>
      <c r="B750" s="15"/>
      <c r="C750" s="15" t="s">
        <v>40</v>
      </c>
      <c r="D750" s="15" t="s">
        <v>41</v>
      </c>
      <c r="E750" s="15" t="s">
        <v>3688</v>
      </c>
      <c r="F750" s="15" t="s">
        <v>3690</v>
      </c>
      <c r="G750" s="15" t="s">
        <v>3689</v>
      </c>
      <c r="H750" s="15" t="s">
        <v>3691</v>
      </c>
      <c r="I750" s="15" t="s">
        <v>276</v>
      </c>
    </row>
    <row r="751" spans="1:9" x14ac:dyDescent="0.15">
      <c r="A751" s="15" t="s">
        <v>3692</v>
      </c>
      <c r="B751" s="15"/>
      <c r="C751" s="15" t="s">
        <v>40</v>
      </c>
      <c r="D751" s="15" t="s">
        <v>41</v>
      </c>
      <c r="E751" s="15" t="s">
        <v>3693</v>
      </c>
      <c r="F751" s="15" t="s">
        <v>3695</v>
      </c>
      <c r="G751" s="15" t="s">
        <v>3694</v>
      </c>
      <c r="H751" s="15" t="s">
        <v>3696</v>
      </c>
      <c r="I751" s="15" t="s">
        <v>276</v>
      </c>
    </row>
    <row r="752" spans="1:9" x14ac:dyDescent="0.15">
      <c r="A752" s="15" t="s">
        <v>3697</v>
      </c>
      <c r="B752" s="15"/>
      <c r="C752" s="15" t="s">
        <v>40</v>
      </c>
      <c r="D752" s="15" t="s">
        <v>41</v>
      </c>
      <c r="E752" s="15" t="s">
        <v>3698</v>
      </c>
      <c r="F752" s="15" t="s">
        <v>3700</v>
      </c>
      <c r="G752" s="15" t="s">
        <v>3699</v>
      </c>
      <c r="H752" s="15" t="s">
        <v>3701</v>
      </c>
      <c r="I752" s="15" t="s">
        <v>276</v>
      </c>
    </row>
    <row r="753" spans="1:9" x14ac:dyDescent="0.15">
      <c r="A753" s="15" t="s">
        <v>3702</v>
      </c>
      <c r="B753" s="15"/>
      <c r="C753" s="15" t="s">
        <v>40</v>
      </c>
      <c r="D753" s="15" t="s">
        <v>41</v>
      </c>
      <c r="E753" s="15" t="s">
        <v>3703</v>
      </c>
      <c r="F753" s="15" t="s">
        <v>3705</v>
      </c>
      <c r="G753" s="15" t="s">
        <v>3704</v>
      </c>
      <c r="H753" s="15" t="s">
        <v>3706</v>
      </c>
      <c r="I753" s="15" t="s">
        <v>276</v>
      </c>
    </row>
    <row r="754" spans="1:9" x14ac:dyDescent="0.15">
      <c r="A754" s="15" t="s">
        <v>3707</v>
      </c>
      <c r="B754" s="15"/>
      <c r="C754" s="15" t="s">
        <v>40</v>
      </c>
      <c r="D754" s="15" t="s">
        <v>41</v>
      </c>
      <c r="E754" s="15" t="s">
        <v>3708</v>
      </c>
      <c r="F754" s="15" t="s">
        <v>3710</v>
      </c>
      <c r="G754" s="15" t="s">
        <v>3709</v>
      </c>
      <c r="H754" s="15" t="s">
        <v>3711</v>
      </c>
      <c r="I754" s="15" t="s">
        <v>276</v>
      </c>
    </row>
    <row r="755" spans="1:9" x14ac:dyDescent="0.15">
      <c r="A755" s="15" t="s">
        <v>3712</v>
      </c>
      <c r="B755" s="15"/>
      <c r="C755" s="15" t="s">
        <v>40</v>
      </c>
      <c r="D755" s="15" t="s">
        <v>41</v>
      </c>
      <c r="E755" s="15" t="s">
        <v>3713</v>
      </c>
      <c r="F755" s="15" t="s">
        <v>3715</v>
      </c>
      <c r="G755" s="15" t="s">
        <v>3714</v>
      </c>
      <c r="H755" s="15" t="s">
        <v>3716</v>
      </c>
      <c r="I755" s="15" t="s">
        <v>276</v>
      </c>
    </row>
    <row r="756" spans="1:9" x14ac:dyDescent="0.15">
      <c r="A756" s="15" t="s">
        <v>3717</v>
      </c>
      <c r="B756" s="15"/>
      <c r="C756" s="15" t="s">
        <v>40</v>
      </c>
      <c r="D756" s="15" t="s">
        <v>41</v>
      </c>
      <c r="E756" s="15" t="s">
        <v>3718</v>
      </c>
      <c r="F756" s="15" t="s">
        <v>3720</v>
      </c>
      <c r="G756" s="15" t="s">
        <v>3719</v>
      </c>
      <c r="H756" s="15" t="s">
        <v>3721</v>
      </c>
      <c r="I756" s="15" t="s">
        <v>276</v>
      </c>
    </row>
    <row r="757" spans="1:9" x14ac:dyDescent="0.15">
      <c r="A757" s="15" t="s">
        <v>3722</v>
      </c>
      <c r="B757" s="15"/>
      <c r="C757" s="15" t="s">
        <v>40</v>
      </c>
      <c r="D757" s="15" t="s">
        <v>41</v>
      </c>
      <c r="E757" s="15" t="s">
        <v>3723</v>
      </c>
      <c r="F757" s="15" t="s">
        <v>3725</v>
      </c>
      <c r="G757" s="15" t="s">
        <v>3724</v>
      </c>
      <c r="H757" s="15" t="s">
        <v>3726</v>
      </c>
      <c r="I757" s="15" t="s">
        <v>276</v>
      </c>
    </row>
    <row r="758" spans="1:9" x14ac:dyDescent="0.15">
      <c r="A758" s="15" t="s">
        <v>3727</v>
      </c>
      <c r="B758" s="15"/>
      <c r="C758" s="15" t="s">
        <v>40</v>
      </c>
      <c r="D758" s="15" t="s">
        <v>41</v>
      </c>
      <c r="E758" s="15" t="s">
        <v>3728</v>
      </c>
      <c r="F758" s="15" t="s">
        <v>3730</v>
      </c>
      <c r="G758" s="15" t="s">
        <v>3729</v>
      </c>
      <c r="H758" s="15" t="s">
        <v>3731</v>
      </c>
      <c r="I758" s="15" t="s">
        <v>276</v>
      </c>
    </row>
    <row r="759" spans="1:9" x14ac:dyDescent="0.15">
      <c r="A759" s="15" t="s">
        <v>3732</v>
      </c>
      <c r="B759" s="15"/>
      <c r="C759" s="15" t="s">
        <v>40</v>
      </c>
      <c r="D759" s="15" t="s">
        <v>41</v>
      </c>
      <c r="E759" s="15" t="s">
        <v>3733</v>
      </c>
      <c r="F759" s="15" t="s">
        <v>3735</v>
      </c>
      <c r="G759" s="15" t="s">
        <v>3734</v>
      </c>
      <c r="H759" s="15" t="s">
        <v>3736</v>
      </c>
      <c r="I759" s="15" t="s">
        <v>276</v>
      </c>
    </row>
    <row r="760" spans="1:9" x14ac:dyDescent="0.15">
      <c r="A760" s="15" t="s">
        <v>3737</v>
      </c>
      <c r="B760" s="15"/>
      <c r="C760" s="15" t="s">
        <v>40</v>
      </c>
      <c r="D760" s="15" t="s">
        <v>41</v>
      </c>
      <c r="E760" s="15" t="s">
        <v>3738</v>
      </c>
      <c r="F760" s="15" t="s">
        <v>3740</v>
      </c>
      <c r="G760" s="15" t="s">
        <v>3739</v>
      </c>
      <c r="H760" s="15" t="s">
        <v>3741</v>
      </c>
      <c r="I760" s="15" t="s">
        <v>276</v>
      </c>
    </row>
    <row r="761" spans="1:9" x14ac:dyDescent="0.15">
      <c r="A761" s="15" t="s">
        <v>3742</v>
      </c>
      <c r="B761" s="15"/>
      <c r="C761" s="15" t="s">
        <v>40</v>
      </c>
      <c r="D761" s="15" t="s">
        <v>41</v>
      </c>
      <c r="E761" s="15" t="s">
        <v>3743</v>
      </c>
      <c r="F761" s="15" t="s">
        <v>3744</v>
      </c>
      <c r="G761" s="15" t="s">
        <v>3650</v>
      </c>
      <c r="H761" s="15" t="s">
        <v>3745</v>
      </c>
      <c r="I761" s="15" t="s">
        <v>276</v>
      </c>
    </row>
    <row r="762" spans="1:9" x14ac:dyDescent="0.15">
      <c r="A762" s="15" t="s">
        <v>3746</v>
      </c>
      <c r="B762" s="15"/>
      <c r="C762" s="15" t="s">
        <v>40</v>
      </c>
      <c r="D762" s="15" t="s">
        <v>41</v>
      </c>
      <c r="E762" s="15" t="s">
        <v>3747</v>
      </c>
      <c r="F762" s="15" t="s">
        <v>3749</v>
      </c>
      <c r="G762" s="15" t="s">
        <v>3748</v>
      </c>
      <c r="H762" s="15" t="s">
        <v>3750</v>
      </c>
      <c r="I762" s="15" t="s">
        <v>276</v>
      </c>
    </row>
    <row r="763" spans="1:9" x14ac:dyDescent="0.15">
      <c r="A763" s="15" t="s">
        <v>3751</v>
      </c>
      <c r="B763" s="15"/>
      <c r="C763" s="15" t="s">
        <v>40</v>
      </c>
      <c r="D763" s="15" t="s">
        <v>41</v>
      </c>
      <c r="E763" s="15" t="s">
        <v>3752</v>
      </c>
      <c r="F763" s="15" t="s">
        <v>3754</v>
      </c>
      <c r="G763" s="15" t="s">
        <v>3753</v>
      </c>
      <c r="H763" s="15" t="s">
        <v>3755</v>
      </c>
      <c r="I763" s="15" t="s">
        <v>276</v>
      </c>
    </row>
    <row r="764" spans="1:9" x14ac:dyDescent="0.15">
      <c r="A764" s="15" t="s">
        <v>3756</v>
      </c>
      <c r="B764" s="15"/>
      <c r="C764" s="15" t="s">
        <v>40</v>
      </c>
      <c r="D764" s="15" t="s">
        <v>41</v>
      </c>
      <c r="E764" s="15" t="s">
        <v>3757</v>
      </c>
      <c r="F764" s="15" t="s">
        <v>3758</v>
      </c>
      <c r="G764" s="15" t="s">
        <v>3508</v>
      </c>
      <c r="H764" s="15" t="s">
        <v>3759</v>
      </c>
      <c r="I764" s="15" t="s">
        <v>276</v>
      </c>
    </row>
    <row r="765" spans="1:9" x14ac:dyDescent="0.15">
      <c r="A765" s="15" t="s">
        <v>3760</v>
      </c>
      <c r="B765" s="15"/>
      <c r="C765" s="15" t="s">
        <v>40</v>
      </c>
      <c r="D765" s="15" t="s">
        <v>41</v>
      </c>
      <c r="E765" s="15" t="s">
        <v>3761</v>
      </c>
      <c r="F765" s="15" t="s">
        <v>3762</v>
      </c>
      <c r="G765" s="15" t="s">
        <v>3498</v>
      </c>
      <c r="H765" s="15" t="s">
        <v>3763</v>
      </c>
      <c r="I765" s="15" t="s">
        <v>276</v>
      </c>
    </row>
    <row r="766" spans="1:9" x14ac:dyDescent="0.15">
      <c r="A766" s="15" t="s">
        <v>3764</v>
      </c>
      <c r="B766" s="15"/>
      <c r="C766" s="15" t="s">
        <v>40</v>
      </c>
      <c r="D766" s="15" t="s">
        <v>41</v>
      </c>
      <c r="E766" s="15" t="s">
        <v>3765</v>
      </c>
      <c r="F766" s="15" t="s">
        <v>3767</v>
      </c>
      <c r="G766" s="15" t="s">
        <v>3766</v>
      </c>
      <c r="H766" s="15" t="s">
        <v>3768</v>
      </c>
      <c r="I766" s="15" t="s">
        <v>276</v>
      </c>
    </row>
    <row r="767" spans="1:9" x14ac:dyDescent="0.15">
      <c r="A767" s="15" t="s">
        <v>3769</v>
      </c>
      <c r="B767" s="15"/>
      <c r="C767" s="15" t="s">
        <v>40</v>
      </c>
      <c r="D767" s="15" t="s">
        <v>41</v>
      </c>
      <c r="E767" s="15" t="s">
        <v>3770</v>
      </c>
      <c r="F767" s="15" t="s">
        <v>3772</v>
      </c>
      <c r="G767" s="15" t="s">
        <v>3771</v>
      </c>
      <c r="H767" s="15" t="s">
        <v>3773</v>
      </c>
      <c r="I767" s="15" t="s">
        <v>276</v>
      </c>
    </row>
    <row r="768" spans="1:9" x14ac:dyDescent="0.15">
      <c r="A768" s="15" t="s">
        <v>3774</v>
      </c>
      <c r="B768" s="15"/>
      <c r="C768" s="15" t="s">
        <v>40</v>
      </c>
      <c r="D768" s="15" t="s">
        <v>41</v>
      </c>
      <c r="E768" s="15" t="s">
        <v>3775</v>
      </c>
      <c r="F768" s="15" t="s">
        <v>3777</v>
      </c>
      <c r="G768" s="15" t="s">
        <v>3776</v>
      </c>
      <c r="H768" s="15" t="s">
        <v>3778</v>
      </c>
      <c r="I768" s="15" t="s">
        <v>276</v>
      </c>
    </row>
    <row r="769" spans="1:9" x14ac:dyDescent="0.15">
      <c r="A769" s="15" t="s">
        <v>3779</v>
      </c>
      <c r="B769" s="15"/>
      <c r="C769" s="15" t="s">
        <v>40</v>
      </c>
      <c r="D769" s="15" t="s">
        <v>41</v>
      </c>
      <c r="E769" s="15" t="s">
        <v>3780</v>
      </c>
      <c r="F769" s="15" t="s">
        <v>3782</v>
      </c>
      <c r="G769" s="15" t="s">
        <v>3781</v>
      </c>
      <c r="H769" s="15" t="s">
        <v>3783</v>
      </c>
      <c r="I769" s="15" t="s">
        <v>276</v>
      </c>
    </row>
    <row r="770" spans="1:9" x14ac:dyDescent="0.15">
      <c r="A770" s="15" t="s">
        <v>3784</v>
      </c>
      <c r="B770" s="15"/>
      <c r="C770" s="15" t="s">
        <v>40</v>
      </c>
      <c r="D770" s="15" t="s">
        <v>41</v>
      </c>
      <c r="E770" s="15" t="s">
        <v>3785</v>
      </c>
      <c r="F770" s="15" t="s">
        <v>52</v>
      </c>
      <c r="G770" s="15" t="s">
        <v>3484</v>
      </c>
      <c r="H770" s="15" t="s">
        <v>3786</v>
      </c>
      <c r="I770" s="15" t="s">
        <v>276</v>
      </c>
    </row>
    <row r="771" spans="1:9" x14ac:dyDescent="0.15">
      <c r="A771" s="15" t="s">
        <v>3787</v>
      </c>
      <c r="B771" s="15"/>
      <c r="C771" s="15" t="s">
        <v>40</v>
      </c>
      <c r="D771" s="15" t="s">
        <v>41</v>
      </c>
      <c r="E771" s="15" t="s">
        <v>3788</v>
      </c>
      <c r="F771" s="15" t="s">
        <v>3790</v>
      </c>
      <c r="G771" s="15" t="s">
        <v>3789</v>
      </c>
      <c r="H771" s="15" t="s">
        <v>3791</v>
      </c>
      <c r="I771" s="15" t="s">
        <v>2692</v>
      </c>
    </row>
    <row r="772" spans="1:9" x14ac:dyDescent="0.15">
      <c r="A772" s="15" t="s">
        <v>3792</v>
      </c>
      <c r="B772" s="15"/>
      <c r="C772" s="15" t="s">
        <v>40</v>
      </c>
      <c r="D772" s="15" t="s">
        <v>41</v>
      </c>
      <c r="E772" s="15" t="s">
        <v>3793</v>
      </c>
      <c r="F772" s="15" t="s">
        <v>3795</v>
      </c>
      <c r="G772" s="15" t="s">
        <v>3794</v>
      </c>
      <c r="H772" s="15" t="s">
        <v>3796</v>
      </c>
      <c r="I772" s="15" t="s">
        <v>2692</v>
      </c>
    </row>
    <row r="773" spans="1:9" x14ac:dyDescent="0.15">
      <c r="A773" s="15" t="s">
        <v>3797</v>
      </c>
      <c r="B773" s="15"/>
      <c r="C773" s="15" t="s">
        <v>40</v>
      </c>
      <c r="D773" s="15" t="s">
        <v>41</v>
      </c>
      <c r="E773" s="15" t="s">
        <v>3798</v>
      </c>
      <c r="F773" s="15" t="s">
        <v>3800</v>
      </c>
      <c r="G773" s="15" t="s">
        <v>3799</v>
      </c>
      <c r="H773" s="15" t="s">
        <v>3801</v>
      </c>
      <c r="I773" s="15" t="s">
        <v>2692</v>
      </c>
    </row>
    <row r="774" spans="1:9" x14ac:dyDescent="0.15">
      <c r="A774" s="15" t="s">
        <v>3802</v>
      </c>
      <c r="B774" s="15"/>
      <c r="C774" s="15" t="s">
        <v>40</v>
      </c>
      <c r="D774" s="15" t="s">
        <v>41</v>
      </c>
      <c r="E774" s="15" t="s">
        <v>3803</v>
      </c>
      <c r="F774" s="15" t="s">
        <v>3805</v>
      </c>
      <c r="G774" s="15" t="s">
        <v>3804</v>
      </c>
      <c r="H774" s="15" t="s">
        <v>3806</v>
      </c>
      <c r="I774" s="15" t="s">
        <v>2692</v>
      </c>
    </row>
    <row r="775" spans="1:9" x14ac:dyDescent="0.15">
      <c r="A775" s="15" t="s">
        <v>3807</v>
      </c>
      <c r="B775" s="15"/>
      <c r="C775" s="15" t="s">
        <v>40</v>
      </c>
      <c r="D775" s="15" t="s">
        <v>41</v>
      </c>
      <c r="E775" s="15" t="s">
        <v>3808</v>
      </c>
      <c r="F775" s="15" t="s">
        <v>3810</v>
      </c>
      <c r="G775" s="15" t="s">
        <v>3809</v>
      </c>
      <c r="H775" s="15" t="s">
        <v>3811</v>
      </c>
      <c r="I775" s="15" t="s">
        <v>2692</v>
      </c>
    </row>
    <row r="776" spans="1:9" x14ac:dyDescent="0.15">
      <c r="A776" s="15" t="s">
        <v>3812</v>
      </c>
      <c r="B776" s="15"/>
      <c r="C776" s="15" t="s">
        <v>40</v>
      </c>
      <c r="D776" s="15" t="s">
        <v>41</v>
      </c>
      <c r="E776" s="15" t="s">
        <v>3813</v>
      </c>
      <c r="F776" s="15" t="s">
        <v>3815</v>
      </c>
      <c r="G776" s="15" t="s">
        <v>3814</v>
      </c>
      <c r="H776" s="15" t="s">
        <v>3816</v>
      </c>
      <c r="I776" s="15" t="s">
        <v>2692</v>
      </c>
    </row>
    <row r="777" spans="1:9" x14ac:dyDescent="0.15">
      <c r="A777" s="15" t="s">
        <v>3817</v>
      </c>
      <c r="B777" s="15"/>
      <c r="C777" s="15" t="s">
        <v>40</v>
      </c>
      <c r="D777" s="15" t="s">
        <v>41</v>
      </c>
      <c r="E777" s="15" t="s">
        <v>3818</v>
      </c>
      <c r="F777" s="15" t="s">
        <v>3820</v>
      </c>
      <c r="G777" s="15" t="s">
        <v>3819</v>
      </c>
      <c r="H777" s="15" t="s">
        <v>3821</v>
      </c>
      <c r="I777" s="15" t="s">
        <v>2692</v>
      </c>
    </row>
    <row r="778" spans="1:9" x14ac:dyDescent="0.15">
      <c r="A778" s="15" t="s">
        <v>3822</v>
      </c>
      <c r="B778" s="15"/>
      <c r="C778" s="15" t="s">
        <v>40</v>
      </c>
      <c r="D778" s="15" t="s">
        <v>41</v>
      </c>
      <c r="E778" s="15" t="s">
        <v>3823</v>
      </c>
      <c r="F778" s="15" t="s">
        <v>3824</v>
      </c>
      <c r="G778" s="15" t="s">
        <v>3819</v>
      </c>
      <c r="H778" s="15" t="s">
        <v>3825</v>
      </c>
      <c r="I778" s="15" t="s">
        <v>2692</v>
      </c>
    </row>
    <row r="779" spans="1:9" x14ac:dyDescent="0.15">
      <c r="A779" s="15" t="s">
        <v>3826</v>
      </c>
      <c r="B779" s="15"/>
      <c r="C779" s="15" t="s">
        <v>40</v>
      </c>
      <c r="D779" s="15" t="s">
        <v>41</v>
      </c>
      <c r="E779" s="15" t="s">
        <v>3827</v>
      </c>
      <c r="F779" s="15" t="s">
        <v>3828</v>
      </c>
      <c r="G779" s="15" t="s">
        <v>2715</v>
      </c>
      <c r="H779" s="15" t="s">
        <v>3829</v>
      </c>
      <c r="I779" s="15" t="s">
        <v>2692</v>
      </c>
    </row>
    <row r="780" spans="1:9" x14ac:dyDescent="0.15">
      <c r="A780" s="15" t="s">
        <v>3830</v>
      </c>
      <c r="B780" s="15"/>
      <c r="C780" s="15" t="s">
        <v>40</v>
      </c>
      <c r="D780" s="15" t="s">
        <v>41</v>
      </c>
      <c r="E780" s="15" t="s">
        <v>3831</v>
      </c>
      <c r="F780" s="15" t="s">
        <v>3833</v>
      </c>
      <c r="G780" s="15" t="s">
        <v>3832</v>
      </c>
      <c r="H780" s="15" t="s">
        <v>3834</v>
      </c>
      <c r="I780" s="15" t="s">
        <v>2692</v>
      </c>
    </row>
    <row r="781" spans="1:9" x14ac:dyDescent="0.15">
      <c r="A781" s="15" t="s">
        <v>3835</v>
      </c>
      <c r="B781" s="15"/>
      <c r="C781" s="15" t="s">
        <v>40</v>
      </c>
      <c r="D781" s="15" t="s">
        <v>41</v>
      </c>
      <c r="E781" s="15" t="s">
        <v>3836</v>
      </c>
      <c r="F781" s="15" t="s">
        <v>3838</v>
      </c>
      <c r="G781" s="15" t="s">
        <v>3837</v>
      </c>
      <c r="H781" s="15" t="s">
        <v>3839</v>
      </c>
      <c r="I781" s="15" t="s">
        <v>2692</v>
      </c>
    </row>
    <row r="782" spans="1:9" x14ac:dyDescent="0.15">
      <c r="A782" s="15" t="s">
        <v>3840</v>
      </c>
      <c r="B782" s="15"/>
      <c r="C782" s="15" t="s">
        <v>40</v>
      </c>
      <c r="D782" s="15" t="s">
        <v>41</v>
      </c>
      <c r="E782" s="15" t="s">
        <v>3841</v>
      </c>
      <c r="F782" s="15" t="s">
        <v>2711</v>
      </c>
      <c r="G782" s="15" t="s">
        <v>2710</v>
      </c>
      <c r="H782" s="15" t="s">
        <v>3842</v>
      </c>
      <c r="I782" s="15" t="s">
        <v>2692</v>
      </c>
    </row>
    <row r="783" spans="1:9" x14ac:dyDescent="0.15">
      <c r="A783" s="15" t="s">
        <v>3843</v>
      </c>
      <c r="B783" s="15"/>
      <c r="C783" s="15" t="s">
        <v>40</v>
      </c>
      <c r="D783" s="15" t="s">
        <v>41</v>
      </c>
      <c r="E783" s="15" t="s">
        <v>3844</v>
      </c>
      <c r="F783" s="15" t="s">
        <v>2716</v>
      </c>
      <c r="G783" s="15" t="s">
        <v>2715</v>
      </c>
      <c r="H783" s="15" t="s">
        <v>3845</v>
      </c>
      <c r="I783" s="15" t="s">
        <v>2692</v>
      </c>
    </row>
    <row r="784" spans="1:9" x14ac:dyDescent="0.15">
      <c r="A784" s="15" t="s">
        <v>3846</v>
      </c>
      <c r="B784" s="15"/>
      <c r="C784" s="15" t="s">
        <v>40</v>
      </c>
      <c r="D784" s="15" t="s">
        <v>41</v>
      </c>
      <c r="E784" s="15" t="s">
        <v>3847</v>
      </c>
      <c r="F784" s="15" t="s">
        <v>3848</v>
      </c>
      <c r="G784" s="15" t="s">
        <v>3789</v>
      </c>
      <c r="H784" s="15" t="s">
        <v>3849</v>
      </c>
      <c r="I784" s="15" t="s">
        <v>2692</v>
      </c>
    </row>
    <row r="785" spans="1:9" x14ac:dyDescent="0.15">
      <c r="A785" s="15" t="s">
        <v>3850</v>
      </c>
      <c r="B785" s="15"/>
      <c r="C785" s="15" t="s">
        <v>40</v>
      </c>
      <c r="D785" s="15" t="s">
        <v>41</v>
      </c>
      <c r="E785" s="15" t="s">
        <v>3851</v>
      </c>
      <c r="F785" s="15" t="s">
        <v>3853</v>
      </c>
      <c r="G785" s="15" t="s">
        <v>3852</v>
      </c>
      <c r="H785" s="15" t="s">
        <v>3854</v>
      </c>
      <c r="I785" s="15" t="s">
        <v>2692</v>
      </c>
    </row>
    <row r="786" spans="1:9" x14ac:dyDescent="0.15">
      <c r="A786" s="15" t="s">
        <v>3855</v>
      </c>
      <c r="B786" s="15"/>
      <c r="C786" s="15" t="s">
        <v>40</v>
      </c>
      <c r="D786" s="15" t="s">
        <v>41</v>
      </c>
      <c r="E786" s="15" t="s">
        <v>3856</v>
      </c>
      <c r="F786" s="15" t="s">
        <v>3858</v>
      </c>
      <c r="G786" s="15" t="s">
        <v>3857</v>
      </c>
      <c r="H786" s="15" t="s">
        <v>3859</v>
      </c>
      <c r="I786" s="15" t="s">
        <v>2692</v>
      </c>
    </row>
    <row r="787" spans="1:9" x14ac:dyDescent="0.15">
      <c r="A787" s="15" t="s">
        <v>3860</v>
      </c>
      <c r="B787" s="15"/>
      <c r="C787" s="15" t="s">
        <v>40</v>
      </c>
      <c r="D787" s="15" t="s">
        <v>41</v>
      </c>
      <c r="E787" s="15" t="s">
        <v>3861</v>
      </c>
      <c r="F787" s="15" t="s">
        <v>3863</v>
      </c>
      <c r="G787" s="15" t="s">
        <v>3862</v>
      </c>
      <c r="H787" s="15" t="s">
        <v>3864</v>
      </c>
      <c r="I787" s="15" t="s">
        <v>2692</v>
      </c>
    </row>
    <row r="788" spans="1:9" x14ac:dyDescent="0.15">
      <c r="A788" s="15" t="s">
        <v>3865</v>
      </c>
      <c r="B788" s="15"/>
      <c r="C788" s="15" t="s">
        <v>40</v>
      </c>
      <c r="D788" s="15" t="s">
        <v>41</v>
      </c>
      <c r="E788" s="15" t="s">
        <v>3866</v>
      </c>
      <c r="F788" s="15" t="s">
        <v>3868</v>
      </c>
      <c r="G788" s="15" t="s">
        <v>3867</v>
      </c>
      <c r="H788" s="15" t="s">
        <v>3869</v>
      </c>
      <c r="I788" s="15" t="s">
        <v>2692</v>
      </c>
    </row>
    <row r="789" spans="1:9" x14ac:dyDescent="0.15">
      <c r="A789" s="15" t="s">
        <v>3870</v>
      </c>
      <c r="B789" s="15"/>
      <c r="C789" s="15" t="s">
        <v>40</v>
      </c>
      <c r="D789" s="15" t="s">
        <v>41</v>
      </c>
      <c r="E789" s="15" t="s">
        <v>3871</v>
      </c>
      <c r="F789" s="15" t="s">
        <v>3873</v>
      </c>
      <c r="G789" s="15" t="s">
        <v>3872</v>
      </c>
      <c r="H789" s="15" t="s">
        <v>3874</v>
      </c>
      <c r="I789" s="15" t="s">
        <v>2692</v>
      </c>
    </row>
    <row r="790" spans="1:9" x14ac:dyDescent="0.15">
      <c r="A790" s="15" t="s">
        <v>3875</v>
      </c>
      <c r="B790" s="15"/>
      <c r="C790" s="15" t="s">
        <v>40</v>
      </c>
      <c r="D790" s="15" t="s">
        <v>41</v>
      </c>
      <c r="E790" s="15" t="s">
        <v>3876</v>
      </c>
      <c r="F790" s="15" t="s">
        <v>3878</v>
      </c>
      <c r="G790" s="15" t="s">
        <v>3877</v>
      </c>
      <c r="H790" s="15" t="s">
        <v>3879</v>
      </c>
      <c r="I790" s="15" t="s">
        <v>2692</v>
      </c>
    </row>
    <row r="791" spans="1:9" x14ac:dyDescent="0.15">
      <c r="A791" s="15" t="s">
        <v>3880</v>
      </c>
      <c r="B791" s="15"/>
      <c r="C791" s="15" t="s">
        <v>40</v>
      </c>
      <c r="D791" s="15" t="s">
        <v>41</v>
      </c>
      <c r="E791" s="15" t="s">
        <v>3881</v>
      </c>
      <c r="F791" s="15" t="s">
        <v>3883</v>
      </c>
      <c r="G791" s="15" t="s">
        <v>3882</v>
      </c>
      <c r="H791" s="15" t="s">
        <v>3884</v>
      </c>
      <c r="I791" s="15" t="s">
        <v>2692</v>
      </c>
    </row>
    <row r="792" spans="1:9" x14ac:dyDescent="0.15">
      <c r="A792" s="15" t="s">
        <v>3885</v>
      </c>
      <c r="B792" s="15"/>
      <c r="C792" s="15" t="s">
        <v>40</v>
      </c>
      <c r="D792" s="15" t="s">
        <v>41</v>
      </c>
      <c r="E792" s="15" t="s">
        <v>3886</v>
      </c>
      <c r="F792" s="15" t="s">
        <v>3887</v>
      </c>
      <c r="G792" s="15" t="s">
        <v>3789</v>
      </c>
      <c r="H792" s="15" t="s">
        <v>3888</v>
      </c>
      <c r="I792" s="15" t="s">
        <v>2692</v>
      </c>
    </row>
    <row r="793" spans="1:9" x14ac:dyDescent="0.15">
      <c r="A793" s="15" t="s">
        <v>3889</v>
      </c>
      <c r="B793" s="15"/>
      <c r="C793" s="15" t="s">
        <v>40</v>
      </c>
      <c r="D793" s="15" t="s">
        <v>41</v>
      </c>
      <c r="E793" s="15" t="s">
        <v>3890</v>
      </c>
      <c r="F793" s="15" t="s">
        <v>3892</v>
      </c>
      <c r="G793" s="15" t="s">
        <v>3891</v>
      </c>
      <c r="H793" s="15" t="s">
        <v>3893</v>
      </c>
      <c r="I793" s="15" t="s">
        <v>2692</v>
      </c>
    </row>
    <row r="794" spans="1:9" x14ac:dyDescent="0.15">
      <c r="A794" s="15" t="s">
        <v>3894</v>
      </c>
      <c r="B794" s="15"/>
      <c r="C794" s="15" t="s">
        <v>40</v>
      </c>
      <c r="D794" s="15" t="s">
        <v>41</v>
      </c>
      <c r="E794" s="15" t="s">
        <v>3895</v>
      </c>
      <c r="F794" s="15" t="s">
        <v>3897</v>
      </c>
      <c r="G794" s="15" t="s">
        <v>3896</v>
      </c>
      <c r="H794" s="15" t="s">
        <v>3898</v>
      </c>
      <c r="I794" s="15" t="s">
        <v>2692</v>
      </c>
    </row>
    <row r="795" spans="1:9" x14ac:dyDescent="0.15">
      <c r="A795" s="15" t="s">
        <v>3899</v>
      </c>
      <c r="B795" s="15"/>
      <c r="C795" s="15" t="s">
        <v>40</v>
      </c>
      <c r="D795" s="15" t="s">
        <v>41</v>
      </c>
      <c r="E795" s="15" t="s">
        <v>3900</v>
      </c>
      <c r="F795" s="15" t="s">
        <v>3902</v>
      </c>
      <c r="G795" s="15" t="s">
        <v>3901</v>
      </c>
      <c r="H795" s="15" t="s">
        <v>3903</v>
      </c>
      <c r="I795" s="15" t="s">
        <v>2692</v>
      </c>
    </row>
    <row r="796" spans="1:9" x14ac:dyDescent="0.15">
      <c r="A796" s="15" t="s">
        <v>3904</v>
      </c>
      <c r="B796" s="15"/>
      <c r="C796" s="15" t="s">
        <v>40</v>
      </c>
      <c r="D796" s="15" t="s">
        <v>41</v>
      </c>
      <c r="E796" s="15" t="s">
        <v>3905</v>
      </c>
      <c r="F796" s="15" t="s">
        <v>3907</v>
      </c>
      <c r="G796" s="15" t="s">
        <v>3906</v>
      </c>
      <c r="H796" s="15" t="s">
        <v>3908</v>
      </c>
      <c r="I796" s="15" t="s">
        <v>2692</v>
      </c>
    </row>
    <row r="797" spans="1:9" x14ac:dyDescent="0.15">
      <c r="A797" s="15" t="s">
        <v>3909</v>
      </c>
      <c r="B797" s="15"/>
      <c r="C797" s="15" t="s">
        <v>40</v>
      </c>
      <c r="D797" s="15" t="s">
        <v>41</v>
      </c>
      <c r="E797" s="15" t="s">
        <v>3910</v>
      </c>
      <c r="F797" s="15" t="s">
        <v>3911</v>
      </c>
      <c r="G797" s="15" t="s">
        <v>2750</v>
      </c>
      <c r="H797" s="15" t="s">
        <v>3912</v>
      </c>
      <c r="I797" s="15" t="s">
        <v>2692</v>
      </c>
    </row>
    <row r="798" spans="1:9" x14ac:dyDescent="0.15">
      <c r="A798" s="15" t="s">
        <v>3913</v>
      </c>
      <c r="B798" s="15"/>
      <c r="C798" s="15" t="s">
        <v>40</v>
      </c>
      <c r="D798" s="15" t="s">
        <v>41</v>
      </c>
      <c r="E798" s="15" t="s">
        <v>3914</v>
      </c>
      <c r="F798" s="15" t="s">
        <v>3916</v>
      </c>
      <c r="G798" s="15" t="s">
        <v>3915</v>
      </c>
      <c r="H798" s="15" t="s">
        <v>3917</v>
      </c>
      <c r="I798" s="15" t="s">
        <v>2692</v>
      </c>
    </row>
    <row r="799" spans="1:9" x14ac:dyDescent="0.15">
      <c r="A799" s="15" t="s">
        <v>3918</v>
      </c>
      <c r="B799" s="15"/>
      <c r="C799" s="15" t="s">
        <v>40</v>
      </c>
      <c r="D799" s="15" t="s">
        <v>41</v>
      </c>
      <c r="E799" s="15" t="s">
        <v>3919</v>
      </c>
      <c r="F799" s="15" t="s">
        <v>3921</v>
      </c>
      <c r="G799" s="15" t="s">
        <v>3920</v>
      </c>
      <c r="H799" s="15" t="s">
        <v>223</v>
      </c>
      <c r="I799" s="15" t="s">
        <v>2692</v>
      </c>
    </row>
    <row r="800" spans="1:9" x14ac:dyDescent="0.15">
      <c r="A800" s="15" t="s">
        <v>3922</v>
      </c>
      <c r="B800" s="15"/>
      <c r="C800" s="15" t="s">
        <v>40</v>
      </c>
      <c r="D800" s="15" t="s">
        <v>41</v>
      </c>
      <c r="E800" s="15" t="s">
        <v>3923</v>
      </c>
      <c r="F800" s="15" t="s">
        <v>3925</v>
      </c>
      <c r="G800" s="15" t="s">
        <v>3924</v>
      </c>
      <c r="H800" s="15" t="s">
        <v>3926</v>
      </c>
      <c r="I800" s="15" t="s">
        <v>2692</v>
      </c>
    </row>
    <row r="801" spans="1:9" x14ac:dyDescent="0.15">
      <c r="A801" s="15" t="s">
        <v>3927</v>
      </c>
      <c r="B801" s="15"/>
      <c r="C801" s="15" t="s">
        <v>40</v>
      </c>
      <c r="D801" s="15" t="s">
        <v>41</v>
      </c>
      <c r="E801" s="15" t="s">
        <v>3928</v>
      </c>
      <c r="F801" s="15" t="s">
        <v>3929</v>
      </c>
      <c r="G801" s="15" t="s">
        <v>3789</v>
      </c>
      <c r="H801" s="15" t="s">
        <v>3930</v>
      </c>
      <c r="I801" s="15" t="s">
        <v>2692</v>
      </c>
    </row>
    <row r="802" spans="1:9" x14ac:dyDescent="0.15">
      <c r="A802" s="15" t="s">
        <v>3931</v>
      </c>
      <c r="B802" s="15"/>
      <c r="C802" s="15" t="s">
        <v>40</v>
      </c>
      <c r="D802" s="15" t="s">
        <v>41</v>
      </c>
      <c r="E802" s="15" t="s">
        <v>3932</v>
      </c>
      <c r="F802" s="15" t="s">
        <v>3933</v>
      </c>
      <c r="G802" s="15" t="s">
        <v>3789</v>
      </c>
      <c r="H802" s="15" t="s">
        <v>3934</v>
      </c>
      <c r="I802" s="15" t="s">
        <v>2692</v>
      </c>
    </row>
    <row r="803" spans="1:9" x14ac:dyDescent="0.15">
      <c r="A803" s="15" t="s">
        <v>3935</v>
      </c>
      <c r="B803" s="15"/>
      <c r="C803" s="15" t="s">
        <v>40</v>
      </c>
      <c r="D803" s="15" t="s">
        <v>41</v>
      </c>
      <c r="E803" s="15" t="s">
        <v>3936</v>
      </c>
      <c r="F803" s="15" t="s">
        <v>3937</v>
      </c>
      <c r="G803" s="15" t="s">
        <v>3789</v>
      </c>
      <c r="H803" s="15" t="s">
        <v>3938</v>
      </c>
      <c r="I803" s="15" t="s">
        <v>2692</v>
      </c>
    </row>
    <row r="804" spans="1:9" x14ac:dyDescent="0.15">
      <c r="A804" s="15" t="s">
        <v>3939</v>
      </c>
      <c r="B804" s="15"/>
      <c r="C804" s="15" t="s">
        <v>40</v>
      </c>
      <c r="D804" s="15" t="s">
        <v>41</v>
      </c>
      <c r="E804" s="15" t="s">
        <v>3940</v>
      </c>
      <c r="F804" s="15" t="s">
        <v>3942</v>
      </c>
      <c r="G804" s="15" t="s">
        <v>3941</v>
      </c>
      <c r="H804" s="15" t="s">
        <v>3943</v>
      </c>
      <c r="I804" s="15" t="s">
        <v>2692</v>
      </c>
    </row>
    <row r="805" spans="1:9" x14ac:dyDescent="0.15">
      <c r="A805" s="15" t="s">
        <v>3944</v>
      </c>
      <c r="B805" s="15"/>
      <c r="C805" s="15" t="s">
        <v>40</v>
      </c>
      <c r="D805" s="15" t="s">
        <v>41</v>
      </c>
      <c r="E805" s="15" t="s">
        <v>3945</v>
      </c>
      <c r="F805" s="15" t="s">
        <v>3947</v>
      </c>
      <c r="G805" s="15" t="s">
        <v>3946</v>
      </c>
      <c r="H805" s="15" t="s">
        <v>3948</v>
      </c>
      <c r="I805" s="15" t="s">
        <v>2692</v>
      </c>
    </row>
    <row r="806" spans="1:9" x14ac:dyDescent="0.15">
      <c r="A806" s="15" t="s">
        <v>3949</v>
      </c>
      <c r="B806" s="15"/>
      <c r="C806" s="15" t="s">
        <v>40</v>
      </c>
      <c r="D806" s="15" t="s">
        <v>41</v>
      </c>
      <c r="E806" s="15" t="s">
        <v>3950</v>
      </c>
      <c r="F806" s="15" t="s">
        <v>52</v>
      </c>
      <c r="G806" s="15" t="s">
        <v>3951</v>
      </c>
      <c r="H806" s="15" t="s">
        <v>3952</v>
      </c>
      <c r="I806" s="15" t="s">
        <v>2692</v>
      </c>
    </row>
    <row r="807" spans="1:9" x14ac:dyDescent="0.15">
      <c r="A807" s="15" t="s">
        <v>3953</v>
      </c>
      <c r="B807" s="15"/>
      <c r="C807" s="15" t="s">
        <v>40</v>
      </c>
      <c r="D807" s="15" t="s">
        <v>41</v>
      </c>
      <c r="E807" s="15" t="s">
        <v>3954</v>
      </c>
      <c r="F807" s="15" t="s">
        <v>52</v>
      </c>
      <c r="G807" s="15" t="s">
        <v>3955</v>
      </c>
      <c r="H807" s="15" t="s">
        <v>3956</v>
      </c>
      <c r="I807" s="15" t="s">
        <v>2692</v>
      </c>
    </row>
    <row r="808" spans="1:9" x14ac:dyDescent="0.15">
      <c r="A808" s="15" t="s">
        <v>3957</v>
      </c>
      <c r="B808" s="15"/>
      <c r="C808" s="15" t="s">
        <v>40</v>
      </c>
      <c r="D808" s="15" t="s">
        <v>41</v>
      </c>
      <c r="E808" s="15" t="s">
        <v>3958</v>
      </c>
      <c r="F808" s="15" t="s">
        <v>3960</v>
      </c>
      <c r="G808" s="15" t="s">
        <v>3959</v>
      </c>
      <c r="H808" s="15" t="s">
        <v>3961</v>
      </c>
      <c r="I808" s="15" t="s">
        <v>2692</v>
      </c>
    </row>
    <row r="809" spans="1:9" x14ac:dyDescent="0.15">
      <c r="A809" s="15" t="s">
        <v>3962</v>
      </c>
      <c r="B809" s="15"/>
      <c r="C809" s="15" t="s">
        <v>40</v>
      </c>
      <c r="D809" s="15" t="s">
        <v>41</v>
      </c>
      <c r="E809" s="15" t="s">
        <v>3963</v>
      </c>
      <c r="F809" s="15" t="s">
        <v>3965</v>
      </c>
      <c r="G809" s="15" t="s">
        <v>3964</v>
      </c>
      <c r="H809" s="15" t="s">
        <v>3966</v>
      </c>
      <c r="I809" s="15" t="s">
        <v>2692</v>
      </c>
    </row>
    <row r="810" spans="1:9" x14ac:dyDescent="0.15">
      <c r="A810" s="15" t="s">
        <v>3967</v>
      </c>
      <c r="B810" s="15"/>
      <c r="C810" s="15" t="s">
        <v>40</v>
      </c>
      <c r="D810" s="15" t="s">
        <v>41</v>
      </c>
      <c r="E810" s="15" t="s">
        <v>3968</v>
      </c>
      <c r="F810" s="15" t="s">
        <v>3970</v>
      </c>
      <c r="G810" s="15" t="s">
        <v>3969</v>
      </c>
      <c r="H810" s="15" t="s">
        <v>3971</v>
      </c>
      <c r="I810" s="15" t="s">
        <v>2692</v>
      </c>
    </row>
    <row r="811" spans="1:9" x14ac:dyDescent="0.15">
      <c r="A811" s="15" t="s">
        <v>3972</v>
      </c>
      <c r="B811" s="15"/>
      <c r="C811" s="15" t="s">
        <v>40</v>
      </c>
      <c r="D811" s="15" t="s">
        <v>41</v>
      </c>
      <c r="E811" s="15" t="s">
        <v>3973</v>
      </c>
      <c r="F811" s="15" t="s">
        <v>3974</v>
      </c>
      <c r="G811" s="15" t="s">
        <v>3969</v>
      </c>
      <c r="H811" s="15" t="s">
        <v>3975</v>
      </c>
      <c r="I811" s="15" t="s">
        <v>2692</v>
      </c>
    </row>
    <row r="812" spans="1:9" x14ac:dyDescent="0.15">
      <c r="A812" s="15" t="s">
        <v>3976</v>
      </c>
      <c r="B812" s="15"/>
      <c r="C812" s="15" t="s">
        <v>40</v>
      </c>
      <c r="D812" s="15" t="s">
        <v>41</v>
      </c>
      <c r="E812" s="15" t="s">
        <v>3977</v>
      </c>
      <c r="F812" s="15" t="s">
        <v>3979</v>
      </c>
      <c r="G812" s="15" t="s">
        <v>3978</v>
      </c>
      <c r="H812" s="15" t="s">
        <v>3980</v>
      </c>
      <c r="I812" s="15" t="s">
        <v>2692</v>
      </c>
    </row>
    <row r="813" spans="1:9" x14ac:dyDescent="0.15">
      <c r="A813" s="15" t="s">
        <v>3981</v>
      </c>
      <c r="B813" s="15"/>
      <c r="C813" s="15" t="s">
        <v>40</v>
      </c>
      <c r="D813" s="15" t="s">
        <v>41</v>
      </c>
      <c r="E813" s="15" t="s">
        <v>3982</v>
      </c>
      <c r="F813" s="15" t="s">
        <v>3984</v>
      </c>
      <c r="G813" s="15" t="s">
        <v>3983</v>
      </c>
      <c r="H813" s="15" t="s">
        <v>3985</v>
      </c>
      <c r="I813" s="15" t="s">
        <v>2692</v>
      </c>
    </row>
    <row r="814" spans="1:9" x14ac:dyDescent="0.15">
      <c r="A814" s="15" t="s">
        <v>3986</v>
      </c>
      <c r="B814" s="15"/>
      <c r="C814" s="15" t="s">
        <v>40</v>
      </c>
      <c r="D814" s="15" t="s">
        <v>41</v>
      </c>
      <c r="E814" s="15" t="s">
        <v>3987</v>
      </c>
      <c r="F814" s="15" t="s">
        <v>3989</v>
      </c>
      <c r="G814" s="15" t="s">
        <v>3988</v>
      </c>
      <c r="H814" s="15" t="s">
        <v>3990</v>
      </c>
      <c r="I814" s="15" t="s">
        <v>2692</v>
      </c>
    </row>
    <row r="815" spans="1:9" x14ac:dyDescent="0.15">
      <c r="A815" s="15" t="s">
        <v>3991</v>
      </c>
      <c r="B815" s="15"/>
      <c r="C815" s="15" t="s">
        <v>40</v>
      </c>
      <c r="D815" s="15" t="s">
        <v>41</v>
      </c>
      <c r="E815" s="15" t="s">
        <v>3992</v>
      </c>
      <c r="F815" s="15" t="s">
        <v>3994</v>
      </c>
      <c r="G815" s="15" t="s">
        <v>3993</v>
      </c>
      <c r="H815" s="15" t="s">
        <v>3995</v>
      </c>
      <c r="I815" s="15" t="s">
        <v>2692</v>
      </c>
    </row>
    <row r="816" spans="1:9" x14ac:dyDescent="0.15">
      <c r="A816" s="15" t="s">
        <v>3996</v>
      </c>
      <c r="B816" s="15"/>
      <c r="C816" s="15" t="s">
        <v>40</v>
      </c>
      <c r="D816" s="15" t="s">
        <v>41</v>
      </c>
      <c r="E816" s="15" t="s">
        <v>3997</v>
      </c>
      <c r="F816" s="15" t="s">
        <v>3998</v>
      </c>
      <c r="G816" s="15" t="s">
        <v>3877</v>
      </c>
      <c r="H816" s="15" t="s">
        <v>3999</v>
      </c>
      <c r="I816" s="15" t="s">
        <v>2692</v>
      </c>
    </row>
    <row r="817" spans="1:9" x14ac:dyDescent="0.15">
      <c r="A817" s="15" t="s">
        <v>4000</v>
      </c>
      <c r="B817" s="15"/>
      <c r="C817" s="15" t="s">
        <v>40</v>
      </c>
      <c r="D817" s="15" t="s">
        <v>41</v>
      </c>
      <c r="E817" s="15" t="s">
        <v>4001</v>
      </c>
      <c r="F817" s="15" t="s">
        <v>4003</v>
      </c>
      <c r="G817" s="15" t="s">
        <v>4002</v>
      </c>
      <c r="H817" s="15" t="s">
        <v>4004</v>
      </c>
      <c r="I817" s="15" t="s">
        <v>2692</v>
      </c>
    </row>
    <row r="818" spans="1:9" x14ac:dyDescent="0.15">
      <c r="A818" s="15" t="s">
        <v>4005</v>
      </c>
      <c r="B818" s="15"/>
      <c r="C818" s="15" t="s">
        <v>40</v>
      </c>
      <c r="D818" s="15" t="s">
        <v>41</v>
      </c>
      <c r="E818" s="15" t="s">
        <v>4006</v>
      </c>
      <c r="F818" s="15" t="s">
        <v>4007</v>
      </c>
      <c r="G818" s="15" t="s">
        <v>3877</v>
      </c>
      <c r="H818" s="15" t="s">
        <v>4008</v>
      </c>
      <c r="I818" s="15" t="s">
        <v>2692</v>
      </c>
    </row>
    <row r="819" spans="1:9" x14ac:dyDescent="0.15">
      <c r="A819" s="15" t="s">
        <v>4009</v>
      </c>
      <c r="B819" s="15"/>
      <c r="C819" s="15" t="s">
        <v>40</v>
      </c>
      <c r="D819" s="15" t="s">
        <v>41</v>
      </c>
      <c r="E819" s="15" t="s">
        <v>4010</v>
      </c>
      <c r="F819" s="15" t="s">
        <v>4012</v>
      </c>
      <c r="G819" s="15" t="s">
        <v>4011</v>
      </c>
      <c r="H819" s="15" t="s">
        <v>4013</v>
      </c>
      <c r="I819" s="15" t="s">
        <v>2692</v>
      </c>
    </row>
    <row r="820" spans="1:9" x14ac:dyDescent="0.15">
      <c r="A820" s="15" t="s">
        <v>4014</v>
      </c>
      <c r="B820" s="15"/>
      <c r="C820" s="15" t="s">
        <v>40</v>
      </c>
      <c r="D820" s="15" t="s">
        <v>41</v>
      </c>
      <c r="E820" s="15" t="s">
        <v>4015</v>
      </c>
      <c r="F820" s="15" t="s">
        <v>4017</v>
      </c>
      <c r="G820" s="15" t="s">
        <v>4016</v>
      </c>
      <c r="H820" s="15" t="s">
        <v>4018</v>
      </c>
      <c r="I820" s="15" t="s">
        <v>2692</v>
      </c>
    </row>
    <row r="821" spans="1:9" x14ac:dyDescent="0.15">
      <c r="A821" s="15" t="s">
        <v>4019</v>
      </c>
      <c r="B821" s="15"/>
      <c r="C821" s="15" t="s">
        <v>40</v>
      </c>
      <c r="D821" s="15" t="s">
        <v>41</v>
      </c>
      <c r="E821" s="15" t="s">
        <v>4020</v>
      </c>
      <c r="F821" s="15" t="s">
        <v>4022</v>
      </c>
      <c r="G821" s="15" t="s">
        <v>4021</v>
      </c>
      <c r="H821" s="15" t="s">
        <v>4023</v>
      </c>
      <c r="I821" s="15" t="s">
        <v>2692</v>
      </c>
    </row>
    <row r="822" spans="1:9" x14ac:dyDescent="0.15">
      <c r="A822" s="15" t="s">
        <v>4024</v>
      </c>
      <c r="B822" s="15"/>
      <c r="C822" s="15" t="s">
        <v>40</v>
      </c>
      <c r="D822" s="15" t="s">
        <v>41</v>
      </c>
      <c r="E822" s="15" t="s">
        <v>4025</v>
      </c>
      <c r="F822" s="15" t="s">
        <v>4026</v>
      </c>
      <c r="G822" s="15" t="s">
        <v>3896</v>
      </c>
      <c r="H822" s="15" t="s">
        <v>4027</v>
      </c>
      <c r="I822" s="15" t="s">
        <v>2692</v>
      </c>
    </row>
    <row r="823" spans="1:9" x14ac:dyDescent="0.15">
      <c r="A823" s="15" t="s">
        <v>4028</v>
      </c>
      <c r="B823" s="15"/>
      <c r="C823" s="15" t="s">
        <v>40</v>
      </c>
      <c r="D823" s="15" t="s">
        <v>41</v>
      </c>
      <c r="E823" s="15" t="s">
        <v>4029</v>
      </c>
      <c r="F823" s="15" t="s">
        <v>4031</v>
      </c>
      <c r="G823" s="15" t="s">
        <v>4030</v>
      </c>
      <c r="H823" s="15" t="s">
        <v>4032</v>
      </c>
      <c r="I823" s="15" t="s">
        <v>2692</v>
      </c>
    </row>
    <row r="824" spans="1:9" x14ac:dyDescent="0.15">
      <c r="A824" s="15" t="s">
        <v>4033</v>
      </c>
      <c r="B824" s="15"/>
      <c r="C824" s="15" t="s">
        <v>40</v>
      </c>
      <c r="D824" s="15" t="s">
        <v>41</v>
      </c>
      <c r="E824" s="15" t="s">
        <v>4034</v>
      </c>
      <c r="F824" s="15" t="s">
        <v>4036</v>
      </c>
      <c r="G824" s="15" t="s">
        <v>4035</v>
      </c>
      <c r="H824" s="15" t="s">
        <v>4037</v>
      </c>
      <c r="I824" s="15" t="s">
        <v>2692</v>
      </c>
    </row>
    <row r="825" spans="1:9" x14ac:dyDescent="0.15">
      <c r="A825" s="15" t="s">
        <v>4038</v>
      </c>
      <c r="B825" s="15"/>
      <c r="C825" s="15" t="s">
        <v>40</v>
      </c>
      <c r="D825" s="15" t="s">
        <v>41</v>
      </c>
      <c r="E825" s="15" t="s">
        <v>4039</v>
      </c>
      <c r="F825" s="15" t="s">
        <v>4041</v>
      </c>
      <c r="G825" s="15" t="s">
        <v>4040</v>
      </c>
      <c r="H825" s="15" t="s">
        <v>4042</v>
      </c>
      <c r="I825" s="15" t="s">
        <v>2692</v>
      </c>
    </row>
    <row r="826" spans="1:9" x14ac:dyDescent="0.15">
      <c r="A826" s="15" t="s">
        <v>4043</v>
      </c>
      <c r="B826" s="15"/>
      <c r="C826" s="15" t="s">
        <v>40</v>
      </c>
      <c r="D826" s="15" t="s">
        <v>41</v>
      </c>
      <c r="E826" s="15" t="s">
        <v>4044</v>
      </c>
      <c r="F826" s="15" t="s">
        <v>4045</v>
      </c>
      <c r="G826" s="15" t="s">
        <v>3789</v>
      </c>
      <c r="H826" s="15" t="s">
        <v>4046</v>
      </c>
      <c r="I826" s="15" t="s">
        <v>2692</v>
      </c>
    </row>
    <row r="827" spans="1:9" x14ac:dyDescent="0.15">
      <c r="A827" s="15" t="s">
        <v>4047</v>
      </c>
      <c r="B827" s="15"/>
      <c r="C827" s="15" t="s">
        <v>40</v>
      </c>
      <c r="D827" s="15" t="s">
        <v>41</v>
      </c>
      <c r="E827" s="15" t="s">
        <v>4048</v>
      </c>
      <c r="F827" s="15" t="s">
        <v>4049</v>
      </c>
      <c r="G827" s="15" t="s">
        <v>3872</v>
      </c>
      <c r="H827" s="15" t="s">
        <v>4050</v>
      </c>
      <c r="I827" s="15" t="s">
        <v>2692</v>
      </c>
    </row>
    <row r="828" spans="1:9" x14ac:dyDescent="0.15">
      <c r="A828" s="15" t="s">
        <v>4051</v>
      </c>
      <c r="B828" s="15"/>
      <c r="C828" s="15" t="s">
        <v>40</v>
      </c>
      <c r="D828" s="15" t="s">
        <v>41</v>
      </c>
      <c r="E828" s="15" t="s">
        <v>4052</v>
      </c>
      <c r="F828" s="15" t="s">
        <v>4054</v>
      </c>
      <c r="G828" s="15" t="s">
        <v>4053</v>
      </c>
      <c r="H828" s="15" t="s">
        <v>4055</v>
      </c>
      <c r="I828" s="15" t="s">
        <v>2692</v>
      </c>
    </row>
    <row r="829" spans="1:9" x14ac:dyDescent="0.15">
      <c r="A829" s="15" t="s">
        <v>4056</v>
      </c>
      <c r="B829" s="15"/>
      <c r="C829" s="15" t="s">
        <v>40</v>
      </c>
      <c r="D829" s="15" t="s">
        <v>41</v>
      </c>
      <c r="E829" s="15" t="s">
        <v>4057</v>
      </c>
      <c r="F829" s="15" t="s">
        <v>4059</v>
      </c>
      <c r="G829" s="15" t="s">
        <v>4058</v>
      </c>
      <c r="H829" s="15" t="s">
        <v>4060</v>
      </c>
      <c r="I829" s="15" t="s">
        <v>2692</v>
      </c>
    </row>
    <row r="830" spans="1:9" x14ac:dyDescent="0.15">
      <c r="A830" s="15" t="s">
        <v>4061</v>
      </c>
      <c r="B830" s="15"/>
      <c r="C830" s="15" t="s">
        <v>40</v>
      </c>
      <c r="D830" s="15" t="s">
        <v>41</v>
      </c>
      <c r="E830" s="15" t="s">
        <v>4062</v>
      </c>
      <c r="F830" s="15" t="s">
        <v>2711</v>
      </c>
      <c r="G830" s="15" t="s">
        <v>2710</v>
      </c>
      <c r="H830" s="15" t="s">
        <v>4063</v>
      </c>
      <c r="I830" s="15" t="s">
        <v>2692</v>
      </c>
    </row>
    <row r="831" spans="1:9" x14ac:dyDescent="0.15">
      <c r="A831" s="15" t="s">
        <v>4064</v>
      </c>
      <c r="B831" s="15"/>
      <c r="C831" s="15" t="s">
        <v>40</v>
      </c>
      <c r="D831" s="15" t="s">
        <v>41</v>
      </c>
      <c r="E831" s="15" t="s">
        <v>4065</v>
      </c>
      <c r="F831" s="15" t="s">
        <v>4067</v>
      </c>
      <c r="G831" s="15" t="s">
        <v>4066</v>
      </c>
      <c r="H831" s="15" t="s">
        <v>4068</v>
      </c>
      <c r="I831" s="15" t="s">
        <v>2692</v>
      </c>
    </row>
    <row r="832" spans="1:9" x14ac:dyDescent="0.15">
      <c r="A832" s="15" t="s">
        <v>4069</v>
      </c>
      <c r="B832" s="15"/>
      <c r="C832" s="15" t="s">
        <v>40</v>
      </c>
      <c r="D832" s="15" t="s">
        <v>41</v>
      </c>
      <c r="E832" s="15" t="s">
        <v>4070</v>
      </c>
      <c r="F832" s="15" t="s">
        <v>4072</v>
      </c>
      <c r="G832" s="15" t="s">
        <v>4071</v>
      </c>
      <c r="H832" s="15" t="s">
        <v>4073</v>
      </c>
      <c r="I832" s="15" t="s">
        <v>2692</v>
      </c>
    </row>
    <row r="833" spans="1:9" x14ac:dyDescent="0.15">
      <c r="A833" s="15" t="s">
        <v>4074</v>
      </c>
      <c r="B833" s="15"/>
      <c r="C833" s="15" t="s">
        <v>40</v>
      </c>
      <c r="D833" s="15" t="s">
        <v>41</v>
      </c>
      <c r="E833" s="15" t="s">
        <v>4075</v>
      </c>
      <c r="F833" s="15" t="s">
        <v>4077</v>
      </c>
      <c r="G833" s="15" t="s">
        <v>4076</v>
      </c>
      <c r="H833" s="15" t="s">
        <v>4078</v>
      </c>
      <c r="I833" s="15" t="s">
        <v>2692</v>
      </c>
    </row>
    <row r="834" spans="1:9" x14ac:dyDescent="0.15">
      <c r="A834" s="15" t="s">
        <v>4079</v>
      </c>
      <c r="B834" s="15"/>
      <c r="C834" s="15" t="s">
        <v>40</v>
      </c>
      <c r="D834" s="15" t="s">
        <v>41</v>
      </c>
      <c r="E834" s="15" t="s">
        <v>4080</v>
      </c>
      <c r="F834" s="15" t="s">
        <v>4082</v>
      </c>
      <c r="G834" s="15" t="s">
        <v>4081</v>
      </c>
      <c r="H834" s="15" t="s">
        <v>4083</v>
      </c>
      <c r="I834" s="15" t="s">
        <v>2692</v>
      </c>
    </row>
    <row r="835" spans="1:9" x14ac:dyDescent="0.15">
      <c r="A835" s="15" t="s">
        <v>4084</v>
      </c>
      <c r="B835" s="15"/>
      <c r="C835" s="15" t="s">
        <v>40</v>
      </c>
      <c r="D835" s="15" t="s">
        <v>41</v>
      </c>
      <c r="E835" s="15" t="s">
        <v>4085</v>
      </c>
      <c r="F835" s="15" t="s">
        <v>4087</v>
      </c>
      <c r="G835" s="15" t="s">
        <v>4086</v>
      </c>
      <c r="H835" s="15" t="s">
        <v>4088</v>
      </c>
      <c r="I835" s="15" t="s">
        <v>2692</v>
      </c>
    </row>
    <row r="836" spans="1:9" x14ac:dyDescent="0.15">
      <c r="A836" s="15" t="s">
        <v>4089</v>
      </c>
      <c r="B836" s="15"/>
      <c r="C836" s="15" t="s">
        <v>40</v>
      </c>
      <c r="D836" s="15" t="s">
        <v>41</v>
      </c>
      <c r="E836" s="15" t="s">
        <v>4090</v>
      </c>
      <c r="F836" s="15" t="s">
        <v>4092</v>
      </c>
      <c r="G836" s="15" t="s">
        <v>4091</v>
      </c>
      <c r="H836" s="15" t="s">
        <v>4093</v>
      </c>
      <c r="I836" s="15" t="s">
        <v>2692</v>
      </c>
    </row>
    <row r="837" spans="1:9" x14ac:dyDescent="0.15">
      <c r="A837" s="15" t="s">
        <v>4094</v>
      </c>
      <c r="B837" s="15"/>
      <c r="C837" s="15" t="s">
        <v>40</v>
      </c>
      <c r="D837" s="15" t="s">
        <v>41</v>
      </c>
      <c r="E837" s="15" t="s">
        <v>4095</v>
      </c>
      <c r="F837" s="15" t="s">
        <v>4097</v>
      </c>
      <c r="G837" s="15" t="s">
        <v>4096</v>
      </c>
      <c r="H837" s="15" t="s">
        <v>4098</v>
      </c>
      <c r="I837" s="15" t="s">
        <v>2692</v>
      </c>
    </row>
    <row r="838" spans="1:9" x14ac:dyDescent="0.15">
      <c r="A838" s="15" t="s">
        <v>4099</v>
      </c>
      <c r="B838" s="15"/>
      <c r="C838" s="15" t="s">
        <v>40</v>
      </c>
      <c r="D838" s="15" t="s">
        <v>41</v>
      </c>
      <c r="E838" s="15" t="s">
        <v>4100</v>
      </c>
      <c r="F838" s="15" t="s">
        <v>4102</v>
      </c>
      <c r="G838" s="15" t="s">
        <v>4101</v>
      </c>
      <c r="H838" s="15" t="s">
        <v>4103</v>
      </c>
      <c r="I838" s="15" t="s">
        <v>2692</v>
      </c>
    </row>
    <row r="839" spans="1:9" x14ac:dyDescent="0.15">
      <c r="A839" s="15" t="s">
        <v>4104</v>
      </c>
      <c r="B839" s="15"/>
      <c r="C839" s="15" t="s">
        <v>40</v>
      </c>
      <c r="D839" s="15" t="s">
        <v>41</v>
      </c>
      <c r="E839" s="15" t="s">
        <v>4105</v>
      </c>
      <c r="F839" s="15" t="s">
        <v>4107</v>
      </c>
      <c r="G839" s="15" t="s">
        <v>4106</v>
      </c>
      <c r="H839" s="15" t="s">
        <v>4108</v>
      </c>
      <c r="I839" s="15" t="s">
        <v>2692</v>
      </c>
    </row>
    <row r="840" spans="1:9" x14ac:dyDescent="0.15">
      <c r="A840" s="15" t="s">
        <v>4109</v>
      </c>
      <c r="B840" s="15"/>
      <c r="C840" s="15" t="s">
        <v>40</v>
      </c>
      <c r="D840" s="15" t="s">
        <v>41</v>
      </c>
      <c r="E840" s="15" t="s">
        <v>4110</v>
      </c>
      <c r="F840" s="15" t="s">
        <v>4112</v>
      </c>
      <c r="G840" s="15" t="s">
        <v>4111</v>
      </c>
      <c r="H840" s="15" t="s">
        <v>4113</v>
      </c>
      <c r="I840" s="15" t="s">
        <v>2692</v>
      </c>
    </row>
    <row r="841" spans="1:9" x14ac:dyDescent="0.15">
      <c r="A841" s="15" t="s">
        <v>4114</v>
      </c>
      <c r="B841" s="15"/>
      <c r="C841" s="15" t="s">
        <v>40</v>
      </c>
      <c r="D841" s="15" t="s">
        <v>41</v>
      </c>
      <c r="E841" s="15" t="s">
        <v>4115</v>
      </c>
      <c r="F841" s="15" t="s">
        <v>52</v>
      </c>
      <c r="G841" s="15" t="s">
        <v>4116</v>
      </c>
      <c r="H841" s="15" t="s">
        <v>4117</v>
      </c>
      <c r="I841" s="15" t="s">
        <v>2692</v>
      </c>
    </row>
    <row r="842" spans="1:9" x14ac:dyDescent="0.15">
      <c r="A842" s="15" t="s">
        <v>4118</v>
      </c>
      <c r="B842" s="15"/>
      <c r="C842" s="15" t="s">
        <v>40</v>
      </c>
      <c r="D842" s="15" t="s">
        <v>41</v>
      </c>
      <c r="E842" s="15" t="s">
        <v>4119</v>
      </c>
      <c r="F842" s="15" t="s">
        <v>4120</v>
      </c>
      <c r="G842" s="15" t="s">
        <v>3789</v>
      </c>
      <c r="H842" s="15" t="s">
        <v>4121</v>
      </c>
      <c r="I842" s="15" t="s">
        <v>2692</v>
      </c>
    </row>
    <row r="843" spans="1:9" x14ac:dyDescent="0.15">
      <c r="A843" s="15" t="s">
        <v>4122</v>
      </c>
      <c r="B843" s="15"/>
      <c r="C843" s="15" t="s">
        <v>40</v>
      </c>
      <c r="D843" s="15" t="s">
        <v>41</v>
      </c>
      <c r="E843" s="15" t="s">
        <v>4123</v>
      </c>
      <c r="F843" s="15" t="s">
        <v>4125</v>
      </c>
      <c r="G843" s="15" t="s">
        <v>4124</v>
      </c>
      <c r="H843" s="15" t="s">
        <v>4126</v>
      </c>
      <c r="I843" s="15" t="s">
        <v>2692</v>
      </c>
    </row>
    <row r="844" spans="1:9" x14ac:dyDescent="0.15">
      <c r="A844" s="15" t="s">
        <v>4127</v>
      </c>
      <c r="B844" s="15"/>
      <c r="C844" s="15" t="s">
        <v>40</v>
      </c>
      <c r="D844" s="15" t="s">
        <v>41</v>
      </c>
      <c r="E844" s="15" t="s">
        <v>4128</v>
      </c>
      <c r="F844" s="15" t="s">
        <v>4129</v>
      </c>
      <c r="G844" s="15" t="s">
        <v>4066</v>
      </c>
      <c r="H844" s="15" t="s">
        <v>4130</v>
      </c>
      <c r="I844" s="15" t="s">
        <v>2692</v>
      </c>
    </row>
    <row r="845" spans="1:9" x14ac:dyDescent="0.15">
      <c r="A845" s="15" t="s">
        <v>4131</v>
      </c>
      <c r="B845" s="15"/>
      <c r="C845" s="15" t="s">
        <v>40</v>
      </c>
      <c r="D845" s="15" t="s">
        <v>41</v>
      </c>
      <c r="E845" s="15" t="s">
        <v>4132</v>
      </c>
      <c r="F845" s="15" t="s">
        <v>4133</v>
      </c>
      <c r="G845" s="15" t="s">
        <v>4066</v>
      </c>
      <c r="H845" s="15" t="s">
        <v>4134</v>
      </c>
      <c r="I845" s="15" t="s">
        <v>2692</v>
      </c>
    </row>
    <row r="846" spans="1:9" x14ac:dyDescent="0.15">
      <c r="A846" s="15" t="s">
        <v>4135</v>
      </c>
      <c r="B846" s="15"/>
      <c r="C846" s="15" t="s">
        <v>40</v>
      </c>
      <c r="D846" s="15" t="s">
        <v>41</v>
      </c>
      <c r="E846" s="15" t="s">
        <v>4136</v>
      </c>
      <c r="F846" s="15" t="s">
        <v>4137</v>
      </c>
      <c r="G846" s="15" t="s">
        <v>4066</v>
      </c>
      <c r="H846" s="15" t="s">
        <v>4138</v>
      </c>
      <c r="I846" s="15" t="s">
        <v>2692</v>
      </c>
    </row>
    <row r="847" spans="1:9" x14ac:dyDescent="0.15">
      <c r="A847" s="15" t="s">
        <v>4139</v>
      </c>
      <c r="B847" s="15"/>
      <c r="C847" s="15" t="s">
        <v>40</v>
      </c>
      <c r="D847" s="15" t="s">
        <v>41</v>
      </c>
      <c r="E847" s="15" t="s">
        <v>4140</v>
      </c>
      <c r="F847" s="15" t="s">
        <v>4142</v>
      </c>
      <c r="G847" s="15" t="s">
        <v>4141</v>
      </c>
      <c r="H847" s="15" t="s">
        <v>4143</v>
      </c>
      <c r="I847" s="15" t="s">
        <v>2692</v>
      </c>
    </row>
    <row r="848" spans="1:9" x14ac:dyDescent="0.15">
      <c r="A848" s="15" t="s">
        <v>4144</v>
      </c>
      <c r="B848" s="15"/>
      <c r="C848" s="15" t="s">
        <v>40</v>
      </c>
      <c r="D848" s="15" t="s">
        <v>41</v>
      </c>
      <c r="E848" s="15" t="s">
        <v>4145</v>
      </c>
      <c r="F848" s="15" t="s">
        <v>52</v>
      </c>
      <c r="G848" s="15" t="s">
        <v>4146</v>
      </c>
      <c r="H848" s="15" t="s">
        <v>4147</v>
      </c>
      <c r="I848" s="15" t="s">
        <v>2692</v>
      </c>
    </row>
    <row r="849" spans="1:9" x14ac:dyDescent="0.15">
      <c r="A849" s="15" t="s">
        <v>4148</v>
      </c>
      <c r="B849" s="15"/>
      <c r="C849" s="15" t="s">
        <v>40</v>
      </c>
      <c r="D849" s="15" t="s">
        <v>41</v>
      </c>
      <c r="E849" s="15" t="s">
        <v>4149</v>
      </c>
      <c r="F849" s="15" t="s">
        <v>4151</v>
      </c>
      <c r="G849" s="15" t="s">
        <v>4150</v>
      </c>
      <c r="H849" s="15" t="s">
        <v>4152</v>
      </c>
      <c r="I849" s="15" t="s">
        <v>2692</v>
      </c>
    </row>
    <row r="850" spans="1:9" x14ac:dyDescent="0.15">
      <c r="A850" s="15" t="s">
        <v>4153</v>
      </c>
      <c r="B850" s="15"/>
      <c r="C850" s="15" t="s">
        <v>40</v>
      </c>
      <c r="D850" s="15" t="s">
        <v>41</v>
      </c>
      <c r="E850" s="15" t="s">
        <v>4154</v>
      </c>
      <c r="F850" s="15" t="s">
        <v>4156</v>
      </c>
      <c r="G850" s="15" t="s">
        <v>4155</v>
      </c>
      <c r="H850" s="15" t="s">
        <v>4157</v>
      </c>
      <c r="I850" s="15" t="s">
        <v>3228</v>
      </c>
    </row>
    <row r="851" spans="1:9" x14ac:dyDescent="0.15">
      <c r="A851" s="15" t="s">
        <v>4158</v>
      </c>
      <c r="B851" s="15"/>
      <c r="C851" s="15" t="s">
        <v>40</v>
      </c>
      <c r="D851" s="15" t="s">
        <v>41</v>
      </c>
      <c r="E851" s="15" t="s">
        <v>4159</v>
      </c>
      <c r="F851" s="15" t="s">
        <v>4161</v>
      </c>
      <c r="G851" s="15" t="s">
        <v>4160</v>
      </c>
      <c r="H851" s="15" t="s">
        <v>4162</v>
      </c>
      <c r="I851" s="15" t="s">
        <v>3228</v>
      </c>
    </row>
    <row r="852" spans="1:9" x14ac:dyDescent="0.15">
      <c r="A852" s="15" t="s">
        <v>4163</v>
      </c>
      <c r="B852" s="15"/>
      <c r="C852" s="15" t="s">
        <v>40</v>
      </c>
      <c r="D852" s="15" t="s">
        <v>41</v>
      </c>
      <c r="E852" s="15" t="s">
        <v>4164</v>
      </c>
      <c r="F852" s="15" t="s">
        <v>4166</v>
      </c>
      <c r="G852" s="15" t="s">
        <v>4165</v>
      </c>
      <c r="H852" s="15" t="s">
        <v>4167</v>
      </c>
      <c r="I852" s="15" t="s">
        <v>3228</v>
      </c>
    </row>
    <row r="853" spans="1:9" x14ac:dyDescent="0.15">
      <c r="A853" s="15" t="s">
        <v>4168</v>
      </c>
      <c r="B853" s="15"/>
      <c r="C853" s="15" t="s">
        <v>40</v>
      </c>
      <c r="D853" s="15" t="s">
        <v>41</v>
      </c>
      <c r="E853" s="15" t="s">
        <v>4169</v>
      </c>
      <c r="F853" s="15" t="s">
        <v>4171</v>
      </c>
      <c r="G853" s="15" t="s">
        <v>4170</v>
      </c>
      <c r="H853" s="15" t="s">
        <v>4172</v>
      </c>
      <c r="I853" s="15" t="s">
        <v>3228</v>
      </c>
    </row>
    <row r="854" spans="1:9" x14ac:dyDescent="0.15">
      <c r="A854" s="15" t="s">
        <v>4173</v>
      </c>
      <c r="B854" s="15"/>
      <c r="C854" s="15" t="s">
        <v>40</v>
      </c>
      <c r="D854" s="15" t="s">
        <v>41</v>
      </c>
      <c r="E854" s="15" t="s">
        <v>4174</v>
      </c>
      <c r="F854" s="15" t="s">
        <v>4176</v>
      </c>
      <c r="G854" s="15" t="s">
        <v>4175</v>
      </c>
      <c r="H854" s="15" t="s">
        <v>4177</v>
      </c>
      <c r="I854" s="15" t="s">
        <v>3228</v>
      </c>
    </row>
    <row r="855" spans="1:9" x14ac:dyDescent="0.15">
      <c r="A855" s="15" t="s">
        <v>4178</v>
      </c>
      <c r="B855" s="15"/>
      <c r="C855" s="15" t="s">
        <v>40</v>
      </c>
      <c r="D855" s="15" t="s">
        <v>41</v>
      </c>
      <c r="E855" s="15" t="s">
        <v>4179</v>
      </c>
      <c r="F855" s="15" t="s">
        <v>4181</v>
      </c>
      <c r="G855" s="15" t="s">
        <v>4180</v>
      </c>
      <c r="H855" s="15" t="s">
        <v>4182</v>
      </c>
      <c r="I855" s="15" t="s">
        <v>3228</v>
      </c>
    </row>
    <row r="856" spans="1:9" x14ac:dyDescent="0.15">
      <c r="A856" s="15" t="s">
        <v>4183</v>
      </c>
      <c r="B856" s="15"/>
      <c r="C856" s="15" t="s">
        <v>40</v>
      </c>
      <c r="D856" s="15" t="s">
        <v>41</v>
      </c>
      <c r="E856" s="15" t="s">
        <v>4184</v>
      </c>
      <c r="F856" s="15" t="s">
        <v>4186</v>
      </c>
      <c r="G856" s="15" t="s">
        <v>4185</v>
      </c>
      <c r="H856" s="15" t="s">
        <v>4187</v>
      </c>
      <c r="I856" s="15" t="s">
        <v>3228</v>
      </c>
    </row>
    <row r="857" spans="1:9" x14ac:dyDescent="0.15">
      <c r="A857" s="15" t="s">
        <v>4188</v>
      </c>
      <c r="B857" s="15"/>
      <c r="C857" s="15" t="s">
        <v>40</v>
      </c>
      <c r="D857" s="15" t="s">
        <v>41</v>
      </c>
      <c r="E857" s="15" t="s">
        <v>4189</v>
      </c>
      <c r="F857" s="15" t="s">
        <v>4191</v>
      </c>
      <c r="G857" s="15" t="s">
        <v>4190</v>
      </c>
      <c r="H857" s="15" t="s">
        <v>4192</v>
      </c>
      <c r="I857" s="15" t="s">
        <v>3228</v>
      </c>
    </row>
    <row r="858" spans="1:9" x14ac:dyDescent="0.15">
      <c r="A858" s="15" t="s">
        <v>4193</v>
      </c>
      <c r="B858" s="15"/>
      <c r="C858" s="15" t="s">
        <v>40</v>
      </c>
      <c r="D858" s="15" t="s">
        <v>41</v>
      </c>
      <c r="E858" s="15" t="s">
        <v>4194</v>
      </c>
      <c r="F858" s="15" t="s">
        <v>4196</v>
      </c>
      <c r="G858" s="15" t="s">
        <v>4195</v>
      </c>
      <c r="H858" s="15" t="s">
        <v>4197</v>
      </c>
      <c r="I858" s="15" t="s">
        <v>3228</v>
      </c>
    </row>
    <row r="859" spans="1:9" x14ac:dyDescent="0.15">
      <c r="A859" s="15" t="s">
        <v>4198</v>
      </c>
      <c r="B859" s="15"/>
      <c r="C859" s="15" t="s">
        <v>40</v>
      </c>
      <c r="D859" s="15" t="s">
        <v>41</v>
      </c>
      <c r="E859" s="15" t="s">
        <v>4199</v>
      </c>
      <c r="F859" s="15" t="s">
        <v>52</v>
      </c>
      <c r="G859" s="15" t="s">
        <v>562</v>
      </c>
      <c r="H859" s="15" t="s">
        <v>4200</v>
      </c>
      <c r="I859" s="15" t="s">
        <v>3228</v>
      </c>
    </row>
    <row r="860" spans="1:9" x14ac:dyDescent="0.15">
      <c r="A860" s="15" t="s">
        <v>4201</v>
      </c>
      <c r="B860" s="15"/>
      <c r="C860" s="15" t="s">
        <v>40</v>
      </c>
      <c r="D860" s="15" t="s">
        <v>41</v>
      </c>
      <c r="E860" s="15" t="s">
        <v>4202</v>
      </c>
      <c r="F860" s="15" t="s">
        <v>4204</v>
      </c>
      <c r="G860" s="15" t="s">
        <v>4203</v>
      </c>
      <c r="H860" s="15" t="s">
        <v>4205</v>
      </c>
      <c r="I860" s="15" t="s">
        <v>3228</v>
      </c>
    </row>
    <row r="861" spans="1:9" x14ac:dyDescent="0.15">
      <c r="A861" s="15" t="s">
        <v>4206</v>
      </c>
      <c r="B861" s="15"/>
      <c r="C861" s="15" t="s">
        <v>40</v>
      </c>
      <c r="D861" s="15" t="s">
        <v>41</v>
      </c>
      <c r="E861" s="15" t="s">
        <v>4207</v>
      </c>
      <c r="F861" s="15" t="s">
        <v>4208</v>
      </c>
      <c r="G861" s="15" t="s">
        <v>562</v>
      </c>
      <c r="H861" s="15" t="s">
        <v>4209</v>
      </c>
      <c r="I861" s="15" t="s">
        <v>3228</v>
      </c>
    </row>
    <row r="862" spans="1:9" x14ac:dyDescent="0.15">
      <c r="A862" s="15" t="s">
        <v>4210</v>
      </c>
      <c r="B862" s="15"/>
      <c r="C862" s="15" t="s">
        <v>40</v>
      </c>
      <c r="D862" s="15" t="s">
        <v>41</v>
      </c>
      <c r="E862" s="15" t="s">
        <v>4211</v>
      </c>
      <c r="F862" s="15" t="s">
        <v>4213</v>
      </c>
      <c r="G862" s="15" t="s">
        <v>4212</v>
      </c>
      <c r="H862" s="15" t="s">
        <v>4214</v>
      </c>
      <c r="I862" s="15" t="s">
        <v>3228</v>
      </c>
    </row>
    <row r="863" spans="1:9" x14ac:dyDescent="0.15">
      <c r="A863" s="15" t="s">
        <v>4215</v>
      </c>
      <c r="B863" s="15"/>
      <c r="C863" s="15" t="s">
        <v>40</v>
      </c>
      <c r="D863" s="15" t="s">
        <v>41</v>
      </c>
      <c r="E863" s="15" t="s">
        <v>4216</v>
      </c>
      <c r="F863" s="15" t="s">
        <v>52</v>
      </c>
      <c r="G863" s="15" t="s">
        <v>4217</v>
      </c>
      <c r="H863" s="15" t="s">
        <v>4218</v>
      </c>
      <c r="I863" s="15" t="s">
        <v>3228</v>
      </c>
    </row>
    <row r="864" spans="1:9" x14ac:dyDescent="0.15">
      <c r="A864" s="15" t="s">
        <v>4219</v>
      </c>
      <c r="B864" s="15"/>
      <c r="C864" s="15" t="s">
        <v>40</v>
      </c>
      <c r="D864" s="15" t="s">
        <v>41</v>
      </c>
      <c r="E864" s="15" t="s">
        <v>4220</v>
      </c>
      <c r="F864" s="15" t="s">
        <v>4221</v>
      </c>
      <c r="G864" s="15" t="s">
        <v>562</v>
      </c>
      <c r="H864" s="15" t="s">
        <v>4222</v>
      </c>
      <c r="I864" s="15" t="s">
        <v>3228</v>
      </c>
    </row>
    <row r="865" spans="1:9" x14ac:dyDescent="0.15">
      <c r="A865" s="15" t="s">
        <v>4223</v>
      </c>
      <c r="B865" s="15"/>
      <c r="C865" s="15" t="s">
        <v>40</v>
      </c>
      <c r="D865" s="15" t="s">
        <v>41</v>
      </c>
      <c r="E865" s="15" t="s">
        <v>4224</v>
      </c>
      <c r="F865" s="15" t="s">
        <v>4226</v>
      </c>
      <c r="G865" s="15" t="s">
        <v>4225</v>
      </c>
      <c r="H865" s="15" t="s">
        <v>4227</v>
      </c>
      <c r="I865" s="15" t="s">
        <v>3228</v>
      </c>
    </row>
    <row r="866" spans="1:9" x14ac:dyDescent="0.15">
      <c r="A866" s="15" t="s">
        <v>4228</v>
      </c>
      <c r="B866" s="15"/>
      <c r="C866" s="15" t="s">
        <v>40</v>
      </c>
      <c r="D866" s="15" t="s">
        <v>41</v>
      </c>
      <c r="E866" s="15" t="s">
        <v>4229</v>
      </c>
      <c r="F866" s="15" t="s">
        <v>4230</v>
      </c>
      <c r="G866" s="15" t="s">
        <v>4190</v>
      </c>
      <c r="H866" s="15" t="s">
        <v>4231</v>
      </c>
      <c r="I866" s="15" t="s">
        <v>3228</v>
      </c>
    </row>
    <row r="867" spans="1:9" x14ac:dyDescent="0.15">
      <c r="A867" s="15" t="s">
        <v>4232</v>
      </c>
      <c r="B867" s="15"/>
      <c r="C867" s="15" t="s">
        <v>40</v>
      </c>
      <c r="D867" s="15" t="s">
        <v>41</v>
      </c>
      <c r="E867" s="15" t="s">
        <v>4233</v>
      </c>
      <c r="F867" s="15" t="s">
        <v>4234</v>
      </c>
      <c r="G867" s="15" t="s">
        <v>4212</v>
      </c>
      <c r="H867" s="15" t="s">
        <v>4235</v>
      </c>
      <c r="I867" s="15" t="s">
        <v>3228</v>
      </c>
    </row>
    <row r="868" spans="1:9" x14ac:dyDescent="0.15">
      <c r="A868" s="15" t="s">
        <v>4236</v>
      </c>
      <c r="B868" s="15"/>
      <c r="C868" s="15" t="s">
        <v>40</v>
      </c>
      <c r="D868" s="15" t="s">
        <v>41</v>
      </c>
      <c r="E868" s="15" t="s">
        <v>4237</v>
      </c>
      <c r="F868" s="15" t="s">
        <v>4239</v>
      </c>
      <c r="G868" s="15" t="s">
        <v>4238</v>
      </c>
      <c r="H868" s="15" t="s">
        <v>4240</v>
      </c>
      <c r="I868" s="15" t="s">
        <v>3228</v>
      </c>
    </row>
    <row r="869" spans="1:9" x14ac:dyDescent="0.15">
      <c r="A869" s="15" t="s">
        <v>4241</v>
      </c>
      <c r="B869" s="15"/>
      <c r="C869" s="15" t="s">
        <v>40</v>
      </c>
      <c r="D869" s="15" t="s">
        <v>41</v>
      </c>
      <c r="E869" s="15" t="s">
        <v>4242</v>
      </c>
      <c r="F869" s="15" t="s">
        <v>4243</v>
      </c>
      <c r="G869" s="15" t="s">
        <v>1968</v>
      </c>
      <c r="H869" s="15" t="s">
        <v>4244</v>
      </c>
      <c r="I869" s="15" t="s">
        <v>3228</v>
      </c>
    </row>
    <row r="870" spans="1:9" x14ac:dyDescent="0.15">
      <c r="A870" s="15" t="s">
        <v>4245</v>
      </c>
      <c r="B870" s="15"/>
      <c r="C870" s="15" t="s">
        <v>40</v>
      </c>
      <c r="D870" s="15" t="s">
        <v>41</v>
      </c>
      <c r="E870" s="15" t="s">
        <v>4246</v>
      </c>
      <c r="F870" s="15" t="s">
        <v>4248</v>
      </c>
      <c r="G870" s="15" t="s">
        <v>4247</v>
      </c>
      <c r="H870" s="15" t="s">
        <v>4249</v>
      </c>
      <c r="I870" s="15" t="s">
        <v>3228</v>
      </c>
    </row>
    <row r="871" spans="1:9" x14ac:dyDescent="0.15">
      <c r="A871" s="15" t="s">
        <v>4250</v>
      </c>
      <c r="B871" s="15"/>
      <c r="C871" s="15" t="s">
        <v>40</v>
      </c>
      <c r="D871" s="15" t="s">
        <v>41</v>
      </c>
      <c r="E871" s="15" t="s">
        <v>4251</v>
      </c>
      <c r="F871" s="15" t="s">
        <v>4253</v>
      </c>
      <c r="G871" s="15" t="s">
        <v>4252</v>
      </c>
      <c r="H871" s="15" t="s">
        <v>4254</v>
      </c>
      <c r="I871" s="15" t="s">
        <v>3228</v>
      </c>
    </row>
    <row r="872" spans="1:9" x14ac:dyDescent="0.15">
      <c r="A872" s="15" t="s">
        <v>4255</v>
      </c>
      <c r="B872" s="15"/>
      <c r="C872" s="15" t="s">
        <v>40</v>
      </c>
      <c r="D872" s="15" t="s">
        <v>41</v>
      </c>
      <c r="E872" s="15" t="s">
        <v>4256</v>
      </c>
      <c r="F872" s="15" t="s">
        <v>4258</v>
      </c>
      <c r="G872" s="15" t="s">
        <v>4257</v>
      </c>
      <c r="H872" s="15" t="s">
        <v>4259</v>
      </c>
      <c r="I872" s="15" t="s">
        <v>3228</v>
      </c>
    </row>
    <row r="873" spans="1:9" x14ac:dyDescent="0.15">
      <c r="A873" s="15" t="s">
        <v>4260</v>
      </c>
      <c r="B873" s="15"/>
      <c r="C873" s="15" t="s">
        <v>40</v>
      </c>
      <c r="D873" s="15" t="s">
        <v>41</v>
      </c>
      <c r="E873" s="15" t="s">
        <v>4261</v>
      </c>
      <c r="F873" s="15" t="s">
        <v>4263</v>
      </c>
      <c r="G873" s="15" t="s">
        <v>4262</v>
      </c>
      <c r="H873" s="15" t="s">
        <v>4264</v>
      </c>
      <c r="I873" s="15" t="s">
        <v>3228</v>
      </c>
    </row>
    <row r="874" spans="1:9" x14ac:dyDescent="0.15">
      <c r="A874" s="15" t="s">
        <v>4265</v>
      </c>
      <c r="B874" s="15"/>
      <c r="C874" s="15" t="s">
        <v>40</v>
      </c>
      <c r="D874" s="15" t="s">
        <v>41</v>
      </c>
      <c r="E874" s="15" t="s">
        <v>4266</v>
      </c>
      <c r="F874" s="15" t="s">
        <v>52</v>
      </c>
      <c r="G874" s="15" t="s">
        <v>4267</v>
      </c>
      <c r="H874" s="15" t="s">
        <v>4268</v>
      </c>
      <c r="I874" s="15" t="s">
        <v>3228</v>
      </c>
    </row>
    <row r="875" spans="1:9" x14ac:dyDescent="0.15">
      <c r="A875" s="15" t="s">
        <v>4269</v>
      </c>
      <c r="B875" s="15"/>
      <c r="C875" s="15" t="s">
        <v>40</v>
      </c>
      <c r="D875" s="15" t="s">
        <v>41</v>
      </c>
      <c r="E875" s="15" t="s">
        <v>4270</v>
      </c>
      <c r="F875" s="15" t="s">
        <v>4272</v>
      </c>
      <c r="G875" s="15" t="s">
        <v>4271</v>
      </c>
      <c r="H875" s="15" t="s">
        <v>4273</v>
      </c>
      <c r="I875" s="15" t="s">
        <v>3228</v>
      </c>
    </row>
    <row r="876" spans="1:9" x14ac:dyDescent="0.15">
      <c r="A876" s="15" t="s">
        <v>4274</v>
      </c>
      <c r="B876" s="15"/>
      <c r="C876" s="15" t="s">
        <v>40</v>
      </c>
      <c r="D876" s="15" t="s">
        <v>41</v>
      </c>
      <c r="E876" s="15" t="s">
        <v>4275</v>
      </c>
      <c r="F876" s="15" t="s">
        <v>4277</v>
      </c>
      <c r="G876" s="15" t="s">
        <v>4276</v>
      </c>
      <c r="H876" s="15" t="s">
        <v>4278</v>
      </c>
      <c r="I876" s="15" t="s">
        <v>3228</v>
      </c>
    </row>
    <row r="877" spans="1:9" x14ac:dyDescent="0.15">
      <c r="A877" s="15" t="s">
        <v>4279</v>
      </c>
      <c r="B877" s="15"/>
      <c r="C877" s="15" t="s">
        <v>40</v>
      </c>
      <c r="D877" s="15" t="s">
        <v>41</v>
      </c>
      <c r="E877" s="15" t="s">
        <v>4280</v>
      </c>
      <c r="F877" s="15" t="s">
        <v>4282</v>
      </c>
      <c r="G877" s="15" t="s">
        <v>4281</v>
      </c>
      <c r="H877" s="15" t="s">
        <v>4283</v>
      </c>
      <c r="I877" s="15" t="s">
        <v>3228</v>
      </c>
    </row>
    <row r="878" spans="1:9" x14ac:dyDescent="0.15">
      <c r="A878" s="15" t="s">
        <v>4284</v>
      </c>
      <c r="B878" s="15"/>
      <c r="C878" s="15" t="s">
        <v>40</v>
      </c>
      <c r="D878" s="15" t="s">
        <v>41</v>
      </c>
      <c r="E878" s="15" t="s">
        <v>4285</v>
      </c>
      <c r="F878" s="15" t="s">
        <v>4286</v>
      </c>
      <c r="G878" s="15" t="s">
        <v>529</v>
      </c>
      <c r="H878" s="15" t="s">
        <v>4287</v>
      </c>
      <c r="I878" s="15" t="s">
        <v>3228</v>
      </c>
    </row>
    <row r="879" spans="1:9" x14ac:dyDescent="0.15">
      <c r="A879" s="15" t="s">
        <v>4288</v>
      </c>
      <c r="B879" s="15"/>
      <c r="C879" s="15" t="s">
        <v>40</v>
      </c>
      <c r="D879" s="15" t="s">
        <v>41</v>
      </c>
      <c r="E879" s="15" t="s">
        <v>4289</v>
      </c>
      <c r="F879" s="15" t="s">
        <v>4290</v>
      </c>
      <c r="G879" s="15" t="s">
        <v>4212</v>
      </c>
      <c r="H879" s="15" t="s">
        <v>4291</v>
      </c>
      <c r="I879" s="15" t="s">
        <v>3228</v>
      </c>
    </row>
    <row r="880" spans="1:9" x14ac:dyDescent="0.15">
      <c r="A880" s="15" t="s">
        <v>4292</v>
      </c>
      <c r="B880" s="15"/>
      <c r="C880" s="15" t="s">
        <v>40</v>
      </c>
      <c r="D880" s="15" t="s">
        <v>41</v>
      </c>
      <c r="E880" s="15" t="s">
        <v>4293</v>
      </c>
      <c r="F880" s="15" t="s">
        <v>4295</v>
      </c>
      <c r="G880" s="15" t="s">
        <v>4294</v>
      </c>
      <c r="H880" s="15" t="s">
        <v>4296</v>
      </c>
      <c r="I880" s="15" t="s">
        <v>3228</v>
      </c>
    </row>
    <row r="881" spans="1:9" x14ac:dyDescent="0.15">
      <c r="A881" s="15" t="s">
        <v>4297</v>
      </c>
      <c r="B881" s="15"/>
      <c r="C881" s="15" t="s">
        <v>40</v>
      </c>
      <c r="D881" s="15" t="s">
        <v>41</v>
      </c>
      <c r="E881" s="15" t="s">
        <v>4298</v>
      </c>
      <c r="F881" s="15" t="s">
        <v>4300</v>
      </c>
      <c r="G881" s="15" t="s">
        <v>4299</v>
      </c>
      <c r="H881" s="15" t="s">
        <v>4301</v>
      </c>
      <c r="I881" s="15" t="s">
        <v>3228</v>
      </c>
    </row>
    <row r="882" spans="1:9" x14ac:dyDescent="0.15">
      <c r="A882" s="15" t="s">
        <v>4302</v>
      </c>
      <c r="B882" s="15"/>
      <c r="C882" s="15" t="s">
        <v>40</v>
      </c>
      <c r="D882" s="15" t="s">
        <v>41</v>
      </c>
      <c r="E882" s="15" t="s">
        <v>4303</v>
      </c>
      <c r="F882" s="15" t="s">
        <v>4305</v>
      </c>
      <c r="G882" s="15" t="s">
        <v>4304</v>
      </c>
      <c r="H882" s="15" t="s">
        <v>4306</v>
      </c>
      <c r="I882" s="15" t="s">
        <v>3228</v>
      </c>
    </row>
    <row r="883" spans="1:9" x14ac:dyDescent="0.15">
      <c r="A883" s="15" t="s">
        <v>4307</v>
      </c>
      <c r="B883" s="15"/>
      <c r="C883" s="15" t="s">
        <v>40</v>
      </c>
      <c r="D883" s="15" t="s">
        <v>41</v>
      </c>
      <c r="E883" s="15" t="s">
        <v>4308</v>
      </c>
      <c r="F883" s="15" t="s">
        <v>4309</v>
      </c>
      <c r="G883" s="15" t="s">
        <v>4190</v>
      </c>
      <c r="H883" s="15" t="s">
        <v>4310</v>
      </c>
      <c r="I883" s="15" t="s">
        <v>3228</v>
      </c>
    </row>
    <row r="884" spans="1:9" x14ac:dyDescent="0.15">
      <c r="A884" s="15" t="s">
        <v>4311</v>
      </c>
      <c r="B884" s="15"/>
      <c r="C884" s="15" t="s">
        <v>40</v>
      </c>
      <c r="D884" s="15" t="s">
        <v>41</v>
      </c>
      <c r="E884" s="15" t="s">
        <v>4312</v>
      </c>
      <c r="F884" s="15" t="s">
        <v>4314</v>
      </c>
      <c r="G884" s="15" t="s">
        <v>4313</v>
      </c>
      <c r="H884" s="15" t="s">
        <v>4315</v>
      </c>
      <c r="I884" s="15" t="s">
        <v>3228</v>
      </c>
    </row>
    <row r="885" spans="1:9" x14ac:dyDescent="0.15">
      <c r="A885" s="15" t="s">
        <v>4316</v>
      </c>
      <c r="B885" s="15"/>
      <c r="C885" s="15" t="s">
        <v>40</v>
      </c>
      <c r="D885" s="15" t="s">
        <v>41</v>
      </c>
      <c r="E885" s="15" t="s">
        <v>4317</v>
      </c>
      <c r="F885" s="15" t="s">
        <v>4319</v>
      </c>
      <c r="G885" s="15" t="s">
        <v>4318</v>
      </c>
      <c r="H885" s="15" t="s">
        <v>4320</v>
      </c>
      <c r="I885" s="15" t="s">
        <v>3228</v>
      </c>
    </row>
    <row r="886" spans="1:9" x14ac:dyDescent="0.15">
      <c r="A886" s="15" t="s">
        <v>4321</v>
      </c>
      <c r="B886" s="15"/>
      <c r="C886" s="15" t="s">
        <v>40</v>
      </c>
      <c r="D886" s="15" t="s">
        <v>41</v>
      </c>
      <c r="E886" s="15" t="s">
        <v>4322</v>
      </c>
      <c r="F886" s="15" t="s">
        <v>4324</v>
      </c>
      <c r="G886" s="15" t="s">
        <v>4323</v>
      </c>
      <c r="H886" s="15" t="s">
        <v>4325</v>
      </c>
      <c r="I886" s="15" t="s">
        <v>3228</v>
      </c>
    </row>
    <row r="887" spans="1:9" x14ac:dyDescent="0.15">
      <c r="A887" s="15" t="s">
        <v>4326</v>
      </c>
      <c r="B887" s="15"/>
      <c r="C887" s="15" t="s">
        <v>40</v>
      </c>
      <c r="D887" s="15" t="s">
        <v>41</v>
      </c>
      <c r="E887" s="15" t="s">
        <v>4327</v>
      </c>
      <c r="F887" s="15" t="s">
        <v>4329</v>
      </c>
      <c r="G887" s="15" t="s">
        <v>4328</v>
      </c>
      <c r="H887" s="15" t="s">
        <v>4330</v>
      </c>
      <c r="I887" s="15" t="s">
        <v>3228</v>
      </c>
    </row>
    <row r="888" spans="1:9" x14ac:dyDescent="0.15">
      <c r="A888" s="15" t="s">
        <v>4331</v>
      </c>
      <c r="B888" s="15"/>
      <c r="C888" s="15" t="s">
        <v>40</v>
      </c>
      <c r="D888" s="15" t="s">
        <v>41</v>
      </c>
      <c r="E888" s="15" t="s">
        <v>4332</v>
      </c>
      <c r="F888" s="15" t="s">
        <v>4334</v>
      </c>
      <c r="G888" s="15" t="s">
        <v>4333</v>
      </c>
      <c r="H888" s="15" t="s">
        <v>4335</v>
      </c>
      <c r="I888" s="15" t="s">
        <v>3228</v>
      </c>
    </row>
    <row r="889" spans="1:9" x14ac:dyDescent="0.15">
      <c r="A889" s="15" t="s">
        <v>4336</v>
      </c>
      <c r="B889" s="15"/>
      <c r="C889" s="15" t="s">
        <v>40</v>
      </c>
      <c r="D889" s="15" t="s">
        <v>41</v>
      </c>
      <c r="E889" s="15" t="s">
        <v>4337</v>
      </c>
      <c r="F889" s="15" t="s">
        <v>4339</v>
      </c>
      <c r="G889" s="15" t="s">
        <v>4338</v>
      </c>
      <c r="H889" s="15" t="s">
        <v>4340</v>
      </c>
      <c r="I889" s="15" t="s">
        <v>3228</v>
      </c>
    </row>
    <row r="890" spans="1:9" x14ac:dyDescent="0.15">
      <c r="A890" s="15" t="s">
        <v>4341</v>
      </c>
      <c r="B890" s="15"/>
      <c r="C890" s="15" t="s">
        <v>40</v>
      </c>
      <c r="D890" s="15" t="s">
        <v>41</v>
      </c>
      <c r="E890" s="15" t="s">
        <v>4342</v>
      </c>
      <c r="F890" s="15" t="s">
        <v>4344</v>
      </c>
      <c r="G890" s="15" t="s">
        <v>4343</v>
      </c>
      <c r="H890" s="15" t="s">
        <v>4345</v>
      </c>
      <c r="I890" s="15" t="s">
        <v>3228</v>
      </c>
    </row>
    <row r="891" spans="1:9" x14ac:dyDescent="0.15">
      <c r="A891" s="15" t="s">
        <v>4346</v>
      </c>
      <c r="B891" s="15"/>
      <c r="C891" s="15" t="s">
        <v>40</v>
      </c>
      <c r="D891" s="15" t="s">
        <v>41</v>
      </c>
      <c r="E891" s="15" t="s">
        <v>4347</v>
      </c>
      <c r="F891" s="15" t="s">
        <v>4349</v>
      </c>
      <c r="G891" s="15" t="s">
        <v>4348</v>
      </c>
      <c r="H891" s="15" t="s">
        <v>4350</v>
      </c>
      <c r="I891" s="15" t="s">
        <v>3228</v>
      </c>
    </row>
    <row r="892" spans="1:9" x14ac:dyDescent="0.15">
      <c r="A892" s="15" t="s">
        <v>4351</v>
      </c>
      <c r="B892" s="15"/>
      <c r="C892" s="15" t="s">
        <v>40</v>
      </c>
      <c r="D892" s="15" t="s">
        <v>41</v>
      </c>
      <c r="E892" s="15" t="s">
        <v>4352</v>
      </c>
      <c r="F892" s="15" t="s">
        <v>4354</v>
      </c>
      <c r="G892" s="15" t="s">
        <v>4353</v>
      </c>
      <c r="H892" s="15" t="s">
        <v>4355</v>
      </c>
      <c r="I892" s="15" t="s">
        <v>3228</v>
      </c>
    </row>
    <row r="893" spans="1:9" x14ac:dyDescent="0.15">
      <c r="A893" s="15" t="s">
        <v>4356</v>
      </c>
      <c r="B893" s="15"/>
      <c r="C893" s="15" t="s">
        <v>40</v>
      </c>
      <c r="D893" s="15" t="s">
        <v>41</v>
      </c>
      <c r="E893" s="15" t="s">
        <v>4357</v>
      </c>
      <c r="F893" s="15" t="s">
        <v>4359</v>
      </c>
      <c r="G893" s="15" t="s">
        <v>4358</v>
      </c>
      <c r="H893" s="15" t="s">
        <v>4360</v>
      </c>
      <c r="I893" s="15" t="s">
        <v>3228</v>
      </c>
    </row>
    <row r="894" spans="1:9" x14ac:dyDescent="0.15">
      <c r="A894" s="15" t="s">
        <v>4361</v>
      </c>
      <c r="B894" s="15"/>
      <c r="C894" s="15" t="s">
        <v>40</v>
      </c>
      <c r="D894" s="15" t="s">
        <v>41</v>
      </c>
      <c r="E894" s="15" t="s">
        <v>4362</v>
      </c>
      <c r="F894" s="15" t="s">
        <v>4364</v>
      </c>
      <c r="G894" s="15" t="s">
        <v>4363</v>
      </c>
      <c r="H894" s="15" t="s">
        <v>4365</v>
      </c>
      <c r="I894" s="15" t="s">
        <v>3228</v>
      </c>
    </row>
    <row r="895" spans="1:9" x14ac:dyDescent="0.15">
      <c r="A895" s="15" t="s">
        <v>4366</v>
      </c>
      <c r="B895" s="15"/>
      <c r="C895" s="15" t="s">
        <v>40</v>
      </c>
      <c r="D895" s="15" t="s">
        <v>41</v>
      </c>
      <c r="E895" s="15" t="s">
        <v>4367</v>
      </c>
      <c r="F895" s="15" t="s">
        <v>4368</v>
      </c>
      <c r="G895" s="15" t="s">
        <v>3246</v>
      </c>
      <c r="H895" s="15" t="s">
        <v>4369</v>
      </c>
      <c r="I895" s="15" t="s">
        <v>3228</v>
      </c>
    </row>
    <row r="896" spans="1:9" x14ac:dyDescent="0.15">
      <c r="A896" s="15" t="s">
        <v>4370</v>
      </c>
      <c r="B896" s="15"/>
      <c r="C896" s="15" t="s">
        <v>40</v>
      </c>
      <c r="D896" s="15" t="s">
        <v>41</v>
      </c>
      <c r="E896" s="15" t="s">
        <v>4371</v>
      </c>
      <c r="F896" s="15" t="s">
        <v>4373</v>
      </c>
      <c r="G896" s="15" t="s">
        <v>4372</v>
      </c>
      <c r="H896" s="15" t="s">
        <v>4374</v>
      </c>
      <c r="I896" s="15" t="s">
        <v>3228</v>
      </c>
    </row>
    <row r="897" spans="1:9" x14ac:dyDescent="0.15">
      <c r="A897" s="15" t="s">
        <v>4375</v>
      </c>
      <c r="B897" s="15"/>
      <c r="C897" s="15" t="s">
        <v>40</v>
      </c>
      <c r="D897" s="15" t="s">
        <v>41</v>
      </c>
      <c r="E897" s="15" t="s">
        <v>4376</v>
      </c>
      <c r="F897" s="15" t="s">
        <v>4378</v>
      </c>
      <c r="G897" s="15" t="s">
        <v>4377</v>
      </c>
      <c r="H897" s="15" t="s">
        <v>4379</v>
      </c>
      <c r="I897" s="15" t="s">
        <v>3228</v>
      </c>
    </row>
    <row r="898" spans="1:9" x14ac:dyDescent="0.15">
      <c r="A898" s="15" t="s">
        <v>4380</v>
      </c>
      <c r="B898" s="15"/>
      <c r="C898" s="15" t="s">
        <v>40</v>
      </c>
      <c r="D898" s="15" t="s">
        <v>41</v>
      </c>
      <c r="E898" s="15" t="s">
        <v>4381</v>
      </c>
      <c r="F898" s="15" t="s">
        <v>4382</v>
      </c>
      <c r="G898" s="15" t="s">
        <v>3225</v>
      </c>
      <c r="H898" s="15" t="s">
        <v>4383</v>
      </c>
      <c r="I898" s="15" t="s">
        <v>3228</v>
      </c>
    </row>
    <row r="899" spans="1:9" x14ac:dyDescent="0.15">
      <c r="A899" s="15" t="s">
        <v>4384</v>
      </c>
      <c r="B899" s="15"/>
      <c r="C899" s="15" t="s">
        <v>40</v>
      </c>
      <c r="D899" s="15" t="s">
        <v>41</v>
      </c>
      <c r="E899" s="15" t="s">
        <v>4385</v>
      </c>
      <c r="F899" s="15" t="s">
        <v>4387</v>
      </c>
      <c r="G899" s="15" t="s">
        <v>4386</v>
      </c>
      <c r="H899" s="15" t="s">
        <v>4388</v>
      </c>
      <c r="I899" s="15" t="s">
        <v>3228</v>
      </c>
    </row>
    <row r="900" spans="1:9" x14ac:dyDescent="0.15">
      <c r="A900" s="15" t="s">
        <v>4389</v>
      </c>
      <c r="B900" s="15"/>
      <c r="C900" s="15" t="s">
        <v>40</v>
      </c>
      <c r="D900" s="15" t="s">
        <v>41</v>
      </c>
      <c r="E900" s="15" t="s">
        <v>4390</v>
      </c>
      <c r="F900" s="15" t="s">
        <v>4392</v>
      </c>
      <c r="G900" s="15" t="s">
        <v>4391</v>
      </c>
      <c r="H900" s="15" t="s">
        <v>4393</v>
      </c>
      <c r="I900" s="15" t="s">
        <v>3228</v>
      </c>
    </row>
    <row r="901" spans="1:9" x14ac:dyDescent="0.15">
      <c r="A901" s="15" t="s">
        <v>4394</v>
      </c>
      <c r="B901" s="15"/>
      <c r="C901" s="15" t="s">
        <v>40</v>
      </c>
      <c r="D901" s="15" t="s">
        <v>41</v>
      </c>
      <c r="E901" s="15" t="s">
        <v>4395</v>
      </c>
      <c r="F901" s="15" t="s">
        <v>4397</v>
      </c>
      <c r="G901" s="15" t="s">
        <v>4396</v>
      </c>
      <c r="H901" s="15" t="s">
        <v>4398</v>
      </c>
      <c r="I901" s="15" t="s">
        <v>3228</v>
      </c>
    </row>
    <row r="902" spans="1:9" x14ac:dyDescent="0.15">
      <c r="A902" s="15" t="s">
        <v>4399</v>
      </c>
      <c r="B902" s="15"/>
      <c r="C902" s="15" t="s">
        <v>40</v>
      </c>
      <c r="D902" s="15" t="s">
        <v>41</v>
      </c>
      <c r="E902" s="15" t="s">
        <v>4400</v>
      </c>
      <c r="F902" s="15" t="s">
        <v>4402</v>
      </c>
      <c r="G902" s="15" t="s">
        <v>4401</v>
      </c>
      <c r="H902" s="15" t="s">
        <v>4403</v>
      </c>
      <c r="I902" s="15" t="s">
        <v>3228</v>
      </c>
    </row>
    <row r="903" spans="1:9" x14ac:dyDescent="0.15">
      <c r="A903" s="15" t="s">
        <v>4404</v>
      </c>
      <c r="B903" s="15"/>
      <c r="C903" s="15" t="s">
        <v>40</v>
      </c>
      <c r="D903" s="15" t="s">
        <v>41</v>
      </c>
      <c r="E903" s="15" t="s">
        <v>4405</v>
      </c>
      <c r="F903" s="15" t="s">
        <v>4407</v>
      </c>
      <c r="G903" s="15" t="s">
        <v>4406</v>
      </c>
      <c r="H903" s="15" t="s">
        <v>4408</v>
      </c>
      <c r="I903" s="15" t="s">
        <v>3228</v>
      </c>
    </row>
    <row r="904" spans="1:9" x14ac:dyDescent="0.15">
      <c r="A904" s="15" t="s">
        <v>4409</v>
      </c>
      <c r="B904" s="15"/>
      <c r="C904" s="15" t="s">
        <v>40</v>
      </c>
      <c r="D904" s="15" t="s">
        <v>41</v>
      </c>
      <c r="E904" s="15" t="s">
        <v>4410</v>
      </c>
      <c r="F904" s="15" t="s">
        <v>52</v>
      </c>
      <c r="G904" s="15" t="s">
        <v>4411</v>
      </c>
      <c r="H904" s="15" t="s">
        <v>4412</v>
      </c>
      <c r="I904" s="15" t="s">
        <v>3228</v>
      </c>
    </row>
    <row r="905" spans="1:9" x14ac:dyDescent="0.15">
      <c r="A905" s="15" t="s">
        <v>4413</v>
      </c>
      <c r="B905" s="15"/>
      <c r="C905" s="15" t="s">
        <v>40</v>
      </c>
      <c r="D905" s="15" t="s">
        <v>41</v>
      </c>
      <c r="E905" s="15" t="s">
        <v>4414</v>
      </c>
      <c r="F905" s="15" t="s">
        <v>4415</v>
      </c>
      <c r="G905" s="15" t="s">
        <v>4212</v>
      </c>
      <c r="H905" s="15" t="s">
        <v>4416</v>
      </c>
      <c r="I905" s="15" t="s">
        <v>3228</v>
      </c>
    </row>
    <row r="906" spans="1:9" x14ac:dyDescent="0.15">
      <c r="A906" s="15" t="s">
        <v>4417</v>
      </c>
      <c r="B906" s="15"/>
      <c r="C906" s="15" t="s">
        <v>40</v>
      </c>
      <c r="D906" s="15" t="s">
        <v>41</v>
      </c>
      <c r="E906" s="15" t="s">
        <v>4418</v>
      </c>
      <c r="F906" s="15" t="s">
        <v>4419</v>
      </c>
      <c r="G906" s="15" t="s">
        <v>3225</v>
      </c>
      <c r="H906" s="15" t="s">
        <v>4420</v>
      </c>
      <c r="I906" s="15" t="s">
        <v>3228</v>
      </c>
    </row>
    <row r="907" spans="1:9" x14ac:dyDescent="0.15">
      <c r="A907" s="15" t="s">
        <v>4421</v>
      </c>
      <c r="B907" s="15"/>
      <c r="C907" s="15" t="s">
        <v>40</v>
      </c>
      <c r="D907" s="15" t="s">
        <v>41</v>
      </c>
      <c r="E907" s="15" t="s">
        <v>4422</v>
      </c>
      <c r="F907" s="15" t="s">
        <v>4424</v>
      </c>
      <c r="G907" s="15" t="s">
        <v>4423</v>
      </c>
      <c r="H907" s="15" t="s">
        <v>4425</v>
      </c>
      <c r="I907" s="15" t="s">
        <v>3254</v>
      </c>
    </row>
    <row r="908" spans="1:9" x14ac:dyDescent="0.15">
      <c r="A908" s="15" t="s">
        <v>4426</v>
      </c>
      <c r="B908" s="15"/>
      <c r="C908" s="15" t="s">
        <v>40</v>
      </c>
      <c r="D908" s="15" t="s">
        <v>41</v>
      </c>
      <c r="E908" s="15" t="s">
        <v>4427</v>
      </c>
      <c r="F908" s="15" t="s">
        <v>4429</v>
      </c>
      <c r="G908" s="15" t="s">
        <v>4428</v>
      </c>
      <c r="H908" s="15" t="s">
        <v>4430</v>
      </c>
      <c r="I908" s="15" t="s">
        <v>3254</v>
      </c>
    </row>
    <row r="909" spans="1:9" x14ac:dyDescent="0.15">
      <c r="A909" s="15" t="s">
        <v>4431</v>
      </c>
      <c r="B909" s="15"/>
      <c r="C909" s="15" t="s">
        <v>40</v>
      </c>
      <c r="D909" s="15" t="s">
        <v>41</v>
      </c>
      <c r="E909" s="15" t="s">
        <v>4432</v>
      </c>
      <c r="F909" s="15" t="s">
        <v>4434</v>
      </c>
      <c r="G909" s="15" t="s">
        <v>4433</v>
      </c>
      <c r="H909" s="15" t="s">
        <v>4435</v>
      </c>
      <c r="I909" s="15" t="s">
        <v>3254</v>
      </c>
    </row>
    <row r="910" spans="1:9" x14ac:dyDescent="0.15">
      <c r="A910" s="15" t="s">
        <v>4436</v>
      </c>
      <c r="B910" s="15"/>
      <c r="C910" s="15" t="s">
        <v>40</v>
      </c>
      <c r="D910" s="15" t="s">
        <v>41</v>
      </c>
      <c r="E910" s="15" t="s">
        <v>4437</v>
      </c>
      <c r="F910" s="15" t="s">
        <v>4438</v>
      </c>
      <c r="G910" s="15" t="s">
        <v>3257</v>
      </c>
      <c r="H910" s="15" t="s">
        <v>4439</v>
      </c>
      <c r="I910" s="15" t="s">
        <v>3254</v>
      </c>
    </row>
    <row r="911" spans="1:9" x14ac:dyDescent="0.15">
      <c r="A911" s="15" t="s">
        <v>4440</v>
      </c>
      <c r="B911" s="15"/>
      <c r="C911" s="15" t="s">
        <v>40</v>
      </c>
      <c r="D911" s="15" t="s">
        <v>41</v>
      </c>
      <c r="E911" s="15" t="s">
        <v>4441</v>
      </c>
      <c r="F911" s="15" t="s">
        <v>4443</v>
      </c>
      <c r="G911" s="15" t="s">
        <v>4442</v>
      </c>
      <c r="H911" s="15" t="s">
        <v>4444</v>
      </c>
      <c r="I911" s="15" t="s">
        <v>3254</v>
      </c>
    </row>
    <row r="912" spans="1:9" x14ac:dyDescent="0.15">
      <c r="A912" s="15" t="s">
        <v>4445</v>
      </c>
      <c r="B912" s="15"/>
      <c r="C912" s="15" t="s">
        <v>40</v>
      </c>
      <c r="D912" s="15" t="s">
        <v>41</v>
      </c>
      <c r="E912" s="15" t="s">
        <v>4446</v>
      </c>
      <c r="F912" s="15" t="s">
        <v>4447</v>
      </c>
      <c r="G912" s="15" t="s">
        <v>3257</v>
      </c>
      <c r="H912" s="15" t="s">
        <v>4448</v>
      </c>
      <c r="I912" s="15" t="s">
        <v>3254</v>
      </c>
    </row>
    <row r="913" spans="1:9" x14ac:dyDescent="0.15">
      <c r="A913" s="15" t="s">
        <v>4449</v>
      </c>
      <c r="B913" s="15"/>
      <c r="C913" s="15" t="s">
        <v>40</v>
      </c>
      <c r="D913" s="15" t="s">
        <v>41</v>
      </c>
      <c r="E913" s="15" t="s">
        <v>4450</v>
      </c>
      <c r="F913" s="15" t="s">
        <v>4451</v>
      </c>
      <c r="G913" s="15" t="s">
        <v>3257</v>
      </c>
      <c r="H913" s="15" t="s">
        <v>4452</v>
      </c>
      <c r="I913" s="15" t="s">
        <v>3254</v>
      </c>
    </row>
    <row r="914" spans="1:9" x14ac:dyDescent="0.15">
      <c r="A914" s="15" t="s">
        <v>4453</v>
      </c>
      <c r="B914" s="15"/>
      <c r="C914" s="15" t="s">
        <v>40</v>
      </c>
      <c r="D914" s="15" t="s">
        <v>41</v>
      </c>
      <c r="E914" s="15" t="s">
        <v>4454</v>
      </c>
      <c r="F914" s="15" t="s">
        <v>4456</v>
      </c>
      <c r="G914" s="15" t="s">
        <v>4455</v>
      </c>
      <c r="H914" s="15" t="s">
        <v>4457</v>
      </c>
      <c r="I914" s="15" t="s">
        <v>3254</v>
      </c>
    </row>
    <row r="915" spans="1:9" x14ac:dyDescent="0.15">
      <c r="A915" s="15" t="s">
        <v>4458</v>
      </c>
      <c r="B915" s="15"/>
      <c r="C915" s="15" t="s">
        <v>40</v>
      </c>
      <c r="D915" s="15" t="s">
        <v>41</v>
      </c>
      <c r="E915" s="15" t="s">
        <v>4459</v>
      </c>
      <c r="F915" s="15" t="s">
        <v>4461</v>
      </c>
      <c r="G915" s="15" t="s">
        <v>4460</v>
      </c>
      <c r="H915" s="15" t="s">
        <v>4462</v>
      </c>
      <c r="I915" s="15" t="s">
        <v>3254</v>
      </c>
    </row>
    <row r="916" spans="1:9" x14ac:dyDescent="0.15">
      <c r="A916" s="15" t="s">
        <v>4463</v>
      </c>
      <c r="B916" s="15"/>
      <c r="C916" s="15" t="s">
        <v>40</v>
      </c>
      <c r="D916" s="15" t="s">
        <v>41</v>
      </c>
      <c r="E916" s="15" t="s">
        <v>4464</v>
      </c>
      <c r="F916" s="15" t="s">
        <v>4466</v>
      </c>
      <c r="G916" s="15" t="s">
        <v>4465</v>
      </c>
      <c r="H916" s="15" t="s">
        <v>4467</v>
      </c>
      <c r="I916" s="15" t="s">
        <v>3254</v>
      </c>
    </row>
    <row r="917" spans="1:9" x14ac:dyDescent="0.15">
      <c r="A917" s="15" t="s">
        <v>4468</v>
      </c>
      <c r="B917" s="15"/>
      <c r="C917" s="15" t="s">
        <v>40</v>
      </c>
      <c r="D917" s="15" t="s">
        <v>41</v>
      </c>
      <c r="E917" s="15" t="s">
        <v>4469</v>
      </c>
      <c r="F917" s="15" t="s">
        <v>4471</v>
      </c>
      <c r="G917" s="15" t="s">
        <v>4470</v>
      </c>
      <c r="H917" s="15" t="s">
        <v>4472</v>
      </c>
      <c r="I917" s="15" t="s">
        <v>3254</v>
      </c>
    </row>
    <row r="918" spans="1:9" x14ac:dyDescent="0.15">
      <c r="A918" s="15" t="s">
        <v>4473</v>
      </c>
      <c r="B918" s="15"/>
      <c r="C918" s="15" t="s">
        <v>40</v>
      </c>
      <c r="D918" s="15" t="s">
        <v>41</v>
      </c>
      <c r="E918" s="15" t="s">
        <v>4474</v>
      </c>
      <c r="F918" s="15" t="s">
        <v>4476</v>
      </c>
      <c r="G918" s="15" t="s">
        <v>4475</v>
      </c>
      <c r="H918" s="15" t="s">
        <v>4477</v>
      </c>
      <c r="I918" s="15" t="s">
        <v>4478</v>
      </c>
    </row>
    <row r="919" spans="1:9" x14ac:dyDescent="0.15">
      <c r="A919" s="15" t="s">
        <v>4479</v>
      </c>
      <c r="B919" s="15"/>
      <c r="C919" s="15" t="s">
        <v>40</v>
      </c>
      <c r="D919" s="15" t="s">
        <v>41</v>
      </c>
      <c r="E919" s="15" t="s">
        <v>4480</v>
      </c>
      <c r="F919" s="15" t="s">
        <v>4482</v>
      </c>
      <c r="G919" s="15" t="s">
        <v>4481</v>
      </c>
      <c r="H919" s="15" t="s">
        <v>4483</v>
      </c>
      <c r="I919" s="15" t="s">
        <v>4478</v>
      </c>
    </row>
    <row r="920" spans="1:9" x14ac:dyDescent="0.15">
      <c r="A920" s="15" t="s">
        <v>4484</v>
      </c>
      <c r="B920" s="15"/>
      <c r="C920" s="15" t="s">
        <v>40</v>
      </c>
      <c r="D920" s="15" t="s">
        <v>41</v>
      </c>
      <c r="E920" s="15" t="s">
        <v>4485</v>
      </c>
      <c r="F920" s="15" t="s">
        <v>4486</v>
      </c>
      <c r="G920" s="15" t="s">
        <v>4481</v>
      </c>
      <c r="H920" s="15" t="s">
        <v>4487</v>
      </c>
      <c r="I920" s="15" t="s">
        <v>4478</v>
      </c>
    </row>
    <row r="921" spans="1:9" x14ac:dyDescent="0.15">
      <c r="A921" s="15" t="s">
        <v>4488</v>
      </c>
      <c r="B921" s="15"/>
      <c r="C921" s="15" t="s">
        <v>40</v>
      </c>
      <c r="D921" s="15" t="s">
        <v>41</v>
      </c>
      <c r="E921" s="15" t="s">
        <v>4489</v>
      </c>
      <c r="F921" s="15" t="s">
        <v>4491</v>
      </c>
      <c r="G921" s="15" t="s">
        <v>4490</v>
      </c>
      <c r="H921" s="15" t="s">
        <v>4492</v>
      </c>
      <c r="I921" s="15" t="s">
        <v>4478</v>
      </c>
    </row>
    <row r="922" spans="1:9" x14ac:dyDescent="0.15">
      <c r="A922" s="15" t="s">
        <v>4493</v>
      </c>
      <c r="B922" s="15"/>
      <c r="C922" s="15" t="s">
        <v>40</v>
      </c>
      <c r="D922" s="15" t="s">
        <v>41</v>
      </c>
      <c r="E922" s="15" t="s">
        <v>4494</v>
      </c>
      <c r="F922" s="15" t="s">
        <v>4496</v>
      </c>
      <c r="G922" s="15" t="s">
        <v>4495</v>
      </c>
      <c r="H922" s="15" t="s">
        <v>4497</v>
      </c>
      <c r="I922" s="15" t="s">
        <v>4478</v>
      </c>
    </row>
    <row r="923" spans="1:9" x14ac:dyDescent="0.15">
      <c r="A923" s="15" t="s">
        <v>4498</v>
      </c>
      <c r="B923" s="15"/>
      <c r="C923" s="15" t="s">
        <v>40</v>
      </c>
      <c r="D923" s="15" t="s">
        <v>41</v>
      </c>
      <c r="E923" s="15" t="s">
        <v>4499</v>
      </c>
      <c r="F923" s="15" t="s">
        <v>4501</v>
      </c>
      <c r="G923" s="15" t="s">
        <v>4500</v>
      </c>
      <c r="H923" s="15" t="s">
        <v>4502</v>
      </c>
      <c r="I923" s="15" t="s">
        <v>4478</v>
      </c>
    </row>
    <row r="924" spans="1:9" x14ac:dyDescent="0.15">
      <c r="A924" s="15" t="s">
        <v>4503</v>
      </c>
      <c r="B924" s="15"/>
      <c r="C924" s="15" t="s">
        <v>40</v>
      </c>
      <c r="D924" s="15" t="s">
        <v>41</v>
      </c>
      <c r="E924" s="15" t="s">
        <v>4504</v>
      </c>
      <c r="F924" s="15" t="s">
        <v>4505</v>
      </c>
      <c r="G924" s="15" t="s">
        <v>4500</v>
      </c>
      <c r="H924" s="15" t="s">
        <v>4506</v>
      </c>
      <c r="I924" s="15" t="s">
        <v>4478</v>
      </c>
    </row>
    <row r="925" spans="1:9" x14ac:dyDescent="0.15">
      <c r="A925" s="15" t="s">
        <v>4507</v>
      </c>
      <c r="B925" s="15"/>
      <c r="C925" s="15" t="s">
        <v>40</v>
      </c>
      <c r="D925" s="15" t="s">
        <v>41</v>
      </c>
      <c r="E925" s="15" t="s">
        <v>4508</v>
      </c>
      <c r="F925" s="15" t="s">
        <v>4510</v>
      </c>
      <c r="G925" s="15" t="s">
        <v>4509</v>
      </c>
      <c r="H925" s="15" t="s">
        <v>4511</v>
      </c>
      <c r="I925" s="15" t="s">
        <v>4478</v>
      </c>
    </row>
    <row r="926" spans="1:9" x14ac:dyDescent="0.15">
      <c r="A926" s="15" t="s">
        <v>4512</v>
      </c>
      <c r="B926" s="15"/>
      <c r="C926" s="15" t="s">
        <v>40</v>
      </c>
      <c r="D926" s="15" t="s">
        <v>41</v>
      </c>
      <c r="E926" s="15" t="s">
        <v>4513</v>
      </c>
      <c r="F926" s="15" t="s">
        <v>4515</v>
      </c>
      <c r="G926" s="15" t="s">
        <v>4514</v>
      </c>
      <c r="H926" s="15" t="s">
        <v>4516</v>
      </c>
      <c r="I926" s="15" t="s">
        <v>4478</v>
      </c>
    </row>
    <row r="927" spans="1:9" x14ac:dyDescent="0.15">
      <c r="A927" s="15" t="s">
        <v>4517</v>
      </c>
      <c r="B927" s="15"/>
      <c r="C927" s="15" t="s">
        <v>40</v>
      </c>
      <c r="D927" s="15" t="s">
        <v>41</v>
      </c>
      <c r="E927" s="15" t="s">
        <v>4518</v>
      </c>
      <c r="F927" s="15" t="s">
        <v>4520</v>
      </c>
      <c r="G927" s="15" t="s">
        <v>4519</v>
      </c>
      <c r="H927" s="15" t="s">
        <v>4521</v>
      </c>
      <c r="I927" s="15" t="s">
        <v>4478</v>
      </c>
    </row>
    <row r="928" spans="1:9" x14ac:dyDescent="0.15">
      <c r="A928" s="15" t="s">
        <v>4522</v>
      </c>
      <c r="B928" s="15"/>
      <c r="C928" s="15" t="s">
        <v>40</v>
      </c>
      <c r="D928" s="15" t="s">
        <v>41</v>
      </c>
      <c r="E928" s="15" t="s">
        <v>4523</v>
      </c>
      <c r="F928" s="15" t="s">
        <v>4525</v>
      </c>
      <c r="G928" s="15" t="s">
        <v>4524</v>
      </c>
      <c r="H928" s="15" t="s">
        <v>4526</v>
      </c>
      <c r="I928" s="15" t="s">
        <v>4478</v>
      </c>
    </row>
    <row r="929" spans="1:9" x14ac:dyDescent="0.15">
      <c r="A929" s="15" t="s">
        <v>4527</v>
      </c>
      <c r="B929" s="15"/>
      <c r="C929" s="15" t="s">
        <v>40</v>
      </c>
      <c r="D929" s="15" t="s">
        <v>41</v>
      </c>
      <c r="E929" s="15" t="s">
        <v>4528</v>
      </c>
      <c r="F929" s="15" t="s">
        <v>4530</v>
      </c>
      <c r="G929" s="15" t="s">
        <v>4529</v>
      </c>
      <c r="H929" s="15" t="s">
        <v>4531</v>
      </c>
      <c r="I929" s="15" t="s">
        <v>4478</v>
      </c>
    </row>
    <row r="930" spans="1:9" x14ac:dyDescent="0.15">
      <c r="A930" s="15" t="s">
        <v>4532</v>
      </c>
      <c r="B930" s="15"/>
      <c r="C930" s="15" t="s">
        <v>40</v>
      </c>
      <c r="D930" s="15" t="s">
        <v>41</v>
      </c>
      <c r="E930" s="15" t="s">
        <v>4533</v>
      </c>
      <c r="F930" s="15" t="s">
        <v>4535</v>
      </c>
      <c r="G930" s="15" t="s">
        <v>4534</v>
      </c>
      <c r="H930" s="15" t="s">
        <v>4536</v>
      </c>
      <c r="I930" s="15" t="s">
        <v>4478</v>
      </c>
    </row>
    <row r="931" spans="1:9" x14ac:dyDescent="0.15">
      <c r="A931" s="15" t="s">
        <v>4537</v>
      </c>
      <c r="B931" s="15"/>
      <c r="C931" s="15" t="s">
        <v>40</v>
      </c>
      <c r="D931" s="15" t="s">
        <v>41</v>
      </c>
      <c r="E931" s="15" t="s">
        <v>4538</v>
      </c>
      <c r="F931" s="15" t="s">
        <v>4540</v>
      </c>
      <c r="G931" s="15" t="s">
        <v>4539</v>
      </c>
      <c r="H931" s="15" t="s">
        <v>4541</v>
      </c>
      <c r="I931" s="15" t="s">
        <v>4478</v>
      </c>
    </row>
    <row r="932" spans="1:9" x14ac:dyDescent="0.15">
      <c r="A932" s="15" t="s">
        <v>4542</v>
      </c>
      <c r="B932" s="15"/>
      <c r="C932" s="15" t="s">
        <v>40</v>
      </c>
      <c r="D932" s="15" t="s">
        <v>41</v>
      </c>
      <c r="E932" s="15" t="s">
        <v>4543</v>
      </c>
      <c r="F932" s="15" t="s">
        <v>4544</v>
      </c>
      <c r="G932" s="15" t="s">
        <v>3766</v>
      </c>
      <c r="H932" s="15" t="s">
        <v>4545</v>
      </c>
      <c r="I932" s="15" t="s">
        <v>4478</v>
      </c>
    </row>
    <row r="933" spans="1:9" x14ac:dyDescent="0.15">
      <c r="A933" s="15" t="s">
        <v>4546</v>
      </c>
      <c r="B933" s="15"/>
      <c r="C933" s="15" t="s">
        <v>40</v>
      </c>
      <c r="D933" s="15" t="s">
        <v>41</v>
      </c>
      <c r="E933" s="15" t="s">
        <v>4547</v>
      </c>
      <c r="F933" s="15" t="s">
        <v>4549</v>
      </c>
      <c r="G933" s="15" t="s">
        <v>4548</v>
      </c>
      <c r="H933" s="15" t="s">
        <v>4550</v>
      </c>
      <c r="I933" s="15" t="s">
        <v>4478</v>
      </c>
    </row>
    <row r="934" spans="1:9" x14ac:dyDescent="0.15">
      <c r="A934" s="15" t="s">
        <v>4551</v>
      </c>
      <c r="B934" s="15"/>
      <c r="C934" s="15" t="s">
        <v>40</v>
      </c>
      <c r="D934" s="15" t="s">
        <v>41</v>
      </c>
      <c r="E934" s="15" t="s">
        <v>4552</v>
      </c>
      <c r="F934" s="15" t="s">
        <v>4554</v>
      </c>
      <c r="G934" s="15" t="s">
        <v>4553</v>
      </c>
      <c r="H934" s="15" t="s">
        <v>4555</v>
      </c>
      <c r="I934" s="15" t="s">
        <v>4478</v>
      </c>
    </row>
    <row r="935" spans="1:9" x14ac:dyDescent="0.15">
      <c r="A935" s="15" t="s">
        <v>4556</v>
      </c>
      <c r="B935" s="15"/>
      <c r="C935" s="15" t="s">
        <v>40</v>
      </c>
      <c r="D935" s="15" t="s">
        <v>41</v>
      </c>
      <c r="E935" s="15" t="s">
        <v>4557</v>
      </c>
      <c r="F935" s="15" t="s">
        <v>4559</v>
      </c>
      <c r="G935" s="15" t="s">
        <v>4558</v>
      </c>
      <c r="H935" s="15" t="s">
        <v>4560</v>
      </c>
      <c r="I935" s="15" t="s">
        <v>4478</v>
      </c>
    </row>
    <row r="936" spans="1:9" x14ac:dyDescent="0.15">
      <c r="A936" s="15" t="s">
        <v>4561</v>
      </c>
      <c r="B936" s="15"/>
      <c r="C936" s="15" t="s">
        <v>40</v>
      </c>
      <c r="D936" s="15" t="s">
        <v>41</v>
      </c>
      <c r="E936" s="15" t="s">
        <v>4562</v>
      </c>
      <c r="F936" s="15" t="s">
        <v>4564</v>
      </c>
      <c r="G936" s="15" t="s">
        <v>4563</v>
      </c>
      <c r="H936" s="15" t="s">
        <v>4565</v>
      </c>
      <c r="I936" s="15" t="s">
        <v>4478</v>
      </c>
    </row>
    <row r="937" spans="1:9" x14ac:dyDescent="0.15">
      <c r="A937" s="15" t="s">
        <v>4566</v>
      </c>
      <c r="B937" s="15"/>
      <c r="C937" s="15" t="s">
        <v>40</v>
      </c>
      <c r="D937" s="15" t="s">
        <v>41</v>
      </c>
      <c r="E937" s="15" t="s">
        <v>4567</v>
      </c>
      <c r="F937" s="15" t="s">
        <v>4569</v>
      </c>
      <c r="G937" s="15" t="s">
        <v>4568</v>
      </c>
      <c r="H937" s="15" t="s">
        <v>4570</v>
      </c>
      <c r="I937" s="15" t="s">
        <v>4478</v>
      </c>
    </row>
    <row r="938" spans="1:9" x14ac:dyDescent="0.15">
      <c r="A938" s="15" t="s">
        <v>4571</v>
      </c>
      <c r="B938" s="15"/>
      <c r="C938" s="15" t="s">
        <v>40</v>
      </c>
      <c r="D938" s="15" t="s">
        <v>41</v>
      </c>
      <c r="E938" s="15" t="s">
        <v>4572</v>
      </c>
      <c r="F938" s="15" t="s">
        <v>4574</v>
      </c>
      <c r="G938" s="15" t="s">
        <v>4573</v>
      </c>
      <c r="H938" s="15" t="s">
        <v>4575</v>
      </c>
      <c r="I938" s="15" t="s">
        <v>4478</v>
      </c>
    </row>
    <row r="939" spans="1:9" x14ac:dyDescent="0.15">
      <c r="A939" s="15" t="s">
        <v>4576</v>
      </c>
      <c r="B939" s="15"/>
      <c r="C939" s="15" t="s">
        <v>40</v>
      </c>
      <c r="D939" s="15" t="s">
        <v>41</v>
      </c>
      <c r="E939" s="15" t="s">
        <v>4577</v>
      </c>
      <c r="F939" s="15" t="s">
        <v>4579</v>
      </c>
      <c r="G939" s="15" t="s">
        <v>4578</v>
      </c>
      <c r="H939" s="15" t="s">
        <v>4580</v>
      </c>
      <c r="I939" s="15" t="s">
        <v>4478</v>
      </c>
    </row>
    <row r="940" spans="1:9" x14ac:dyDescent="0.15">
      <c r="A940" s="15" t="s">
        <v>4581</v>
      </c>
      <c r="B940" s="15"/>
      <c r="C940" s="15" t="s">
        <v>40</v>
      </c>
      <c r="D940" s="15" t="s">
        <v>41</v>
      </c>
      <c r="E940" s="15" t="s">
        <v>4582</v>
      </c>
      <c r="F940" s="15" t="s">
        <v>4584</v>
      </c>
      <c r="G940" s="15" t="s">
        <v>4583</v>
      </c>
      <c r="H940" s="15" t="s">
        <v>4585</v>
      </c>
      <c r="I940" s="15" t="s">
        <v>4478</v>
      </c>
    </row>
    <row r="941" spans="1:9" x14ac:dyDescent="0.15">
      <c r="A941" s="15" t="s">
        <v>4586</v>
      </c>
      <c r="B941" s="15"/>
      <c r="C941" s="15" t="s">
        <v>40</v>
      </c>
      <c r="D941" s="15" t="s">
        <v>41</v>
      </c>
      <c r="E941" s="15" t="s">
        <v>4587</v>
      </c>
      <c r="F941" s="15" t="s">
        <v>4589</v>
      </c>
      <c r="G941" s="15" t="s">
        <v>4588</v>
      </c>
      <c r="H941" s="15" t="s">
        <v>4590</v>
      </c>
      <c r="I941" s="15" t="s">
        <v>4478</v>
      </c>
    </row>
    <row r="942" spans="1:9" x14ac:dyDescent="0.15">
      <c r="A942" s="15" t="s">
        <v>4591</v>
      </c>
      <c r="B942" s="15"/>
      <c r="C942" s="15" t="s">
        <v>40</v>
      </c>
      <c r="D942" s="15" t="s">
        <v>41</v>
      </c>
      <c r="E942" s="15" t="s">
        <v>4592</v>
      </c>
      <c r="F942" s="15" t="s">
        <v>4594</v>
      </c>
      <c r="G942" s="15" t="s">
        <v>4593</v>
      </c>
      <c r="H942" s="15" t="s">
        <v>4595</v>
      </c>
      <c r="I942" s="15" t="s">
        <v>4478</v>
      </c>
    </row>
    <row r="943" spans="1:9" x14ac:dyDescent="0.15">
      <c r="A943" s="15" t="s">
        <v>4596</v>
      </c>
      <c r="B943" s="15"/>
      <c r="C943" s="15" t="s">
        <v>40</v>
      </c>
      <c r="D943" s="15" t="s">
        <v>41</v>
      </c>
      <c r="E943" s="15" t="s">
        <v>4597</v>
      </c>
      <c r="F943" s="15" t="s">
        <v>4599</v>
      </c>
      <c r="G943" s="15" t="s">
        <v>4598</v>
      </c>
      <c r="H943" s="15" t="s">
        <v>4600</v>
      </c>
      <c r="I943" s="15" t="s">
        <v>4478</v>
      </c>
    </row>
    <row r="944" spans="1:9" x14ac:dyDescent="0.15">
      <c r="A944" s="15" t="s">
        <v>4601</v>
      </c>
      <c r="B944" s="15"/>
      <c r="C944" s="15" t="s">
        <v>40</v>
      </c>
      <c r="D944" s="15" t="s">
        <v>41</v>
      </c>
      <c r="E944" s="15" t="s">
        <v>4602</v>
      </c>
      <c r="F944" s="15" t="s">
        <v>4604</v>
      </c>
      <c r="G944" s="15" t="s">
        <v>4603</v>
      </c>
      <c r="H944" s="15" t="s">
        <v>4605</v>
      </c>
      <c r="I944" s="15" t="s">
        <v>4478</v>
      </c>
    </row>
    <row r="945" spans="1:9" x14ac:dyDescent="0.15">
      <c r="A945" s="15" t="s">
        <v>4606</v>
      </c>
      <c r="B945" s="15"/>
      <c r="C945" s="15" t="s">
        <v>40</v>
      </c>
      <c r="D945" s="15" t="s">
        <v>41</v>
      </c>
      <c r="E945" s="15" t="s">
        <v>4607</v>
      </c>
      <c r="F945" s="15" t="s">
        <v>4609</v>
      </c>
      <c r="G945" s="15" t="s">
        <v>4608</v>
      </c>
      <c r="H945" s="15" t="s">
        <v>4610</v>
      </c>
      <c r="I945" s="15" t="s">
        <v>4478</v>
      </c>
    </row>
    <row r="946" spans="1:9" x14ac:dyDescent="0.15">
      <c r="A946" s="15" t="s">
        <v>4611</v>
      </c>
      <c r="B946" s="15"/>
      <c r="C946" s="15" t="s">
        <v>40</v>
      </c>
      <c r="D946" s="15" t="s">
        <v>41</v>
      </c>
      <c r="E946" s="15" t="s">
        <v>4612</v>
      </c>
      <c r="F946" s="15" t="s">
        <v>4613</v>
      </c>
      <c r="G946" s="15" t="s">
        <v>4524</v>
      </c>
      <c r="H946" s="15" t="s">
        <v>4614</v>
      </c>
      <c r="I946" s="15" t="s">
        <v>4478</v>
      </c>
    </row>
    <row r="947" spans="1:9" x14ac:dyDescent="0.15">
      <c r="A947" s="15" t="s">
        <v>4615</v>
      </c>
      <c r="B947" s="15"/>
      <c r="C947" s="15" t="s">
        <v>40</v>
      </c>
      <c r="D947" s="15" t="s">
        <v>41</v>
      </c>
      <c r="E947" s="15" t="s">
        <v>4616</v>
      </c>
      <c r="F947" s="15" t="s">
        <v>4618</v>
      </c>
      <c r="G947" s="15" t="s">
        <v>4617</v>
      </c>
      <c r="H947" s="15" t="s">
        <v>4619</v>
      </c>
      <c r="I947" s="15" t="s">
        <v>4478</v>
      </c>
    </row>
    <row r="948" spans="1:9" x14ac:dyDescent="0.15">
      <c r="A948" s="15" t="s">
        <v>4620</v>
      </c>
      <c r="B948" s="15"/>
      <c r="C948" s="15" t="s">
        <v>40</v>
      </c>
      <c r="D948" s="15" t="s">
        <v>41</v>
      </c>
      <c r="E948" s="15" t="s">
        <v>4621</v>
      </c>
      <c r="F948" s="15" t="s">
        <v>4623</v>
      </c>
      <c r="G948" s="15" t="s">
        <v>4622</v>
      </c>
      <c r="H948" s="15" t="s">
        <v>4624</v>
      </c>
      <c r="I948" s="15" t="s">
        <v>4478</v>
      </c>
    </row>
    <row r="949" spans="1:9" x14ac:dyDescent="0.15">
      <c r="A949" s="15" t="s">
        <v>4625</v>
      </c>
      <c r="B949" s="15"/>
      <c r="C949" s="15" t="s">
        <v>40</v>
      </c>
      <c r="D949" s="15" t="s">
        <v>41</v>
      </c>
      <c r="E949" s="15" t="s">
        <v>4626</v>
      </c>
      <c r="F949" s="15" t="s">
        <v>4628</v>
      </c>
      <c r="G949" s="15" t="s">
        <v>4627</v>
      </c>
      <c r="H949" s="15" t="s">
        <v>4629</v>
      </c>
      <c r="I949" s="15" t="s">
        <v>4478</v>
      </c>
    </row>
    <row r="950" spans="1:9" x14ac:dyDescent="0.15">
      <c r="A950" s="15" t="s">
        <v>4630</v>
      </c>
      <c r="B950" s="15"/>
      <c r="C950" s="15" t="s">
        <v>40</v>
      </c>
      <c r="D950" s="15" t="s">
        <v>41</v>
      </c>
      <c r="E950" s="15" t="s">
        <v>4631</v>
      </c>
      <c r="F950" s="15" t="s">
        <v>4632</v>
      </c>
      <c r="G950" s="15" t="s">
        <v>4539</v>
      </c>
      <c r="H950" s="15" t="s">
        <v>4633</v>
      </c>
      <c r="I950" s="15" t="s">
        <v>4478</v>
      </c>
    </row>
    <row r="951" spans="1:9" x14ac:dyDescent="0.15">
      <c r="A951" s="15" t="s">
        <v>4634</v>
      </c>
      <c r="B951" s="15"/>
      <c r="C951" s="15" t="s">
        <v>40</v>
      </c>
      <c r="D951" s="15" t="s">
        <v>41</v>
      </c>
      <c r="E951" s="15" t="s">
        <v>4635</v>
      </c>
      <c r="F951" s="15" t="s">
        <v>4637</v>
      </c>
      <c r="G951" s="15" t="s">
        <v>4636</v>
      </c>
      <c r="H951" s="15" t="s">
        <v>4638</v>
      </c>
      <c r="I951" s="15" t="s">
        <v>4478</v>
      </c>
    </row>
    <row r="952" spans="1:9" x14ac:dyDescent="0.15">
      <c r="A952" s="15" t="s">
        <v>4639</v>
      </c>
      <c r="B952" s="15"/>
      <c r="C952" s="15" t="s">
        <v>40</v>
      </c>
      <c r="D952" s="15" t="s">
        <v>41</v>
      </c>
      <c r="E952" s="15" t="s">
        <v>4640</v>
      </c>
      <c r="F952" s="15" t="s">
        <v>4642</v>
      </c>
      <c r="G952" s="15" t="s">
        <v>4641</v>
      </c>
      <c r="H952" s="15" t="s">
        <v>4643</v>
      </c>
      <c r="I952" s="15" t="s">
        <v>4478</v>
      </c>
    </row>
    <row r="953" spans="1:9" x14ac:dyDescent="0.15">
      <c r="A953" s="15" t="s">
        <v>4644</v>
      </c>
      <c r="B953" s="15"/>
      <c r="C953" s="15" t="s">
        <v>40</v>
      </c>
      <c r="D953" s="15" t="s">
        <v>41</v>
      </c>
      <c r="E953" s="15" t="s">
        <v>4645</v>
      </c>
      <c r="F953" s="15" t="s">
        <v>4647</v>
      </c>
      <c r="G953" s="15" t="s">
        <v>4646</v>
      </c>
      <c r="H953" s="15" t="s">
        <v>4648</v>
      </c>
      <c r="I953" s="15" t="s">
        <v>4478</v>
      </c>
    </row>
    <row r="954" spans="1:9" x14ac:dyDescent="0.15">
      <c r="A954" s="15" t="s">
        <v>4649</v>
      </c>
      <c r="B954" s="15"/>
      <c r="C954" s="15" t="s">
        <v>40</v>
      </c>
      <c r="D954" s="15" t="s">
        <v>41</v>
      </c>
      <c r="E954" s="15" t="s">
        <v>4650</v>
      </c>
      <c r="F954" s="15" t="s">
        <v>4652</v>
      </c>
      <c r="G954" s="15" t="s">
        <v>4651</v>
      </c>
      <c r="H954" s="15" t="s">
        <v>4653</v>
      </c>
      <c r="I954" s="15" t="s">
        <v>4478</v>
      </c>
    </row>
    <row r="955" spans="1:9" x14ac:dyDescent="0.15">
      <c r="A955" s="15" t="s">
        <v>4654</v>
      </c>
      <c r="B955" s="15"/>
      <c r="C955" s="15" t="s">
        <v>40</v>
      </c>
      <c r="D955" s="15" t="s">
        <v>41</v>
      </c>
      <c r="E955" s="15" t="s">
        <v>4655</v>
      </c>
      <c r="F955" s="15" t="s">
        <v>4656</v>
      </c>
      <c r="G955" s="15" t="s">
        <v>4524</v>
      </c>
      <c r="H955" s="15" t="s">
        <v>4657</v>
      </c>
      <c r="I955" s="15" t="s">
        <v>4478</v>
      </c>
    </row>
    <row r="956" spans="1:9" x14ac:dyDescent="0.15">
      <c r="A956" s="15" t="s">
        <v>4658</v>
      </c>
      <c r="B956" s="15"/>
      <c r="C956" s="15" t="s">
        <v>40</v>
      </c>
      <c r="D956" s="15" t="s">
        <v>41</v>
      </c>
      <c r="E956" s="15" t="s">
        <v>4659</v>
      </c>
      <c r="F956" s="15" t="s">
        <v>4661</v>
      </c>
      <c r="G956" s="15" t="s">
        <v>4660</v>
      </c>
      <c r="H956" s="15" t="s">
        <v>4662</v>
      </c>
      <c r="I956" s="15" t="s">
        <v>4478</v>
      </c>
    </row>
    <row r="957" spans="1:9" x14ac:dyDescent="0.15">
      <c r="A957" s="15" t="s">
        <v>4663</v>
      </c>
      <c r="B957" s="15"/>
      <c r="C957" s="15" t="s">
        <v>40</v>
      </c>
      <c r="D957" s="15" t="s">
        <v>41</v>
      </c>
      <c r="E957" s="15" t="s">
        <v>4664</v>
      </c>
      <c r="F957" s="15" t="s">
        <v>4666</v>
      </c>
      <c r="G957" s="15" t="s">
        <v>4665</v>
      </c>
      <c r="H957" s="15" t="s">
        <v>4667</v>
      </c>
      <c r="I957" s="15" t="s">
        <v>4478</v>
      </c>
    </row>
    <row r="958" spans="1:9" x14ac:dyDescent="0.15">
      <c r="A958" s="15" t="s">
        <v>4668</v>
      </c>
      <c r="B958" s="15"/>
      <c r="C958" s="15" t="s">
        <v>40</v>
      </c>
      <c r="D958" s="15" t="s">
        <v>41</v>
      </c>
      <c r="E958" s="15" t="s">
        <v>4669</v>
      </c>
      <c r="F958" s="15" t="s">
        <v>4670</v>
      </c>
      <c r="G958" s="15" t="s">
        <v>3508</v>
      </c>
      <c r="H958" s="15" t="s">
        <v>4671</v>
      </c>
      <c r="I958" s="15" t="s">
        <v>4672</v>
      </c>
    </row>
    <row r="959" spans="1:9" x14ac:dyDescent="0.15">
      <c r="A959" s="15" t="s">
        <v>4673</v>
      </c>
      <c r="B959" s="15"/>
      <c r="C959" s="15" t="s">
        <v>40</v>
      </c>
      <c r="D959" s="15" t="s">
        <v>41</v>
      </c>
      <c r="E959" s="15" t="s">
        <v>4674</v>
      </c>
      <c r="F959" s="15" t="s">
        <v>4676</v>
      </c>
      <c r="G959" s="15" t="s">
        <v>4675</v>
      </c>
      <c r="H959" s="15" t="s">
        <v>4677</v>
      </c>
      <c r="I959" s="15" t="s">
        <v>4672</v>
      </c>
    </row>
    <row r="960" spans="1:9" x14ac:dyDescent="0.15">
      <c r="A960" s="15" t="s">
        <v>4678</v>
      </c>
      <c r="B960" s="15"/>
      <c r="C960" s="15" t="s">
        <v>40</v>
      </c>
      <c r="D960" s="15" t="s">
        <v>41</v>
      </c>
      <c r="E960" s="15" t="s">
        <v>4679</v>
      </c>
      <c r="F960" s="15" t="s">
        <v>4681</v>
      </c>
      <c r="G960" s="15" t="s">
        <v>4680</v>
      </c>
      <c r="H960" s="15" t="s">
        <v>4682</v>
      </c>
      <c r="I960" s="15" t="s">
        <v>4672</v>
      </c>
    </row>
    <row r="961" spans="1:9" x14ac:dyDescent="0.15">
      <c r="A961" s="15" t="s">
        <v>4683</v>
      </c>
      <c r="B961" s="15"/>
      <c r="C961" s="15" t="s">
        <v>40</v>
      </c>
      <c r="D961" s="15" t="s">
        <v>41</v>
      </c>
      <c r="E961" s="15" t="s">
        <v>4684</v>
      </c>
      <c r="F961" s="15" t="s">
        <v>4686</v>
      </c>
      <c r="G961" s="15" t="s">
        <v>4685</v>
      </c>
      <c r="H961" s="15" t="s">
        <v>4687</v>
      </c>
      <c r="I961" s="15" t="s">
        <v>1658</v>
      </c>
    </row>
    <row r="962" spans="1:9" x14ac:dyDescent="0.15">
      <c r="A962" s="15" t="s">
        <v>4688</v>
      </c>
      <c r="B962" s="15"/>
      <c r="C962" s="15" t="s">
        <v>40</v>
      </c>
      <c r="D962" s="15" t="s">
        <v>41</v>
      </c>
      <c r="E962" s="15" t="s">
        <v>4689</v>
      </c>
      <c r="F962" s="15" t="s">
        <v>4690</v>
      </c>
      <c r="G962" s="15" t="s">
        <v>2815</v>
      </c>
      <c r="H962" s="15" t="s">
        <v>4691</v>
      </c>
      <c r="I962" s="15" t="s">
        <v>1658</v>
      </c>
    </row>
    <row r="963" spans="1:9" x14ac:dyDescent="0.15">
      <c r="A963" s="15" t="s">
        <v>4692</v>
      </c>
      <c r="B963" s="15"/>
      <c r="C963" s="15" t="s">
        <v>40</v>
      </c>
      <c r="D963" s="15" t="s">
        <v>41</v>
      </c>
      <c r="E963" s="15" t="s">
        <v>4693</v>
      </c>
      <c r="F963" s="15" t="s">
        <v>4694</v>
      </c>
      <c r="G963" s="15" t="s">
        <v>3173</v>
      </c>
      <c r="H963" s="15" t="s">
        <v>4695</v>
      </c>
      <c r="I963" s="15" t="s">
        <v>1658</v>
      </c>
    </row>
    <row r="964" spans="1:9" x14ac:dyDescent="0.15">
      <c r="A964" s="15" t="s">
        <v>4696</v>
      </c>
      <c r="B964" s="15"/>
      <c r="C964" s="15" t="s">
        <v>40</v>
      </c>
      <c r="D964" s="15" t="s">
        <v>41</v>
      </c>
      <c r="E964" s="15" t="s">
        <v>4697</v>
      </c>
      <c r="F964" s="15" t="s">
        <v>4699</v>
      </c>
      <c r="G964" s="15" t="s">
        <v>4698</v>
      </c>
      <c r="H964" s="15" t="s">
        <v>4700</v>
      </c>
      <c r="I964" s="15" t="s">
        <v>1658</v>
      </c>
    </row>
    <row r="965" spans="1:9" x14ac:dyDescent="0.15">
      <c r="A965" s="15" t="s">
        <v>4701</v>
      </c>
      <c r="B965" s="15"/>
      <c r="C965" s="15" t="s">
        <v>40</v>
      </c>
      <c r="D965" s="15" t="s">
        <v>41</v>
      </c>
      <c r="E965" s="15" t="s">
        <v>4702</v>
      </c>
      <c r="F965" s="15" t="s">
        <v>4704</v>
      </c>
      <c r="G965" s="15" t="s">
        <v>4703</v>
      </c>
      <c r="H965" s="15" t="s">
        <v>4705</v>
      </c>
      <c r="I965" s="15" t="s">
        <v>1658</v>
      </c>
    </row>
    <row r="966" spans="1:9" x14ac:dyDescent="0.15">
      <c r="A966" s="15" t="s">
        <v>4706</v>
      </c>
      <c r="B966" s="15"/>
      <c r="C966" s="15" t="s">
        <v>40</v>
      </c>
      <c r="D966" s="15" t="s">
        <v>41</v>
      </c>
      <c r="E966" s="15" t="s">
        <v>4707</v>
      </c>
      <c r="F966" s="15" t="s">
        <v>4709</v>
      </c>
      <c r="G966" s="15" t="s">
        <v>4708</v>
      </c>
      <c r="H966" s="15" t="s">
        <v>4710</v>
      </c>
      <c r="I966" s="15" t="s">
        <v>1658</v>
      </c>
    </row>
    <row r="967" spans="1:9" x14ac:dyDescent="0.15">
      <c r="A967" s="15" t="s">
        <v>4711</v>
      </c>
      <c r="B967" s="15"/>
      <c r="C967" s="15" t="s">
        <v>40</v>
      </c>
      <c r="D967" s="15" t="s">
        <v>41</v>
      </c>
      <c r="E967" s="15" t="s">
        <v>4712</v>
      </c>
      <c r="F967" s="15" t="s">
        <v>4714</v>
      </c>
      <c r="G967" s="15" t="s">
        <v>4713</v>
      </c>
      <c r="H967" s="15" t="s">
        <v>4715</v>
      </c>
      <c r="I967" s="15" t="s">
        <v>1658</v>
      </c>
    </row>
    <row r="968" spans="1:9" x14ac:dyDescent="0.15">
      <c r="A968" s="15" t="s">
        <v>4716</v>
      </c>
      <c r="B968" s="15"/>
      <c r="C968" s="15" t="s">
        <v>40</v>
      </c>
      <c r="D968" s="15" t="s">
        <v>41</v>
      </c>
      <c r="E968" s="15" t="s">
        <v>4717</v>
      </c>
      <c r="F968" s="15" t="s">
        <v>4719</v>
      </c>
      <c r="G968" s="15" t="s">
        <v>4718</v>
      </c>
      <c r="H968" s="15" t="s">
        <v>4720</v>
      </c>
      <c r="I968" s="15" t="s">
        <v>1658</v>
      </c>
    </row>
    <row r="969" spans="1:9" x14ac:dyDescent="0.15">
      <c r="A969" s="15" t="s">
        <v>4721</v>
      </c>
      <c r="B969" s="15"/>
      <c r="C969" s="15" t="s">
        <v>40</v>
      </c>
      <c r="D969" s="15" t="s">
        <v>41</v>
      </c>
      <c r="E969" s="15" t="s">
        <v>4722</v>
      </c>
      <c r="F969" s="15" t="s">
        <v>4724</v>
      </c>
      <c r="G969" s="15" t="s">
        <v>4723</v>
      </c>
      <c r="H969" s="15" t="s">
        <v>4725</v>
      </c>
      <c r="I969" s="15" t="s">
        <v>1658</v>
      </c>
    </row>
    <row r="970" spans="1:9" x14ac:dyDescent="0.15">
      <c r="A970" s="15" t="s">
        <v>4726</v>
      </c>
      <c r="B970" s="15"/>
      <c r="C970" s="15" t="s">
        <v>40</v>
      </c>
      <c r="D970" s="15" t="s">
        <v>41</v>
      </c>
      <c r="E970" s="15" t="s">
        <v>4727</v>
      </c>
      <c r="F970" s="15" t="s">
        <v>4729</v>
      </c>
      <c r="G970" s="15" t="s">
        <v>4728</v>
      </c>
      <c r="H970" s="15" t="s">
        <v>4730</v>
      </c>
      <c r="I970" s="15" t="s">
        <v>1658</v>
      </c>
    </row>
    <row r="971" spans="1:9" x14ac:dyDescent="0.15">
      <c r="A971" s="15" t="s">
        <v>4731</v>
      </c>
      <c r="B971" s="15"/>
      <c r="C971" s="15" t="s">
        <v>40</v>
      </c>
      <c r="D971" s="15" t="s">
        <v>41</v>
      </c>
      <c r="E971" s="15" t="s">
        <v>4732</v>
      </c>
      <c r="F971" s="15" t="s">
        <v>4734</v>
      </c>
      <c r="G971" s="15" t="s">
        <v>4733</v>
      </c>
      <c r="H971" s="15" t="s">
        <v>4735</v>
      </c>
      <c r="I971" s="15" t="s">
        <v>1658</v>
      </c>
    </row>
    <row r="972" spans="1:9" x14ac:dyDescent="0.15">
      <c r="A972" s="15" t="s">
        <v>4736</v>
      </c>
      <c r="B972" s="15"/>
      <c r="C972" s="15" t="s">
        <v>40</v>
      </c>
      <c r="D972" s="15" t="s">
        <v>41</v>
      </c>
      <c r="E972" s="15" t="s">
        <v>4737</v>
      </c>
      <c r="F972" s="15" t="s">
        <v>4739</v>
      </c>
      <c r="G972" s="15" t="s">
        <v>4738</v>
      </c>
      <c r="H972" s="15" t="s">
        <v>4740</v>
      </c>
      <c r="I972" s="15" t="s">
        <v>1658</v>
      </c>
    </row>
    <row r="973" spans="1:9" x14ac:dyDescent="0.15">
      <c r="A973" s="15" t="s">
        <v>4741</v>
      </c>
      <c r="B973" s="15"/>
      <c r="C973" s="15" t="s">
        <v>40</v>
      </c>
      <c r="D973" s="15" t="s">
        <v>41</v>
      </c>
      <c r="E973" s="15" t="s">
        <v>4742</v>
      </c>
      <c r="F973" s="15" t="s">
        <v>4744</v>
      </c>
      <c r="G973" s="15" t="s">
        <v>4743</v>
      </c>
      <c r="H973" s="15" t="s">
        <v>4745</v>
      </c>
      <c r="I973" s="15" t="s">
        <v>1658</v>
      </c>
    </row>
    <row r="974" spans="1:9" x14ac:dyDescent="0.15">
      <c r="A974" s="15" t="s">
        <v>4746</v>
      </c>
      <c r="B974" s="15"/>
      <c r="C974" s="15" t="s">
        <v>40</v>
      </c>
      <c r="D974" s="15" t="s">
        <v>41</v>
      </c>
      <c r="E974" s="15" t="s">
        <v>4747</v>
      </c>
      <c r="F974" s="15" t="s">
        <v>4749</v>
      </c>
      <c r="G974" s="15" t="s">
        <v>4748</v>
      </c>
      <c r="H974" s="15" t="s">
        <v>4750</v>
      </c>
      <c r="I974" s="15" t="s">
        <v>1658</v>
      </c>
    </row>
    <row r="975" spans="1:9" x14ac:dyDescent="0.15">
      <c r="A975" s="15" t="s">
        <v>4751</v>
      </c>
      <c r="B975" s="15"/>
      <c r="C975" s="15" t="s">
        <v>40</v>
      </c>
      <c r="D975" s="15" t="s">
        <v>41</v>
      </c>
      <c r="E975" s="15" t="s">
        <v>4752</v>
      </c>
      <c r="F975" s="15" t="s">
        <v>4754</v>
      </c>
      <c r="G975" s="15" t="s">
        <v>4753</v>
      </c>
      <c r="H975" s="15" t="s">
        <v>4755</v>
      </c>
      <c r="I975" s="15" t="s">
        <v>1658</v>
      </c>
    </row>
    <row r="976" spans="1:9" x14ac:dyDescent="0.15">
      <c r="A976" s="15" t="s">
        <v>4756</v>
      </c>
      <c r="B976" s="15"/>
      <c r="C976" s="15" t="s">
        <v>40</v>
      </c>
      <c r="D976" s="15" t="s">
        <v>41</v>
      </c>
      <c r="E976" s="15" t="s">
        <v>4757</v>
      </c>
      <c r="F976" s="15" t="s">
        <v>4758</v>
      </c>
      <c r="G976" s="15" t="s">
        <v>4708</v>
      </c>
      <c r="H976" s="15" t="s">
        <v>4759</v>
      </c>
      <c r="I976" s="15" t="s">
        <v>1658</v>
      </c>
    </row>
    <row r="977" spans="1:9" x14ac:dyDescent="0.15">
      <c r="A977" s="15" t="s">
        <v>4760</v>
      </c>
      <c r="B977" s="15"/>
      <c r="C977" s="15" t="s">
        <v>40</v>
      </c>
      <c r="D977" s="15" t="s">
        <v>41</v>
      </c>
      <c r="E977" s="15" t="s">
        <v>4761</v>
      </c>
      <c r="F977" s="15" t="s">
        <v>4762</v>
      </c>
      <c r="G977" s="15" t="s">
        <v>1790</v>
      </c>
      <c r="H977" s="15" t="s">
        <v>4763</v>
      </c>
      <c r="I977" s="15" t="s">
        <v>1658</v>
      </c>
    </row>
    <row r="978" spans="1:9" x14ac:dyDescent="0.15">
      <c r="A978" s="15" t="s">
        <v>4764</v>
      </c>
      <c r="B978" s="15"/>
      <c r="C978" s="15" t="s">
        <v>40</v>
      </c>
      <c r="D978" s="15" t="s">
        <v>41</v>
      </c>
      <c r="E978" s="15" t="s">
        <v>4765</v>
      </c>
      <c r="F978" s="15" t="s">
        <v>4767</v>
      </c>
      <c r="G978" s="15" t="s">
        <v>4766</v>
      </c>
      <c r="H978" s="15" t="s">
        <v>4768</v>
      </c>
      <c r="I978" s="15" t="s">
        <v>1658</v>
      </c>
    </row>
    <row r="979" spans="1:9" x14ac:dyDescent="0.15">
      <c r="A979" s="15" t="s">
        <v>4769</v>
      </c>
      <c r="B979" s="15"/>
      <c r="C979" s="15" t="s">
        <v>40</v>
      </c>
      <c r="D979" s="15" t="s">
        <v>41</v>
      </c>
      <c r="E979" s="15" t="s">
        <v>4770</v>
      </c>
      <c r="F979" s="15" t="s">
        <v>4772</v>
      </c>
      <c r="G979" s="15" t="s">
        <v>4771</v>
      </c>
      <c r="H979" s="15" t="s">
        <v>4773</v>
      </c>
      <c r="I979" s="15" t="s">
        <v>1658</v>
      </c>
    </row>
    <row r="980" spans="1:9" x14ac:dyDescent="0.15">
      <c r="A980" s="15" t="s">
        <v>4774</v>
      </c>
      <c r="B980" s="15"/>
      <c r="C980" s="15" t="s">
        <v>40</v>
      </c>
      <c r="D980" s="15" t="s">
        <v>41</v>
      </c>
      <c r="E980" s="15" t="s">
        <v>4775</v>
      </c>
      <c r="F980" s="15" t="s">
        <v>4777</v>
      </c>
      <c r="G980" s="15" t="s">
        <v>4776</v>
      </c>
      <c r="H980" s="15" t="s">
        <v>4778</v>
      </c>
      <c r="I980" s="15" t="s">
        <v>1658</v>
      </c>
    </row>
    <row r="981" spans="1:9" x14ac:dyDescent="0.15">
      <c r="A981" s="15" t="s">
        <v>4779</v>
      </c>
      <c r="B981" s="15"/>
      <c r="C981" s="15" t="s">
        <v>40</v>
      </c>
      <c r="D981" s="15" t="s">
        <v>41</v>
      </c>
      <c r="E981" s="15" t="s">
        <v>4780</v>
      </c>
      <c r="F981" s="15" t="s">
        <v>4781</v>
      </c>
      <c r="G981" s="15" t="s">
        <v>3867</v>
      </c>
      <c r="H981" s="15" t="s">
        <v>4782</v>
      </c>
      <c r="I981" s="15" t="s">
        <v>1658</v>
      </c>
    </row>
    <row r="982" spans="1:9" x14ac:dyDescent="0.15">
      <c r="A982" s="15" t="s">
        <v>4783</v>
      </c>
      <c r="B982" s="15"/>
      <c r="C982" s="15" t="s">
        <v>40</v>
      </c>
      <c r="D982" s="15" t="s">
        <v>41</v>
      </c>
      <c r="E982" s="15" t="s">
        <v>4784</v>
      </c>
      <c r="F982" s="15" t="s">
        <v>4786</v>
      </c>
      <c r="G982" s="15" t="s">
        <v>4785</v>
      </c>
      <c r="H982" s="15" t="s">
        <v>4787</v>
      </c>
      <c r="I982" s="15" t="s">
        <v>1658</v>
      </c>
    </row>
    <row r="983" spans="1:9" x14ac:dyDescent="0.15">
      <c r="A983" s="15" t="s">
        <v>4788</v>
      </c>
      <c r="B983" s="15"/>
      <c r="C983" s="15" t="s">
        <v>40</v>
      </c>
      <c r="D983" s="15" t="s">
        <v>41</v>
      </c>
      <c r="E983" s="15" t="s">
        <v>4789</v>
      </c>
      <c r="F983" s="15" t="s">
        <v>4791</v>
      </c>
      <c r="G983" s="15" t="s">
        <v>4790</v>
      </c>
      <c r="H983" s="15" t="s">
        <v>4792</v>
      </c>
      <c r="I983" s="15" t="s">
        <v>1658</v>
      </c>
    </row>
    <row r="984" spans="1:9" x14ac:dyDescent="0.15">
      <c r="A984" s="15" t="s">
        <v>4793</v>
      </c>
      <c r="B984" s="15"/>
      <c r="C984" s="15" t="s">
        <v>40</v>
      </c>
      <c r="D984" s="15" t="s">
        <v>41</v>
      </c>
      <c r="E984" s="15" t="s">
        <v>4794</v>
      </c>
      <c r="F984" s="15" t="s">
        <v>4796</v>
      </c>
      <c r="G984" s="15" t="s">
        <v>4795</v>
      </c>
      <c r="H984" s="15" t="s">
        <v>4797</v>
      </c>
      <c r="I984" s="15" t="s">
        <v>1658</v>
      </c>
    </row>
    <row r="985" spans="1:9" x14ac:dyDescent="0.15">
      <c r="A985" s="15" t="s">
        <v>4798</v>
      </c>
      <c r="B985" s="15"/>
      <c r="C985" s="15" t="s">
        <v>40</v>
      </c>
      <c r="D985" s="15" t="s">
        <v>41</v>
      </c>
      <c r="E985" s="15" t="s">
        <v>4799</v>
      </c>
      <c r="F985" s="15" t="s">
        <v>4801</v>
      </c>
      <c r="G985" s="15" t="s">
        <v>4800</v>
      </c>
      <c r="H985" s="15" t="s">
        <v>4802</v>
      </c>
      <c r="I985" s="15" t="s">
        <v>1658</v>
      </c>
    </row>
    <row r="986" spans="1:9" x14ac:dyDescent="0.15">
      <c r="A986" s="15" t="s">
        <v>4803</v>
      </c>
      <c r="B986" s="15"/>
      <c r="C986" s="15" t="s">
        <v>40</v>
      </c>
      <c r="D986" s="15" t="s">
        <v>41</v>
      </c>
      <c r="E986" s="15" t="s">
        <v>4804</v>
      </c>
      <c r="F986" s="15" t="s">
        <v>4806</v>
      </c>
      <c r="G986" s="15" t="s">
        <v>4805</v>
      </c>
      <c r="H986" s="15" t="s">
        <v>4807</v>
      </c>
      <c r="I986" s="15" t="s">
        <v>1658</v>
      </c>
    </row>
    <row r="987" spans="1:9" x14ac:dyDescent="0.15">
      <c r="A987" s="15" t="s">
        <v>4808</v>
      </c>
      <c r="B987" s="15"/>
      <c r="C987" s="15" t="s">
        <v>40</v>
      </c>
      <c r="D987" s="15" t="s">
        <v>41</v>
      </c>
      <c r="E987" s="15" t="s">
        <v>4809</v>
      </c>
      <c r="F987" s="15" t="s">
        <v>4811</v>
      </c>
      <c r="G987" s="15" t="s">
        <v>4810</v>
      </c>
      <c r="H987" s="15" t="s">
        <v>4812</v>
      </c>
      <c r="I987" s="15" t="s">
        <v>1658</v>
      </c>
    </row>
    <row r="988" spans="1:9" x14ac:dyDescent="0.15">
      <c r="A988" s="15" t="s">
        <v>4813</v>
      </c>
      <c r="B988" s="15"/>
      <c r="C988" s="15" t="s">
        <v>40</v>
      </c>
      <c r="D988" s="15" t="s">
        <v>41</v>
      </c>
      <c r="E988" s="15" t="s">
        <v>4814</v>
      </c>
      <c r="F988" s="15" t="s">
        <v>4816</v>
      </c>
      <c r="G988" s="15" t="s">
        <v>4815</v>
      </c>
      <c r="H988" s="15" t="s">
        <v>4817</v>
      </c>
      <c r="I988" s="15" t="s">
        <v>1658</v>
      </c>
    </row>
    <row r="989" spans="1:9" x14ac:dyDescent="0.15">
      <c r="A989" s="15" t="s">
        <v>4818</v>
      </c>
      <c r="B989" s="15"/>
      <c r="C989" s="15" t="s">
        <v>40</v>
      </c>
      <c r="D989" s="15" t="s">
        <v>41</v>
      </c>
      <c r="E989" s="15" t="s">
        <v>4819</v>
      </c>
      <c r="F989" s="15" t="s">
        <v>4821</v>
      </c>
      <c r="G989" s="15" t="s">
        <v>4820</v>
      </c>
      <c r="H989" s="15" t="s">
        <v>4822</v>
      </c>
      <c r="I989" s="15" t="s">
        <v>1658</v>
      </c>
    </row>
    <row r="990" spans="1:9" x14ac:dyDescent="0.15">
      <c r="A990" s="15" t="s">
        <v>4823</v>
      </c>
      <c r="B990" s="15"/>
      <c r="C990" s="15" t="s">
        <v>40</v>
      </c>
      <c r="D990" s="15" t="s">
        <v>41</v>
      </c>
      <c r="E990" s="15" t="s">
        <v>4824</v>
      </c>
      <c r="F990" s="15" t="s">
        <v>4826</v>
      </c>
      <c r="G990" s="15" t="s">
        <v>4825</v>
      </c>
      <c r="H990" s="15" t="s">
        <v>4827</v>
      </c>
      <c r="I990" s="15" t="s">
        <v>1658</v>
      </c>
    </row>
    <row r="991" spans="1:9" x14ac:dyDescent="0.15">
      <c r="A991" s="15" t="s">
        <v>4828</v>
      </c>
      <c r="B991" s="15"/>
      <c r="C991" s="15" t="s">
        <v>40</v>
      </c>
      <c r="D991" s="15" t="s">
        <v>41</v>
      </c>
      <c r="E991" s="15" t="s">
        <v>4829</v>
      </c>
      <c r="F991" s="15" t="s">
        <v>4831</v>
      </c>
      <c r="G991" s="15" t="s">
        <v>4830</v>
      </c>
      <c r="H991" s="15" t="s">
        <v>4832</v>
      </c>
      <c r="I991" s="15" t="s">
        <v>1658</v>
      </c>
    </row>
    <row r="992" spans="1:9" x14ac:dyDescent="0.15">
      <c r="A992" s="15" t="s">
        <v>4833</v>
      </c>
      <c r="B992" s="15"/>
      <c r="C992" s="15" t="s">
        <v>40</v>
      </c>
      <c r="D992" s="15" t="s">
        <v>41</v>
      </c>
      <c r="E992" s="15" t="s">
        <v>4834</v>
      </c>
      <c r="F992" s="15" t="s">
        <v>4836</v>
      </c>
      <c r="G992" s="15" t="s">
        <v>4835</v>
      </c>
      <c r="H992" s="15" t="s">
        <v>4837</v>
      </c>
      <c r="I992" s="15" t="s">
        <v>1658</v>
      </c>
    </row>
    <row r="993" spans="1:9" x14ac:dyDescent="0.15">
      <c r="A993" s="15" t="s">
        <v>4838</v>
      </c>
      <c r="B993" s="15"/>
      <c r="C993" s="15" t="s">
        <v>40</v>
      </c>
      <c r="D993" s="15" t="s">
        <v>41</v>
      </c>
      <c r="E993" s="15" t="s">
        <v>4839</v>
      </c>
      <c r="F993" s="15" t="s">
        <v>4841</v>
      </c>
      <c r="G993" s="15" t="s">
        <v>4840</v>
      </c>
      <c r="H993" s="15" t="s">
        <v>4842</v>
      </c>
      <c r="I993" s="15" t="s">
        <v>1658</v>
      </c>
    </row>
    <row r="994" spans="1:9" x14ac:dyDescent="0.15">
      <c r="A994" s="15" t="s">
        <v>4843</v>
      </c>
      <c r="B994" s="15"/>
      <c r="C994" s="15" t="s">
        <v>40</v>
      </c>
      <c r="D994" s="15" t="s">
        <v>41</v>
      </c>
      <c r="E994" s="15" t="s">
        <v>4844</v>
      </c>
      <c r="F994" s="15" t="s">
        <v>4846</v>
      </c>
      <c r="G994" s="15" t="s">
        <v>4845</v>
      </c>
      <c r="H994" s="15" t="s">
        <v>4847</v>
      </c>
      <c r="I994" s="15" t="s">
        <v>1658</v>
      </c>
    </row>
    <row r="995" spans="1:9" x14ac:dyDescent="0.15">
      <c r="A995" s="15" t="s">
        <v>4848</v>
      </c>
      <c r="B995" s="15"/>
      <c r="C995" s="15" t="s">
        <v>40</v>
      </c>
      <c r="D995" s="15" t="s">
        <v>41</v>
      </c>
      <c r="E995" s="15" t="s">
        <v>4849</v>
      </c>
      <c r="F995" s="15" t="s">
        <v>4851</v>
      </c>
      <c r="G995" s="15" t="s">
        <v>4850</v>
      </c>
      <c r="H995" s="15" t="s">
        <v>4852</v>
      </c>
      <c r="I995" s="15" t="s">
        <v>1658</v>
      </c>
    </row>
    <row r="996" spans="1:9" x14ac:dyDescent="0.15">
      <c r="A996" s="15" t="s">
        <v>4853</v>
      </c>
      <c r="B996" s="15"/>
      <c r="C996" s="15" t="s">
        <v>40</v>
      </c>
      <c r="D996" s="15" t="s">
        <v>41</v>
      </c>
      <c r="E996" s="15" t="s">
        <v>4854</v>
      </c>
      <c r="F996" s="15" t="s">
        <v>4856</v>
      </c>
      <c r="G996" s="15" t="s">
        <v>4855</v>
      </c>
      <c r="H996" s="15" t="s">
        <v>4857</v>
      </c>
      <c r="I996" s="15" t="s">
        <v>1658</v>
      </c>
    </row>
    <row r="997" spans="1:9" x14ac:dyDescent="0.15">
      <c r="A997" s="15" t="s">
        <v>4858</v>
      </c>
      <c r="B997" s="15"/>
      <c r="C997" s="15" t="s">
        <v>40</v>
      </c>
      <c r="D997" s="15" t="s">
        <v>41</v>
      </c>
      <c r="E997" s="15" t="s">
        <v>4859</v>
      </c>
      <c r="F997" s="15" t="s">
        <v>4860</v>
      </c>
      <c r="G997" s="15" t="s">
        <v>4855</v>
      </c>
      <c r="H997" s="15" t="s">
        <v>4861</v>
      </c>
      <c r="I997" s="15" t="s">
        <v>1658</v>
      </c>
    </row>
    <row r="998" spans="1:9" x14ac:dyDescent="0.15">
      <c r="A998" s="15" t="s">
        <v>4862</v>
      </c>
      <c r="B998" s="15"/>
      <c r="C998" s="15" t="s">
        <v>40</v>
      </c>
      <c r="D998" s="15" t="s">
        <v>41</v>
      </c>
      <c r="E998" s="15" t="s">
        <v>4863</v>
      </c>
      <c r="F998" s="15" t="s">
        <v>4865</v>
      </c>
      <c r="G998" s="15" t="s">
        <v>4864</v>
      </c>
      <c r="H998" s="15" t="s">
        <v>4866</v>
      </c>
      <c r="I998" s="15" t="s">
        <v>1658</v>
      </c>
    </row>
    <row r="999" spans="1:9" x14ac:dyDescent="0.15">
      <c r="A999" s="15" t="s">
        <v>4867</v>
      </c>
      <c r="B999" s="15"/>
      <c r="C999" s="15" t="s">
        <v>40</v>
      </c>
      <c r="D999" s="15" t="s">
        <v>41</v>
      </c>
      <c r="E999" s="15" t="s">
        <v>4868</v>
      </c>
      <c r="F999" s="15" t="s">
        <v>4870</v>
      </c>
      <c r="G999" s="15" t="s">
        <v>4869</v>
      </c>
      <c r="H999" s="15" t="s">
        <v>4871</v>
      </c>
      <c r="I999" s="15" t="s">
        <v>1658</v>
      </c>
    </row>
    <row r="1000" spans="1:9" x14ac:dyDescent="0.15">
      <c r="A1000" s="15" t="s">
        <v>4872</v>
      </c>
      <c r="B1000" s="15"/>
      <c r="C1000" s="15" t="s">
        <v>40</v>
      </c>
      <c r="D1000" s="15" t="s">
        <v>41</v>
      </c>
      <c r="E1000" s="15" t="s">
        <v>4873</v>
      </c>
      <c r="F1000" s="15" t="s">
        <v>4875</v>
      </c>
      <c r="G1000" s="15" t="s">
        <v>4874</v>
      </c>
      <c r="H1000" s="15" t="s">
        <v>4876</v>
      </c>
      <c r="I1000" s="15" t="s">
        <v>346</v>
      </c>
    </row>
    <row r="1001" spans="1:9" x14ac:dyDescent="0.15">
      <c r="A1001" s="15" t="s">
        <v>4877</v>
      </c>
      <c r="B1001" s="15"/>
      <c r="C1001" s="15" t="s">
        <v>40</v>
      </c>
      <c r="D1001" s="15" t="s">
        <v>41</v>
      </c>
      <c r="E1001" s="15" t="s">
        <v>4878</v>
      </c>
      <c r="F1001" s="15" t="s">
        <v>4880</v>
      </c>
      <c r="G1001" s="15" t="s">
        <v>4879</v>
      </c>
      <c r="H1001" s="15" t="s">
        <v>4881</v>
      </c>
      <c r="I1001" s="15" t="s">
        <v>416</v>
      </c>
    </row>
    <row r="1002" spans="1:9" x14ac:dyDescent="0.15">
      <c r="A1002" s="15" t="s">
        <v>4882</v>
      </c>
      <c r="B1002" s="15"/>
      <c r="C1002" s="15" t="s">
        <v>40</v>
      </c>
      <c r="D1002" s="15" t="s">
        <v>41</v>
      </c>
      <c r="E1002" s="15" t="s">
        <v>4883</v>
      </c>
      <c r="F1002" s="15" t="s">
        <v>4884</v>
      </c>
      <c r="G1002" s="15" t="s">
        <v>2163</v>
      </c>
      <c r="H1002" s="15" t="s">
        <v>4885</v>
      </c>
      <c r="I1002" s="15" t="s">
        <v>416</v>
      </c>
    </row>
    <row r="1003" spans="1:9" x14ac:dyDescent="0.15">
      <c r="A1003" s="15" t="s">
        <v>4886</v>
      </c>
      <c r="B1003" s="15"/>
      <c r="C1003" s="15" t="s">
        <v>40</v>
      </c>
      <c r="D1003" s="15" t="s">
        <v>41</v>
      </c>
      <c r="E1003" s="15" t="s">
        <v>4887</v>
      </c>
      <c r="F1003" s="15" t="s">
        <v>4889</v>
      </c>
      <c r="G1003" s="15" t="s">
        <v>4888</v>
      </c>
      <c r="H1003" s="15" t="s">
        <v>4890</v>
      </c>
      <c r="I1003" s="15" t="s">
        <v>416</v>
      </c>
    </row>
    <row r="1004" spans="1:9" x14ac:dyDescent="0.15">
      <c r="A1004" s="15" t="s">
        <v>4891</v>
      </c>
      <c r="B1004" s="15"/>
      <c r="C1004" s="15" t="s">
        <v>40</v>
      </c>
      <c r="D1004" s="15" t="s">
        <v>41</v>
      </c>
      <c r="E1004" s="15" t="s">
        <v>4892</v>
      </c>
      <c r="F1004" s="15" t="s">
        <v>4894</v>
      </c>
      <c r="G1004" s="15" t="s">
        <v>4893</v>
      </c>
      <c r="H1004" s="15" t="s">
        <v>4895</v>
      </c>
      <c r="I1004" s="15" t="s">
        <v>416</v>
      </c>
    </row>
    <row r="1005" spans="1:9" x14ac:dyDescent="0.15">
      <c r="A1005" s="15" t="s">
        <v>4896</v>
      </c>
      <c r="B1005" s="15"/>
      <c r="C1005" s="15" t="s">
        <v>40</v>
      </c>
      <c r="D1005" s="15" t="s">
        <v>41</v>
      </c>
      <c r="E1005" s="15" t="s">
        <v>4897</v>
      </c>
      <c r="F1005" s="15" t="s">
        <v>4899</v>
      </c>
      <c r="G1005" s="15" t="s">
        <v>4898</v>
      </c>
      <c r="H1005" s="15" t="s">
        <v>4900</v>
      </c>
      <c r="I1005" s="15" t="s">
        <v>416</v>
      </c>
    </row>
    <row r="1006" spans="1:9" x14ac:dyDescent="0.15">
      <c r="A1006" s="15" t="s">
        <v>4901</v>
      </c>
      <c r="B1006" s="15"/>
      <c r="C1006" s="15" t="s">
        <v>40</v>
      </c>
      <c r="D1006" s="15" t="s">
        <v>41</v>
      </c>
      <c r="E1006" s="15" t="s">
        <v>4902</v>
      </c>
      <c r="F1006" s="15" t="s">
        <v>4904</v>
      </c>
      <c r="G1006" s="15" t="s">
        <v>4903</v>
      </c>
      <c r="H1006" s="15" t="s">
        <v>4905</v>
      </c>
      <c r="I1006" s="15" t="s">
        <v>416</v>
      </c>
    </row>
    <row r="1007" spans="1:9" x14ac:dyDescent="0.15">
      <c r="A1007" s="15" t="s">
        <v>4906</v>
      </c>
      <c r="B1007" s="15"/>
      <c r="C1007" s="15" t="s">
        <v>40</v>
      </c>
      <c r="D1007" s="15" t="s">
        <v>41</v>
      </c>
      <c r="E1007" s="15" t="s">
        <v>4907</v>
      </c>
      <c r="F1007" s="15" t="s">
        <v>4909</v>
      </c>
      <c r="G1007" s="15" t="s">
        <v>4908</v>
      </c>
      <c r="H1007" s="15" t="s">
        <v>4910</v>
      </c>
      <c r="I1007" s="15" t="s">
        <v>416</v>
      </c>
    </row>
    <row r="1008" spans="1:9" x14ac:dyDescent="0.15">
      <c r="A1008" s="15" t="s">
        <v>4911</v>
      </c>
      <c r="B1008" s="15"/>
      <c r="C1008" s="15" t="s">
        <v>40</v>
      </c>
      <c r="D1008" s="15" t="s">
        <v>41</v>
      </c>
      <c r="E1008" s="15" t="s">
        <v>4912</v>
      </c>
      <c r="F1008" s="15" t="s">
        <v>4913</v>
      </c>
      <c r="G1008" s="15" t="s">
        <v>3025</v>
      </c>
      <c r="H1008" s="15" t="s">
        <v>4914</v>
      </c>
      <c r="I1008" s="15" t="s">
        <v>416</v>
      </c>
    </row>
    <row r="1009" spans="1:9" x14ac:dyDescent="0.15">
      <c r="A1009" s="15" t="s">
        <v>4915</v>
      </c>
      <c r="B1009" s="15"/>
      <c r="C1009" s="15" t="s">
        <v>40</v>
      </c>
      <c r="D1009" s="15" t="s">
        <v>41</v>
      </c>
      <c r="E1009" s="15" t="s">
        <v>4916</v>
      </c>
      <c r="F1009" s="15" t="s">
        <v>4918</v>
      </c>
      <c r="G1009" s="15" t="s">
        <v>4917</v>
      </c>
      <c r="H1009" s="15" t="s">
        <v>4919</v>
      </c>
      <c r="I1009" s="15" t="s">
        <v>416</v>
      </c>
    </row>
    <row r="1010" spans="1:9" x14ac:dyDescent="0.15">
      <c r="A1010" s="15" t="s">
        <v>4920</v>
      </c>
      <c r="B1010" s="15"/>
      <c r="C1010" s="15" t="s">
        <v>40</v>
      </c>
      <c r="D1010" s="15" t="s">
        <v>41</v>
      </c>
      <c r="E1010" s="15" t="s">
        <v>4921</v>
      </c>
      <c r="F1010" s="15" t="s">
        <v>4923</v>
      </c>
      <c r="G1010" s="15" t="s">
        <v>4922</v>
      </c>
      <c r="H1010" s="15" t="s">
        <v>4924</v>
      </c>
      <c r="I1010" s="15" t="s">
        <v>416</v>
      </c>
    </row>
    <row r="1011" spans="1:9" x14ac:dyDescent="0.15">
      <c r="A1011" s="15" t="s">
        <v>4925</v>
      </c>
      <c r="B1011" s="15"/>
      <c r="C1011" s="15" t="s">
        <v>40</v>
      </c>
      <c r="D1011" s="15" t="s">
        <v>41</v>
      </c>
      <c r="E1011" s="15" t="s">
        <v>4926</v>
      </c>
      <c r="F1011" s="15" t="s">
        <v>4928</v>
      </c>
      <c r="G1011" s="15" t="s">
        <v>4927</v>
      </c>
      <c r="H1011" s="15" t="s">
        <v>4929</v>
      </c>
      <c r="I1011" s="15" t="s">
        <v>416</v>
      </c>
    </row>
    <row r="1012" spans="1:9" x14ac:dyDescent="0.15">
      <c r="A1012" s="15" t="s">
        <v>4930</v>
      </c>
      <c r="B1012" s="15"/>
      <c r="C1012" s="15" t="s">
        <v>40</v>
      </c>
      <c r="D1012" s="15" t="s">
        <v>41</v>
      </c>
      <c r="E1012" s="15" t="s">
        <v>4931</v>
      </c>
      <c r="F1012" s="15" t="s">
        <v>4932</v>
      </c>
      <c r="G1012" s="15" t="s">
        <v>3011</v>
      </c>
      <c r="H1012" s="15" t="s">
        <v>4933</v>
      </c>
      <c r="I1012" s="15" t="s">
        <v>416</v>
      </c>
    </row>
    <row r="1013" spans="1:9" x14ac:dyDescent="0.15">
      <c r="A1013" s="15" t="s">
        <v>4934</v>
      </c>
      <c r="B1013" s="15"/>
      <c r="C1013" s="15" t="s">
        <v>40</v>
      </c>
      <c r="D1013" s="15" t="s">
        <v>41</v>
      </c>
      <c r="E1013" s="15" t="s">
        <v>4935</v>
      </c>
      <c r="F1013" s="15" t="s">
        <v>4937</v>
      </c>
      <c r="G1013" s="15" t="s">
        <v>4936</v>
      </c>
      <c r="H1013" s="15" t="s">
        <v>4938</v>
      </c>
      <c r="I1013" s="15" t="s">
        <v>416</v>
      </c>
    </row>
    <row r="1014" spans="1:9" x14ac:dyDescent="0.15">
      <c r="A1014" s="15" t="s">
        <v>4939</v>
      </c>
      <c r="B1014" s="15"/>
      <c r="C1014" s="15" t="s">
        <v>40</v>
      </c>
      <c r="D1014" s="15" t="s">
        <v>41</v>
      </c>
      <c r="E1014" s="15" t="s">
        <v>4940</v>
      </c>
      <c r="F1014" s="15" t="s">
        <v>4942</v>
      </c>
      <c r="G1014" s="15" t="s">
        <v>4941</v>
      </c>
      <c r="H1014" s="15" t="s">
        <v>4943</v>
      </c>
      <c r="I1014" s="15" t="s">
        <v>4944</v>
      </c>
    </row>
    <row r="1015" spans="1:9" x14ac:dyDescent="0.15">
      <c r="A1015" s="15" t="s">
        <v>4945</v>
      </c>
      <c r="B1015" s="15"/>
      <c r="C1015" s="15" t="s">
        <v>40</v>
      </c>
      <c r="D1015" s="15" t="s">
        <v>41</v>
      </c>
      <c r="E1015" s="15" t="s">
        <v>4946</v>
      </c>
      <c r="F1015" s="15" t="s">
        <v>52</v>
      </c>
      <c r="G1015" s="15" t="s">
        <v>4947</v>
      </c>
      <c r="H1015" s="15" t="s">
        <v>4948</v>
      </c>
      <c r="I1015" s="15" t="s">
        <v>4944</v>
      </c>
    </row>
    <row r="1016" spans="1:9" x14ac:dyDescent="0.15">
      <c r="A1016" s="15" t="s">
        <v>4949</v>
      </c>
      <c r="B1016" s="15"/>
      <c r="C1016" s="15" t="s">
        <v>40</v>
      </c>
      <c r="D1016" s="15" t="s">
        <v>41</v>
      </c>
      <c r="E1016" s="15" t="s">
        <v>4950</v>
      </c>
      <c r="F1016" s="15" t="s">
        <v>4952</v>
      </c>
      <c r="G1016" s="15" t="s">
        <v>4951</v>
      </c>
      <c r="H1016" s="15" t="s">
        <v>4953</v>
      </c>
      <c r="I1016" s="15" t="s">
        <v>4944</v>
      </c>
    </row>
    <row r="1017" spans="1:9" x14ac:dyDescent="0.15">
      <c r="A1017" s="15" t="s">
        <v>4954</v>
      </c>
      <c r="B1017" s="15"/>
      <c r="C1017" s="15" t="s">
        <v>40</v>
      </c>
      <c r="D1017" s="15" t="s">
        <v>41</v>
      </c>
      <c r="E1017" s="15" t="s">
        <v>4955</v>
      </c>
      <c r="F1017" s="15" t="s">
        <v>4957</v>
      </c>
      <c r="G1017" s="15" t="s">
        <v>4956</v>
      </c>
      <c r="H1017" s="15" t="s">
        <v>4958</v>
      </c>
      <c r="I1017" s="15" t="s">
        <v>4944</v>
      </c>
    </row>
    <row r="1018" spans="1:9" x14ac:dyDescent="0.15">
      <c r="A1018" s="15" t="s">
        <v>4959</v>
      </c>
      <c r="B1018" s="15"/>
      <c r="C1018" s="15" t="s">
        <v>40</v>
      </c>
      <c r="D1018" s="15" t="s">
        <v>41</v>
      </c>
      <c r="E1018" s="15" t="s">
        <v>4960</v>
      </c>
      <c r="F1018" s="15" t="s">
        <v>52</v>
      </c>
      <c r="G1018" s="15" t="s">
        <v>4961</v>
      </c>
      <c r="H1018" s="15" t="s">
        <v>4962</v>
      </c>
      <c r="I1018" s="15" t="s">
        <v>4944</v>
      </c>
    </row>
    <row r="1019" spans="1:9" x14ac:dyDescent="0.15">
      <c r="A1019" s="15" t="s">
        <v>4963</v>
      </c>
      <c r="B1019" s="15"/>
      <c r="C1019" s="15" t="s">
        <v>40</v>
      </c>
      <c r="D1019" s="15" t="s">
        <v>41</v>
      </c>
      <c r="E1019" s="15" t="s">
        <v>4964</v>
      </c>
      <c r="F1019" s="15" t="s">
        <v>4966</v>
      </c>
      <c r="G1019" s="15" t="s">
        <v>4965</v>
      </c>
      <c r="H1019" s="15" t="s">
        <v>4967</v>
      </c>
      <c r="I1019" s="15" t="s">
        <v>4944</v>
      </c>
    </row>
    <row r="1020" spans="1:9" x14ac:dyDescent="0.15">
      <c r="A1020" s="15" t="s">
        <v>4968</v>
      </c>
      <c r="B1020" s="15"/>
      <c r="C1020" s="15" t="s">
        <v>40</v>
      </c>
      <c r="D1020" s="15" t="s">
        <v>41</v>
      </c>
      <c r="E1020" s="15" t="s">
        <v>4969</v>
      </c>
      <c r="F1020" s="15" t="s">
        <v>4971</v>
      </c>
      <c r="G1020" s="15" t="s">
        <v>4970</v>
      </c>
      <c r="H1020" s="15" t="s">
        <v>4972</v>
      </c>
      <c r="I1020" s="15" t="s">
        <v>4944</v>
      </c>
    </row>
    <row r="1021" spans="1:9" x14ac:dyDescent="0.15">
      <c r="A1021" s="15" t="s">
        <v>4973</v>
      </c>
      <c r="B1021" s="15"/>
      <c r="C1021" s="15" t="s">
        <v>40</v>
      </c>
      <c r="D1021" s="15" t="s">
        <v>41</v>
      </c>
      <c r="E1021" s="15" t="s">
        <v>4974</v>
      </c>
      <c r="F1021" s="15" t="s">
        <v>4976</v>
      </c>
      <c r="G1021" s="15" t="s">
        <v>4975</v>
      </c>
      <c r="H1021" s="15" t="s">
        <v>4977</v>
      </c>
      <c r="I1021" s="15" t="s">
        <v>4944</v>
      </c>
    </row>
    <row r="1022" spans="1:9" x14ac:dyDescent="0.15">
      <c r="A1022" s="15" t="s">
        <v>4978</v>
      </c>
      <c r="B1022" s="15"/>
      <c r="C1022" s="15" t="s">
        <v>40</v>
      </c>
      <c r="D1022" s="15" t="s">
        <v>41</v>
      </c>
      <c r="E1022" s="15" t="s">
        <v>4979</v>
      </c>
      <c r="F1022" s="15" t="s">
        <v>4981</v>
      </c>
      <c r="G1022" s="15" t="s">
        <v>4980</v>
      </c>
      <c r="H1022" s="15" t="s">
        <v>4982</v>
      </c>
      <c r="I1022" s="15" t="s">
        <v>4944</v>
      </c>
    </row>
    <row r="1023" spans="1:9" x14ac:dyDescent="0.15">
      <c r="A1023" s="15" t="s">
        <v>4983</v>
      </c>
      <c r="B1023" s="15"/>
      <c r="C1023" s="15" t="s">
        <v>40</v>
      </c>
      <c r="D1023" s="15" t="s">
        <v>41</v>
      </c>
      <c r="E1023" s="15" t="s">
        <v>4984</v>
      </c>
      <c r="F1023" s="15" t="s">
        <v>4986</v>
      </c>
      <c r="G1023" s="15" t="s">
        <v>4985</v>
      </c>
      <c r="H1023" s="15" t="s">
        <v>4987</v>
      </c>
      <c r="I1023" s="15" t="s">
        <v>4944</v>
      </c>
    </row>
    <row r="1024" spans="1:9" x14ac:dyDescent="0.15">
      <c r="A1024" s="15" t="s">
        <v>4988</v>
      </c>
      <c r="B1024" s="15"/>
      <c r="C1024" s="15" t="s">
        <v>40</v>
      </c>
      <c r="D1024" s="15" t="s">
        <v>41</v>
      </c>
      <c r="E1024" s="15" t="s">
        <v>4989</v>
      </c>
      <c r="F1024" s="15" t="s">
        <v>4991</v>
      </c>
      <c r="G1024" s="15" t="s">
        <v>4990</v>
      </c>
      <c r="H1024" s="15" t="s">
        <v>4992</v>
      </c>
      <c r="I1024" s="15" t="s">
        <v>4944</v>
      </c>
    </row>
    <row r="1025" spans="1:9" x14ac:dyDescent="0.15">
      <c r="A1025" s="15" t="s">
        <v>4993</v>
      </c>
      <c r="B1025" s="15"/>
      <c r="C1025" s="15" t="s">
        <v>40</v>
      </c>
      <c r="D1025" s="15" t="s">
        <v>41</v>
      </c>
      <c r="E1025" s="15" t="s">
        <v>4994</v>
      </c>
      <c r="F1025" s="15" t="s">
        <v>4996</v>
      </c>
      <c r="G1025" s="15" t="s">
        <v>4995</v>
      </c>
      <c r="H1025" s="15" t="s">
        <v>4997</v>
      </c>
      <c r="I1025" s="15" t="s">
        <v>4944</v>
      </c>
    </row>
    <row r="1026" spans="1:9" x14ac:dyDescent="0.15">
      <c r="A1026" s="15" t="s">
        <v>4998</v>
      </c>
      <c r="B1026" s="15"/>
      <c r="C1026" s="15" t="s">
        <v>40</v>
      </c>
      <c r="D1026" s="15" t="s">
        <v>41</v>
      </c>
      <c r="E1026" s="15" t="s">
        <v>4999</v>
      </c>
      <c r="F1026" s="15" t="s">
        <v>5000</v>
      </c>
      <c r="G1026" s="15" t="s">
        <v>4956</v>
      </c>
      <c r="H1026" s="15" t="s">
        <v>5001</v>
      </c>
      <c r="I1026" s="15" t="s">
        <v>4944</v>
      </c>
    </row>
    <row r="1027" spans="1:9" x14ac:dyDescent="0.15">
      <c r="A1027" s="15" t="s">
        <v>5002</v>
      </c>
      <c r="B1027" s="15"/>
      <c r="C1027" s="15" t="s">
        <v>40</v>
      </c>
      <c r="D1027" s="15" t="s">
        <v>41</v>
      </c>
      <c r="E1027" s="15" t="s">
        <v>5003</v>
      </c>
      <c r="F1027" s="15" t="s">
        <v>5005</v>
      </c>
      <c r="G1027" s="15" t="s">
        <v>5004</v>
      </c>
      <c r="H1027" s="15" t="s">
        <v>5006</v>
      </c>
      <c r="I1027" s="15" t="s">
        <v>4944</v>
      </c>
    </row>
    <row r="1028" spans="1:9" x14ac:dyDescent="0.15">
      <c r="A1028" s="15" t="s">
        <v>5007</v>
      </c>
      <c r="B1028" s="15"/>
      <c r="C1028" s="15" t="s">
        <v>40</v>
      </c>
      <c r="D1028" s="15" t="s">
        <v>41</v>
      </c>
      <c r="E1028" s="15" t="s">
        <v>5008</v>
      </c>
      <c r="F1028" s="15" t="s">
        <v>5010</v>
      </c>
      <c r="G1028" s="15" t="s">
        <v>5009</v>
      </c>
      <c r="H1028" s="15" t="s">
        <v>5011</v>
      </c>
      <c r="I1028" s="15" t="s">
        <v>1658</v>
      </c>
    </row>
    <row r="1029" spans="1:9" x14ac:dyDescent="0.15">
      <c r="A1029" s="15" t="s">
        <v>5012</v>
      </c>
      <c r="B1029" s="15"/>
      <c r="C1029" s="15" t="s">
        <v>40</v>
      </c>
      <c r="D1029" s="15" t="s">
        <v>41</v>
      </c>
      <c r="E1029" s="15" t="s">
        <v>5013</v>
      </c>
      <c r="F1029" s="15" t="s">
        <v>5015</v>
      </c>
      <c r="G1029" s="15" t="s">
        <v>5014</v>
      </c>
      <c r="H1029" s="15" t="s">
        <v>5016</v>
      </c>
      <c r="I1029" s="15" t="s">
        <v>1658</v>
      </c>
    </row>
    <row r="1030" spans="1:9" x14ac:dyDescent="0.15">
      <c r="A1030" s="15" t="s">
        <v>5017</v>
      </c>
      <c r="B1030" s="15"/>
      <c r="C1030" s="15" t="s">
        <v>40</v>
      </c>
      <c r="D1030" s="15" t="s">
        <v>41</v>
      </c>
      <c r="E1030" s="15" t="s">
        <v>5018</v>
      </c>
      <c r="F1030" s="15" t="s">
        <v>5020</v>
      </c>
      <c r="G1030" s="15" t="s">
        <v>5019</v>
      </c>
      <c r="H1030" s="15" t="s">
        <v>5021</v>
      </c>
      <c r="I1030" s="15" t="s">
        <v>1658</v>
      </c>
    </row>
    <row r="1031" spans="1:9" x14ac:dyDescent="0.15">
      <c r="A1031" s="15" t="s">
        <v>5022</v>
      </c>
      <c r="B1031" s="15"/>
      <c r="C1031" s="15" t="s">
        <v>40</v>
      </c>
      <c r="D1031" s="15" t="s">
        <v>41</v>
      </c>
      <c r="E1031" s="15" t="s">
        <v>5023</v>
      </c>
      <c r="F1031" s="15" t="s">
        <v>5024</v>
      </c>
      <c r="G1031" s="15" t="s">
        <v>5019</v>
      </c>
      <c r="H1031" s="15" t="s">
        <v>5025</v>
      </c>
      <c r="I1031" s="15" t="s">
        <v>1658</v>
      </c>
    </row>
    <row r="1032" spans="1:9" x14ac:dyDescent="0.15">
      <c r="A1032" s="15" t="s">
        <v>5026</v>
      </c>
      <c r="B1032" s="15"/>
      <c r="C1032" s="15" t="s">
        <v>40</v>
      </c>
      <c r="D1032" s="15" t="s">
        <v>41</v>
      </c>
      <c r="E1032" s="15" t="s">
        <v>5027</v>
      </c>
      <c r="F1032" s="15" t="s">
        <v>5029</v>
      </c>
      <c r="G1032" s="15" t="s">
        <v>5028</v>
      </c>
      <c r="H1032" s="15" t="s">
        <v>5030</v>
      </c>
      <c r="I1032" s="15" t="s">
        <v>1658</v>
      </c>
    </row>
    <row r="1033" spans="1:9" x14ac:dyDescent="0.15">
      <c r="A1033" s="15" t="s">
        <v>5031</v>
      </c>
      <c r="B1033" s="15"/>
      <c r="C1033" s="15" t="s">
        <v>40</v>
      </c>
      <c r="D1033" s="15" t="s">
        <v>41</v>
      </c>
      <c r="E1033" s="15" t="s">
        <v>5032</v>
      </c>
      <c r="F1033" s="15" t="s">
        <v>5034</v>
      </c>
      <c r="G1033" s="15" t="s">
        <v>5033</v>
      </c>
      <c r="H1033" s="15" t="s">
        <v>5035</v>
      </c>
      <c r="I1033" s="15" t="s">
        <v>1658</v>
      </c>
    </row>
    <row r="1034" spans="1:9" x14ac:dyDescent="0.15">
      <c r="A1034" s="15" t="s">
        <v>5036</v>
      </c>
      <c r="B1034" s="15"/>
      <c r="C1034" s="15" t="s">
        <v>40</v>
      </c>
      <c r="D1034" s="15" t="s">
        <v>41</v>
      </c>
      <c r="E1034" s="15" t="s">
        <v>5037</v>
      </c>
      <c r="F1034" s="15" t="s">
        <v>5039</v>
      </c>
      <c r="G1034" s="15" t="s">
        <v>5038</v>
      </c>
      <c r="H1034" s="15" t="s">
        <v>5040</v>
      </c>
      <c r="I1034" s="15" t="s">
        <v>1658</v>
      </c>
    </row>
    <row r="1035" spans="1:9" x14ac:dyDescent="0.15">
      <c r="A1035" s="15" t="s">
        <v>5041</v>
      </c>
      <c r="B1035" s="15"/>
      <c r="C1035" s="15" t="s">
        <v>40</v>
      </c>
      <c r="D1035" s="15" t="s">
        <v>41</v>
      </c>
      <c r="E1035" s="15" t="s">
        <v>5042</v>
      </c>
      <c r="F1035" s="15" t="s">
        <v>5044</v>
      </c>
      <c r="G1035" s="15" t="s">
        <v>5043</v>
      </c>
      <c r="H1035" s="15" t="s">
        <v>5045</v>
      </c>
      <c r="I1035" s="15" t="s">
        <v>1658</v>
      </c>
    </row>
    <row r="1036" spans="1:9" x14ac:dyDescent="0.15">
      <c r="A1036" s="15" t="s">
        <v>5046</v>
      </c>
      <c r="B1036" s="15"/>
      <c r="C1036" s="15" t="s">
        <v>40</v>
      </c>
      <c r="D1036" s="15" t="s">
        <v>41</v>
      </c>
      <c r="E1036" s="15" t="s">
        <v>5047</v>
      </c>
      <c r="F1036" s="15" t="s">
        <v>5049</v>
      </c>
      <c r="G1036" s="15" t="s">
        <v>5048</v>
      </c>
      <c r="H1036" s="15" t="s">
        <v>5050</v>
      </c>
      <c r="I1036" s="15" t="s">
        <v>1658</v>
      </c>
    </row>
    <row r="1037" spans="1:9" x14ac:dyDescent="0.15">
      <c r="A1037" s="15" t="s">
        <v>5051</v>
      </c>
      <c r="B1037" s="15"/>
      <c r="C1037" s="15" t="s">
        <v>40</v>
      </c>
      <c r="D1037" s="15" t="s">
        <v>41</v>
      </c>
      <c r="E1037" s="15" t="s">
        <v>5052</v>
      </c>
      <c r="F1037" s="15" t="s">
        <v>52</v>
      </c>
      <c r="G1037" s="15" t="s">
        <v>5053</v>
      </c>
      <c r="H1037" s="15" t="s">
        <v>5054</v>
      </c>
      <c r="I1037" s="15" t="s">
        <v>1658</v>
      </c>
    </row>
    <row r="1038" spans="1:9" x14ac:dyDescent="0.15">
      <c r="A1038" s="15" t="s">
        <v>5055</v>
      </c>
      <c r="B1038" s="15"/>
      <c r="C1038" s="15" t="s">
        <v>40</v>
      </c>
      <c r="D1038" s="15" t="s">
        <v>41</v>
      </c>
      <c r="E1038" s="15" t="s">
        <v>5056</v>
      </c>
      <c r="F1038" s="15" t="s">
        <v>52</v>
      </c>
      <c r="G1038" s="15" t="s">
        <v>5057</v>
      </c>
      <c r="H1038" s="15" t="s">
        <v>5058</v>
      </c>
      <c r="I1038" s="15" t="s">
        <v>1658</v>
      </c>
    </row>
    <row r="1039" spans="1:9" x14ac:dyDescent="0.15">
      <c r="A1039" s="15" t="s">
        <v>5059</v>
      </c>
      <c r="B1039" s="15"/>
      <c r="C1039" s="15" t="s">
        <v>40</v>
      </c>
      <c r="D1039" s="15" t="s">
        <v>41</v>
      </c>
      <c r="E1039" s="15" t="s">
        <v>5060</v>
      </c>
      <c r="F1039" s="15" t="s">
        <v>5062</v>
      </c>
      <c r="G1039" s="15" t="s">
        <v>5061</v>
      </c>
      <c r="H1039" s="15" t="s">
        <v>5063</v>
      </c>
      <c r="I1039" s="15" t="s">
        <v>1658</v>
      </c>
    </row>
    <row r="1040" spans="1:9" x14ac:dyDescent="0.15">
      <c r="A1040" s="15" t="s">
        <v>5064</v>
      </c>
      <c r="B1040" s="15"/>
      <c r="C1040" s="15" t="s">
        <v>40</v>
      </c>
      <c r="D1040" s="15" t="s">
        <v>41</v>
      </c>
      <c r="E1040" s="15" t="s">
        <v>5065</v>
      </c>
      <c r="F1040" s="15" t="s">
        <v>5067</v>
      </c>
      <c r="G1040" s="15" t="s">
        <v>5066</v>
      </c>
      <c r="H1040" s="15" t="s">
        <v>5068</v>
      </c>
      <c r="I1040" s="15" t="s">
        <v>1658</v>
      </c>
    </row>
    <row r="1041" spans="1:9" x14ac:dyDescent="0.15">
      <c r="A1041" s="15" t="s">
        <v>5069</v>
      </c>
      <c r="B1041" s="15"/>
      <c r="C1041" s="15" t="s">
        <v>40</v>
      </c>
      <c r="D1041" s="15" t="s">
        <v>41</v>
      </c>
      <c r="E1041" s="15" t="s">
        <v>5070</v>
      </c>
      <c r="F1041" s="15" t="s">
        <v>5072</v>
      </c>
      <c r="G1041" s="15" t="s">
        <v>5071</v>
      </c>
      <c r="H1041" s="15" t="s">
        <v>5073</v>
      </c>
      <c r="I1041" s="15" t="s">
        <v>1658</v>
      </c>
    </row>
    <row r="1042" spans="1:9" x14ac:dyDescent="0.15">
      <c r="A1042" s="15" t="s">
        <v>5074</v>
      </c>
      <c r="B1042" s="15"/>
      <c r="C1042" s="15" t="s">
        <v>40</v>
      </c>
      <c r="D1042" s="15" t="s">
        <v>41</v>
      </c>
      <c r="E1042" s="15" t="s">
        <v>5075</v>
      </c>
      <c r="F1042" s="15" t="s">
        <v>5076</v>
      </c>
      <c r="G1042" s="15" t="s">
        <v>4855</v>
      </c>
      <c r="H1042" s="15" t="s">
        <v>5077</v>
      </c>
      <c r="I1042" s="15" t="s">
        <v>1658</v>
      </c>
    </row>
    <row r="1043" spans="1:9" x14ac:dyDescent="0.15">
      <c r="A1043" s="15" t="s">
        <v>5078</v>
      </c>
      <c r="B1043" s="15"/>
      <c r="C1043" s="15" t="s">
        <v>40</v>
      </c>
      <c r="D1043" s="15" t="s">
        <v>41</v>
      </c>
      <c r="E1043" s="15" t="s">
        <v>5079</v>
      </c>
      <c r="F1043" s="15" t="s">
        <v>5081</v>
      </c>
      <c r="G1043" s="15" t="s">
        <v>5080</v>
      </c>
      <c r="H1043" s="15" t="s">
        <v>5082</v>
      </c>
      <c r="I1043" s="15" t="s">
        <v>1658</v>
      </c>
    </row>
    <row r="1044" spans="1:9" x14ac:dyDescent="0.15">
      <c r="A1044" s="15" t="s">
        <v>5083</v>
      </c>
      <c r="B1044" s="15"/>
      <c r="C1044" s="15" t="s">
        <v>40</v>
      </c>
      <c r="D1044" s="15" t="s">
        <v>41</v>
      </c>
      <c r="E1044" s="15" t="s">
        <v>5084</v>
      </c>
      <c r="F1044" s="15" t="s">
        <v>5085</v>
      </c>
      <c r="G1044" s="15" t="s">
        <v>1732</v>
      </c>
      <c r="H1044" s="15" t="s">
        <v>5086</v>
      </c>
      <c r="I1044" s="15" t="s">
        <v>1658</v>
      </c>
    </row>
    <row r="1045" spans="1:9" x14ac:dyDescent="0.15">
      <c r="A1045" s="15" t="s">
        <v>5087</v>
      </c>
      <c r="B1045" s="15"/>
      <c r="C1045" s="15" t="s">
        <v>40</v>
      </c>
      <c r="D1045" s="15" t="s">
        <v>41</v>
      </c>
      <c r="E1045" s="15" t="s">
        <v>5088</v>
      </c>
      <c r="F1045" s="15" t="s">
        <v>5089</v>
      </c>
      <c r="G1045" s="15" t="s">
        <v>1968</v>
      </c>
      <c r="H1045" s="15" t="s">
        <v>5090</v>
      </c>
      <c r="I1045" s="15" t="s">
        <v>1658</v>
      </c>
    </row>
    <row r="1046" spans="1:9" x14ac:dyDescent="0.15">
      <c r="A1046" s="15" t="s">
        <v>5091</v>
      </c>
      <c r="B1046" s="15"/>
      <c r="C1046" s="15" t="s">
        <v>40</v>
      </c>
      <c r="D1046" s="15" t="s">
        <v>41</v>
      </c>
      <c r="E1046" s="15" t="s">
        <v>5092</v>
      </c>
      <c r="F1046" s="15" t="s">
        <v>5094</v>
      </c>
      <c r="G1046" s="15" t="s">
        <v>5093</v>
      </c>
      <c r="H1046" s="15" t="s">
        <v>5095</v>
      </c>
      <c r="I1046" s="15" t="s">
        <v>1658</v>
      </c>
    </row>
    <row r="1047" spans="1:9" x14ac:dyDescent="0.15">
      <c r="A1047" s="15" t="s">
        <v>5096</v>
      </c>
      <c r="B1047" s="15"/>
      <c r="C1047" s="15" t="s">
        <v>40</v>
      </c>
      <c r="D1047" s="15" t="s">
        <v>41</v>
      </c>
      <c r="E1047" s="15" t="s">
        <v>5097</v>
      </c>
      <c r="F1047" s="15" t="s">
        <v>5099</v>
      </c>
      <c r="G1047" s="15" t="s">
        <v>5098</v>
      </c>
      <c r="H1047" s="15" t="s">
        <v>5100</v>
      </c>
      <c r="I1047" s="15" t="s">
        <v>1658</v>
      </c>
    </row>
    <row r="1048" spans="1:9" x14ac:dyDescent="0.15">
      <c r="A1048" s="15" t="s">
        <v>5101</v>
      </c>
      <c r="B1048" s="15"/>
      <c r="C1048" s="15" t="s">
        <v>40</v>
      </c>
      <c r="D1048" s="15" t="s">
        <v>41</v>
      </c>
      <c r="E1048" s="15" t="s">
        <v>5102</v>
      </c>
      <c r="F1048" s="15" t="s">
        <v>5104</v>
      </c>
      <c r="G1048" s="15" t="s">
        <v>5103</v>
      </c>
      <c r="H1048" s="15" t="s">
        <v>5105</v>
      </c>
      <c r="I1048" s="15" t="s">
        <v>1658</v>
      </c>
    </row>
    <row r="1049" spans="1:9" x14ac:dyDescent="0.15">
      <c r="A1049" s="15" t="s">
        <v>5106</v>
      </c>
      <c r="B1049" s="15"/>
      <c r="C1049" s="15" t="s">
        <v>40</v>
      </c>
      <c r="D1049" s="15" t="s">
        <v>41</v>
      </c>
      <c r="E1049" s="15" t="s">
        <v>5107</v>
      </c>
      <c r="F1049" s="15" t="s">
        <v>5108</v>
      </c>
      <c r="G1049" s="15" t="s">
        <v>5103</v>
      </c>
      <c r="H1049" s="15" t="s">
        <v>5109</v>
      </c>
      <c r="I1049" s="15" t="s">
        <v>1658</v>
      </c>
    </row>
    <row r="1050" spans="1:9" x14ac:dyDescent="0.15">
      <c r="A1050" s="15" t="s">
        <v>5110</v>
      </c>
      <c r="B1050" s="15"/>
      <c r="C1050" s="15" t="s">
        <v>40</v>
      </c>
      <c r="D1050" s="15" t="s">
        <v>41</v>
      </c>
      <c r="E1050" s="15" t="s">
        <v>5111</v>
      </c>
      <c r="F1050" s="15" t="s">
        <v>5113</v>
      </c>
      <c r="G1050" s="15" t="s">
        <v>5112</v>
      </c>
      <c r="H1050" s="15" t="s">
        <v>5114</v>
      </c>
      <c r="I1050" s="15" t="s">
        <v>1658</v>
      </c>
    </row>
    <row r="1051" spans="1:9" x14ac:dyDescent="0.15">
      <c r="A1051" s="15" t="s">
        <v>5115</v>
      </c>
      <c r="B1051" s="15"/>
      <c r="C1051" s="15" t="s">
        <v>40</v>
      </c>
      <c r="D1051" s="15" t="s">
        <v>41</v>
      </c>
      <c r="E1051" s="15" t="s">
        <v>5116</v>
      </c>
      <c r="F1051" s="15" t="s">
        <v>5118</v>
      </c>
      <c r="G1051" s="15" t="s">
        <v>5117</v>
      </c>
      <c r="H1051" s="15" t="s">
        <v>5119</v>
      </c>
      <c r="I1051" s="15" t="s">
        <v>1658</v>
      </c>
    </row>
    <row r="1052" spans="1:9" x14ac:dyDescent="0.15">
      <c r="A1052" s="15" t="s">
        <v>5120</v>
      </c>
      <c r="B1052" s="15"/>
      <c r="C1052" s="15" t="s">
        <v>40</v>
      </c>
      <c r="D1052" s="15" t="s">
        <v>41</v>
      </c>
      <c r="E1052" s="15" t="s">
        <v>5121</v>
      </c>
      <c r="F1052" s="15" t="s">
        <v>5123</v>
      </c>
      <c r="G1052" s="15" t="s">
        <v>5122</v>
      </c>
      <c r="H1052" s="15" t="s">
        <v>5124</v>
      </c>
      <c r="I1052" s="15" t="s">
        <v>1658</v>
      </c>
    </row>
    <row r="1053" spans="1:9" x14ac:dyDescent="0.15">
      <c r="A1053" s="15" t="s">
        <v>5125</v>
      </c>
      <c r="B1053" s="15"/>
      <c r="C1053" s="15" t="s">
        <v>40</v>
      </c>
      <c r="D1053" s="15" t="s">
        <v>41</v>
      </c>
      <c r="E1053" s="15" t="s">
        <v>5126</v>
      </c>
      <c r="F1053" s="15" t="s">
        <v>5128</v>
      </c>
      <c r="G1053" s="15" t="s">
        <v>5127</v>
      </c>
      <c r="H1053" s="15" t="s">
        <v>5129</v>
      </c>
      <c r="I1053" s="15" t="s">
        <v>1658</v>
      </c>
    </row>
    <row r="1054" spans="1:9" x14ac:dyDescent="0.15">
      <c r="A1054" s="15" t="s">
        <v>5130</v>
      </c>
      <c r="B1054" s="15"/>
      <c r="C1054" s="15" t="s">
        <v>40</v>
      </c>
      <c r="D1054" s="15" t="s">
        <v>41</v>
      </c>
      <c r="E1054" s="15" t="s">
        <v>5131</v>
      </c>
      <c r="F1054" s="15" t="s">
        <v>5132</v>
      </c>
      <c r="G1054" s="15" t="s">
        <v>5132</v>
      </c>
      <c r="H1054" s="15" t="s">
        <v>5133</v>
      </c>
      <c r="I1054" s="15" t="s">
        <v>1658</v>
      </c>
    </row>
    <row r="1055" spans="1:9" x14ac:dyDescent="0.15">
      <c r="A1055" s="15" t="s">
        <v>5134</v>
      </c>
      <c r="B1055" s="15"/>
      <c r="C1055" s="15" t="s">
        <v>40</v>
      </c>
      <c r="D1055" s="15" t="s">
        <v>41</v>
      </c>
      <c r="E1055" s="15" t="s">
        <v>5135</v>
      </c>
      <c r="F1055" s="15" t="s">
        <v>5136</v>
      </c>
      <c r="G1055" s="15" t="s">
        <v>4708</v>
      </c>
      <c r="H1055" s="15" t="s">
        <v>5137</v>
      </c>
      <c r="I1055" s="15" t="s">
        <v>1658</v>
      </c>
    </row>
    <row r="1056" spans="1:9" x14ac:dyDescent="0.15">
      <c r="A1056" s="15" t="s">
        <v>5138</v>
      </c>
      <c r="B1056" s="15"/>
      <c r="C1056" s="15" t="s">
        <v>40</v>
      </c>
      <c r="D1056" s="15" t="s">
        <v>41</v>
      </c>
      <c r="E1056" s="15" t="s">
        <v>5139</v>
      </c>
      <c r="F1056" s="15" t="s">
        <v>5141</v>
      </c>
      <c r="G1056" s="15" t="s">
        <v>5140</v>
      </c>
      <c r="H1056" s="15" t="s">
        <v>5142</v>
      </c>
      <c r="I1056" s="15" t="s">
        <v>1658</v>
      </c>
    </row>
    <row r="1057" spans="1:9" x14ac:dyDescent="0.15">
      <c r="A1057" s="15" t="s">
        <v>5143</v>
      </c>
      <c r="B1057" s="15"/>
      <c r="C1057" s="15" t="s">
        <v>40</v>
      </c>
      <c r="D1057" s="15" t="s">
        <v>41</v>
      </c>
      <c r="E1057" s="15" t="s">
        <v>5144</v>
      </c>
      <c r="F1057" s="15" t="s">
        <v>5146</v>
      </c>
      <c r="G1057" s="15" t="s">
        <v>5145</v>
      </c>
      <c r="H1057" s="15" t="s">
        <v>5147</v>
      </c>
      <c r="I1057" s="15" t="s">
        <v>1658</v>
      </c>
    </row>
    <row r="1058" spans="1:9" x14ac:dyDescent="0.15">
      <c r="A1058" s="15" t="s">
        <v>5148</v>
      </c>
      <c r="B1058" s="15"/>
      <c r="C1058" s="15" t="s">
        <v>40</v>
      </c>
      <c r="D1058" s="15" t="s">
        <v>41</v>
      </c>
      <c r="E1058" s="15" t="s">
        <v>5149</v>
      </c>
      <c r="F1058" s="15" t="s">
        <v>5151</v>
      </c>
      <c r="G1058" s="15" t="s">
        <v>5150</v>
      </c>
      <c r="H1058" s="15" t="s">
        <v>5152</v>
      </c>
      <c r="I1058" s="15" t="s">
        <v>1658</v>
      </c>
    </row>
    <row r="1059" spans="1:9" x14ac:dyDescent="0.15">
      <c r="A1059" s="15" t="s">
        <v>5153</v>
      </c>
      <c r="B1059" s="15"/>
      <c r="C1059" s="15" t="s">
        <v>40</v>
      </c>
      <c r="D1059" s="15" t="s">
        <v>41</v>
      </c>
      <c r="E1059" s="15" t="s">
        <v>5154</v>
      </c>
      <c r="F1059" s="15" t="s">
        <v>5156</v>
      </c>
      <c r="G1059" s="15" t="s">
        <v>5155</v>
      </c>
      <c r="H1059" s="15" t="s">
        <v>5157</v>
      </c>
      <c r="I1059" s="15" t="s">
        <v>1658</v>
      </c>
    </row>
    <row r="1060" spans="1:9" x14ac:dyDescent="0.15">
      <c r="A1060" s="15" t="s">
        <v>5158</v>
      </c>
      <c r="B1060" s="15"/>
      <c r="C1060" s="15" t="s">
        <v>40</v>
      </c>
      <c r="D1060" s="15" t="s">
        <v>41</v>
      </c>
      <c r="E1060" s="15" t="s">
        <v>5159</v>
      </c>
      <c r="F1060" s="15" t="s">
        <v>5161</v>
      </c>
      <c r="G1060" s="15" t="s">
        <v>5160</v>
      </c>
      <c r="H1060" s="15" t="s">
        <v>5162</v>
      </c>
      <c r="I1060" s="15" t="s">
        <v>1658</v>
      </c>
    </row>
    <row r="1061" spans="1:9" x14ac:dyDescent="0.15">
      <c r="A1061" s="15" t="s">
        <v>5163</v>
      </c>
      <c r="B1061" s="15"/>
      <c r="C1061" s="15" t="s">
        <v>40</v>
      </c>
      <c r="D1061" s="15" t="s">
        <v>41</v>
      </c>
      <c r="E1061" s="15" t="s">
        <v>5164</v>
      </c>
      <c r="F1061" s="15" t="s">
        <v>5166</v>
      </c>
      <c r="G1061" s="15" t="s">
        <v>5165</v>
      </c>
      <c r="H1061" s="15" t="s">
        <v>5167</v>
      </c>
      <c r="I1061" s="15" t="s">
        <v>1658</v>
      </c>
    </row>
    <row r="1062" spans="1:9" x14ac:dyDescent="0.15">
      <c r="A1062" s="15" t="s">
        <v>5168</v>
      </c>
      <c r="B1062" s="15"/>
      <c r="C1062" s="15" t="s">
        <v>40</v>
      </c>
      <c r="D1062" s="15" t="s">
        <v>41</v>
      </c>
      <c r="E1062" s="15" t="s">
        <v>5169</v>
      </c>
      <c r="F1062" s="15" t="s">
        <v>5171</v>
      </c>
      <c r="G1062" s="15" t="s">
        <v>5170</v>
      </c>
      <c r="H1062" s="15" t="s">
        <v>5172</v>
      </c>
      <c r="I1062" s="15" t="s">
        <v>1658</v>
      </c>
    </row>
    <row r="1063" spans="1:9" x14ac:dyDescent="0.15">
      <c r="A1063" s="15" t="s">
        <v>5173</v>
      </c>
      <c r="B1063" s="15"/>
      <c r="C1063" s="15" t="s">
        <v>40</v>
      </c>
      <c r="D1063" s="15" t="s">
        <v>41</v>
      </c>
      <c r="E1063" s="15" t="s">
        <v>5174</v>
      </c>
      <c r="F1063" s="15" t="s">
        <v>5176</v>
      </c>
      <c r="G1063" s="15" t="s">
        <v>5175</v>
      </c>
      <c r="H1063" s="15" t="s">
        <v>5177</v>
      </c>
      <c r="I1063" s="15" t="s">
        <v>1658</v>
      </c>
    </row>
    <row r="1064" spans="1:9" x14ac:dyDescent="0.15">
      <c r="A1064" s="15" t="s">
        <v>5178</v>
      </c>
      <c r="B1064" s="15"/>
      <c r="C1064" s="15" t="s">
        <v>40</v>
      </c>
      <c r="D1064" s="15" t="s">
        <v>41</v>
      </c>
      <c r="E1064" s="15" t="s">
        <v>5179</v>
      </c>
      <c r="F1064" s="15" t="s">
        <v>5181</v>
      </c>
      <c r="G1064" s="15" t="s">
        <v>5180</v>
      </c>
      <c r="H1064" s="15" t="s">
        <v>5182</v>
      </c>
      <c r="I1064" s="15" t="s">
        <v>1658</v>
      </c>
    </row>
    <row r="1065" spans="1:9" x14ac:dyDescent="0.15">
      <c r="A1065" s="15" t="s">
        <v>5183</v>
      </c>
      <c r="B1065" s="15"/>
      <c r="C1065" s="15" t="s">
        <v>40</v>
      </c>
      <c r="D1065" s="15" t="s">
        <v>41</v>
      </c>
      <c r="E1065" s="15" t="s">
        <v>5184</v>
      </c>
      <c r="F1065" s="15" t="s">
        <v>5186</v>
      </c>
      <c r="G1065" s="15" t="s">
        <v>5185</v>
      </c>
      <c r="H1065" s="15" t="s">
        <v>5187</v>
      </c>
      <c r="I1065" s="15" t="s">
        <v>1658</v>
      </c>
    </row>
    <row r="1066" spans="1:9" x14ac:dyDescent="0.15">
      <c r="A1066" s="15" t="s">
        <v>5188</v>
      </c>
      <c r="B1066" s="15"/>
      <c r="C1066" s="15" t="s">
        <v>40</v>
      </c>
      <c r="D1066" s="15" t="s">
        <v>41</v>
      </c>
      <c r="E1066" s="15" t="s">
        <v>5189</v>
      </c>
      <c r="F1066" s="15" t="s">
        <v>5191</v>
      </c>
      <c r="G1066" s="15" t="s">
        <v>5190</v>
      </c>
      <c r="H1066" s="15" t="s">
        <v>5192</v>
      </c>
      <c r="I1066" s="15" t="s">
        <v>1658</v>
      </c>
    </row>
    <row r="1067" spans="1:9" x14ac:dyDescent="0.15">
      <c r="A1067" s="15" t="s">
        <v>5193</v>
      </c>
      <c r="B1067" s="15"/>
      <c r="C1067" s="15" t="s">
        <v>40</v>
      </c>
      <c r="D1067" s="15" t="s">
        <v>41</v>
      </c>
      <c r="E1067" s="15" t="s">
        <v>5194</v>
      </c>
      <c r="F1067" s="15" t="s">
        <v>5196</v>
      </c>
      <c r="G1067" s="15" t="s">
        <v>5195</v>
      </c>
      <c r="H1067" s="15" t="s">
        <v>5197</v>
      </c>
      <c r="I1067" s="15" t="s">
        <v>1658</v>
      </c>
    </row>
    <row r="1068" spans="1:9" x14ac:dyDescent="0.15">
      <c r="A1068" s="15" t="s">
        <v>5198</v>
      </c>
      <c r="B1068" s="15"/>
      <c r="C1068" s="15" t="s">
        <v>40</v>
      </c>
      <c r="D1068" s="15" t="s">
        <v>41</v>
      </c>
      <c r="E1068" s="15" t="s">
        <v>5199</v>
      </c>
      <c r="F1068" s="15" t="s">
        <v>5200</v>
      </c>
      <c r="G1068" s="15" t="s">
        <v>4190</v>
      </c>
      <c r="H1068" s="15" t="s">
        <v>5201</v>
      </c>
      <c r="I1068" s="15" t="s">
        <v>1658</v>
      </c>
    </row>
    <row r="1069" spans="1:9" x14ac:dyDescent="0.15">
      <c r="A1069" s="15" t="s">
        <v>5202</v>
      </c>
      <c r="B1069" s="15"/>
      <c r="C1069" s="15" t="s">
        <v>40</v>
      </c>
      <c r="D1069" s="15" t="s">
        <v>41</v>
      </c>
      <c r="E1069" s="15" t="s">
        <v>5203</v>
      </c>
      <c r="F1069" s="15" t="s">
        <v>52</v>
      </c>
      <c r="G1069" s="15" t="s">
        <v>5204</v>
      </c>
      <c r="H1069" s="15" t="s">
        <v>5205</v>
      </c>
      <c r="I1069" s="15" t="s">
        <v>1658</v>
      </c>
    </row>
    <row r="1070" spans="1:9" x14ac:dyDescent="0.15">
      <c r="A1070" s="15" t="s">
        <v>5206</v>
      </c>
      <c r="B1070" s="15"/>
      <c r="C1070" s="15" t="s">
        <v>40</v>
      </c>
      <c r="D1070" s="15" t="s">
        <v>41</v>
      </c>
      <c r="E1070" s="15" t="s">
        <v>5207</v>
      </c>
      <c r="F1070" s="15" t="s">
        <v>5209</v>
      </c>
      <c r="G1070" s="15" t="s">
        <v>5208</v>
      </c>
      <c r="H1070" s="15" t="s">
        <v>5210</v>
      </c>
      <c r="I1070" s="15" t="s">
        <v>1658</v>
      </c>
    </row>
    <row r="1071" spans="1:9" x14ac:dyDescent="0.15">
      <c r="A1071" s="15" t="s">
        <v>5211</v>
      </c>
      <c r="B1071" s="15"/>
      <c r="C1071" s="15" t="s">
        <v>40</v>
      </c>
      <c r="D1071" s="15" t="s">
        <v>41</v>
      </c>
      <c r="E1071" s="15" t="s">
        <v>5212</v>
      </c>
      <c r="F1071" s="15" t="s">
        <v>5214</v>
      </c>
      <c r="G1071" s="15" t="s">
        <v>5213</v>
      </c>
      <c r="H1071" s="15" t="s">
        <v>5215</v>
      </c>
      <c r="I1071" s="15" t="s">
        <v>1658</v>
      </c>
    </row>
    <row r="1072" spans="1:9" x14ac:dyDescent="0.15">
      <c r="A1072" s="15" t="s">
        <v>5216</v>
      </c>
      <c r="B1072" s="15"/>
      <c r="C1072" s="15" t="s">
        <v>40</v>
      </c>
      <c r="D1072" s="15" t="s">
        <v>41</v>
      </c>
      <c r="E1072" s="15" t="s">
        <v>5217</v>
      </c>
      <c r="F1072" s="15" t="s">
        <v>5219</v>
      </c>
      <c r="G1072" s="15" t="s">
        <v>5218</v>
      </c>
      <c r="H1072" s="15" t="s">
        <v>5220</v>
      </c>
      <c r="I1072" s="15" t="s">
        <v>1658</v>
      </c>
    </row>
    <row r="1073" spans="1:9" x14ac:dyDescent="0.15">
      <c r="A1073" s="15" t="s">
        <v>5221</v>
      </c>
      <c r="B1073" s="15"/>
      <c r="C1073" s="15" t="s">
        <v>40</v>
      </c>
      <c r="D1073" s="15" t="s">
        <v>41</v>
      </c>
      <c r="E1073" s="15" t="s">
        <v>5222</v>
      </c>
      <c r="F1073" s="15" t="s">
        <v>52</v>
      </c>
      <c r="G1073" s="15" t="s">
        <v>5223</v>
      </c>
      <c r="H1073" s="15" t="s">
        <v>5224</v>
      </c>
      <c r="I1073" s="15" t="s">
        <v>1658</v>
      </c>
    </row>
    <row r="1074" spans="1:9" x14ac:dyDescent="0.15">
      <c r="A1074" s="15" t="s">
        <v>5225</v>
      </c>
      <c r="B1074" s="15"/>
      <c r="C1074" s="15" t="s">
        <v>40</v>
      </c>
      <c r="D1074" s="15" t="s">
        <v>41</v>
      </c>
      <c r="E1074" s="15" t="s">
        <v>5226</v>
      </c>
      <c r="F1074" s="15" t="s">
        <v>5228</v>
      </c>
      <c r="G1074" s="15" t="s">
        <v>5227</v>
      </c>
      <c r="H1074" s="15" t="s">
        <v>5229</v>
      </c>
      <c r="I1074" s="15" t="s">
        <v>1658</v>
      </c>
    </row>
    <row r="1075" spans="1:9" x14ac:dyDescent="0.15">
      <c r="A1075" s="15" t="s">
        <v>5230</v>
      </c>
      <c r="B1075" s="15"/>
      <c r="C1075" s="15" t="s">
        <v>40</v>
      </c>
      <c r="D1075" s="15" t="s">
        <v>41</v>
      </c>
      <c r="E1075" s="15" t="s">
        <v>5231</v>
      </c>
      <c r="F1075" s="15" t="s">
        <v>5233</v>
      </c>
      <c r="G1075" s="15" t="s">
        <v>5232</v>
      </c>
      <c r="H1075" s="15" t="s">
        <v>5234</v>
      </c>
      <c r="I1075" s="15" t="s">
        <v>1658</v>
      </c>
    </row>
    <row r="1076" spans="1:9" x14ac:dyDescent="0.15">
      <c r="A1076" s="15" t="s">
        <v>5235</v>
      </c>
      <c r="B1076" s="15"/>
      <c r="C1076" s="15" t="s">
        <v>40</v>
      </c>
      <c r="D1076" s="15" t="s">
        <v>41</v>
      </c>
      <c r="E1076" s="15" t="s">
        <v>5236</v>
      </c>
      <c r="F1076" s="15" t="s">
        <v>5238</v>
      </c>
      <c r="G1076" s="15" t="s">
        <v>5237</v>
      </c>
      <c r="H1076" s="15" t="s">
        <v>5239</v>
      </c>
      <c r="I1076" s="15" t="s">
        <v>1658</v>
      </c>
    </row>
    <row r="1077" spans="1:9" x14ac:dyDescent="0.15">
      <c r="A1077" s="15" t="s">
        <v>5240</v>
      </c>
      <c r="B1077" s="15"/>
      <c r="C1077" s="15" t="s">
        <v>40</v>
      </c>
      <c r="D1077" s="15" t="s">
        <v>41</v>
      </c>
      <c r="E1077" s="15" t="s">
        <v>5241</v>
      </c>
      <c r="F1077" s="15" t="s">
        <v>5243</v>
      </c>
      <c r="G1077" s="15" t="s">
        <v>5242</v>
      </c>
      <c r="H1077" s="15" t="s">
        <v>5244</v>
      </c>
      <c r="I1077" s="15" t="s">
        <v>1658</v>
      </c>
    </row>
    <row r="1078" spans="1:9" x14ac:dyDescent="0.15">
      <c r="A1078" s="15" t="s">
        <v>5245</v>
      </c>
      <c r="B1078" s="15"/>
      <c r="C1078" s="15" t="s">
        <v>40</v>
      </c>
      <c r="D1078" s="15" t="s">
        <v>41</v>
      </c>
      <c r="E1078" s="15" t="s">
        <v>5246</v>
      </c>
      <c r="F1078" s="15" t="s">
        <v>5248</v>
      </c>
      <c r="G1078" s="15" t="s">
        <v>5247</v>
      </c>
      <c r="H1078" s="15" t="s">
        <v>5249</v>
      </c>
      <c r="I1078" s="15" t="s">
        <v>1658</v>
      </c>
    </row>
    <row r="1079" spans="1:9" x14ac:dyDescent="0.15">
      <c r="A1079" s="15" t="s">
        <v>5250</v>
      </c>
      <c r="B1079" s="15"/>
      <c r="C1079" s="15" t="s">
        <v>40</v>
      </c>
      <c r="D1079" s="15" t="s">
        <v>41</v>
      </c>
      <c r="E1079" s="15" t="s">
        <v>5251</v>
      </c>
      <c r="F1079" s="15" t="s">
        <v>5253</v>
      </c>
      <c r="G1079" s="15" t="s">
        <v>5252</v>
      </c>
      <c r="H1079" s="15" t="s">
        <v>5254</v>
      </c>
      <c r="I1079" s="15" t="s">
        <v>1658</v>
      </c>
    </row>
    <row r="1080" spans="1:9" x14ac:dyDescent="0.15">
      <c r="A1080" s="15" t="s">
        <v>5255</v>
      </c>
      <c r="B1080" s="15"/>
      <c r="C1080" s="15" t="s">
        <v>40</v>
      </c>
      <c r="D1080" s="15" t="s">
        <v>41</v>
      </c>
      <c r="E1080" s="15" t="s">
        <v>5256</v>
      </c>
      <c r="F1080" s="15" t="s">
        <v>52</v>
      </c>
      <c r="G1080" s="15" t="s">
        <v>5257</v>
      </c>
      <c r="H1080" s="15" t="s">
        <v>5258</v>
      </c>
      <c r="I1080" s="15" t="s">
        <v>1658</v>
      </c>
    </row>
    <row r="1081" spans="1:9" x14ac:dyDescent="0.15">
      <c r="A1081" s="15" t="s">
        <v>5259</v>
      </c>
      <c r="B1081" s="15"/>
      <c r="C1081" s="15" t="s">
        <v>40</v>
      </c>
      <c r="D1081" s="15" t="s">
        <v>41</v>
      </c>
      <c r="E1081" s="15" t="s">
        <v>5260</v>
      </c>
      <c r="F1081" s="15" t="s">
        <v>5262</v>
      </c>
      <c r="G1081" s="15" t="s">
        <v>5261</v>
      </c>
      <c r="H1081" s="15" t="s">
        <v>5263</v>
      </c>
      <c r="I1081" s="15" t="s">
        <v>1658</v>
      </c>
    </row>
    <row r="1082" spans="1:9" x14ac:dyDescent="0.15">
      <c r="A1082" s="15" t="s">
        <v>5264</v>
      </c>
      <c r="B1082" s="15"/>
      <c r="C1082" s="15" t="s">
        <v>40</v>
      </c>
      <c r="D1082" s="15" t="s">
        <v>41</v>
      </c>
      <c r="E1082" s="15" t="s">
        <v>5265</v>
      </c>
      <c r="F1082" s="15" t="s">
        <v>5267</v>
      </c>
      <c r="G1082" s="15" t="s">
        <v>5266</v>
      </c>
      <c r="H1082" s="15" t="s">
        <v>5268</v>
      </c>
      <c r="I1082" s="15" t="s">
        <v>1658</v>
      </c>
    </row>
    <row r="1083" spans="1:9" x14ac:dyDescent="0.15">
      <c r="A1083" s="15" t="s">
        <v>5269</v>
      </c>
      <c r="B1083" s="15"/>
      <c r="C1083" s="15" t="s">
        <v>40</v>
      </c>
      <c r="D1083" s="15" t="s">
        <v>41</v>
      </c>
      <c r="E1083" s="15" t="s">
        <v>5270</v>
      </c>
      <c r="F1083" s="15" t="s">
        <v>52</v>
      </c>
      <c r="G1083" s="15" t="s">
        <v>5271</v>
      </c>
      <c r="H1083" s="15" t="s">
        <v>5272</v>
      </c>
      <c r="I1083" s="15" t="s">
        <v>1658</v>
      </c>
    </row>
    <row r="1084" spans="1:9" x14ac:dyDescent="0.15">
      <c r="A1084" s="15" t="s">
        <v>5273</v>
      </c>
      <c r="B1084" s="15"/>
      <c r="C1084" s="15" t="s">
        <v>40</v>
      </c>
      <c r="D1084" s="15" t="s">
        <v>41</v>
      </c>
      <c r="E1084" s="15" t="s">
        <v>5274</v>
      </c>
      <c r="F1084" s="15" t="s">
        <v>5276</v>
      </c>
      <c r="G1084" s="15" t="s">
        <v>5275</v>
      </c>
      <c r="H1084" s="15" t="s">
        <v>5277</v>
      </c>
      <c r="I1084" s="15" t="s">
        <v>1658</v>
      </c>
    </row>
    <row r="1085" spans="1:9" x14ac:dyDescent="0.15">
      <c r="A1085" s="15" t="s">
        <v>5278</v>
      </c>
      <c r="B1085" s="15"/>
      <c r="C1085" s="15" t="s">
        <v>40</v>
      </c>
      <c r="D1085" s="15" t="s">
        <v>41</v>
      </c>
      <c r="E1085" s="15" t="s">
        <v>5279</v>
      </c>
      <c r="F1085" s="15" t="s">
        <v>5281</v>
      </c>
      <c r="G1085" s="15" t="s">
        <v>5280</v>
      </c>
      <c r="H1085" s="15" t="s">
        <v>5282</v>
      </c>
      <c r="I1085" s="15" t="s">
        <v>1658</v>
      </c>
    </row>
    <row r="1086" spans="1:9" x14ac:dyDescent="0.15">
      <c r="A1086" s="15" t="s">
        <v>5283</v>
      </c>
      <c r="B1086" s="15"/>
      <c r="C1086" s="15" t="s">
        <v>40</v>
      </c>
      <c r="D1086" s="15" t="s">
        <v>41</v>
      </c>
      <c r="E1086" s="15" t="s">
        <v>5284</v>
      </c>
      <c r="F1086" s="15" t="s">
        <v>5286</v>
      </c>
      <c r="G1086" s="15" t="s">
        <v>5285</v>
      </c>
      <c r="H1086" s="15" t="s">
        <v>5287</v>
      </c>
      <c r="I1086" s="15" t="s">
        <v>1658</v>
      </c>
    </row>
    <row r="1087" spans="1:9" x14ac:dyDescent="0.15">
      <c r="A1087" s="15" t="s">
        <v>5288</v>
      </c>
      <c r="B1087" s="15"/>
      <c r="C1087" s="15" t="s">
        <v>40</v>
      </c>
      <c r="D1087" s="15" t="s">
        <v>41</v>
      </c>
      <c r="E1087" s="15" t="s">
        <v>5289</v>
      </c>
      <c r="F1087" s="15" t="s">
        <v>5291</v>
      </c>
      <c r="G1087" s="15" t="s">
        <v>5290</v>
      </c>
      <c r="H1087" s="15" t="s">
        <v>5292</v>
      </c>
      <c r="I1087" s="15" t="s">
        <v>1658</v>
      </c>
    </row>
    <row r="1088" spans="1:9" x14ac:dyDescent="0.15">
      <c r="A1088" s="15" t="s">
        <v>5293</v>
      </c>
      <c r="B1088" s="15"/>
      <c r="C1088" s="15" t="s">
        <v>40</v>
      </c>
      <c r="D1088" s="15" t="s">
        <v>41</v>
      </c>
      <c r="E1088" s="15" t="s">
        <v>5294</v>
      </c>
      <c r="F1088" s="15" t="s">
        <v>5295</v>
      </c>
      <c r="G1088" s="15" t="s">
        <v>4748</v>
      </c>
      <c r="H1088" s="15" t="s">
        <v>5296</v>
      </c>
      <c r="I1088" s="15" t="s">
        <v>1658</v>
      </c>
    </row>
    <row r="1089" spans="1:9" x14ac:dyDescent="0.15">
      <c r="A1089" s="15" t="s">
        <v>5297</v>
      </c>
      <c r="B1089" s="15"/>
      <c r="C1089" s="15" t="s">
        <v>40</v>
      </c>
      <c r="D1089" s="15" t="s">
        <v>41</v>
      </c>
      <c r="E1089" s="15" t="s">
        <v>5298</v>
      </c>
      <c r="F1089" s="15" t="s">
        <v>21</v>
      </c>
      <c r="G1089" s="15" t="s">
        <v>3173</v>
      </c>
      <c r="H1089" s="15" t="s">
        <v>5299</v>
      </c>
      <c r="I1089" s="15" t="s">
        <v>1658</v>
      </c>
    </row>
    <row r="1090" spans="1:9" x14ac:dyDescent="0.15">
      <c r="A1090" s="15" t="s">
        <v>5300</v>
      </c>
      <c r="B1090" s="15"/>
      <c r="C1090" s="15" t="s">
        <v>40</v>
      </c>
      <c r="D1090" s="15" t="s">
        <v>41</v>
      </c>
      <c r="E1090" s="15" t="s">
        <v>5301</v>
      </c>
      <c r="F1090" s="15" t="s">
        <v>5303</v>
      </c>
      <c r="G1090" s="15" t="s">
        <v>5302</v>
      </c>
      <c r="H1090" s="15" t="s">
        <v>5304</v>
      </c>
      <c r="I1090" s="15" t="s">
        <v>1658</v>
      </c>
    </row>
    <row r="1091" spans="1:9" x14ac:dyDescent="0.15">
      <c r="A1091" s="15" t="s">
        <v>5305</v>
      </c>
      <c r="B1091" s="15"/>
      <c r="C1091" s="15" t="s">
        <v>40</v>
      </c>
      <c r="D1091" s="15" t="s">
        <v>41</v>
      </c>
      <c r="E1091" s="15" t="s">
        <v>5306</v>
      </c>
      <c r="F1091" s="15" t="s">
        <v>5308</v>
      </c>
      <c r="G1091" s="15" t="s">
        <v>5307</v>
      </c>
      <c r="H1091" s="15" t="s">
        <v>5309</v>
      </c>
      <c r="I1091" s="15" t="s">
        <v>1658</v>
      </c>
    </row>
    <row r="1092" spans="1:9" x14ac:dyDescent="0.15">
      <c r="A1092" s="15" t="s">
        <v>5310</v>
      </c>
      <c r="B1092" s="15"/>
      <c r="C1092" s="15" t="s">
        <v>40</v>
      </c>
      <c r="D1092" s="15" t="s">
        <v>41</v>
      </c>
      <c r="E1092" s="15" t="s">
        <v>5311</v>
      </c>
      <c r="F1092" s="15" t="s">
        <v>5313</v>
      </c>
      <c r="G1092" s="15" t="s">
        <v>5312</v>
      </c>
      <c r="H1092" s="15" t="s">
        <v>5314</v>
      </c>
      <c r="I1092" s="15" t="s">
        <v>1658</v>
      </c>
    </row>
    <row r="1093" spans="1:9" x14ac:dyDescent="0.15">
      <c r="A1093" s="15" t="s">
        <v>5315</v>
      </c>
      <c r="B1093" s="15"/>
      <c r="C1093" s="15" t="s">
        <v>40</v>
      </c>
      <c r="D1093" s="15" t="s">
        <v>41</v>
      </c>
      <c r="E1093" s="15" t="s">
        <v>5316</v>
      </c>
      <c r="F1093" s="15" t="s">
        <v>5318</v>
      </c>
      <c r="G1093" s="15" t="s">
        <v>5317</v>
      </c>
      <c r="H1093" s="15" t="s">
        <v>5319</v>
      </c>
      <c r="I1093" s="15" t="s">
        <v>1658</v>
      </c>
    </row>
    <row r="1094" spans="1:9" x14ac:dyDescent="0.15">
      <c r="A1094" s="15" t="s">
        <v>5320</v>
      </c>
      <c r="B1094" s="15"/>
      <c r="C1094" s="15" t="s">
        <v>40</v>
      </c>
      <c r="D1094" s="15" t="s">
        <v>41</v>
      </c>
      <c r="E1094" s="15" t="s">
        <v>5321</v>
      </c>
      <c r="F1094" s="15" t="s">
        <v>5323</v>
      </c>
      <c r="G1094" s="15" t="s">
        <v>5322</v>
      </c>
      <c r="H1094" s="15" t="s">
        <v>5324</v>
      </c>
      <c r="I1094" s="15" t="s">
        <v>1658</v>
      </c>
    </row>
    <row r="1095" spans="1:9" x14ac:dyDescent="0.15">
      <c r="A1095" s="15" t="s">
        <v>5325</v>
      </c>
      <c r="B1095" s="15"/>
      <c r="C1095" s="15" t="s">
        <v>40</v>
      </c>
      <c r="D1095" s="15" t="s">
        <v>41</v>
      </c>
      <c r="E1095" s="15" t="s">
        <v>5326</v>
      </c>
      <c r="F1095" s="15" t="s">
        <v>5328</v>
      </c>
      <c r="G1095" s="15" t="s">
        <v>5327</v>
      </c>
      <c r="H1095" s="15" t="s">
        <v>5329</v>
      </c>
      <c r="I1095" s="15" t="s">
        <v>1658</v>
      </c>
    </row>
    <row r="1096" spans="1:9" x14ac:dyDescent="0.15">
      <c r="A1096" s="15" t="s">
        <v>5331</v>
      </c>
      <c r="B1096" s="15"/>
      <c r="C1096" s="15" t="s">
        <v>40</v>
      </c>
      <c r="D1096" s="15" t="s">
        <v>41</v>
      </c>
      <c r="E1096" s="15" t="s">
        <v>5332</v>
      </c>
      <c r="F1096" s="15" t="s">
        <v>5334</v>
      </c>
      <c r="G1096" s="15" t="s">
        <v>5333</v>
      </c>
      <c r="H1096" s="15" t="s">
        <v>5335</v>
      </c>
      <c r="I1096" s="15" t="s">
        <v>1658</v>
      </c>
    </row>
    <row r="1097" spans="1:9" x14ac:dyDescent="0.15">
      <c r="A1097" s="15" t="s">
        <v>5336</v>
      </c>
      <c r="B1097" s="15"/>
      <c r="C1097" s="15" t="s">
        <v>40</v>
      </c>
      <c r="D1097" s="15" t="s">
        <v>41</v>
      </c>
      <c r="E1097" s="15" t="s">
        <v>5337</v>
      </c>
      <c r="F1097" s="15" t="s">
        <v>5338</v>
      </c>
      <c r="G1097" s="15" t="s">
        <v>4855</v>
      </c>
      <c r="H1097" s="15" t="s">
        <v>5339</v>
      </c>
      <c r="I1097" s="15" t="s">
        <v>1658</v>
      </c>
    </row>
    <row r="1098" spans="1:9" x14ac:dyDescent="0.15">
      <c r="A1098" s="15" t="s">
        <v>5340</v>
      </c>
      <c r="B1098" s="15"/>
      <c r="C1098" s="15" t="s">
        <v>40</v>
      </c>
      <c r="D1098" s="15" t="s">
        <v>41</v>
      </c>
      <c r="E1098" s="15" t="s">
        <v>5341</v>
      </c>
      <c r="F1098" s="15" t="s">
        <v>5343</v>
      </c>
      <c r="G1098" s="15" t="s">
        <v>5342</v>
      </c>
      <c r="H1098" s="15" t="s">
        <v>5344</v>
      </c>
      <c r="I1098" s="15" t="s">
        <v>1658</v>
      </c>
    </row>
    <row r="1099" spans="1:9" x14ac:dyDescent="0.15">
      <c r="A1099" s="15" t="s">
        <v>5345</v>
      </c>
      <c r="B1099" s="15"/>
      <c r="C1099" s="15" t="s">
        <v>40</v>
      </c>
      <c r="D1099" s="15" t="s">
        <v>41</v>
      </c>
      <c r="E1099" s="15" t="s">
        <v>5346</v>
      </c>
      <c r="F1099" s="15" t="s">
        <v>5347</v>
      </c>
      <c r="G1099" s="15" t="s">
        <v>1968</v>
      </c>
      <c r="H1099" s="15" t="s">
        <v>5348</v>
      </c>
      <c r="I1099" s="15" t="s">
        <v>1658</v>
      </c>
    </row>
    <row r="1100" spans="1:9" x14ac:dyDescent="0.15">
      <c r="A1100" s="15" t="s">
        <v>5349</v>
      </c>
      <c r="B1100" s="15"/>
      <c r="C1100" s="15" t="s">
        <v>40</v>
      </c>
      <c r="D1100" s="15" t="s">
        <v>41</v>
      </c>
      <c r="E1100" s="15" t="s">
        <v>5350</v>
      </c>
      <c r="F1100" s="15" t="s">
        <v>5351</v>
      </c>
      <c r="G1100" s="15" t="s">
        <v>1968</v>
      </c>
      <c r="H1100" s="15" t="s">
        <v>5352</v>
      </c>
      <c r="I1100" s="15" t="s">
        <v>1658</v>
      </c>
    </row>
    <row r="1101" spans="1:9" x14ac:dyDescent="0.15">
      <c r="A1101" s="15" t="s">
        <v>5353</v>
      </c>
      <c r="B1101" s="15"/>
      <c r="C1101" s="15" t="s">
        <v>40</v>
      </c>
      <c r="D1101" s="15" t="s">
        <v>41</v>
      </c>
      <c r="E1101" s="15" t="s">
        <v>5354</v>
      </c>
      <c r="F1101" s="15" t="s">
        <v>5355</v>
      </c>
      <c r="G1101" s="15" t="s">
        <v>1968</v>
      </c>
      <c r="H1101" s="15" t="s">
        <v>5356</v>
      </c>
      <c r="I1101" s="15" t="s">
        <v>1658</v>
      </c>
    </row>
    <row r="1102" spans="1:9" x14ac:dyDescent="0.15">
      <c r="A1102" s="15" t="s">
        <v>5357</v>
      </c>
      <c r="B1102" s="15"/>
      <c r="C1102" s="15" t="s">
        <v>40</v>
      </c>
      <c r="D1102" s="15" t="s">
        <v>41</v>
      </c>
      <c r="E1102" s="15" t="s">
        <v>5358</v>
      </c>
      <c r="F1102" s="15" t="s">
        <v>5359</v>
      </c>
      <c r="G1102" s="15" t="s">
        <v>5232</v>
      </c>
      <c r="H1102" s="15" t="s">
        <v>5360</v>
      </c>
      <c r="I1102" s="15" t="s">
        <v>1658</v>
      </c>
    </row>
    <row r="1103" spans="1:9" x14ac:dyDescent="0.15">
      <c r="A1103" s="15" t="s">
        <v>5361</v>
      </c>
      <c r="B1103" s="15"/>
      <c r="C1103" s="15" t="s">
        <v>40</v>
      </c>
      <c r="D1103" s="15" t="s">
        <v>41</v>
      </c>
      <c r="E1103" s="15" t="s">
        <v>5362</v>
      </c>
      <c r="F1103" s="15" t="s">
        <v>5364</v>
      </c>
      <c r="G1103" s="15" t="s">
        <v>5363</v>
      </c>
      <c r="H1103" s="15" t="s">
        <v>5365</v>
      </c>
      <c r="I1103" s="15" t="s">
        <v>1658</v>
      </c>
    </row>
    <row r="1104" spans="1:9" x14ac:dyDescent="0.15">
      <c r="A1104" s="15" t="s">
        <v>5366</v>
      </c>
      <c r="B1104" s="15"/>
      <c r="C1104" s="15" t="s">
        <v>40</v>
      </c>
      <c r="D1104" s="15" t="s">
        <v>41</v>
      </c>
      <c r="E1104" s="15" t="s">
        <v>5367</v>
      </c>
      <c r="F1104" s="15" t="s">
        <v>5369</v>
      </c>
      <c r="G1104" s="15" t="s">
        <v>5368</v>
      </c>
      <c r="H1104" s="15" t="s">
        <v>5370</v>
      </c>
      <c r="I1104" s="15" t="s">
        <v>1658</v>
      </c>
    </row>
    <row r="1105" spans="1:9" x14ac:dyDescent="0.15">
      <c r="A1105" s="15" t="s">
        <v>5371</v>
      </c>
      <c r="B1105" s="15"/>
      <c r="C1105" s="15" t="s">
        <v>40</v>
      </c>
      <c r="D1105" s="15" t="s">
        <v>41</v>
      </c>
      <c r="E1105" s="15" t="s">
        <v>5372</v>
      </c>
      <c r="F1105" s="15" t="s">
        <v>5374</v>
      </c>
      <c r="G1105" s="15" t="s">
        <v>5373</v>
      </c>
      <c r="H1105" s="15" t="s">
        <v>5375</v>
      </c>
      <c r="I1105" s="15" t="s">
        <v>1658</v>
      </c>
    </row>
    <row r="1106" spans="1:9" x14ac:dyDescent="0.15">
      <c r="A1106" s="15" t="s">
        <v>5376</v>
      </c>
      <c r="B1106" s="15"/>
      <c r="C1106" s="15" t="s">
        <v>40</v>
      </c>
      <c r="D1106" s="15" t="s">
        <v>41</v>
      </c>
      <c r="E1106" s="15" t="s">
        <v>5377</v>
      </c>
      <c r="F1106" s="15" t="s">
        <v>5379</v>
      </c>
      <c r="G1106" s="15" t="s">
        <v>5378</v>
      </c>
      <c r="H1106" s="15" t="s">
        <v>5380</v>
      </c>
      <c r="I1106" s="15" t="s">
        <v>1658</v>
      </c>
    </row>
    <row r="1107" spans="1:9" x14ac:dyDescent="0.15">
      <c r="A1107" s="15" t="s">
        <v>5381</v>
      </c>
      <c r="B1107" s="15"/>
      <c r="C1107" s="15" t="s">
        <v>40</v>
      </c>
      <c r="D1107" s="15" t="s">
        <v>41</v>
      </c>
      <c r="E1107" s="15" t="s">
        <v>5382</v>
      </c>
      <c r="F1107" s="15" t="s">
        <v>5384</v>
      </c>
      <c r="G1107" s="15" t="s">
        <v>5383</v>
      </c>
      <c r="H1107" s="15" t="s">
        <v>5385</v>
      </c>
      <c r="I1107" s="15" t="s">
        <v>1658</v>
      </c>
    </row>
    <row r="1108" spans="1:9" x14ac:dyDescent="0.15">
      <c r="A1108" s="15" t="s">
        <v>5386</v>
      </c>
      <c r="B1108" s="15"/>
      <c r="C1108" s="15" t="s">
        <v>40</v>
      </c>
      <c r="D1108" s="15" t="s">
        <v>41</v>
      </c>
      <c r="E1108" s="15" t="s">
        <v>5387</v>
      </c>
      <c r="F1108" s="15" t="s">
        <v>5389</v>
      </c>
      <c r="G1108" s="15" t="s">
        <v>5388</v>
      </c>
      <c r="H1108" s="15" t="s">
        <v>5390</v>
      </c>
      <c r="I1108" s="15" t="s">
        <v>1658</v>
      </c>
    </row>
    <row r="1109" spans="1:9" x14ac:dyDescent="0.15">
      <c r="A1109" s="15" t="s">
        <v>5391</v>
      </c>
      <c r="B1109" s="15"/>
      <c r="C1109" s="15" t="s">
        <v>40</v>
      </c>
      <c r="D1109" s="15" t="s">
        <v>41</v>
      </c>
      <c r="E1109" s="15" t="s">
        <v>5392</v>
      </c>
      <c r="F1109" s="15" t="s">
        <v>5394</v>
      </c>
      <c r="G1109" s="15" t="s">
        <v>5393</v>
      </c>
      <c r="H1109" s="15" t="s">
        <v>5395</v>
      </c>
      <c r="I1109" s="15" t="s">
        <v>1658</v>
      </c>
    </row>
    <row r="1110" spans="1:9" x14ac:dyDescent="0.15">
      <c r="A1110" s="15" t="s">
        <v>5396</v>
      </c>
      <c r="B1110" s="15"/>
      <c r="C1110" s="15" t="s">
        <v>40</v>
      </c>
      <c r="D1110" s="15" t="s">
        <v>41</v>
      </c>
      <c r="E1110" s="15" t="s">
        <v>5397</v>
      </c>
      <c r="F1110" s="15" t="s">
        <v>5399</v>
      </c>
      <c r="G1110" s="15" t="s">
        <v>5398</v>
      </c>
      <c r="H1110" s="15" t="s">
        <v>5400</v>
      </c>
      <c r="I1110" s="15" t="s">
        <v>1658</v>
      </c>
    </row>
    <row r="1111" spans="1:9" x14ac:dyDescent="0.15">
      <c r="A1111" s="15" t="s">
        <v>5401</v>
      </c>
      <c r="B1111" s="15"/>
      <c r="C1111" s="15" t="s">
        <v>40</v>
      </c>
      <c r="D1111" s="15" t="s">
        <v>41</v>
      </c>
      <c r="E1111" s="15" t="s">
        <v>5402</v>
      </c>
      <c r="F1111" s="15" t="s">
        <v>5403</v>
      </c>
      <c r="G1111" s="15" t="s">
        <v>5403</v>
      </c>
      <c r="H1111" s="15" t="s">
        <v>5404</v>
      </c>
      <c r="I1111" s="15" t="s">
        <v>1658</v>
      </c>
    </row>
    <row r="1112" spans="1:9" x14ac:dyDescent="0.15">
      <c r="A1112" s="15" t="s">
        <v>5405</v>
      </c>
      <c r="B1112" s="15"/>
      <c r="C1112" s="15" t="s">
        <v>40</v>
      </c>
      <c r="D1112" s="15" t="s">
        <v>41</v>
      </c>
      <c r="E1112" s="15" t="s">
        <v>5406</v>
      </c>
      <c r="F1112" s="15" t="s">
        <v>5408</v>
      </c>
      <c r="G1112" s="15" t="s">
        <v>5407</v>
      </c>
      <c r="H1112" s="15" t="s">
        <v>5409</v>
      </c>
      <c r="I1112" s="15" t="s">
        <v>1658</v>
      </c>
    </row>
    <row r="1113" spans="1:9" x14ac:dyDescent="0.15">
      <c r="A1113" s="15" t="s">
        <v>5410</v>
      </c>
      <c r="B1113" s="15"/>
      <c r="C1113" s="15" t="s">
        <v>40</v>
      </c>
      <c r="D1113" s="15" t="s">
        <v>41</v>
      </c>
      <c r="E1113" s="15" t="s">
        <v>5411</v>
      </c>
      <c r="F1113" s="15" t="s">
        <v>5413</v>
      </c>
      <c r="G1113" s="15" t="s">
        <v>5412</v>
      </c>
      <c r="H1113" s="15" t="s">
        <v>5414</v>
      </c>
      <c r="I1113" s="15" t="s">
        <v>1658</v>
      </c>
    </row>
    <row r="1114" spans="1:9" x14ac:dyDescent="0.15">
      <c r="A1114" s="15" t="s">
        <v>5415</v>
      </c>
      <c r="B1114" s="15"/>
      <c r="C1114" s="15" t="s">
        <v>40</v>
      </c>
      <c r="D1114" s="15" t="s">
        <v>41</v>
      </c>
      <c r="E1114" s="15" t="s">
        <v>5416</v>
      </c>
      <c r="F1114" s="15" t="s">
        <v>5418</v>
      </c>
      <c r="G1114" s="15" t="s">
        <v>5417</v>
      </c>
      <c r="H1114" s="15" t="s">
        <v>5419</v>
      </c>
      <c r="I1114" s="15" t="s">
        <v>1658</v>
      </c>
    </row>
    <row r="1115" spans="1:9" x14ac:dyDescent="0.15">
      <c r="A1115" s="15" t="s">
        <v>5420</v>
      </c>
      <c r="B1115" s="15"/>
      <c r="C1115" s="15" t="s">
        <v>40</v>
      </c>
      <c r="D1115" s="15" t="s">
        <v>41</v>
      </c>
      <c r="E1115" s="15" t="s">
        <v>5421</v>
      </c>
      <c r="F1115" s="15" t="s">
        <v>5423</v>
      </c>
      <c r="G1115" s="15" t="s">
        <v>5422</v>
      </c>
      <c r="H1115" s="15" t="s">
        <v>5424</v>
      </c>
      <c r="I1115" s="15" t="s">
        <v>1658</v>
      </c>
    </row>
    <row r="1116" spans="1:9" x14ac:dyDescent="0.15">
      <c r="A1116" s="15" t="s">
        <v>5425</v>
      </c>
      <c r="B1116" s="15"/>
      <c r="C1116" s="15" t="s">
        <v>40</v>
      </c>
      <c r="D1116" s="15" t="s">
        <v>41</v>
      </c>
      <c r="E1116" s="15" t="s">
        <v>5426</v>
      </c>
      <c r="F1116" s="15" t="s">
        <v>5428</v>
      </c>
      <c r="G1116" s="15" t="s">
        <v>5427</v>
      </c>
      <c r="H1116" s="15" t="s">
        <v>5429</v>
      </c>
      <c r="I1116" s="15" t="s">
        <v>1658</v>
      </c>
    </row>
    <row r="1117" spans="1:9" x14ac:dyDescent="0.15">
      <c r="A1117" s="15" t="s">
        <v>5430</v>
      </c>
      <c r="B1117" s="15"/>
      <c r="C1117" s="15" t="s">
        <v>40</v>
      </c>
      <c r="D1117" s="15" t="s">
        <v>41</v>
      </c>
      <c r="E1117" s="15" t="s">
        <v>5431</v>
      </c>
      <c r="F1117" s="15" t="s">
        <v>5433</v>
      </c>
      <c r="G1117" s="15" t="s">
        <v>5432</v>
      </c>
      <c r="H1117" s="15" t="s">
        <v>5434</v>
      </c>
      <c r="I1117" s="15" t="s">
        <v>1658</v>
      </c>
    </row>
    <row r="1118" spans="1:9" x14ac:dyDescent="0.15">
      <c r="A1118" s="15" t="s">
        <v>5435</v>
      </c>
      <c r="B1118" s="15"/>
      <c r="C1118" s="15" t="s">
        <v>40</v>
      </c>
      <c r="D1118" s="15" t="s">
        <v>41</v>
      </c>
      <c r="E1118" s="15" t="s">
        <v>5436</v>
      </c>
      <c r="F1118" s="15" t="s">
        <v>5438</v>
      </c>
      <c r="G1118" s="15" t="s">
        <v>5437</v>
      </c>
      <c r="H1118" s="15" t="s">
        <v>5439</v>
      </c>
      <c r="I1118" s="15" t="s">
        <v>1658</v>
      </c>
    </row>
    <row r="1119" spans="1:9" x14ac:dyDescent="0.15">
      <c r="A1119" s="15" t="s">
        <v>5440</v>
      </c>
      <c r="B1119" s="15"/>
      <c r="C1119" s="15" t="s">
        <v>40</v>
      </c>
      <c r="D1119" s="15" t="s">
        <v>41</v>
      </c>
      <c r="E1119" s="15" t="s">
        <v>5441</v>
      </c>
      <c r="F1119" s="15" t="s">
        <v>5442</v>
      </c>
      <c r="G1119" s="15" t="s">
        <v>2380</v>
      </c>
      <c r="H1119" s="15" t="s">
        <v>5443</v>
      </c>
      <c r="I1119" s="15" t="s">
        <v>1658</v>
      </c>
    </row>
    <row r="1120" spans="1:9" x14ac:dyDescent="0.15">
      <c r="A1120" s="15" t="s">
        <v>5444</v>
      </c>
      <c r="B1120" s="15"/>
      <c r="C1120" s="15" t="s">
        <v>40</v>
      </c>
      <c r="D1120" s="15" t="s">
        <v>41</v>
      </c>
      <c r="E1120" s="15" t="s">
        <v>5445</v>
      </c>
      <c r="F1120" s="15" t="s">
        <v>5447</v>
      </c>
      <c r="G1120" s="15" t="s">
        <v>5446</v>
      </c>
      <c r="H1120" s="15" t="s">
        <v>5448</v>
      </c>
      <c r="I1120" s="15" t="s">
        <v>1658</v>
      </c>
    </row>
    <row r="1121" spans="1:9" x14ac:dyDescent="0.15">
      <c r="A1121" s="15" t="s">
        <v>5449</v>
      </c>
      <c r="B1121" s="15"/>
      <c r="C1121" s="15" t="s">
        <v>40</v>
      </c>
      <c r="D1121" s="15" t="s">
        <v>41</v>
      </c>
      <c r="E1121" s="15" t="s">
        <v>5450</v>
      </c>
      <c r="F1121" s="15" t="s">
        <v>5452</v>
      </c>
      <c r="G1121" s="15" t="s">
        <v>5451</v>
      </c>
      <c r="H1121" s="15" t="s">
        <v>5453</v>
      </c>
      <c r="I1121" s="15" t="s">
        <v>1658</v>
      </c>
    </row>
    <row r="1122" spans="1:9" x14ac:dyDescent="0.15">
      <c r="A1122" s="15" t="s">
        <v>5454</v>
      </c>
      <c r="B1122" s="15"/>
      <c r="C1122" s="15" t="s">
        <v>40</v>
      </c>
      <c r="D1122" s="15" t="s">
        <v>41</v>
      </c>
      <c r="E1122" s="15" t="s">
        <v>5455</v>
      </c>
      <c r="F1122" s="15" t="s">
        <v>5456</v>
      </c>
      <c r="G1122" s="15" t="s">
        <v>2092</v>
      </c>
      <c r="H1122" s="15" t="s">
        <v>5457</v>
      </c>
      <c r="I1122" s="15" t="s">
        <v>1658</v>
      </c>
    </row>
    <row r="1123" spans="1:9" x14ac:dyDescent="0.15">
      <c r="A1123" s="15" t="s">
        <v>5458</v>
      </c>
      <c r="B1123" s="15"/>
      <c r="C1123" s="15" t="s">
        <v>40</v>
      </c>
      <c r="D1123" s="15" t="s">
        <v>41</v>
      </c>
      <c r="E1123" s="15" t="s">
        <v>5459</v>
      </c>
      <c r="F1123" s="15" t="s">
        <v>5461</v>
      </c>
      <c r="G1123" s="15" t="s">
        <v>5460</v>
      </c>
      <c r="H1123" s="15" t="s">
        <v>5462</v>
      </c>
      <c r="I1123" s="15" t="s">
        <v>1658</v>
      </c>
    </row>
    <row r="1124" spans="1:9" x14ac:dyDescent="0.15">
      <c r="A1124" s="15" t="s">
        <v>5463</v>
      </c>
      <c r="B1124" s="15"/>
      <c r="C1124" s="15" t="s">
        <v>40</v>
      </c>
      <c r="D1124" s="15" t="s">
        <v>41</v>
      </c>
      <c r="E1124" s="15" t="s">
        <v>5464</v>
      </c>
      <c r="F1124" s="15" t="s">
        <v>5465</v>
      </c>
      <c r="G1124" s="15" t="s">
        <v>5009</v>
      </c>
      <c r="H1124" s="15" t="s">
        <v>5466</v>
      </c>
      <c r="I1124" s="15" t="s">
        <v>1658</v>
      </c>
    </row>
    <row r="1125" spans="1:9" x14ac:dyDescent="0.15">
      <c r="A1125" s="15" t="s">
        <v>5467</v>
      </c>
      <c r="B1125" s="15"/>
      <c r="C1125" s="15" t="s">
        <v>40</v>
      </c>
      <c r="D1125" s="15" t="s">
        <v>41</v>
      </c>
      <c r="E1125" s="15" t="s">
        <v>5468</v>
      </c>
      <c r="F1125" s="15" t="s">
        <v>5469</v>
      </c>
      <c r="G1125" s="15" t="s">
        <v>4748</v>
      </c>
      <c r="H1125" s="15" t="s">
        <v>5470</v>
      </c>
      <c r="I1125" s="15" t="s">
        <v>1658</v>
      </c>
    </row>
    <row r="1126" spans="1:9" x14ac:dyDescent="0.15">
      <c r="A1126" s="15" t="s">
        <v>5471</v>
      </c>
      <c r="B1126" s="15"/>
      <c r="C1126" s="15" t="s">
        <v>40</v>
      </c>
      <c r="D1126" s="15" t="s">
        <v>41</v>
      </c>
      <c r="E1126" s="15" t="s">
        <v>5472</v>
      </c>
      <c r="F1126" s="15" t="s">
        <v>5474</v>
      </c>
      <c r="G1126" s="15" t="s">
        <v>5473</v>
      </c>
      <c r="H1126" s="15" t="s">
        <v>5475</v>
      </c>
      <c r="I1126" s="15" t="s">
        <v>1658</v>
      </c>
    </row>
    <row r="1127" spans="1:9" x14ac:dyDescent="0.15">
      <c r="A1127" s="15" t="s">
        <v>5476</v>
      </c>
      <c r="B1127" s="15"/>
      <c r="C1127" s="15" t="s">
        <v>40</v>
      </c>
      <c r="D1127" s="15" t="s">
        <v>41</v>
      </c>
      <c r="E1127" s="15" t="s">
        <v>5477</v>
      </c>
      <c r="F1127" s="15" t="s">
        <v>5479</v>
      </c>
      <c r="G1127" s="15" t="s">
        <v>5478</v>
      </c>
      <c r="H1127" s="15" t="s">
        <v>5480</v>
      </c>
      <c r="I1127" s="15" t="s">
        <v>1658</v>
      </c>
    </row>
    <row r="1128" spans="1:9" x14ac:dyDescent="0.15">
      <c r="A1128" s="15" t="s">
        <v>5481</v>
      </c>
      <c r="B1128" s="15"/>
      <c r="C1128" s="15" t="s">
        <v>40</v>
      </c>
      <c r="D1128" s="15" t="s">
        <v>41</v>
      </c>
      <c r="E1128" s="15" t="s">
        <v>5482</v>
      </c>
      <c r="F1128" s="15" t="s">
        <v>5484</v>
      </c>
      <c r="G1128" s="15" t="s">
        <v>5483</v>
      </c>
      <c r="H1128" s="15" t="s">
        <v>5485</v>
      </c>
      <c r="I1128" s="15" t="s">
        <v>1658</v>
      </c>
    </row>
    <row r="1129" spans="1:9" x14ac:dyDescent="0.15">
      <c r="A1129" s="15" t="s">
        <v>5486</v>
      </c>
      <c r="B1129" s="15"/>
      <c r="C1129" s="15" t="s">
        <v>40</v>
      </c>
      <c r="D1129" s="15" t="s">
        <v>41</v>
      </c>
      <c r="E1129" s="15" t="s">
        <v>5487</v>
      </c>
      <c r="F1129" s="15" t="s">
        <v>5489</v>
      </c>
      <c r="G1129" s="15" t="s">
        <v>5488</v>
      </c>
      <c r="H1129" s="15" t="s">
        <v>5490</v>
      </c>
      <c r="I1129" s="15" t="s">
        <v>1658</v>
      </c>
    </row>
    <row r="1130" spans="1:9" x14ac:dyDescent="0.15">
      <c r="A1130" s="15" t="s">
        <v>5491</v>
      </c>
      <c r="B1130" s="15"/>
      <c r="C1130" s="15" t="s">
        <v>40</v>
      </c>
      <c r="D1130" s="15" t="s">
        <v>41</v>
      </c>
      <c r="E1130" s="15" t="s">
        <v>5492</v>
      </c>
      <c r="F1130" s="15" t="s">
        <v>5493</v>
      </c>
      <c r="G1130" s="15" t="s">
        <v>2775</v>
      </c>
      <c r="H1130" s="15" t="s">
        <v>5494</v>
      </c>
      <c r="I1130" s="15" t="s">
        <v>1658</v>
      </c>
    </row>
    <row r="1131" spans="1:9" x14ac:dyDescent="0.15">
      <c r="A1131" s="15" t="s">
        <v>5495</v>
      </c>
      <c r="B1131" s="15"/>
      <c r="C1131" s="15" t="s">
        <v>40</v>
      </c>
      <c r="D1131" s="15" t="s">
        <v>41</v>
      </c>
      <c r="E1131" s="15" t="s">
        <v>5496</v>
      </c>
      <c r="F1131" s="15" t="s">
        <v>5497</v>
      </c>
      <c r="G1131" s="15" t="s">
        <v>5127</v>
      </c>
      <c r="H1131" s="15" t="s">
        <v>5498</v>
      </c>
      <c r="I1131" s="15" t="s">
        <v>1658</v>
      </c>
    </row>
    <row r="1132" spans="1:9" x14ac:dyDescent="0.15">
      <c r="A1132" s="15" t="s">
        <v>5499</v>
      </c>
      <c r="B1132" s="15"/>
      <c r="C1132" s="15" t="s">
        <v>40</v>
      </c>
      <c r="D1132" s="15" t="s">
        <v>41</v>
      </c>
      <c r="E1132" s="15" t="s">
        <v>5500</v>
      </c>
      <c r="F1132" s="15" t="s">
        <v>5502</v>
      </c>
      <c r="G1132" s="15" t="s">
        <v>5501</v>
      </c>
      <c r="H1132" s="15" t="s">
        <v>5503</v>
      </c>
      <c r="I1132" s="15" t="s">
        <v>1658</v>
      </c>
    </row>
    <row r="1133" spans="1:9" x14ac:dyDescent="0.15">
      <c r="A1133" s="15" t="s">
        <v>5504</v>
      </c>
      <c r="B1133" s="15"/>
      <c r="C1133" s="15" t="s">
        <v>40</v>
      </c>
      <c r="D1133" s="15" t="s">
        <v>41</v>
      </c>
      <c r="E1133" s="15" t="s">
        <v>5505</v>
      </c>
      <c r="F1133" s="15" t="s">
        <v>52</v>
      </c>
      <c r="G1133" s="15" t="s">
        <v>5506</v>
      </c>
      <c r="H1133" s="15" t="s">
        <v>5507</v>
      </c>
      <c r="I1133" s="15" t="s">
        <v>1658</v>
      </c>
    </row>
    <row r="1134" spans="1:9" x14ac:dyDescent="0.15">
      <c r="A1134" s="15" t="s">
        <v>5508</v>
      </c>
      <c r="B1134" s="15"/>
      <c r="C1134" s="15" t="s">
        <v>40</v>
      </c>
      <c r="D1134" s="15" t="s">
        <v>41</v>
      </c>
      <c r="E1134" s="15" t="s">
        <v>5509</v>
      </c>
      <c r="F1134" s="15" t="s">
        <v>5510</v>
      </c>
      <c r="G1134" s="15" t="s">
        <v>1752</v>
      </c>
      <c r="H1134" s="15" t="s">
        <v>5511</v>
      </c>
      <c r="I1134" s="15" t="s">
        <v>1658</v>
      </c>
    </row>
    <row r="1135" spans="1:9" x14ac:dyDescent="0.15">
      <c r="A1135" s="15" t="s">
        <v>5512</v>
      </c>
      <c r="B1135" s="15"/>
      <c r="C1135" s="15" t="s">
        <v>40</v>
      </c>
      <c r="D1135" s="15" t="s">
        <v>41</v>
      </c>
      <c r="E1135" s="15" t="s">
        <v>5513</v>
      </c>
      <c r="F1135" s="15" t="s">
        <v>5515</v>
      </c>
      <c r="G1135" s="15" t="s">
        <v>5514</v>
      </c>
      <c r="H1135" s="15" t="s">
        <v>5516</v>
      </c>
      <c r="I1135" s="15" t="s">
        <v>1658</v>
      </c>
    </row>
    <row r="1136" spans="1:9" x14ac:dyDescent="0.15">
      <c r="A1136" s="15" t="s">
        <v>5517</v>
      </c>
      <c r="B1136" s="15"/>
      <c r="C1136" s="15" t="s">
        <v>40</v>
      </c>
      <c r="D1136" s="15" t="s">
        <v>41</v>
      </c>
      <c r="E1136" s="15" t="s">
        <v>5518</v>
      </c>
      <c r="F1136" s="15" t="s">
        <v>5520</v>
      </c>
      <c r="G1136" s="15" t="s">
        <v>5519</v>
      </c>
      <c r="H1136" s="15" t="s">
        <v>5521</v>
      </c>
      <c r="I1136" s="15" t="s">
        <v>1658</v>
      </c>
    </row>
    <row r="1137" spans="1:9" x14ac:dyDescent="0.15">
      <c r="A1137" s="15" t="s">
        <v>5522</v>
      </c>
      <c r="B1137" s="15"/>
      <c r="C1137" s="15" t="s">
        <v>40</v>
      </c>
      <c r="D1137" s="15" t="s">
        <v>41</v>
      </c>
      <c r="E1137" s="15" t="s">
        <v>5523</v>
      </c>
      <c r="F1137" s="15" t="s">
        <v>5525</v>
      </c>
      <c r="G1137" s="15" t="s">
        <v>5524</v>
      </c>
      <c r="H1137" s="15" t="s">
        <v>5526</v>
      </c>
      <c r="I1137" s="15" t="s">
        <v>1658</v>
      </c>
    </row>
    <row r="1138" spans="1:9" x14ac:dyDescent="0.15">
      <c r="A1138" s="15" t="s">
        <v>5527</v>
      </c>
      <c r="B1138" s="15"/>
      <c r="C1138" s="15" t="s">
        <v>40</v>
      </c>
      <c r="D1138" s="15" t="s">
        <v>41</v>
      </c>
      <c r="E1138" s="15" t="s">
        <v>5528</v>
      </c>
      <c r="F1138" s="15" t="s">
        <v>5530</v>
      </c>
      <c r="G1138" s="15" t="s">
        <v>5529</v>
      </c>
      <c r="H1138" s="15" t="s">
        <v>5531</v>
      </c>
      <c r="I1138" s="15" t="s">
        <v>1658</v>
      </c>
    </row>
    <row r="1139" spans="1:9" x14ac:dyDescent="0.15">
      <c r="A1139" s="15" t="s">
        <v>5532</v>
      </c>
      <c r="B1139" s="15"/>
      <c r="C1139" s="15" t="s">
        <v>40</v>
      </c>
      <c r="D1139" s="15" t="s">
        <v>41</v>
      </c>
      <c r="E1139" s="15" t="s">
        <v>5533</v>
      </c>
      <c r="F1139" s="15" t="s">
        <v>52</v>
      </c>
      <c r="G1139" s="15" t="s">
        <v>5534</v>
      </c>
      <c r="H1139" s="15" t="s">
        <v>5535</v>
      </c>
      <c r="I1139" s="15" t="s">
        <v>1658</v>
      </c>
    </row>
    <row r="1140" spans="1:9" x14ac:dyDescent="0.15">
      <c r="A1140" s="15" t="s">
        <v>5536</v>
      </c>
      <c r="B1140" s="15"/>
      <c r="C1140" s="15" t="s">
        <v>40</v>
      </c>
      <c r="D1140" s="15" t="s">
        <v>41</v>
      </c>
      <c r="E1140" s="15" t="s">
        <v>5537</v>
      </c>
      <c r="F1140" s="15" t="s">
        <v>5539</v>
      </c>
      <c r="G1140" s="15" t="s">
        <v>5538</v>
      </c>
      <c r="H1140" s="15" t="s">
        <v>5540</v>
      </c>
      <c r="I1140" s="15" t="s">
        <v>1658</v>
      </c>
    </row>
    <row r="1141" spans="1:9" x14ac:dyDescent="0.15">
      <c r="A1141" s="15" t="s">
        <v>5541</v>
      </c>
      <c r="B1141" s="15"/>
      <c r="C1141" s="15" t="s">
        <v>40</v>
      </c>
      <c r="D1141" s="15" t="s">
        <v>41</v>
      </c>
      <c r="E1141" s="15" t="s">
        <v>5542</v>
      </c>
      <c r="F1141" s="15" t="s">
        <v>5544</v>
      </c>
      <c r="G1141" s="15" t="s">
        <v>5543</v>
      </c>
      <c r="H1141" s="15" t="s">
        <v>5545</v>
      </c>
      <c r="I1141" s="15" t="s">
        <v>1658</v>
      </c>
    </row>
    <row r="1142" spans="1:9" x14ac:dyDescent="0.15">
      <c r="A1142" s="15" t="s">
        <v>5546</v>
      </c>
      <c r="B1142" s="15"/>
      <c r="C1142" s="15" t="s">
        <v>40</v>
      </c>
      <c r="D1142" s="15" t="s">
        <v>41</v>
      </c>
      <c r="E1142" s="15" t="s">
        <v>5547</v>
      </c>
      <c r="F1142" s="15" t="s">
        <v>5549</v>
      </c>
      <c r="G1142" s="15" t="s">
        <v>5548</v>
      </c>
      <c r="H1142" s="15" t="s">
        <v>5550</v>
      </c>
      <c r="I1142" s="15" t="s">
        <v>1658</v>
      </c>
    </row>
    <row r="1143" spans="1:9" x14ac:dyDescent="0.15">
      <c r="A1143" s="15" t="s">
        <v>5551</v>
      </c>
      <c r="B1143" s="15"/>
      <c r="C1143" s="15" t="s">
        <v>40</v>
      </c>
      <c r="D1143" s="15" t="s">
        <v>41</v>
      </c>
      <c r="E1143" s="15" t="s">
        <v>5552</v>
      </c>
      <c r="F1143" s="15" t="s">
        <v>5554</v>
      </c>
      <c r="G1143" s="15" t="s">
        <v>5553</v>
      </c>
      <c r="H1143" s="15" t="s">
        <v>5555</v>
      </c>
      <c r="I1143" s="15" t="s">
        <v>1658</v>
      </c>
    </row>
    <row r="1144" spans="1:9" x14ac:dyDescent="0.15">
      <c r="A1144" s="15" t="s">
        <v>5556</v>
      </c>
      <c r="B1144" s="15"/>
      <c r="C1144" s="15" t="s">
        <v>40</v>
      </c>
      <c r="D1144" s="15" t="s">
        <v>41</v>
      </c>
      <c r="E1144" s="15" t="s">
        <v>5557</v>
      </c>
      <c r="F1144" s="15" t="s">
        <v>5559</v>
      </c>
      <c r="G1144" s="15" t="s">
        <v>5558</v>
      </c>
      <c r="H1144" s="15" t="s">
        <v>5560</v>
      </c>
      <c r="I1144" s="15" t="s">
        <v>1658</v>
      </c>
    </row>
    <row r="1145" spans="1:9" x14ac:dyDescent="0.15">
      <c r="A1145" s="15" t="s">
        <v>5561</v>
      </c>
      <c r="B1145" s="15"/>
      <c r="C1145" s="15" t="s">
        <v>40</v>
      </c>
      <c r="D1145" s="15" t="s">
        <v>41</v>
      </c>
      <c r="E1145" s="15" t="s">
        <v>5562</v>
      </c>
      <c r="F1145" s="15" t="s">
        <v>5564</v>
      </c>
      <c r="G1145" s="15" t="s">
        <v>5563</v>
      </c>
      <c r="H1145" s="15" t="s">
        <v>5565</v>
      </c>
      <c r="I1145" s="15" t="s">
        <v>1658</v>
      </c>
    </row>
    <row r="1146" spans="1:9" x14ac:dyDescent="0.15">
      <c r="A1146" s="15" t="s">
        <v>5566</v>
      </c>
      <c r="B1146" s="15"/>
      <c r="C1146" s="15" t="s">
        <v>40</v>
      </c>
      <c r="D1146" s="15" t="s">
        <v>41</v>
      </c>
      <c r="E1146" s="15" t="s">
        <v>5567</v>
      </c>
      <c r="F1146" s="15" t="s">
        <v>5568</v>
      </c>
      <c r="G1146" s="15" t="s">
        <v>5155</v>
      </c>
      <c r="H1146" s="15" t="s">
        <v>5569</v>
      </c>
      <c r="I1146" s="15" t="s">
        <v>1658</v>
      </c>
    </row>
    <row r="1147" spans="1:9" x14ac:dyDescent="0.15">
      <c r="A1147" s="15" t="s">
        <v>5570</v>
      </c>
      <c r="B1147" s="15"/>
      <c r="C1147" s="15" t="s">
        <v>40</v>
      </c>
      <c r="D1147" s="15" t="s">
        <v>41</v>
      </c>
      <c r="E1147" s="15" t="s">
        <v>5571</v>
      </c>
      <c r="F1147" s="15" t="s">
        <v>5573</v>
      </c>
      <c r="G1147" s="15" t="s">
        <v>5572</v>
      </c>
      <c r="H1147" s="15" t="s">
        <v>5574</v>
      </c>
      <c r="I1147" s="15" t="s">
        <v>1658</v>
      </c>
    </row>
    <row r="1148" spans="1:9" x14ac:dyDescent="0.15">
      <c r="A1148" s="15" t="s">
        <v>5575</v>
      </c>
      <c r="B1148" s="15"/>
      <c r="C1148" s="15" t="s">
        <v>40</v>
      </c>
      <c r="D1148" s="15" t="s">
        <v>41</v>
      </c>
      <c r="E1148" s="15" t="s">
        <v>5576</v>
      </c>
      <c r="F1148" s="15" t="s">
        <v>5578</v>
      </c>
      <c r="G1148" s="15" t="s">
        <v>5577</v>
      </c>
      <c r="H1148" s="15" t="s">
        <v>5579</v>
      </c>
      <c r="I1148" s="15" t="s">
        <v>1658</v>
      </c>
    </row>
    <row r="1149" spans="1:9" x14ac:dyDescent="0.15">
      <c r="A1149" s="15" t="s">
        <v>5580</v>
      </c>
      <c r="B1149" s="15"/>
      <c r="C1149" s="15" t="s">
        <v>40</v>
      </c>
      <c r="D1149" s="15" t="s">
        <v>41</v>
      </c>
      <c r="E1149" s="15" t="s">
        <v>5581</v>
      </c>
      <c r="F1149" s="15" t="s">
        <v>5583</v>
      </c>
      <c r="G1149" s="15" t="s">
        <v>5582</v>
      </c>
      <c r="H1149" s="15" t="s">
        <v>5584</v>
      </c>
      <c r="I1149" s="15" t="s">
        <v>1658</v>
      </c>
    </row>
    <row r="1150" spans="1:9" x14ac:dyDescent="0.15">
      <c r="A1150" s="15" t="s">
        <v>5585</v>
      </c>
      <c r="B1150" s="15"/>
      <c r="C1150" s="15" t="s">
        <v>40</v>
      </c>
      <c r="D1150" s="15" t="s">
        <v>41</v>
      </c>
      <c r="E1150" s="15" t="s">
        <v>5586</v>
      </c>
      <c r="F1150" s="15" t="s">
        <v>5587</v>
      </c>
      <c r="G1150" s="15" t="s">
        <v>5363</v>
      </c>
      <c r="H1150" s="15" t="s">
        <v>5588</v>
      </c>
      <c r="I1150" s="15" t="s">
        <v>1658</v>
      </c>
    </row>
    <row r="1151" spans="1:9" x14ac:dyDescent="0.15">
      <c r="A1151" s="15" t="s">
        <v>5589</v>
      </c>
      <c r="B1151" s="15"/>
      <c r="C1151" s="15" t="s">
        <v>40</v>
      </c>
      <c r="D1151" s="15" t="s">
        <v>41</v>
      </c>
      <c r="E1151" s="15" t="s">
        <v>5590</v>
      </c>
      <c r="F1151" s="15" t="s">
        <v>5592</v>
      </c>
      <c r="G1151" s="15" t="s">
        <v>5591</v>
      </c>
      <c r="H1151" s="15" t="s">
        <v>5593</v>
      </c>
      <c r="I1151" s="15" t="s">
        <v>1658</v>
      </c>
    </row>
    <row r="1152" spans="1:9" x14ac:dyDescent="0.15">
      <c r="A1152" s="15" t="s">
        <v>5594</v>
      </c>
      <c r="B1152" s="15"/>
      <c r="C1152" s="15" t="s">
        <v>40</v>
      </c>
      <c r="D1152" s="15" t="s">
        <v>41</v>
      </c>
      <c r="E1152" s="15" t="s">
        <v>5595</v>
      </c>
      <c r="F1152" s="15" t="s">
        <v>5597</v>
      </c>
      <c r="G1152" s="15" t="s">
        <v>5596</v>
      </c>
      <c r="H1152" s="15" t="s">
        <v>5598</v>
      </c>
      <c r="I1152" s="15" t="s">
        <v>1658</v>
      </c>
    </row>
    <row r="1153" spans="1:9" x14ac:dyDescent="0.15">
      <c r="A1153" s="15" t="s">
        <v>5599</v>
      </c>
      <c r="B1153" s="15"/>
      <c r="C1153" s="15" t="s">
        <v>40</v>
      </c>
      <c r="D1153" s="15" t="s">
        <v>41</v>
      </c>
      <c r="E1153" s="15" t="s">
        <v>5600</v>
      </c>
      <c r="F1153" s="15" t="s">
        <v>5601</v>
      </c>
      <c r="G1153" s="15" t="s">
        <v>5601</v>
      </c>
      <c r="H1153" s="15" t="s">
        <v>5602</v>
      </c>
      <c r="I1153" s="15" t="s">
        <v>1658</v>
      </c>
    </row>
    <row r="1154" spans="1:9" x14ac:dyDescent="0.15">
      <c r="A1154" s="15" t="s">
        <v>5603</v>
      </c>
      <c r="B1154" s="15"/>
      <c r="C1154" s="15" t="s">
        <v>40</v>
      </c>
      <c r="D1154" s="15" t="s">
        <v>41</v>
      </c>
      <c r="E1154" s="15" t="s">
        <v>5604</v>
      </c>
      <c r="F1154" s="15" t="s">
        <v>5605</v>
      </c>
      <c r="G1154" s="15" t="s">
        <v>4558</v>
      </c>
      <c r="H1154" s="15" t="s">
        <v>5606</v>
      </c>
      <c r="I1154" s="15" t="s">
        <v>1658</v>
      </c>
    </row>
    <row r="1155" spans="1:9" x14ac:dyDescent="0.15">
      <c r="A1155" s="15" t="s">
        <v>5607</v>
      </c>
      <c r="B1155" s="15"/>
      <c r="C1155" s="15" t="s">
        <v>40</v>
      </c>
      <c r="D1155" s="15" t="s">
        <v>41</v>
      </c>
      <c r="E1155" s="15" t="s">
        <v>5608</v>
      </c>
      <c r="F1155" s="15" t="s">
        <v>5610</v>
      </c>
      <c r="G1155" s="15" t="s">
        <v>5609</v>
      </c>
      <c r="H1155" s="15" t="s">
        <v>5611</v>
      </c>
      <c r="I1155" s="15" t="s">
        <v>1658</v>
      </c>
    </row>
    <row r="1156" spans="1:9" x14ac:dyDescent="0.15">
      <c r="A1156" s="15" t="s">
        <v>5612</v>
      </c>
      <c r="B1156" s="15"/>
      <c r="C1156" s="15" t="s">
        <v>40</v>
      </c>
      <c r="D1156" s="15" t="s">
        <v>41</v>
      </c>
      <c r="E1156" s="15" t="s">
        <v>5613</v>
      </c>
      <c r="F1156" s="15" t="s">
        <v>5615</v>
      </c>
      <c r="G1156" s="15" t="s">
        <v>5614</v>
      </c>
      <c r="H1156" s="15" t="s">
        <v>5616</v>
      </c>
      <c r="I1156" s="15" t="s">
        <v>1658</v>
      </c>
    </row>
    <row r="1157" spans="1:9" x14ac:dyDescent="0.15">
      <c r="A1157" s="15" t="s">
        <v>5617</v>
      </c>
      <c r="B1157" s="15"/>
      <c r="C1157" s="15" t="s">
        <v>40</v>
      </c>
      <c r="D1157" s="15" t="s">
        <v>41</v>
      </c>
      <c r="E1157" s="15" t="s">
        <v>5618</v>
      </c>
      <c r="F1157" s="15" t="s">
        <v>5620</v>
      </c>
      <c r="G1157" s="15" t="s">
        <v>5619</v>
      </c>
      <c r="H1157" s="15" t="s">
        <v>5621</v>
      </c>
      <c r="I1157" s="15" t="s">
        <v>1658</v>
      </c>
    </row>
    <row r="1158" spans="1:9" x14ac:dyDescent="0.15">
      <c r="A1158" s="15" t="s">
        <v>5622</v>
      </c>
      <c r="B1158" s="15"/>
      <c r="C1158" s="15" t="s">
        <v>40</v>
      </c>
      <c r="D1158" s="15" t="s">
        <v>41</v>
      </c>
      <c r="E1158" s="15" t="s">
        <v>5623</v>
      </c>
      <c r="F1158" s="15" t="s">
        <v>5625</v>
      </c>
      <c r="G1158" s="15" t="s">
        <v>5624</v>
      </c>
      <c r="H1158" s="15" t="s">
        <v>5626</v>
      </c>
      <c r="I1158" s="15" t="s">
        <v>1658</v>
      </c>
    </row>
    <row r="1159" spans="1:9" x14ac:dyDescent="0.15">
      <c r="A1159" s="15" t="s">
        <v>5627</v>
      </c>
      <c r="B1159" s="15"/>
      <c r="C1159" s="15" t="s">
        <v>40</v>
      </c>
      <c r="D1159" s="15" t="s">
        <v>41</v>
      </c>
      <c r="E1159" s="15" t="s">
        <v>5628</v>
      </c>
      <c r="F1159" s="15" t="s">
        <v>5630</v>
      </c>
      <c r="G1159" s="15" t="s">
        <v>5629</v>
      </c>
      <c r="H1159" s="15" t="s">
        <v>5631</v>
      </c>
      <c r="I1159" s="15" t="s">
        <v>1658</v>
      </c>
    </row>
    <row r="1160" spans="1:9" x14ac:dyDescent="0.15">
      <c r="A1160" s="15" t="s">
        <v>5632</v>
      </c>
      <c r="B1160" s="15"/>
      <c r="C1160" s="15" t="s">
        <v>40</v>
      </c>
      <c r="D1160" s="15" t="s">
        <v>41</v>
      </c>
      <c r="E1160" s="15" t="s">
        <v>5633</v>
      </c>
      <c r="F1160" s="15" t="s">
        <v>5635</v>
      </c>
      <c r="G1160" s="15" t="s">
        <v>5634</v>
      </c>
      <c r="H1160" s="15" t="s">
        <v>5636</v>
      </c>
      <c r="I1160" s="15" t="s">
        <v>1658</v>
      </c>
    </row>
    <row r="1161" spans="1:9" x14ac:dyDescent="0.15">
      <c r="A1161" s="15" t="s">
        <v>5637</v>
      </c>
      <c r="B1161" s="15"/>
      <c r="C1161" s="15" t="s">
        <v>40</v>
      </c>
      <c r="D1161" s="15" t="s">
        <v>41</v>
      </c>
      <c r="E1161" s="15" t="s">
        <v>5638</v>
      </c>
      <c r="F1161" s="15" t="s">
        <v>5640</v>
      </c>
      <c r="G1161" s="15" t="s">
        <v>5639</v>
      </c>
      <c r="H1161" s="15" t="s">
        <v>5641</v>
      </c>
      <c r="I1161" s="15" t="s">
        <v>1658</v>
      </c>
    </row>
    <row r="1162" spans="1:9" x14ac:dyDescent="0.15">
      <c r="A1162" s="15" t="s">
        <v>5642</v>
      </c>
      <c r="B1162" s="15"/>
      <c r="C1162" s="15" t="s">
        <v>40</v>
      </c>
      <c r="D1162" s="15" t="s">
        <v>41</v>
      </c>
      <c r="E1162" s="15" t="s">
        <v>5643</v>
      </c>
      <c r="F1162" s="15" t="s">
        <v>5645</v>
      </c>
      <c r="G1162" s="15" t="s">
        <v>5644</v>
      </c>
      <c r="H1162" s="15" t="s">
        <v>5646</v>
      </c>
      <c r="I1162" s="15" t="s">
        <v>1658</v>
      </c>
    </row>
    <row r="1163" spans="1:9" x14ac:dyDescent="0.15">
      <c r="A1163" s="15" t="s">
        <v>5647</v>
      </c>
      <c r="B1163" s="15"/>
      <c r="C1163" s="15" t="s">
        <v>40</v>
      </c>
      <c r="D1163" s="15" t="s">
        <v>41</v>
      </c>
      <c r="E1163" s="15" t="s">
        <v>5648</v>
      </c>
      <c r="F1163" s="15" t="s">
        <v>5650</v>
      </c>
      <c r="G1163" s="15" t="s">
        <v>5649</v>
      </c>
      <c r="H1163" s="15" t="s">
        <v>5651</v>
      </c>
      <c r="I1163" s="15" t="s">
        <v>1658</v>
      </c>
    </row>
    <row r="1164" spans="1:9" x14ac:dyDescent="0.15">
      <c r="A1164" s="15" t="s">
        <v>5652</v>
      </c>
      <c r="B1164" s="15"/>
      <c r="C1164" s="15" t="s">
        <v>40</v>
      </c>
      <c r="D1164" s="15" t="s">
        <v>41</v>
      </c>
      <c r="E1164" s="15" t="s">
        <v>5653</v>
      </c>
      <c r="F1164" s="15" t="s">
        <v>5654</v>
      </c>
      <c r="G1164" s="15" t="s">
        <v>1829</v>
      </c>
      <c r="H1164" s="15" t="s">
        <v>5655</v>
      </c>
      <c r="I1164" s="15" t="s">
        <v>1658</v>
      </c>
    </row>
    <row r="1165" spans="1:9" x14ac:dyDescent="0.15">
      <c r="A1165" s="15" t="s">
        <v>5656</v>
      </c>
      <c r="B1165" s="15"/>
      <c r="C1165" s="15" t="s">
        <v>40</v>
      </c>
      <c r="D1165" s="15" t="s">
        <v>41</v>
      </c>
      <c r="E1165" s="15" t="s">
        <v>5657</v>
      </c>
      <c r="F1165" s="15" t="s">
        <v>5659</v>
      </c>
      <c r="G1165" s="15" t="s">
        <v>5658</v>
      </c>
      <c r="H1165" s="15" t="s">
        <v>5660</v>
      </c>
      <c r="I1165" s="15" t="s">
        <v>1658</v>
      </c>
    </row>
    <row r="1166" spans="1:9" x14ac:dyDescent="0.15">
      <c r="A1166" s="15" t="s">
        <v>5661</v>
      </c>
      <c r="B1166" s="15"/>
      <c r="C1166" s="15" t="s">
        <v>40</v>
      </c>
      <c r="D1166" s="15" t="s">
        <v>41</v>
      </c>
      <c r="E1166" s="15" t="s">
        <v>5662</v>
      </c>
      <c r="F1166" s="15" t="s">
        <v>5664</v>
      </c>
      <c r="G1166" s="15" t="s">
        <v>5663</v>
      </c>
      <c r="H1166" s="15" t="s">
        <v>5665</v>
      </c>
      <c r="I1166" s="15" t="s">
        <v>1658</v>
      </c>
    </row>
    <row r="1167" spans="1:9" x14ac:dyDescent="0.15">
      <c r="A1167" s="15" t="s">
        <v>5666</v>
      </c>
      <c r="B1167" s="15"/>
      <c r="C1167" s="15" t="s">
        <v>40</v>
      </c>
      <c r="D1167" s="15" t="s">
        <v>41</v>
      </c>
      <c r="E1167" s="15" t="s">
        <v>5667</v>
      </c>
      <c r="F1167" s="15" t="s">
        <v>5668</v>
      </c>
      <c r="G1167" s="15" t="s">
        <v>3173</v>
      </c>
      <c r="H1167" s="15" t="s">
        <v>5669</v>
      </c>
      <c r="I1167" s="15" t="s">
        <v>1658</v>
      </c>
    </row>
    <row r="1168" spans="1:9" x14ac:dyDescent="0.15">
      <c r="A1168" s="15" t="s">
        <v>5670</v>
      </c>
      <c r="B1168" s="15"/>
      <c r="C1168" s="15" t="s">
        <v>40</v>
      </c>
      <c r="D1168" s="15" t="s">
        <v>41</v>
      </c>
      <c r="E1168" s="15" t="s">
        <v>5671</v>
      </c>
      <c r="F1168" s="15" t="s">
        <v>1667</v>
      </c>
      <c r="G1168" s="15" t="s">
        <v>1666</v>
      </c>
      <c r="H1168" s="15" t="s">
        <v>5672</v>
      </c>
      <c r="I1168" s="15" t="s">
        <v>1658</v>
      </c>
    </row>
    <row r="1169" spans="1:9" x14ac:dyDescent="0.15">
      <c r="A1169" s="15" t="s">
        <v>5673</v>
      </c>
      <c r="B1169" s="15"/>
      <c r="C1169" s="15" t="s">
        <v>40</v>
      </c>
      <c r="D1169" s="15" t="s">
        <v>41</v>
      </c>
      <c r="E1169" s="15" t="s">
        <v>5674</v>
      </c>
      <c r="F1169" s="15" t="s">
        <v>5676</v>
      </c>
      <c r="G1169" s="15" t="s">
        <v>5675</v>
      </c>
      <c r="H1169" s="15" t="s">
        <v>5677</v>
      </c>
      <c r="I1169" s="15" t="s">
        <v>1658</v>
      </c>
    </row>
    <row r="1170" spans="1:9" x14ac:dyDescent="0.15">
      <c r="A1170" s="15" t="s">
        <v>5678</v>
      </c>
      <c r="B1170" s="15"/>
      <c r="C1170" s="15" t="s">
        <v>40</v>
      </c>
      <c r="D1170" s="15" t="s">
        <v>41</v>
      </c>
      <c r="E1170" s="15" t="s">
        <v>5679</v>
      </c>
      <c r="F1170" s="15" t="s">
        <v>5681</v>
      </c>
      <c r="G1170" s="15" t="s">
        <v>5680</v>
      </c>
      <c r="H1170" s="15" t="s">
        <v>5682</v>
      </c>
      <c r="I1170" s="15" t="s">
        <v>1658</v>
      </c>
    </row>
    <row r="1171" spans="1:9" x14ac:dyDescent="0.15">
      <c r="A1171" s="15" t="s">
        <v>5683</v>
      </c>
      <c r="B1171" s="15"/>
      <c r="C1171" s="15" t="s">
        <v>40</v>
      </c>
      <c r="D1171" s="15" t="s">
        <v>41</v>
      </c>
      <c r="E1171" s="15" t="s">
        <v>5684</v>
      </c>
      <c r="F1171" s="15" t="s">
        <v>5686</v>
      </c>
      <c r="G1171" s="15" t="s">
        <v>5685</v>
      </c>
      <c r="H1171" s="15" t="s">
        <v>5687</v>
      </c>
      <c r="I1171" s="15" t="s">
        <v>1658</v>
      </c>
    </row>
    <row r="1172" spans="1:9" x14ac:dyDescent="0.15">
      <c r="A1172" s="15" t="s">
        <v>5688</v>
      </c>
      <c r="B1172" s="15"/>
      <c r="C1172" s="15" t="s">
        <v>40</v>
      </c>
      <c r="D1172" s="15" t="s">
        <v>41</v>
      </c>
      <c r="E1172" s="15" t="s">
        <v>5689</v>
      </c>
      <c r="F1172" s="15" t="s">
        <v>5690</v>
      </c>
      <c r="G1172" s="15" t="s">
        <v>1701</v>
      </c>
      <c r="H1172" s="15" t="s">
        <v>5691</v>
      </c>
      <c r="I1172" s="15" t="s">
        <v>1658</v>
      </c>
    </row>
    <row r="1173" spans="1:9" x14ac:dyDescent="0.15">
      <c r="A1173" s="15" t="s">
        <v>5692</v>
      </c>
      <c r="B1173" s="15"/>
      <c r="C1173" s="15" t="s">
        <v>40</v>
      </c>
      <c r="D1173" s="15" t="s">
        <v>41</v>
      </c>
      <c r="E1173" s="15" t="s">
        <v>5693</v>
      </c>
      <c r="F1173" s="15" t="s">
        <v>5695</v>
      </c>
      <c r="G1173" s="15" t="s">
        <v>5694</v>
      </c>
      <c r="H1173" s="15" t="s">
        <v>5696</v>
      </c>
      <c r="I1173" s="15" t="s">
        <v>1658</v>
      </c>
    </row>
    <row r="1174" spans="1:9" x14ac:dyDescent="0.15">
      <c r="A1174" s="15" t="s">
        <v>5697</v>
      </c>
      <c r="B1174" s="15"/>
      <c r="C1174" s="15" t="s">
        <v>40</v>
      </c>
      <c r="D1174" s="15" t="s">
        <v>41</v>
      </c>
      <c r="E1174" s="15" t="s">
        <v>5698</v>
      </c>
      <c r="F1174" s="15" t="s">
        <v>5700</v>
      </c>
      <c r="G1174" s="15" t="s">
        <v>5699</v>
      </c>
      <c r="H1174" s="15" t="s">
        <v>5701</v>
      </c>
      <c r="I1174" s="15" t="s">
        <v>1658</v>
      </c>
    </row>
    <row r="1175" spans="1:9" x14ac:dyDescent="0.15">
      <c r="A1175" s="15" t="s">
        <v>5702</v>
      </c>
      <c r="B1175" s="15"/>
      <c r="C1175" s="15" t="s">
        <v>40</v>
      </c>
      <c r="D1175" s="15" t="s">
        <v>41</v>
      </c>
      <c r="E1175" s="15" t="s">
        <v>5703</v>
      </c>
      <c r="F1175" s="15" t="s">
        <v>5705</v>
      </c>
      <c r="G1175" s="15" t="s">
        <v>5704</v>
      </c>
      <c r="H1175" s="15" t="s">
        <v>5706</v>
      </c>
      <c r="I1175" s="15" t="s">
        <v>1658</v>
      </c>
    </row>
    <row r="1176" spans="1:9" x14ac:dyDescent="0.15">
      <c r="A1176" s="15" t="s">
        <v>5707</v>
      </c>
      <c r="B1176" s="15"/>
      <c r="C1176" s="15" t="s">
        <v>40</v>
      </c>
      <c r="D1176" s="15" t="s">
        <v>41</v>
      </c>
      <c r="E1176" s="15" t="s">
        <v>5708</v>
      </c>
      <c r="F1176" s="15" t="s">
        <v>5710</v>
      </c>
      <c r="G1176" s="15" t="s">
        <v>5709</v>
      </c>
      <c r="H1176" s="15" t="s">
        <v>5711</v>
      </c>
      <c r="I1176" s="15" t="s">
        <v>1658</v>
      </c>
    </row>
    <row r="1177" spans="1:9" x14ac:dyDescent="0.15">
      <c r="A1177" s="15" t="s">
        <v>5712</v>
      </c>
      <c r="B1177" s="15"/>
      <c r="C1177" s="15" t="s">
        <v>40</v>
      </c>
      <c r="D1177" s="15" t="s">
        <v>41</v>
      </c>
      <c r="E1177" s="15" t="s">
        <v>5713</v>
      </c>
      <c r="F1177" s="15" t="s">
        <v>5715</v>
      </c>
      <c r="G1177" s="15" t="s">
        <v>5714</v>
      </c>
      <c r="H1177" s="15" t="s">
        <v>5716</v>
      </c>
      <c r="I1177" s="15" t="s">
        <v>1658</v>
      </c>
    </row>
    <row r="1178" spans="1:9" x14ac:dyDescent="0.15">
      <c r="A1178" s="15" t="s">
        <v>5717</v>
      </c>
      <c r="B1178" s="15"/>
      <c r="C1178" s="15" t="s">
        <v>40</v>
      </c>
      <c r="D1178" s="15" t="s">
        <v>41</v>
      </c>
      <c r="E1178" s="15" t="s">
        <v>5718</v>
      </c>
      <c r="F1178" s="15" t="s">
        <v>5720</v>
      </c>
      <c r="G1178" s="15" t="s">
        <v>5719</v>
      </c>
      <c r="H1178" s="15" t="s">
        <v>5721</v>
      </c>
      <c r="I1178" s="15" t="s">
        <v>1658</v>
      </c>
    </row>
    <row r="1179" spans="1:9" x14ac:dyDescent="0.15">
      <c r="A1179" s="15" t="s">
        <v>5722</v>
      </c>
      <c r="B1179" s="15"/>
      <c r="C1179" s="15" t="s">
        <v>40</v>
      </c>
      <c r="D1179" s="15" t="s">
        <v>41</v>
      </c>
      <c r="E1179" s="15" t="s">
        <v>5723</v>
      </c>
      <c r="F1179" s="15" t="s">
        <v>5724</v>
      </c>
      <c r="G1179" s="15" t="s">
        <v>2092</v>
      </c>
      <c r="H1179" s="15" t="s">
        <v>5725</v>
      </c>
      <c r="I1179" s="15" t="s">
        <v>1658</v>
      </c>
    </row>
    <row r="1180" spans="1:9" x14ac:dyDescent="0.15">
      <c r="A1180" s="15" t="s">
        <v>5726</v>
      </c>
      <c r="B1180" s="15"/>
      <c r="C1180" s="15" t="s">
        <v>40</v>
      </c>
      <c r="D1180" s="15" t="s">
        <v>41</v>
      </c>
      <c r="E1180" s="15" t="s">
        <v>5727</v>
      </c>
      <c r="F1180" s="15" t="s">
        <v>5729</v>
      </c>
      <c r="G1180" s="15" t="s">
        <v>5728</v>
      </c>
      <c r="H1180" s="15" t="s">
        <v>5730</v>
      </c>
      <c r="I1180" s="15" t="s">
        <v>1658</v>
      </c>
    </row>
    <row r="1181" spans="1:9" x14ac:dyDescent="0.15">
      <c r="A1181" s="15" t="s">
        <v>5731</v>
      </c>
      <c r="B1181" s="15"/>
      <c r="C1181" s="15" t="s">
        <v>40</v>
      </c>
      <c r="D1181" s="15" t="s">
        <v>41</v>
      </c>
      <c r="E1181" s="15" t="s">
        <v>5732</v>
      </c>
      <c r="F1181" s="15" t="s">
        <v>5734</v>
      </c>
      <c r="G1181" s="15" t="s">
        <v>5733</v>
      </c>
      <c r="H1181" s="15" t="s">
        <v>5735</v>
      </c>
      <c r="I1181" s="15" t="s">
        <v>1658</v>
      </c>
    </row>
    <row r="1182" spans="1:9" x14ac:dyDescent="0.15">
      <c r="A1182" s="15" t="s">
        <v>5736</v>
      </c>
      <c r="B1182" s="15"/>
      <c r="C1182" s="15" t="s">
        <v>40</v>
      </c>
      <c r="D1182" s="15" t="s">
        <v>41</v>
      </c>
      <c r="E1182" s="15" t="s">
        <v>5737</v>
      </c>
      <c r="F1182" s="15" t="s">
        <v>5738</v>
      </c>
      <c r="G1182" s="15" t="s">
        <v>5223</v>
      </c>
      <c r="H1182" s="15" t="s">
        <v>5739</v>
      </c>
      <c r="I1182" s="15" t="s">
        <v>1658</v>
      </c>
    </row>
    <row r="1183" spans="1:9" x14ac:dyDescent="0.15">
      <c r="A1183" s="15" t="s">
        <v>5740</v>
      </c>
      <c r="B1183" s="15"/>
      <c r="C1183" s="15" t="s">
        <v>40</v>
      </c>
      <c r="D1183" s="15" t="s">
        <v>41</v>
      </c>
      <c r="E1183" s="15" t="s">
        <v>5741</v>
      </c>
      <c r="F1183" s="15" t="s">
        <v>5743</v>
      </c>
      <c r="G1183" s="15" t="s">
        <v>5742</v>
      </c>
      <c r="H1183" s="15" t="s">
        <v>5744</v>
      </c>
      <c r="I1183" s="15" t="s">
        <v>1658</v>
      </c>
    </row>
    <row r="1184" spans="1:9" x14ac:dyDescent="0.15">
      <c r="A1184" s="15" t="s">
        <v>5745</v>
      </c>
      <c r="B1184" s="15"/>
      <c r="C1184" s="15" t="s">
        <v>40</v>
      </c>
      <c r="D1184" s="15" t="s">
        <v>41</v>
      </c>
      <c r="E1184" s="15" t="s">
        <v>5746</v>
      </c>
      <c r="F1184" s="15" t="s">
        <v>5748</v>
      </c>
      <c r="G1184" s="15" t="s">
        <v>5747</v>
      </c>
      <c r="H1184" s="15" t="s">
        <v>5749</v>
      </c>
      <c r="I1184" s="15" t="s">
        <v>1658</v>
      </c>
    </row>
    <row r="1185" spans="1:9" x14ac:dyDescent="0.15">
      <c r="A1185" s="15" t="s">
        <v>5750</v>
      </c>
      <c r="B1185" s="15"/>
      <c r="C1185" s="15" t="s">
        <v>40</v>
      </c>
      <c r="D1185" s="15" t="s">
        <v>41</v>
      </c>
      <c r="E1185" s="15" t="s">
        <v>5751</v>
      </c>
      <c r="F1185" s="15" t="s">
        <v>5753</v>
      </c>
      <c r="G1185" s="15" t="s">
        <v>5752</v>
      </c>
      <c r="H1185" s="15" t="s">
        <v>5754</v>
      </c>
      <c r="I1185" s="15" t="s">
        <v>1658</v>
      </c>
    </row>
    <row r="1186" spans="1:9" x14ac:dyDescent="0.15">
      <c r="A1186" s="15" t="s">
        <v>5755</v>
      </c>
      <c r="B1186" s="15"/>
      <c r="C1186" s="15" t="s">
        <v>40</v>
      </c>
      <c r="D1186" s="15" t="s">
        <v>41</v>
      </c>
      <c r="E1186" s="15" t="s">
        <v>5756</v>
      </c>
      <c r="F1186" s="15" t="s">
        <v>5758</v>
      </c>
      <c r="G1186" s="15" t="s">
        <v>5757</v>
      </c>
      <c r="H1186" s="15" t="s">
        <v>5759</v>
      </c>
      <c r="I1186" s="15" t="s">
        <v>1658</v>
      </c>
    </row>
    <row r="1187" spans="1:9" x14ac:dyDescent="0.15">
      <c r="A1187" s="15" t="s">
        <v>5760</v>
      </c>
      <c r="B1187" s="15"/>
      <c r="C1187" s="15" t="s">
        <v>40</v>
      </c>
      <c r="D1187" s="15" t="s">
        <v>41</v>
      </c>
      <c r="E1187" s="15" t="s">
        <v>5761</v>
      </c>
      <c r="F1187" s="15" t="s">
        <v>5763</v>
      </c>
      <c r="G1187" s="15" t="s">
        <v>5762</v>
      </c>
      <c r="H1187" s="15" t="s">
        <v>5764</v>
      </c>
      <c r="I1187" s="15" t="s">
        <v>1658</v>
      </c>
    </row>
    <row r="1188" spans="1:9" x14ac:dyDescent="0.15">
      <c r="A1188" s="15" t="s">
        <v>5765</v>
      </c>
      <c r="B1188" s="15"/>
      <c r="C1188" s="15" t="s">
        <v>40</v>
      </c>
      <c r="D1188" s="15" t="s">
        <v>41</v>
      </c>
      <c r="E1188" s="15" t="s">
        <v>5766</v>
      </c>
      <c r="F1188" s="15" t="s">
        <v>5768</v>
      </c>
      <c r="G1188" s="15" t="s">
        <v>5767</v>
      </c>
      <c r="H1188" s="15" t="s">
        <v>5769</v>
      </c>
      <c r="I1188" s="15" t="s">
        <v>1658</v>
      </c>
    </row>
    <row r="1189" spans="1:9" x14ac:dyDescent="0.15">
      <c r="A1189" s="15" t="s">
        <v>5770</v>
      </c>
      <c r="B1189" s="15"/>
      <c r="C1189" s="15" t="s">
        <v>40</v>
      </c>
      <c r="D1189" s="15" t="s">
        <v>41</v>
      </c>
      <c r="E1189" s="15" t="s">
        <v>5771</v>
      </c>
      <c r="F1189" s="15" t="s">
        <v>5772</v>
      </c>
      <c r="G1189" s="15" t="s">
        <v>2825</v>
      </c>
      <c r="H1189" s="15" t="s">
        <v>5773</v>
      </c>
      <c r="I1189" s="15" t="s">
        <v>1658</v>
      </c>
    </row>
    <row r="1190" spans="1:9" x14ac:dyDescent="0.15">
      <c r="A1190" s="15" t="s">
        <v>5774</v>
      </c>
      <c r="B1190" s="15"/>
      <c r="C1190" s="15" t="s">
        <v>40</v>
      </c>
      <c r="D1190" s="15" t="s">
        <v>41</v>
      </c>
      <c r="E1190" s="15" t="s">
        <v>5775</v>
      </c>
      <c r="F1190" s="15" t="s">
        <v>5776</v>
      </c>
      <c r="G1190" s="15" t="s">
        <v>5019</v>
      </c>
      <c r="H1190" s="15" t="s">
        <v>5777</v>
      </c>
      <c r="I1190" s="15" t="s">
        <v>1658</v>
      </c>
    </row>
    <row r="1191" spans="1:9" x14ac:dyDescent="0.15">
      <c r="A1191" s="15" t="s">
        <v>5778</v>
      </c>
      <c r="B1191" s="15"/>
      <c r="C1191" s="15" t="s">
        <v>40</v>
      </c>
      <c r="D1191" s="15" t="s">
        <v>41</v>
      </c>
      <c r="E1191" s="15" t="s">
        <v>5779</v>
      </c>
      <c r="F1191" s="15" t="s">
        <v>5780</v>
      </c>
      <c r="G1191" s="15" t="s">
        <v>5767</v>
      </c>
      <c r="H1191" s="15" t="s">
        <v>5781</v>
      </c>
      <c r="I1191" s="15" t="s">
        <v>1658</v>
      </c>
    </row>
    <row r="1192" spans="1:9" x14ac:dyDescent="0.15">
      <c r="A1192" s="15" t="s">
        <v>5782</v>
      </c>
      <c r="B1192" s="15"/>
      <c r="C1192" s="15" t="s">
        <v>40</v>
      </c>
      <c r="D1192" s="15" t="s">
        <v>41</v>
      </c>
      <c r="E1192" s="15" t="s">
        <v>5783</v>
      </c>
      <c r="F1192" s="15" t="s">
        <v>5784</v>
      </c>
      <c r="G1192" s="15" t="s">
        <v>5019</v>
      </c>
      <c r="H1192" s="15" t="s">
        <v>5785</v>
      </c>
      <c r="I1192" s="15" t="s">
        <v>1658</v>
      </c>
    </row>
    <row r="1193" spans="1:9" x14ac:dyDescent="0.15">
      <c r="A1193" s="15" t="s">
        <v>5786</v>
      </c>
      <c r="B1193" s="15"/>
      <c r="C1193" s="15" t="s">
        <v>40</v>
      </c>
      <c r="D1193" s="15" t="s">
        <v>41</v>
      </c>
      <c r="E1193" s="15" t="s">
        <v>5787</v>
      </c>
      <c r="F1193" s="15" t="s">
        <v>5788</v>
      </c>
      <c r="G1193" s="15" t="s">
        <v>5548</v>
      </c>
      <c r="H1193" s="15" t="s">
        <v>5789</v>
      </c>
      <c r="I1193" s="15" t="s">
        <v>1658</v>
      </c>
    </row>
    <row r="1194" spans="1:9" x14ac:dyDescent="0.15">
      <c r="A1194" s="15" t="s">
        <v>5790</v>
      </c>
      <c r="B1194" s="15"/>
      <c r="C1194" s="15" t="s">
        <v>40</v>
      </c>
      <c r="D1194" s="15" t="s">
        <v>41</v>
      </c>
      <c r="E1194" s="15" t="s">
        <v>5791</v>
      </c>
      <c r="F1194" s="15" t="s">
        <v>5793</v>
      </c>
      <c r="G1194" s="15" t="s">
        <v>5792</v>
      </c>
      <c r="H1194" s="15" t="s">
        <v>5794</v>
      </c>
      <c r="I1194" s="15" t="s">
        <v>1658</v>
      </c>
    </row>
    <row r="1195" spans="1:9" x14ac:dyDescent="0.15">
      <c r="A1195" s="15" t="s">
        <v>5795</v>
      </c>
      <c r="B1195" s="15"/>
      <c r="C1195" s="15" t="s">
        <v>40</v>
      </c>
      <c r="D1195" s="15" t="s">
        <v>41</v>
      </c>
      <c r="E1195" s="15" t="s">
        <v>5796</v>
      </c>
      <c r="F1195" s="15" t="s">
        <v>5797</v>
      </c>
      <c r="G1195" s="15" t="s">
        <v>5122</v>
      </c>
      <c r="H1195" s="15" t="s">
        <v>5798</v>
      </c>
      <c r="I1195" s="15" t="s">
        <v>1658</v>
      </c>
    </row>
    <row r="1196" spans="1:9" x14ac:dyDescent="0.15">
      <c r="A1196" s="15" t="s">
        <v>5799</v>
      </c>
      <c r="B1196" s="15"/>
      <c r="C1196" s="15" t="s">
        <v>40</v>
      </c>
      <c r="D1196" s="15" t="s">
        <v>41</v>
      </c>
      <c r="E1196" s="15" t="s">
        <v>5800</v>
      </c>
      <c r="F1196" s="15" t="s">
        <v>5802</v>
      </c>
      <c r="G1196" s="15" t="s">
        <v>5801</v>
      </c>
      <c r="H1196" s="15" t="s">
        <v>5803</v>
      </c>
      <c r="I1196" s="15" t="s">
        <v>1658</v>
      </c>
    </row>
    <row r="1197" spans="1:9" x14ac:dyDescent="0.15">
      <c r="A1197" s="15" t="s">
        <v>5804</v>
      </c>
      <c r="B1197" s="15"/>
      <c r="C1197" s="15" t="s">
        <v>40</v>
      </c>
      <c r="D1197" s="15" t="s">
        <v>41</v>
      </c>
      <c r="E1197" s="15" t="s">
        <v>5805</v>
      </c>
      <c r="F1197" s="15" t="s">
        <v>5806</v>
      </c>
      <c r="G1197" s="15" t="s">
        <v>1732</v>
      </c>
      <c r="H1197" s="15" t="s">
        <v>5807</v>
      </c>
      <c r="I1197" s="15" t="s">
        <v>1658</v>
      </c>
    </row>
    <row r="1198" spans="1:9" x14ac:dyDescent="0.15">
      <c r="A1198" s="15" t="s">
        <v>5808</v>
      </c>
      <c r="B1198" s="15"/>
      <c r="C1198" s="15" t="s">
        <v>40</v>
      </c>
      <c r="D1198" s="15" t="s">
        <v>41</v>
      </c>
      <c r="E1198" s="15" t="s">
        <v>5809</v>
      </c>
      <c r="F1198" s="15" t="s">
        <v>5811</v>
      </c>
      <c r="G1198" s="15" t="s">
        <v>5810</v>
      </c>
      <c r="H1198" s="15" t="s">
        <v>5812</v>
      </c>
      <c r="I1198" s="15" t="s">
        <v>1658</v>
      </c>
    </row>
    <row r="1199" spans="1:9" x14ac:dyDescent="0.15">
      <c r="A1199" s="15" t="s">
        <v>5813</v>
      </c>
      <c r="B1199" s="15"/>
      <c r="C1199" s="15" t="s">
        <v>40</v>
      </c>
      <c r="D1199" s="15" t="s">
        <v>41</v>
      </c>
      <c r="E1199" s="15" t="s">
        <v>5814</v>
      </c>
      <c r="F1199" s="15" t="s">
        <v>52</v>
      </c>
      <c r="G1199" s="15" t="s">
        <v>5815</v>
      </c>
      <c r="H1199" s="15" t="s">
        <v>5816</v>
      </c>
      <c r="I1199" s="15" t="s">
        <v>1658</v>
      </c>
    </row>
    <row r="1200" spans="1:9" x14ac:dyDescent="0.15">
      <c r="A1200" s="15" t="s">
        <v>5817</v>
      </c>
      <c r="B1200" s="15"/>
      <c r="C1200" s="15" t="s">
        <v>40</v>
      </c>
      <c r="D1200" s="15" t="s">
        <v>41</v>
      </c>
      <c r="E1200" s="15" t="s">
        <v>5818</v>
      </c>
      <c r="F1200" s="15" t="s">
        <v>5820</v>
      </c>
      <c r="G1200" s="15" t="s">
        <v>5819</v>
      </c>
      <c r="H1200" s="15" t="s">
        <v>5821</v>
      </c>
      <c r="I1200" s="15" t="s">
        <v>1658</v>
      </c>
    </row>
    <row r="1201" spans="1:9" x14ac:dyDescent="0.15">
      <c r="A1201" s="15" t="s">
        <v>5822</v>
      </c>
      <c r="B1201" s="15"/>
      <c r="C1201" s="15" t="s">
        <v>40</v>
      </c>
      <c r="D1201" s="15" t="s">
        <v>41</v>
      </c>
      <c r="E1201" s="15" t="s">
        <v>5823</v>
      </c>
      <c r="F1201" s="15" t="s">
        <v>5825</v>
      </c>
      <c r="G1201" s="15" t="s">
        <v>5824</v>
      </c>
      <c r="H1201" s="15" t="s">
        <v>5826</v>
      </c>
      <c r="I1201" s="15" t="s">
        <v>1658</v>
      </c>
    </row>
    <row r="1202" spans="1:9" x14ac:dyDescent="0.15">
      <c r="A1202" s="15" t="s">
        <v>5827</v>
      </c>
      <c r="B1202" s="15"/>
      <c r="C1202" s="15" t="s">
        <v>40</v>
      </c>
      <c r="D1202" s="15" t="s">
        <v>41</v>
      </c>
      <c r="E1202" s="15" t="s">
        <v>5828</v>
      </c>
      <c r="F1202" s="15" t="s">
        <v>5830</v>
      </c>
      <c r="G1202" s="15" t="s">
        <v>5829</v>
      </c>
      <c r="H1202" s="15" t="s">
        <v>5831</v>
      </c>
      <c r="I1202" s="15" t="s">
        <v>1658</v>
      </c>
    </row>
    <row r="1203" spans="1:9" x14ac:dyDescent="0.15">
      <c r="A1203" s="15" t="s">
        <v>5832</v>
      </c>
      <c r="B1203" s="15"/>
      <c r="C1203" s="15" t="s">
        <v>40</v>
      </c>
      <c r="D1203" s="15" t="s">
        <v>41</v>
      </c>
      <c r="E1203" s="15" t="s">
        <v>5833</v>
      </c>
      <c r="F1203" s="15" t="s">
        <v>5835</v>
      </c>
      <c r="G1203" s="15" t="s">
        <v>5834</v>
      </c>
      <c r="H1203" s="15" t="s">
        <v>5836</v>
      </c>
      <c r="I1203" s="15" t="s">
        <v>1658</v>
      </c>
    </row>
    <row r="1204" spans="1:9" x14ac:dyDescent="0.15">
      <c r="A1204" s="15" t="s">
        <v>5837</v>
      </c>
      <c r="B1204" s="15"/>
      <c r="C1204" s="15" t="s">
        <v>40</v>
      </c>
      <c r="D1204" s="15" t="s">
        <v>41</v>
      </c>
      <c r="E1204" s="15" t="s">
        <v>5838</v>
      </c>
      <c r="F1204" s="15" t="s">
        <v>5839</v>
      </c>
      <c r="G1204" s="15" t="s">
        <v>5290</v>
      </c>
      <c r="H1204" s="15" t="s">
        <v>5840</v>
      </c>
      <c r="I1204" s="15" t="s">
        <v>1658</v>
      </c>
    </row>
    <row r="1205" spans="1:9" x14ac:dyDescent="0.15">
      <c r="A1205" s="15" t="s">
        <v>5841</v>
      </c>
      <c r="B1205" s="15"/>
      <c r="C1205" s="15" t="s">
        <v>40</v>
      </c>
      <c r="D1205" s="15" t="s">
        <v>41</v>
      </c>
      <c r="E1205" s="15" t="s">
        <v>5842</v>
      </c>
      <c r="F1205" s="15" t="s">
        <v>5844</v>
      </c>
      <c r="G1205" s="15" t="s">
        <v>5843</v>
      </c>
      <c r="H1205" s="15" t="s">
        <v>5845</v>
      </c>
      <c r="I1205" s="15" t="s">
        <v>1658</v>
      </c>
    </row>
    <row r="1206" spans="1:9" x14ac:dyDescent="0.15">
      <c r="A1206" s="15" t="s">
        <v>5846</v>
      </c>
      <c r="B1206" s="15"/>
      <c r="C1206" s="15" t="s">
        <v>40</v>
      </c>
      <c r="D1206" s="15" t="s">
        <v>41</v>
      </c>
      <c r="E1206" s="15" t="s">
        <v>5847</v>
      </c>
      <c r="F1206" s="15" t="s">
        <v>5849</v>
      </c>
      <c r="G1206" s="15" t="s">
        <v>5848</v>
      </c>
      <c r="H1206" s="15" t="s">
        <v>5850</v>
      </c>
      <c r="I1206" s="15" t="s">
        <v>1658</v>
      </c>
    </row>
    <row r="1207" spans="1:9" x14ac:dyDescent="0.15">
      <c r="A1207" s="15" t="s">
        <v>5851</v>
      </c>
      <c r="B1207" s="15"/>
      <c r="C1207" s="15" t="s">
        <v>40</v>
      </c>
      <c r="D1207" s="15" t="s">
        <v>41</v>
      </c>
      <c r="E1207" s="15" t="s">
        <v>5852</v>
      </c>
      <c r="F1207" s="15" t="s">
        <v>5853</v>
      </c>
      <c r="G1207" s="15" t="s">
        <v>5451</v>
      </c>
      <c r="H1207" s="15" t="s">
        <v>5854</v>
      </c>
      <c r="I1207" s="15" t="s">
        <v>1658</v>
      </c>
    </row>
    <row r="1208" spans="1:9" x14ac:dyDescent="0.15">
      <c r="A1208" s="15" t="s">
        <v>5855</v>
      </c>
      <c r="B1208" s="15"/>
      <c r="C1208" s="15" t="s">
        <v>40</v>
      </c>
      <c r="D1208" s="15" t="s">
        <v>41</v>
      </c>
      <c r="E1208" s="15" t="s">
        <v>5856</v>
      </c>
      <c r="F1208" s="15" t="s">
        <v>5858</v>
      </c>
      <c r="G1208" s="15" t="s">
        <v>5857</v>
      </c>
      <c r="H1208" s="15" t="s">
        <v>5859</v>
      </c>
      <c r="I1208" s="15" t="s">
        <v>1658</v>
      </c>
    </row>
    <row r="1209" spans="1:9" x14ac:dyDescent="0.15">
      <c r="A1209" s="15" t="s">
        <v>5860</v>
      </c>
      <c r="B1209" s="15"/>
      <c r="C1209" s="15" t="s">
        <v>40</v>
      </c>
      <c r="D1209" s="15" t="s">
        <v>41</v>
      </c>
      <c r="E1209" s="15" t="s">
        <v>5861</v>
      </c>
      <c r="F1209" s="15" t="s">
        <v>5863</v>
      </c>
      <c r="G1209" s="15" t="s">
        <v>5862</v>
      </c>
      <c r="H1209" s="15" t="s">
        <v>5864</v>
      </c>
      <c r="I1209" s="15" t="s">
        <v>1658</v>
      </c>
    </row>
    <row r="1210" spans="1:9" x14ac:dyDescent="0.15">
      <c r="A1210" s="15" t="s">
        <v>5865</v>
      </c>
      <c r="B1210" s="15"/>
      <c r="C1210" s="15" t="s">
        <v>40</v>
      </c>
      <c r="D1210" s="15" t="s">
        <v>41</v>
      </c>
      <c r="E1210" s="15" t="s">
        <v>5866</v>
      </c>
      <c r="F1210" s="15" t="s">
        <v>5867</v>
      </c>
      <c r="G1210" s="15" t="s">
        <v>5422</v>
      </c>
      <c r="H1210" s="15" t="s">
        <v>5868</v>
      </c>
      <c r="I1210" s="15" t="s">
        <v>1658</v>
      </c>
    </row>
    <row r="1211" spans="1:9" x14ac:dyDescent="0.15">
      <c r="A1211" s="15" t="s">
        <v>5869</v>
      </c>
      <c r="B1211" s="15"/>
      <c r="C1211" s="15" t="s">
        <v>40</v>
      </c>
      <c r="D1211" s="15" t="s">
        <v>41</v>
      </c>
      <c r="E1211" s="15" t="s">
        <v>5870</v>
      </c>
      <c r="F1211" s="15" t="s">
        <v>5872</v>
      </c>
      <c r="G1211" s="15" t="s">
        <v>5871</v>
      </c>
      <c r="H1211" s="15" t="s">
        <v>5873</v>
      </c>
      <c r="I1211" s="15" t="s">
        <v>1658</v>
      </c>
    </row>
    <row r="1212" spans="1:9" x14ac:dyDescent="0.15">
      <c r="A1212" s="15" t="s">
        <v>5874</v>
      </c>
      <c r="B1212" s="15"/>
      <c r="C1212" s="15" t="s">
        <v>40</v>
      </c>
      <c r="D1212" s="15" t="s">
        <v>41</v>
      </c>
      <c r="E1212" s="15" t="s">
        <v>5875</v>
      </c>
      <c r="F1212" s="15" t="s">
        <v>5877</v>
      </c>
      <c r="G1212" s="15" t="s">
        <v>5876</v>
      </c>
      <c r="H1212" s="15" t="s">
        <v>5878</v>
      </c>
      <c r="I1212" s="15" t="s">
        <v>1658</v>
      </c>
    </row>
    <row r="1213" spans="1:9" x14ac:dyDescent="0.15">
      <c r="A1213" s="15" t="s">
        <v>5879</v>
      </c>
      <c r="B1213" s="15"/>
      <c r="C1213" s="15" t="s">
        <v>40</v>
      </c>
      <c r="D1213" s="15" t="s">
        <v>41</v>
      </c>
      <c r="E1213" s="15" t="s">
        <v>5880</v>
      </c>
      <c r="F1213" s="15" t="s">
        <v>5882</v>
      </c>
      <c r="G1213" s="15" t="s">
        <v>5881</v>
      </c>
      <c r="H1213" s="15" t="s">
        <v>5883</v>
      </c>
      <c r="I1213" s="15" t="s">
        <v>1658</v>
      </c>
    </row>
    <row r="1214" spans="1:9" x14ac:dyDescent="0.15">
      <c r="A1214" s="15" t="s">
        <v>5884</v>
      </c>
      <c r="B1214" s="15"/>
      <c r="C1214" s="15" t="s">
        <v>40</v>
      </c>
      <c r="D1214" s="15" t="s">
        <v>41</v>
      </c>
      <c r="E1214" s="15" t="s">
        <v>5885</v>
      </c>
      <c r="F1214" s="15" t="s">
        <v>5886</v>
      </c>
      <c r="G1214" s="15" t="s">
        <v>5363</v>
      </c>
      <c r="H1214" s="15" t="s">
        <v>5887</v>
      </c>
      <c r="I1214" s="15" t="s">
        <v>1658</v>
      </c>
    </row>
    <row r="1215" spans="1:9" x14ac:dyDescent="0.15">
      <c r="A1215" s="15" t="s">
        <v>5888</v>
      </c>
      <c r="B1215" s="15"/>
      <c r="C1215" s="15" t="s">
        <v>40</v>
      </c>
      <c r="D1215" s="15" t="s">
        <v>41</v>
      </c>
      <c r="E1215" s="15" t="s">
        <v>5889</v>
      </c>
      <c r="F1215" s="15" t="s">
        <v>5891</v>
      </c>
      <c r="G1215" s="15" t="s">
        <v>5890</v>
      </c>
      <c r="H1215" s="15" t="s">
        <v>5892</v>
      </c>
      <c r="I1215" s="15" t="s">
        <v>1658</v>
      </c>
    </row>
    <row r="1216" spans="1:9" x14ac:dyDescent="0.15">
      <c r="A1216" s="15" t="s">
        <v>5893</v>
      </c>
      <c r="B1216" s="15"/>
      <c r="C1216" s="15" t="s">
        <v>40</v>
      </c>
      <c r="D1216" s="15" t="s">
        <v>41</v>
      </c>
      <c r="E1216" s="15" t="s">
        <v>5894</v>
      </c>
      <c r="F1216" s="15" t="s">
        <v>5895</v>
      </c>
      <c r="G1216" s="15" t="s">
        <v>1968</v>
      </c>
      <c r="H1216" s="15" t="s">
        <v>5896</v>
      </c>
      <c r="I1216" s="15" t="s">
        <v>1658</v>
      </c>
    </row>
    <row r="1217" spans="1:9" x14ac:dyDescent="0.15">
      <c r="A1217" s="15" t="s">
        <v>5897</v>
      </c>
      <c r="B1217" s="15"/>
      <c r="C1217" s="15" t="s">
        <v>40</v>
      </c>
      <c r="D1217" s="15" t="s">
        <v>41</v>
      </c>
      <c r="E1217" s="15" t="s">
        <v>5898</v>
      </c>
      <c r="F1217" s="15" t="s">
        <v>5900</v>
      </c>
      <c r="G1217" s="15" t="s">
        <v>5899</v>
      </c>
      <c r="H1217" s="15" t="s">
        <v>5901</v>
      </c>
      <c r="I1217" s="15" t="s">
        <v>1658</v>
      </c>
    </row>
    <row r="1218" spans="1:9" x14ac:dyDescent="0.15">
      <c r="A1218" s="15" t="s">
        <v>5902</v>
      </c>
      <c r="B1218" s="15"/>
      <c r="C1218" s="15" t="s">
        <v>40</v>
      </c>
      <c r="D1218" s="15" t="s">
        <v>41</v>
      </c>
      <c r="E1218" s="15" t="s">
        <v>5903</v>
      </c>
      <c r="F1218" s="15" t="s">
        <v>5905</v>
      </c>
      <c r="G1218" s="15" t="s">
        <v>5904</v>
      </c>
      <c r="H1218" s="15" t="s">
        <v>5906</v>
      </c>
      <c r="I1218" s="15" t="s">
        <v>1658</v>
      </c>
    </row>
    <row r="1219" spans="1:9" x14ac:dyDescent="0.15">
      <c r="A1219" s="15" t="s">
        <v>5907</v>
      </c>
      <c r="B1219" s="15"/>
      <c r="C1219" s="15" t="s">
        <v>40</v>
      </c>
      <c r="D1219" s="15" t="s">
        <v>41</v>
      </c>
      <c r="E1219" s="15" t="s">
        <v>5908</v>
      </c>
      <c r="F1219" s="15" t="s">
        <v>5910</v>
      </c>
      <c r="G1219" s="15" t="s">
        <v>5909</v>
      </c>
      <c r="H1219" s="15" t="s">
        <v>5911</v>
      </c>
      <c r="I1219" s="15" t="s">
        <v>1658</v>
      </c>
    </row>
    <row r="1220" spans="1:9" x14ac:dyDescent="0.15">
      <c r="A1220" s="15" t="s">
        <v>5912</v>
      </c>
      <c r="B1220" s="15"/>
      <c r="C1220" s="15" t="s">
        <v>40</v>
      </c>
      <c r="D1220" s="15" t="s">
        <v>41</v>
      </c>
      <c r="E1220" s="15" t="s">
        <v>5913</v>
      </c>
      <c r="F1220" s="15" t="s">
        <v>5915</v>
      </c>
      <c r="G1220" s="15" t="s">
        <v>5914</v>
      </c>
      <c r="H1220" s="15" t="s">
        <v>5916</v>
      </c>
      <c r="I1220" s="15" t="s">
        <v>1658</v>
      </c>
    </row>
    <row r="1221" spans="1:9" x14ac:dyDescent="0.15">
      <c r="A1221" s="15" t="s">
        <v>5917</v>
      </c>
      <c r="B1221" s="15"/>
      <c r="C1221" s="15" t="s">
        <v>40</v>
      </c>
      <c r="D1221" s="15" t="s">
        <v>41</v>
      </c>
      <c r="E1221" s="15" t="s">
        <v>5918</v>
      </c>
      <c r="F1221" s="15" t="s">
        <v>5920</v>
      </c>
      <c r="G1221" s="15" t="s">
        <v>5919</v>
      </c>
      <c r="H1221" s="15" t="s">
        <v>5921</v>
      </c>
      <c r="I1221" s="15" t="s">
        <v>1658</v>
      </c>
    </row>
    <row r="1222" spans="1:9" x14ac:dyDescent="0.15">
      <c r="A1222" s="15" t="s">
        <v>5922</v>
      </c>
      <c r="B1222" s="15"/>
      <c r="C1222" s="15" t="s">
        <v>40</v>
      </c>
      <c r="D1222" s="15" t="s">
        <v>41</v>
      </c>
      <c r="E1222" s="15" t="s">
        <v>5923</v>
      </c>
      <c r="F1222" s="15" t="s">
        <v>5925</v>
      </c>
      <c r="G1222" s="15" t="s">
        <v>5924</v>
      </c>
      <c r="H1222" s="15" t="s">
        <v>5926</v>
      </c>
      <c r="I1222" s="15" t="s">
        <v>1658</v>
      </c>
    </row>
    <row r="1223" spans="1:9" x14ac:dyDescent="0.15">
      <c r="A1223" s="15" t="s">
        <v>5927</v>
      </c>
      <c r="B1223" s="15"/>
      <c r="C1223" s="15" t="s">
        <v>40</v>
      </c>
      <c r="D1223" s="15" t="s">
        <v>41</v>
      </c>
      <c r="E1223" s="15" t="s">
        <v>5928</v>
      </c>
      <c r="F1223" s="15" t="s">
        <v>5929</v>
      </c>
      <c r="G1223" s="15" t="s">
        <v>5363</v>
      </c>
      <c r="H1223" s="15" t="s">
        <v>5930</v>
      </c>
      <c r="I1223" s="15" t="s">
        <v>1658</v>
      </c>
    </row>
    <row r="1224" spans="1:9" x14ac:dyDescent="0.15">
      <c r="A1224" s="15" t="s">
        <v>5931</v>
      </c>
      <c r="B1224" s="15"/>
      <c r="C1224" s="15" t="s">
        <v>40</v>
      </c>
      <c r="D1224" s="15" t="s">
        <v>41</v>
      </c>
      <c r="E1224" s="15" t="s">
        <v>5932</v>
      </c>
      <c r="F1224" s="15" t="s">
        <v>5934</v>
      </c>
      <c r="G1224" s="15" t="s">
        <v>5933</v>
      </c>
      <c r="H1224" s="15" t="s">
        <v>5935</v>
      </c>
      <c r="I1224" s="15" t="s">
        <v>1658</v>
      </c>
    </row>
    <row r="1225" spans="1:9" x14ac:dyDescent="0.15">
      <c r="A1225" s="15" t="s">
        <v>5936</v>
      </c>
      <c r="B1225" s="15"/>
      <c r="C1225" s="15" t="s">
        <v>40</v>
      </c>
      <c r="D1225" s="15" t="s">
        <v>41</v>
      </c>
      <c r="E1225" s="15" t="s">
        <v>5937</v>
      </c>
      <c r="F1225" s="15" t="s">
        <v>5938</v>
      </c>
      <c r="G1225" s="15" t="s">
        <v>5548</v>
      </c>
      <c r="H1225" s="15" t="s">
        <v>5939</v>
      </c>
      <c r="I1225" s="15" t="s">
        <v>1658</v>
      </c>
    </row>
    <row r="1226" spans="1:9" x14ac:dyDescent="0.15">
      <c r="A1226" s="15" t="s">
        <v>5940</v>
      </c>
      <c r="B1226" s="15"/>
      <c r="C1226" s="15" t="s">
        <v>40</v>
      </c>
      <c r="D1226" s="15" t="s">
        <v>41</v>
      </c>
      <c r="E1226" s="15" t="s">
        <v>5941</v>
      </c>
      <c r="F1226" s="15" t="s">
        <v>5943</v>
      </c>
      <c r="G1226" s="15" t="s">
        <v>5942</v>
      </c>
      <c r="H1226" s="15" t="s">
        <v>5944</v>
      </c>
      <c r="I1226" s="15" t="s">
        <v>1658</v>
      </c>
    </row>
    <row r="1227" spans="1:9" x14ac:dyDescent="0.15">
      <c r="A1227" s="15" t="s">
        <v>5945</v>
      </c>
      <c r="B1227" s="15"/>
      <c r="C1227" s="15" t="s">
        <v>40</v>
      </c>
      <c r="D1227" s="15" t="s">
        <v>41</v>
      </c>
      <c r="E1227" s="15" t="s">
        <v>5946</v>
      </c>
      <c r="F1227" s="15" t="s">
        <v>5948</v>
      </c>
      <c r="G1227" s="15" t="s">
        <v>5947</v>
      </c>
      <c r="H1227" s="15" t="s">
        <v>5949</v>
      </c>
      <c r="I1227" s="15" t="s">
        <v>1658</v>
      </c>
    </row>
    <row r="1228" spans="1:9" x14ac:dyDescent="0.15">
      <c r="A1228" s="15" t="s">
        <v>5950</v>
      </c>
      <c r="B1228" s="15"/>
      <c r="C1228" s="15" t="s">
        <v>40</v>
      </c>
      <c r="D1228" s="15" t="s">
        <v>41</v>
      </c>
      <c r="E1228" s="15" t="s">
        <v>5951</v>
      </c>
      <c r="F1228" s="15" t="s">
        <v>5953</v>
      </c>
      <c r="G1228" s="15" t="s">
        <v>5952</v>
      </c>
      <c r="H1228" s="15" t="s">
        <v>5954</v>
      </c>
      <c r="I1228" s="15" t="s">
        <v>1658</v>
      </c>
    </row>
    <row r="1229" spans="1:9" x14ac:dyDescent="0.15">
      <c r="A1229" s="15" t="s">
        <v>5955</v>
      </c>
      <c r="B1229" s="15"/>
      <c r="C1229" s="15" t="s">
        <v>40</v>
      </c>
      <c r="D1229" s="15" t="s">
        <v>41</v>
      </c>
      <c r="E1229" s="15" t="s">
        <v>5956</v>
      </c>
      <c r="F1229" s="15" t="s">
        <v>5958</v>
      </c>
      <c r="G1229" s="15" t="s">
        <v>5957</v>
      </c>
      <c r="H1229" s="15" t="s">
        <v>5959</v>
      </c>
      <c r="I1229" s="15" t="s">
        <v>1658</v>
      </c>
    </row>
    <row r="1230" spans="1:9" x14ac:dyDescent="0.15">
      <c r="A1230" s="15" t="s">
        <v>5960</v>
      </c>
      <c r="B1230" s="15"/>
      <c r="C1230" s="15" t="s">
        <v>40</v>
      </c>
      <c r="D1230" s="15" t="s">
        <v>41</v>
      </c>
      <c r="E1230" s="15" t="s">
        <v>5961</v>
      </c>
      <c r="F1230" s="15" t="s">
        <v>5962</v>
      </c>
      <c r="G1230" s="15" t="s">
        <v>5728</v>
      </c>
      <c r="H1230" s="15" t="s">
        <v>5963</v>
      </c>
      <c r="I1230" s="15" t="s">
        <v>1658</v>
      </c>
    </row>
    <row r="1231" spans="1:9" x14ac:dyDescent="0.15">
      <c r="A1231" s="15" t="s">
        <v>5964</v>
      </c>
      <c r="B1231" s="15"/>
      <c r="C1231" s="15" t="s">
        <v>40</v>
      </c>
      <c r="D1231" s="15" t="s">
        <v>41</v>
      </c>
      <c r="E1231" s="15" t="s">
        <v>5965</v>
      </c>
      <c r="F1231" s="15" t="s">
        <v>5967</v>
      </c>
      <c r="G1231" s="15" t="s">
        <v>5966</v>
      </c>
      <c r="H1231" s="15" t="s">
        <v>5968</v>
      </c>
      <c r="I1231" s="15" t="s">
        <v>1658</v>
      </c>
    </row>
    <row r="1232" spans="1:9" x14ac:dyDescent="0.15">
      <c r="A1232" s="15" t="s">
        <v>5969</v>
      </c>
      <c r="B1232" s="15"/>
      <c r="C1232" s="15" t="s">
        <v>40</v>
      </c>
      <c r="D1232" s="15" t="s">
        <v>41</v>
      </c>
      <c r="E1232" s="15" t="s">
        <v>5970</v>
      </c>
      <c r="F1232" s="15" t="s">
        <v>5971</v>
      </c>
      <c r="G1232" s="15" t="s">
        <v>1622</v>
      </c>
      <c r="H1232" s="15" t="s">
        <v>5972</v>
      </c>
      <c r="I1232" s="15" t="s">
        <v>1658</v>
      </c>
    </row>
    <row r="1233" spans="1:9" x14ac:dyDescent="0.15">
      <c r="A1233" s="15" t="s">
        <v>5973</v>
      </c>
      <c r="B1233" s="15"/>
      <c r="C1233" s="15" t="s">
        <v>40</v>
      </c>
      <c r="D1233" s="15" t="s">
        <v>41</v>
      </c>
      <c r="E1233" s="15" t="s">
        <v>5974</v>
      </c>
      <c r="F1233" s="15" t="s">
        <v>5976</v>
      </c>
      <c r="G1233" s="15" t="s">
        <v>5975</v>
      </c>
      <c r="H1233" s="15" t="s">
        <v>5977</v>
      </c>
      <c r="I1233" s="15" t="s">
        <v>1658</v>
      </c>
    </row>
    <row r="1234" spans="1:9" x14ac:dyDescent="0.15">
      <c r="A1234" s="15" t="s">
        <v>5978</v>
      </c>
      <c r="B1234" s="15"/>
      <c r="C1234" s="15" t="s">
        <v>40</v>
      </c>
      <c r="D1234" s="15" t="s">
        <v>41</v>
      </c>
      <c r="E1234" s="15" t="s">
        <v>5979</v>
      </c>
      <c r="F1234" s="15" t="s">
        <v>5981</v>
      </c>
      <c r="G1234" s="15" t="s">
        <v>5980</v>
      </c>
      <c r="H1234" s="15" t="s">
        <v>5982</v>
      </c>
      <c r="I1234" s="15" t="s">
        <v>1658</v>
      </c>
    </row>
    <row r="1235" spans="1:9" x14ac:dyDescent="0.15">
      <c r="A1235" s="15" t="s">
        <v>5983</v>
      </c>
      <c r="B1235" s="15"/>
      <c r="C1235" s="15" t="s">
        <v>40</v>
      </c>
      <c r="D1235" s="15" t="s">
        <v>41</v>
      </c>
      <c r="E1235" s="15" t="s">
        <v>5984</v>
      </c>
      <c r="F1235" s="15" t="s">
        <v>5986</v>
      </c>
      <c r="G1235" s="15" t="s">
        <v>5985</v>
      </c>
      <c r="H1235" s="15" t="s">
        <v>5987</v>
      </c>
      <c r="I1235" s="15" t="s">
        <v>1658</v>
      </c>
    </row>
    <row r="1236" spans="1:9" x14ac:dyDescent="0.15">
      <c r="A1236" s="15" t="s">
        <v>5988</v>
      </c>
      <c r="B1236" s="15"/>
      <c r="C1236" s="15" t="s">
        <v>40</v>
      </c>
      <c r="D1236" s="15" t="s">
        <v>41</v>
      </c>
      <c r="E1236" s="15" t="s">
        <v>5989</v>
      </c>
      <c r="F1236" s="15" t="s">
        <v>5991</v>
      </c>
      <c r="G1236" s="15" t="s">
        <v>5990</v>
      </c>
      <c r="H1236" s="15" t="s">
        <v>5992</v>
      </c>
      <c r="I1236" s="15" t="s">
        <v>1658</v>
      </c>
    </row>
    <row r="1237" spans="1:9" x14ac:dyDescent="0.15">
      <c r="A1237" s="15" t="s">
        <v>5993</v>
      </c>
      <c r="B1237" s="15"/>
      <c r="C1237" s="15" t="s">
        <v>40</v>
      </c>
      <c r="D1237" s="15" t="s">
        <v>41</v>
      </c>
      <c r="E1237" s="15" t="s">
        <v>5994</v>
      </c>
      <c r="F1237" s="15" t="s">
        <v>5996</v>
      </c>
      <c r="G1237" s="15" t="s">
        <v>5995</v>
      </c>
      <c r="H1237" s="15" t="s">
        <v>5997</v>
      </c>
      <c r="I1237" s="15" t="s">
        <v>1658</v>
      </c>
    </row>
    <row r="1238" spans="1:9" x14ac:dyDescent="0.15">
      <c r="A1238" s="15" t="s">
        <v>5998</v>
      </c>
      <c r="B1238" s="15"/>
      <c r="C1238" s="15" t="s">
        <v>40</v>
      </c>
      <c r="D1238" s="15" t="s">
        <v>41</v>
      </c>
      <c r="E1238" s="15" t="s">
        <v>5999</v>
      </c>
      <c r="F1238" s="15" t="s">
        <v>6001</v>
      </c>
      <c r="G1238" s="15" t="s">
        <v>6000</v>
      </c>
      <c r="H1238" s="15" t="s">
        <v>6002</v>
      </c>
      <c r="I1238" s="15" t="s">
        <v>1658</v>
      </c>
    </row>
    <row r="1239" spans="1:9" x14ac:dyDescent="0.15">
      <c r="A1239" s="15" t="s">
        <v>6003</v>
      </c>
      <c r="B1239" s="15"/>
      <c r="C1239" s="15" t="s">
        <v>40</v>
      </c>
      <c r="D1239" s="15" t="s">
        <v>41</v>
      </c>
      <c r="E1239" s="15" t="s">
        <v>6004</v>
      </c>
      <c r="F1239" s="15" t="s">
        <v>6006</v>
      </c>
      <c r="G1239" s="15" t="s">
        <v>6005</v>
      </c>
      <c r="H1239" s="15" t="s">
        <v>6007</v>
      </c>
      <c r="I1239" s="15" t="s">
        <v>1658</v>
      </c>
    </row>
    <row r="1240" spans="1:9" x14ac:dyDescent="0.15">
      <c r="A1240" s="15" t="s">
        <v>6008</v>
      </c>
      <c r="B1240" s="15"/>
      <c r="C1240" s="15" t="s">
        <v>40</v>
      </c>
      <c r="D1240" s="15" t="s">
        <v>41</v>
      </c>
      <c r="E1240" s="15" t="s">
        <v>6009</v>
      </c>
      <c r="F1240" s="15" t="s">
        <v>6011</v>
      </c>
      <c r="G1240" s="15" t="s">
        <v>6010</v>
      </c>
      <c r="H1240" s="15" t="s">
        <v>6012</v>
      </c>
      <c r="I1240" s="15" t="s">
        <v>1658</v>
      </c>
    </row>
    <row r="1241" spans="1:9" x14ac:dyDescent="0.15">
      <c r="A1241" s="15" t="s">
        <v>6013</v>
      </c>
      <c r="B1241" s="15"/>
      <c r="C1241" s="15" t="s">
        <v>40</v>
      </c>
      <c r="D1241" s="15" t="s">
        <v>41</v>
      </c>
      <c r="E1241" s="15" t="s">
        <v>6014</v>
      </c>
      <c r="F1241" s="15" t="s">
        <v>6016</v>
      </c>
      <c r="G1241" s="15" t="s">
        <v>6015</v>
      </c>
      <c r="H1241" s="15" t="s">
        <v>6017</v>
      </c>
      <c r="I1241" s="15" t="s">
        <v>1658</v>
      </c>
    </row>
    <row r="1242" spans="1:9" x14ac:dyDescent="0.15">
      <c r="A1242" s="15" t="s">
        <v>6018</v>
      </c>
      <c r="B1242" s="15"/>
      <c r="C1242" s="15" t="s">
        <v>40</v>
      </c>
      <c r="D1242" s="15" t="s">
        <v>41</v>
      </c>
      <c r="E1242" s="15" t="s">
        <v>6019</v>
      </c>
      <c r="F1242" s="15" t="s">
        <v>6021</v>
      </c>
      <c r="G1242" s="15" t="s">
        <v>6020</v>
      </c>
      <c r="H1242" s="15" t="s">
        <v>6022</v>
      </c>
      <c r="I1242" s="15" t="s">
        <v>1658</v>
      </c>
    </row>
    <row r="1243" spans="1:9" x14ac:dyDescent="0.15">
      <c r="A1243" s="15" t="s">
        <v>6023</v>
      </c>
      <c r="B1243" s="15"/>
      <c r="C1243" s="15" t="s">
        <v>40</v>
      </c>
      <c r="D1243" s="15" t="s">
        <v>41</v>
      </c>
      <c r="E1243" s="15" t="s">
        <v>6024</v>
      </c>
      <c r="F1243" s="15" t="s">
        <v>6026</v>
      </c>
      <c r="G1243" s="15" t="s">
        <v>6025</v>
      </c>
      <c r="H1243" s="15" t="s">
        <v>6027</v>
      </c>
      <c r="I1243" s="15" t="s">
        <v>1658</v>
      </c>
    </row>
    <row r="1244" spans="1:9" x14ac:dyDescent="0.15">
      <c r="A1244" s="15" t="s">
        <v>6028</v>
      </c>
      <c r="B1244" s="15"/>
      <c r="C1244" s="15" t="s">
        <v>40</v>
      </c>
      <c r="D1244" s="15" t="s">
        <v>41</v>
      </c>
      <c r="E1244" s="15" t="s">
        <v>6029</v>
      </c>
      <c r="F1244" s="15" t="s">
        <v>6031</v>
      </c>
      <c r="G1244" s="15" t="s">
        <v>6030</v>
      </c>
      <c r="H1244" s="15" t="s">
        <v>6032</v>
      </c>
      <c r="I1244" s="15" t="s">
        <v>1658</v>
      </c>
    </row>
    <row r="1245" spans="1:9" x14ac:dyDescent="0.15">
      <c r="A1245" s="15" t="s">
        <v>6033</v>
      </c>
      <c r="B1245" s="15"/>
      <c r="C1245" s="15" t="s">
        <v>40</v>
      </c>
      <c r="D1245" s="15" t="s">
        <v>41</v>
      </c>
      <c r="E1245" s="15" t="s">
        <v>6034</v>
      </c>
      <c r="F1245" s="15" t="s">
        <v>6036</v>
      </c>
      <c r="G1245" s="15" t="s">
        <v>6035</v>
      </c>
      <c r="H1245" s="15" t="s">
        <v>6037</v>
      </c>
      <c r="I1245" s="15" t="s">
        <v>1658</v>
      </c>
    </row>
    <row r="1246" spans="1:9" x14ac:dyDescent="0.15">
      <c r="A1246" s="15" t="s">
        <v>6038</v>
      </c>
      <c r="B1246" s="15"/>
      <c r="C1246" s="15" t="s">
        <v>40</v>
      </c>
      <c r="D1246" s="15" t="s">
        <v>41</v>
      </c>
      <c r="E1246" s="15" t="s">
        <v>6039</v>
      </c>
      <c r="F1246" s="15" t="s">
        <v>6040</v>
      </c>
      <c r="G1246" s="15" t="s">
        <v>5038</v>
      </c>
      <c r="H1246" s="15" t="s">
        <v>6041</v>
      </c>
      <c r="I1246" s="15" t="s">
        <v>1658</v>
      </c>
    </row>
    <row r="1247" spans="1:9" x14ac:dyDescent="0.15">
      <c r="A1247" s="15" t="s">
        <v>6042</v>
      </c>
      <c r="B1247" s="15"/>
      <c r="C1247" s="15" t="s">
        <v>40</v>
      </c>
      <c r="D1247" s="15" t="s">
        <v>41</v>
      </c>
      <c r="E1247" s="15" t="s">
        <v>6043</v>
      </c>
      <c r="F1247" s="15" t="s">
        <v>6045</v>
      </c>
      <c r="G1247" s="15" t="s">
        <v>6044</v>
      </c>
      <c r="H1247" s="15" t="s">
        <v>6046</v>
      </c>
      <c r="I1247" s="15" t="s">
        <v>1658</v>
      </c>
    </row>
    <row r="1248" spans="1:9" x14ac:dyDescent="0.15">
      <c r="A1248" s="15" t="s">
        <v>6047</v>
      </c>
      <c r="B1248" s="15"/>
      <c r="C1248" s="15" t="s">
        <v>40</v>
      </c>
      <c r="D1248" s="15" t="s">
        <v>41</v>
      </c>
      <c r="E1248" s="15" t="s">
        <v>6048</v>
      </c>
      <c r="F1248" s="15" t="s">
        <v>6050</v>
      </c>
      <c r="G1248" s="15" t="s">
        <v>6049</v>
      </c>
      <c r="H1248" s="15" t="s">
        <v>6051</v>
      </c>
      <c r="I1248" s="15" t="s">
        <v>1658</v>
      </c>
    </row>
    <row r="1249" spans="1:9" x14ac:dyDescent="0.15">
      <c r="A1249" s="15" t="s">
        <v>6052</v>
      </c>
      <c r="B1249" s="15"/>
      <c r="C1249" s="15" t="s">
        <v>40</v>
      </c>
      <c r="D1249" s="15" t="s">
        <v>41</v>
      </c>
      <c r="E1249" s="15" t="s">
        <v>6053</v>
      </c>
      <c r="F1249" s="15" t="s">
        <v>6054</v>
      </c>
      <c r="G1249" s="15" t="s">
        <v>4411</v>
      </c>
      <c r="H1249" s="15" t="s">
        <v>6055</v>
      </c>
      <c r="I1249" s="15" t="s">
        <v>1658</v>
      </c>
    </row>
    <row r="1250" spans="1:9" x14ac:dyDescent="0.15">
      <c r="A1250" s="15" t="s">
        <v>6056</v>
      </c>
      <c r="B1250" s="15"/>
      <c r="C1250" s="15" t="s">
        <v>40</v>
      </c>
      <c r="D1250" s="15" t="s">
        <v>41</v>
      </c>
      <c r="E1250" s="15" t="s">
        <v>6057</v>
      </c>
      <c r="F1250" s="15" t="s">
        <v>6059</v>
      </c>
      <c r="G1250" s="15" t="s">
        <v>6058</v>
      </c>
      <c r="H1250" s="15" t="s">
        <v>6060</v>
      </c>
      <c r="I1250" s="15" t="s">
        <v>1658</v>
      </c>
    </row>
    <row r="1251" spans="1:9" x14ac:dyDescent="0.15">
      <c r="A1251" s="15" t="s">
        <v>6061</v>
      </c>
      <c r="B1251" s="15"/>
      <c r="C1251" s="15" t="s">
        <v>40</v>
      </c>
      <c r="D1251" s="15" t="s">
        <v>41</v>
      </c>
      <c r="E1251" s="15" t="s">
        <v>6062</v>
      </c>
      <c r="F1251" s="15" t="s">
        <v>6064</v>
      </c>
      <c r="G1251" s="15" t="s">
        <v>6063</v>
      </c>
      <c r="H1251" s="15" t="s">
        <v>6065</v>
      </c>
      <c r="I1251" s="15" t="s">
        <v>1658</v>
      </c>
    </row>
    <row r="1252" spans="1:9" x14ac:dyDescent="0.15">
      <c r="A1252" s="15" t="s">
        <v>6066</v>
      </c>
      <c r="B1252" s="15"/>
      <c r="C1252" s="15" t="s">
        <v>40</v>
      </c>
      <c r="D1252" s="15" t="s">
        <v>41</v>
      </c>
      <c r="E1252" s="15" t="s">
        <v>6067</v>
      </c>
      <c r="F1252" s="15" t="s">
        <v>6069</v>
      </c>
      <c r="G1252" s="15" t="s">
        <v>6068</v>
      </c>
      <c r="H1252" s="15" t="s">
        <v>6070</v>
      </c>
      <c r="I1252" s="15" t="s">
        <v>1658</v>
      </c>
    </row>
    <row r="1253" spans="1:9" x14ac:dyDescent="0.15">
      <c r="A1253" s="15" t="s">
        <v>6071</v>
      </c>
      <c r="B1253" s="15"/>
      <c r="C1253" s="15" t="s">
        <v>40</v>
      </c>
      <c r="D1253" s="15" t="s">
        <v>41</v>
      </c>
      <c r="E1253" s="15" t="s">
        <v>6072</v>
      </c>
      <c r="F1253" s="15" t="s">
        <v>6074</v>
      </c>
      <c r="G1253" s="15" t="s">
        <v>6073</v>
      </c>
      <c r="H1253" s="15" t="s">
        <v>6075</v>
      </c>
      <c r="I1253" s="15" t="s">
        <v>1658</v>
      </c>
    </row>
    <row r="1254" spans="1:9" x14ac:dyDescent="0.15">
      <c r="A1254" s="15" t="s">
        <v>6076</v>
      </c>
      <c r="B1254" s="15"/>
      <c r="C1254" s="15" t="s">
        <v>40</v>
      </c>
      <c r="D1254" s="15" t="s">
        <v>41</v>
      </c>
      <c r="E1254" s="15" t="s">
        <v>6077</v>
      </c>
      <c r="F1254" s="15" t="s">
        <v>6079</v>
      </c>
      <c r="G1254" s="15" t="s">
        <v>6078</v>
      </c>
      <c r="H1254" s="15" t="s">
        <v>6080</v>
      </c>
      <c r="I1254" s="15" t="s">
        <v>1658</v>
      </c>
    </row>
    <row r="1255" spans="1:9" x14ac:dyDescent="0.15">
      <c r="A1255" s="15" t="s">
        <v>6081</v>
      </c>
      <c r="B1255" s="15"/>
      <c r="C1255" s="15" t="s">
        <v>40</v>
      </c>
      <c r="D1255" s="15" t="s">
        <v>41</v>
      </c>
      <c r="E1255" s="15" t="s">
        <v>6082</v>
      </c>
      <c r="F1255" s="15" t="s">
        <v>6083</v>
      </c>
      <c r="G1255" s="15" t="s">
        <v>1671</v>
      </c>
      <c r="H1255" s="15" t="s">
        <v>6084</v>
      </c>
      <c r="I1255" s="15" t="s">
        <v>1658</v>
      </c>
    </row>
    <row r="1256" spans="1:9" x14ac:dyDescent="0.15">
      <c r="A1256" s="15" t="s">
        <v>6085</v>
      </c>
      <c r="B1256" s="15"/>
      <c r="C1256" s="15" t="s">
        <v>40</v>
      </c>
      <c r="D1256" s="15" t="s">
        <v>41</v>
      </c>
      <c r="E1256" s="15" t="s">
        <v>6086</v>
      </c>
      <c r="F1256" s="15" t="s">
        <v>6087</v>
      </c>
      <c r="G1256" s="15" t="s">
        <v>1752</v>
      </c>
      <c r="H1256" s="15" t="s">
        <v>6088</v>
      </c>
      <c r="I1256" s="15" t="s">
        <v>1658</v>
      </c>
    </row>
    <row r="1257" spans="1:9" x14ac:dyDescent="0.15">
      <c r="A1257" s="15" t="s">
        <v>6089</v>
      </c>
      <c r="B1257" s="15"/>
      <c r="C1257" s="15" t="s">
        <v>40</v>
      </c>
      <c r="D1257" s="15" t="s">
        <v>41</v>
      </c>
      <c r="E1257" s="15" t="s">
        <v>6090</v>
      </c>
      <c r="F1257" s="15" t="s">
        <v>6092</v>
      </c>
      <c r="G1257" s="15" t="s">
        <v>6091</v>
      </c>
      <c r="H1257" s="15" t="s">
        <v>6093</v>
      </c>
      <c r="I1257" s="15" t="s">
        <v>1658</v>
      </c>
    </row>
    <row r="1258" spans="1:9" x14ac:dyDescent="0.15">
      <c r="A1258" s="15" t="s">
        <v>6094</v>
      </c>
      <c r="B1258" s="15"/>
      <c r="C1258" s="15" t="s">
        <v>40</v>
      </c>
      <c r="D1258" s="15" t="s">
        <v>41</v>
      </c>
      <c r="E1258" s="15" t="s">
        <v>6095</v>
      </c>
      <c r="F1258" s="15" t="s">
        <v>6097</v>
      </c>
      <c r="G1258" s="15" t="s">
        <v>6096</v>
      </c>
      <c r="H1258" s="15" t="s">
        <v>6098</v>
      </c>
      <c r="I1258" s="15" t="s">
        <v>1658</v>
      </c>
    </row>
    <row r="1259" spans="1:9" x14ac:dyDescent="0.15">
      <c r="A1259" s="15" t="s">
        <v>6099</v>
      </c>
      <c r="B1259" s="15"/>
      <c r="C1259" s="15" t="s">
        <v>40</v>
      </c>
      <c r="D1259" s="15" t="s">
        <v>41</v>
      </c>
      <c r="E1259" s="15" t="s">
        <v>6100</v>
      </c>
      <c r="F1259" s="15" t="s">
        <v>5276</v>
      </c>
      <c r="G1259" s="15" t="s">
        <v>5275</v>
      </c>
      <c r="H1259" s="15" t="s">
        <v>6101</v>
      </c>
      <c r="I1259" s="15" t="s">
        <v>1658</v>
      </c>
    </row>
    <row r="1260" spans="1:9" x14ac:dyDescent="0.15">
      <c r="A1260" s="15" t="s">
        <v>6102</v>
      </c>
      <c r="B1260" s="15"/>
      <c r="C1260" s="15" t="s">
        <v>40</v>
      </c>
      <c r="D1260" s="15" t="s">
        <v>41</v>
      </c>
      <c r="E1260" s="15" t="s">
        <v>6103</v>
      </c>
      <c r="F1260" s="15" t="s">
        <v>6105</v>
      </c>
      <c r="G1260" s="15" t="s">
        <v>6104</v>
      </c>
      <c r="H1260" s="15" t="s">
        <v>6106</v>
      </c>
      <c r="I1260" s="15" t="s">
        <v>1658</v>
      </c>
    </row>
    <row r="1261" spans="1:9" x14ac:dyDescent="0.15">
      <c r="A1261" s="15" t="s">
        <v>6107</v>
      </c>
      <c r="B1261" s="15"/>
      <c r="C1261" s="15" t="s">
        <v>40</v>
      </c>
      <c r="D1261" s="15" t="s">
        <v>41</v>
      </c>
      <c r="E1261" s="15" t="s">
        <v>6108</v>
      </c>
      <c r="F1261" s="15" t="s">
        <v>6109</v>
      </c>
      <c r="G1261" s="15" t="s">
        <v>4363</v>
      </c>
      <c r="H1261" s="15" t="s">
        <v>6110</v>
      </c>
      <c r="I1261" s="15" t="s">
        <v>1658</v>
      </c>
    </row>
    <row r="1262" spans="1:9" x14ac:dyDescent="0.15">
      <c r="A1262" s="15" t="s">
        <v>6111</v>
      </c>
      <c r="B1262" s="15"/>
      <c r="C1262" s="15" t="s">
        <v>40</v>
      </c>
      <c r="D1262" s="15" t="s">
        <v>41</v>
      </c>
      <c r="E1262" s="15" t="s">
        <v>6112</v>
      </c>
      <c r="F1262" s="15" t="s">
        <v>6113</v>
      </c>
      <c r="G1262" s="15" t="s">
        <v>5019</v>
      </c>
      <c r="H1262" s="15" t="s">
        <v>6114</v>
      </c>
      <c r="I1262" s="15" t="s">
        <v>1658</v>
      </c>
    </row>
    <row r="1263" spans="1:9" x14ac:dyDescent="0.15">
      <c r="A1263" s="15" t="s">
        <v>6115</v>
      </c>
      <c r="B1263" s="15"/>
      <c r="C1263" s="15" t="s">
        <v>40</v>
      </c>
      <c r="D1263" s="15" t="s">
        <v>41</v>
      </c>
      <c r="E1263" s="15" t="s">
        <v>6116</v>
      </c>
      <c r="F1263" s="15" t="s">
        <v>6118</v>
      </c>
      <c r="G1263" s="15" t="s">
        <v>6117</v>
      </c>
      <c r="H1263" s="15" t="s">
        <v>6119</v>
      </c>
      <c r="I1263" s="15" t="s">
        <v>1658</v>
      </c>
    </row>
    <row r="1264" spans="1:9" x14ac:dyDescent="0.15">
      <c r="A1264" s="15" t="s">
        <v>6120</v>
      </c>
      <c r="B1264" s="15"/>
      <c r="C1264" s="15" t="s">
        <v>40</v>
      </c>
      <c r="D1264" s="15" t="s">
        <v>41</v>
      </c>
      <c r="E1264" s="15" t="s">
        <v>6121</v>
      </c>
      <c r="F1264" s="15" t="s">
        <v>6123</v>
      </c>
      <c r="G1264" s="15" t="s">
        <v>6122</v>
      </c>
      <c r="H1264" s="15" t="s">
        <v>6124</v>
      </c>
      <c r="I1264" s="15" t="s">
        <v>1658</v>
      </c>
    </row>
    <row r="1265" spans="1:9" x14ac:dyDescent="0.15">
      <c r="A1265" s="15" t="s">
        <v>6125</v>
      </c>
      <c r="B1265" s="15"/>
      <c r="C1265" s="15" t="s">
        <v>40</v>
      </c>
      <c r="D1265" s="15" t="s">
        <v>41</v>
      </c>
      <c r="E1265" s="15" t="s">
        <v>6126</v>
      </c>
      <c r="F1265" s="15" t="s">
        <v>6128</v>
      </c>
      <c r="G1265" s="15" t="s">
        <v>6127</v>
      </c>
      <c r="H1265" s="15" t="s">
        <v>6129</v>
      </c>
      <c r="I1265" s="15" t="s">
        <v>1658</v>
      </c>
    </row>
    <row r="1266" spans="1:9" x14ac:dyDescent="0.15">
      <c r="A1266" s="15" t="s">
        <v>6130</v>
      </c>
      <c r="B1266" s="15"/>
      <c r="C1266" s="15" t="s">
        <v>40</v>
      </c>
      <c r="D1266" s="15" t="s">
        <v>41</v>
      </c>
      <c r="E1266" s="15" t="s">
        <v>6131</v>
      </c>
      <c r="F1266" s="15" t="s">
        <v>6133</v>
      </c>
      <c r="G1266" s="15" t="s">
        <v>6132</v>
      </c>
      <c r="H1266" s="15" t="s">
        <v>6134</v>
      </c>
      <c r="I1266" s="15" t="s">
        <v>1658</v>
      </c>
    </row>
    <row r="1267" spans="1:9" x14ac:dyDescent="0.15">
      <c r="A1267" s="15" t="s">
        <v>6135</v>
      </c>
      <c r="B1267" s="15"/>
      <c r="C1267" s="15" t="s">
        <v>40</v>
      </c>
      <c r="D1267" s="15" t="s">
        <v>41</v>
      </c>
      <c r="E1267" s="15" t="s">
        <v>6136</v>
      </c>
      <c r="F1267" s="15" t="s">
        <v>6138</v>
      </c>
      <c r="G1267" s="15" t="s">
        <v>6137</v>
      </c>
      <c r="H1267" s="15" t="s">
        <v>6139</v>
      </c>
      <c r="I1267" s="15" t="s">
        <v>1658</v>
      </c>
    </row>
    <row r="1268" spans="1:9" x14ac:dyDescent="0.15">
      <c r="A1268" s="15" t="s">
        <v>6140</v>
      </c>
      <c r="B1268" s="15"/>
      <c r="C1268" s="15" t="s">
        <v>40</v>
      </c>
      <c r="D1268" s="15" t="s">
        <v>41</v>
      </c>
      <c r="E1268" s="15" t="s">
        <v>6141</v>
      </c>
      <c r="F1268" s="15" t="s">
        <v>6143</v>
      </c>
      <c r="G1268" s="15" t="s">
        <v>6142</v>
      </c>
      <c r="H1268" s="15" t="s">
        <v>6144</v>
      </c>
      <c r="I1268" s="15" t="s">
        <v>1658</v>
      </c>
    </row>
    <row r="1269" spans="1:9" x14ac:dyDescent="0.15">
      <c r="A1269" s="15" t="s">
        <v>6145</v>
      </c>
      <c r="B1269" s="15"/>
      <c r="C1269" s="15" t="s">
        <v>40</v>
      </c>
      <c r="D1269" s="15" t="s">
        <v>41</v>
      </c>
      <c r="E1269" s="15" t="s">
        <v>6146</v>
      </c>
      <c r="F1269" s="15" t="s">
        <v>6148</v>
      </c>
      <c r="G1269" s="15" t="s">
        <v>6147</v>
      </c>
      <c r="H1269" s="15" t="s">
        <v>6149</v>
      </c>
      <c r="I1269" s="15" t="s">
        <v>1658</v>
      </c>
    </row>
    <row r="1270" spans="1:9" x14ac:dyDescent="0.15">
      <c r="A1270" s="15" t="s">
        <v>6150</v>
      </c>
      <c r="B1270" s="15"/>
      <c r="C1270" s="15" t="s">
        <v>40</v>
      </c>
      <c r="D1270" s="15" t="s">
        <v>41</v>
      </c>
      <c r="E1270" s="15" t="s">
        <v>6151</v>
      </c>
      <c r="F1270" s="15" t="s">
        <v>6152</v>
      </c>
      <c r="G1270" s="15" t="s">
        <v>3231</v>
      </c>
      <c r="H1270" s="15" t="s">
        <v>6153</v>
      </c>
      <c r="I1270" s="15" t="s">
        <v>1658</v>
      </c>
    </row>
    <row r="1271" spans="1:9" x14ac:dyDescent="0.15">
      <c r="A1271" s="15" t="s">
        <v>6154</v>
      </c>
      <c r="B1271" s="15"/>
      <c r="C1271" s="15" t="s">
        <v>40</v>
      </c>
      <c r="D1271" s="15" t="s">
        <v>41</v>
      </c>
      <c r="E1271" s="15" t="s">
        <v>6155</v>
      </c>
      <c r="F1271" s="15" t="s">
        <v>6157</v>
      </c>
      <c r="G1271" s="15" t="s">
        <v>6156</v>
      </c>
      <c r="H1271" s="15" t="s">
        <v>6158</v>
      </c>
      <c r="I1271" s="15" t="s">
        <v>1658</v>
      </c>
    </row>
    <row r="1272" spans="1:9" x14ac:dyDescent="0.15">
      <c r="A1272" s="15" t="s">
        <v>6159</v>
      </c>
      <c r="B1272" s="15"/>
      <c r="C1272" s="15" t="s">
        <v>40</v>
      </c>
      <c r="D1272" s="15" t="s">
        <v>41</v>
      </c>
      <c r="E1272" s="15" t="s">
        <v>6160</v>
      </c>
      <c r="F1272" s="15" t="s">
        <v>6162</v>
      </c>
      <c r="G1272" s="15" t="s">
        <v>6161</v>
      </c>
      <c r="H1272" s="15" t="s">
        <v>6163</v>
      </c>
      <c r="I1272" s="15" t="s">
        <v>1658</v>
      </c>
    </row>
    <row r="1273" spans="1:9" x14ac:dyDescent="0.15">
      <c r="A1273" s="15" t="s">
        <v>6164</v>
      </c>
      <c r="B1273" s="15"/>
      <c r="C1273" s="15" t="s">
        <v>40</v>
      </c>
      <c r="D1273" s="15" t="s">
        <v>41</v>
      </c>
      <c r="E1273" s="15" t="s">
        <v>6165</v>
      </c>
      <c r="F1273" s="15" t="s">
        <v>6166</v>
      </c>
      <c r="G1273" s="15" t="s">
        <v>4698</v>
      </c>
      <c r="H1273" s="15" t="s">
        <v>6167</v>
      </c>
      <c r="I1273" s="15" t="s">
        <v>1658</v>
      </c>
    </row>
    <row r="1274" spans="1:9" x14ac:dyDescent="0.15">
      <c r="A1274" s="15" t="s">
        <v>6168</v>
      </c>
      <c r="B1274" s="15"/>
      <c r="C1274" s="15" t="s">
        <v>40</v>
      </c>
      <c r="D1274" s="15" t="s">
        <v>41</v>
      </c>
      <c r="E1274" s="15" t="s">
        <v>6169</v>
      </c>
      <c r="F1274" s="15" t="s">
        <v>6170</v>
      </c>
      <c r="G1274" s="15" t="s">
        <v>3173</v>
      </c>
      <c r="H1274" s="15" t="s">
        <v>6171</v>
      </c>
      <c r="I1274" s="15" t="s">
        <v>1658</v>
      </c>
    </row>
    <row r="1275" spans="1:9" x14ac:dyDescent="0.15">
      <c r="A1275" s="15" t="s">
        <v>6172</v>
      </c>
      <c r="B1275" s="15"/>
      <c r="C1275" s="15" t="s">
        <v>40</v>
      </c>
      <c r="D1275" s="15" t="s">
        <v>41</v>
      </c>
      <c r="E1275" s="15" t="s">
        <v>6173</v>
      </c>
      <c r="F1275" s="15" t="s">
        <v>6175</v>
      </c>
      <c r="G1275" s="15" t="s">
        <v>6174</v>
      </c>
      <c r="H1275" s="15" t="s">
        <v>6176</v>
      </c>
      <c r="I1275" s="15" t="s">
        <v>1658</v>
      </c>
    </row>
    <row r="1276" spans="1:9" x14ac:dyDescent="0.15">
      <c r="A1276" s="15" t="s">
        <v>6177</v>
      </c>
      <c r="B1276" s="15"/>
      <c r="C1276" s="15" t="s">
        <v>40</v>
      </c>
      <c r="D1276" s="15" t="s">
        <v>41</v>
      </c>
      <c r="E1276" s="15" t="s">
        <v>6178</v>
      </c>
      <c r="F1276" s="15" t="s">
        <v>6180</v>
      </c>
      <c r="G1276" s="15" t="s">
        <v>6179</v>
      </c>
      <c r="H1276" s="15" t="s">
        <v>6181</v>
      </c>
      <c r="I1276" s="15" t="s">
        <v>1658</v>
      </c>
    </row>
    <row r="1277" spans="1:9" x14ac:dyDescent="0.15">
      <c r="A1277" s="15" t="s">
        <v>6182</v>
      </c>
      <c r="B1277" s="15"/>
      <c r="C1277" s="15" t="s">
        <v>40</v>
      </c>
      <c r="D1277" s="15" t="s">
        <v>41</v>
      </c>
      <c r="E1277" s="15" t="s">
        <v>6183</v>
      </c>
      <c r="F1277" s="15" t="s">
        <v>6185</v>
      </c>
      <c r="G1277" s="15" t="s">
        <v>6184</v>
      </c>
      <c r="H1277" s="15" t="s">
        <v>6186</v>
      </c>
      <c r="I1277" s="15" t="s">
        <v>1658</v>
      </c>
    </row>
    <row r="1278" spans="1:9" x14ac:dyDescent="0.15">
      <c r="A1278" s="15" t="s">
        <v>6187</v>
      </c>
      <c r="B1278" s="15"/>
      <c r="C1278" s="15" t="s">
        <v>40</v>
      </c>
      <c r="D1278" s="15" t="s">
        <v>41</v>
      </c>
      <c r="E1278" s="15" t="s">
        <v>6188</v>
      </c>
      <c r="F1278" s="15" t="s">
        <v>6189</v>
      </c>
      <c r="G1278" s="15" t="s">
        <v>4703</v>
      </c>
      <c r="H1278" s="15" t="s">
        <v>6190</v>
      </c>
      <c r="I1278" s="15" t="s">
        <v>1658</v>
      </c>
    </row>
    <row r="1279" spans="1:9" x14ac:dyDescent="0.15">
      <c r="A1279" s="15" t="s">
        <v>6191</v>
      </c>
      <c r="B1279" s="15"/>
      <c r="C1279" s="15" t="s">
        <v>40</v>
      </c>
      <c r="D1279" s="15" t="s">
        <v>41</v>
      </c>
      <c r="E1279" s="15" t="s">
        <v>6192</v>
      </c>
      <c r="F1279" s="15" t="s">
        <v>6193</v>
      </c>
      <c r="G1279" s="15" t="s">
        <v>6147</v>
      </c>
      <c r="H1279" s="15" t="s">
        <v>6194</v>
      </c>
      <c r="I1279" s="15" t="s">
        <v>1658</v>
      </c>
    </row>
    <row r="1280" spans="1:9" x14ac:dyDescent="0.15">
      <c r="A1280" s="15" t="s">
        <v>6195</v>
      </c>
      <c r="B1280" s="15"/>
      <c r="C1280" s="15" t="s">
        <v>40</v>
      </c>
      <c r="D1280" s="15" t="s">
        <v>41</v>
      </c>
      <c r="E1280" s="15" t="s">
        <v>6196</v>
      </c>
      <c r="F1280" s="15" t="s">
        <v>6197</v>
      </c>
      <c r="G1280" s="15" t="s">
        <v>5122</v>
      </c>
      <c r="H1280" s="15" t="s">
        <v>6198</v>
      </c>
      <c r="I1280" s="15" t="s">
        <v>1658</v>
      </c>
    </row>
    <row r="1281" spans="1:9" x14ac:dyDescent="0.15">
      <c r="A1281" s="15" t="s">
        <v>6199</v>
      </c>
      <c r="B1281" s="15"/>
      <c r="C1281" s="15" t="s">
        <v>40</v>
      </c>
      <c r="D1281" s="15" t="s">
        <v>41</v>
      </c>
      <c r="E1281" s="15" t="s">
        <v>6200</v>
      </c>
      <c r="F1281" s="15" t="s">
        <v>6202</v>
      </c>
      <c r="G1281" s="15" t="s">
        <v>6201</v>
      </c>
      <c r="H1281" s="15" t="s">
        <v>6203</v>
      </c>
      <c r="I1281" s="15" t="s">
        <v>1658</v>
      </c>
    </row>
    <row r="1282" spans="1:9" x14ac:dyDescent="0.15">
      <c r="A1282" s="15" t="s">
        <v>6204</v>
      </c>
      <c r="B1282" s="15"/>
      <c r="C1282" s="15" t="s">
        <v>40</v>
      </c>
      <c r="D1282" s="15" t="s">
        <v>41</v>
      </c>
      <c r="E1282" s="15" t="s">
        <v>6205</v>
      </c>
      <c r="F1282" s="15" t="s">
        <v>6206</v>
      </c>
      <c r="G1282" s="15" t="s">
        <v>6201</v>
      </c>
      <c r="H1282" s="15" t="s">
        <v>6207</v>
      </c>
      <c r="I1282" s="15" t="s">
        <v>1658</v>
      </c>
    </row>
    <row r="1283" spans="1:9" x14ac:dyDescent="0.15">
      <c r="A1283" s="15" t="s">
        <v>6208</v>
      </c>
      <c r="B1283" s="15"/>
      <c r="C1283" s="15" t="s">
        <v>40</v>
      </c>
      <c r="D1283" s="15" t="s">
        <v>41</v>
      </c>
      <c r="E1283" s="15" t="s">
        <v>6209</v>
      </c>
      <c r="F1283" s="15" t="s">
        <v>52</v>
      </c>
      <c r="G1283" s="15" t="s">
        <v>5947</v>
      </c>
      <c r="H1283" s="15" t="s">
        <v>6210</v>
      </c>
      <c r="I1283" s="15" t="s">
        <v>1658</v>
      </c>
    </row>
    <row r="1284" spans="1:9" x14ac:dyDescent="0.15">
      <c r="A1284" s="15" t="s">
        <v>6211</v>
      </c>
      <c r="B1284" s="15"/>
      <c r="C1284" s="15" t="s">
        <v>40</v>
      </c>
      <c r="D1284" s="15" t="s">
        <v>41</v>
      </c>
      <c r="E1284" s="15" t="s">
        <v>6212</v>
      </c>
      <c r="F1284" s="15" t="s">
        <v>6214</v>
      </c>
      <c r="G1284" s="15" t="s">
        <v>6213</v>
      </c>
      <c r="H1284" s="15" t="s">
        <v>6215</v>
      </c>
      <c r="I1284" s="15" t="s">
        <v>1658</v>
      </c>
    </row>
    <row r="1285" spans="1:9" x14ac:dyDescent="0.15">
      <c r="A1285" s="15" t="s">
        <v>6216</v>
      </c>
      <c r="B1285" s="15"/>
      <c r="C1285" s="15" t="s">
        <v>40</v>
      </c>
      <c r="D1285" s="15" t="s">
        <v>41</v>
      </c>
      <c r="E1285" s="15" t="s">
        <v>6217</v>
      </c>
      <c r="F1285" s="15" t="s">
        <v>6219</v>
      </c>
      <c r="G1285" s="15" t="s">
        <v>6218</v>
      </c>
      <c r="H1285" s="15" t="s">
        <v>6220</v>
      </c>
      <c r="I1285" s="15" t="s">
        <v>1658</v>
      </c>
    </row>
    <row r="1286" spans="1:9" x14ac:dyDescent="0.15">
      <c r="A1286" s="15" t="s">
        <v>6221</v>
      </c>
      <c r="B1286" s="15"/>
      <c r="C1286" s="15" t="s">
        <v>40</v>
      </c>
      <c r="D1286" s="15" t="s">
        <v>41</v>
      </c>
      <c r="E1286" s="15" t="s">
        <v>6222</v>
      </c>
      <c r="F1286" s="15" t="s">
        <v>6223</v>
      </c>
      <c r="G1286" s="15" t="s">
        <v>3231</v>
      </c>
      <c r="H1286" s="15" t="s">
        <v>6224</v>
      </c>
      <c r="I1286" s="15" t="s">
        <v>1658</v>
      </c>
    </row>
    <row r="1287" spans="1:9" x14ac:dyDescent="0.15">
      <c r="A1287" s="15" t="s">
        <v>6225</v>
      </c>
      <c r="B1287" s="15"/>
      <c r="C1287" s="15" t="s">
        <v>40</v>
      </c>
      <c r="D1287" s="15" t="s">
        <v>41</v>
      </c>
      <c r="E1287" s="15" t="s">
        <v>6226</v>
      </c>
      <c r="F1287" s="15" t="s">
        <v>6228</v>
      </c>
      <c r="G1287" s="15" t="s">
        <v>6227</v>
      </c>
      <c r="H1287" s="15" t="s">
        <v>6229</v>
      </c>
      <c r="I1287" s="15" t="s">
        <v>1658</v>
      </c>
    </row>
    <row r="1288" spans="1:9" x14ac:dyDescent="0.15">
      <c r="A1288" s="15" t="s">
        <v>6230</v>
      </c>
      <c r="B1288" s="15"/>
      <c r="C1288" s="15" t="s">
        <v>40</v>
      </c>
      <c r="D1288" s="15" t="s">
        <v>41</v>
      </c>
      <c r="E1288" s="15" t="s">
        <v>6231</v>
      </c>
      <c r="F1288" s="15" t="s">
        <v>6233</v>
      </c>
      <c r="G1288" s="15" t="s">
        <v>6232</v>
      </c>
      <c r="H1288" s="15" t="s">
        <v>6234</v>
      </c>
      <c r="I1288" s="15" t="s">
        <v>1658</v>
      </c>
    </row>
    <row r="1289" spans="1:9" x14ac:dyDescent="0.15">
      <c r="A1289" s="15" t="s">
        <v>6235</v>
      </c>
      <c r="B1289" s="15"/>
      <c r="C1289" s="15" t="s">
        <v>40</v>
      </c>
      <c r="D1289" s="15" t="s">
        <v>41</v>
      </c>
      <c r="E1289" s="15" t="s">
        <v>6236</v>
      </c>
      <c r="F1289" s="15" t="s">
        <v>6238</v>
      </c>
      <c r="G1289" s="15" t="s">
        <v>6237</v>
      </c>
      <c r="H1289" s="15" t="s">
        <v>6239</v>
      </c>
      <c r="I1289" s="15" t="s">
        <v>1658</v>
      </c>
    </row>
    <row r="1290" spans="1:9" x14ac:dyDescent="0.15">
      <c r="A1290" s="15" t="s">
        <v>6240</v>
      </c>
      <c r="B1290" s="15"/>
      <c r="C1290" s="15" t="s">
        <v>40</v>
      </c>
      <c r="D1290" s="15" t="s">
        <v>41</v>
      </c>
      <c r="E1290" s="15" t="s">
        <v>6241</v>
      </c>
      <c r="F1290" s="15" t="s">
        <v>6243</v>
      </c>
      <c r="G1290" s="15" t="s">
        <v>6242</v>
      </c>
      <c r="H1290" s="15" t="s">
        <v>6244</v>
      </c>
      <c r="I1290" s="15" t="s">
        <v>1658</v>
      </c>
    </row>
    <row r="1291" spans="1:9" x14ac:dyDescent="0.15">
      <c r="A1291" s="15" t="s">
        <v>6245</v>
      </c>
      <c r="B1291" s="15"/>
      <c r="C1291" s="15" t="s">
        <v>40</v>
      </c>
      <c r="D1291" s="15" t="s">
        <v>41</v>
      </c>
      <c r="E1291" s="15" t="s">
        <v>6246</v>
      </c>
      <c r="F1291" s="15" t="s">
        <v>6248</v>
      </c>
      <c r="G1291" s="15" t="s">
        <v>6247</v>
      </c>
      <c r="H1291" s="15" t="s">
        <v>6249</v>
      </c>
      <c r="I1291" s="15" t="s">
        <v>1658</v>
      </c>
    </row>
    <row r="1292" spans="1:9" x14ac:dyDescent="0.15">
      <c r="A1292" s="15" t="s">
        <v>6250</v>
      </c>
      <c r="B1292" s="15"/>
      <c r="C1292" s="15" t="s">
        <v>40</v>
      </c>
      <c r="D1292" s="15" t="s">
        <v>41</v>
      </c>
      <c r="E1292" s="15" t="s">
        <v>6251</v>
      </c>
      <c r="F1292" s="15" t="s">
        <v>6253</v>
      </c>
      <c r="G1292" s="15" t="s">
        <v>6252</v>
      </c>
      <c r="H1292" s="15" t="s">
        <v>6254</v>
      </c>
      <c r="I1292" s="15" t="s">
        <v>1658</v>
      </c>
    </row>
    <row r="1293" spans="1:9" x14ac:dyDescent="0.15">
      <c r="A1293" s="15" t="s">
        <v>6255</v>
      </c>
      <c r="B1293" s="15"/>
      <c r="C1293" s="15" t="s">
        <v>40</v>
      </c>
      <c r="D1293" s="15" t="s">
        <v>41</v>
      </c>
      <c r="E1293" s="15" t="s">
        <v>6256</v>
      </c>
      <c r="F1293" s="15" t="s">
        <v>6258</v>
      </c>
      <c r="G1293" s="15" t="s">
        <v>6257</v>
      </c>
      <c r="H1293" s="15" t="s">
        <v>6259</v>
      </c>
      <c r="I1293" s="15" t="s">
        <v>1658</v>
      </c>
    </row>
    <row r="1294" spans="1:9" x14ac:dyDescent="0.15">
      <c r="A1294" s="15" t="s">
        <v>6260</v>
      </c>
      <c r="B1294" s="15"/>
      <c r="C1294" s="15" t="s">
        <v>40</v>
      </c>
      <c r="D1294" s="15" t="s">
        <v>41</v>
      </c>
      <c r="E1294" s="15" t="s">
        <v>6261</v>
      </c>
      <c r="F1294" s="15" t="s">
        <v>6263</v>
      </c>
      <c r="G1294" s="15" t="s">
        <v>6262</v>
      </c>
      <c r="H1294" s="15" t="s">
        <v>6264</v>
      </c>
      <c r="I1294" s="15" t="s">
        <v>1658</v>
      </c>
    </row>
    <row r="1295" spans="1:9" x14ac:dyDescent="0.15">
      <c r="A1295" s="15" t="s">
        <v>6265</v>
      </c>
      <c r="B1295" s="15"/>
      <c r="C1295" s="15" t="s">
        <v>40</v>
      </c>
      <c r="D1295" s="15" t="s">
        <v>41</v>
      </c>
      <c r="E1295" s="15" t="s">
        <v>6266</v>
      </c>
      <c r="F1295" s="15" t="s">
        <v>6268</v>
      </c>
      <c r="G1295" s="15" t="s">
        <v>6267</v>
      </c>
      <c r="H1295" s="15" t="s">
        <v>6269</v>
      </c>
      <c r="I1295" s="15" t="s">
        <v>1658</v>
      </c>
    </row>
    <row r="1296" spans="1:9" x14ac:dyDescent="0.15">
      <c r="A1296" s="15" t="s">
        <v>6270</v>
      </c>
      <c r="B1296" s="15"/>
      <c r="C1296" s="15" t="s">
        <v>40</v>
      </c>
      <c r="D1296" s="15" t="s">
        <v>41</v>
      </c>
      <c r="E1296" s="15" t="s">
        <v>6271</v>
      </c>
      <c r="F1296" s="15" t="s">
        <v>6273</v>
      </c>
      <c r="G1296" s="15" t="s">
        <v>6272</v>
      </c>
      <c r="H1296" s="15" t="s">
        <v>6274</v>
      </c>
      <c r="I1296" s="15" t="s">
        <v>1658</v>
      </c>
    </row>
    <row r="1297" spans="1:9" x14ac:dyDescent="0.15">
      <c r="A1297" s="15" t="s">
        <v>6275</v>
      </c>
      <c r="B1297" s="15"/>
      <c r="C1297" s="15" t="s">
        <v>40</v>
      </c>
      <c r="D1297" s="15" t="s">
        <v>41</v>
      </c>
      <c r="E1297" s="15" t="s">
        <v>6276</v>
      </c>
      <c r="F1297" s="15" t="s">
        <v>6278</v>
      </c>
      <c r="G1297" s="15" t="s">
        <v>6277</v>
      </c>
      <c r="H1297" s="15" t="s">
        <v>6279</v>
      </c>
      <c r="I1297" s="15" t="s">
        <v>1658</v>
      </c>
    </row>
    <row r="1298" spans="1:9" x14ac:dyDescent="0.15">
      <c r="A1298" s="15" t="s">
        <v>6280</v>
      </c>
      <c r="B1298" s="15"/>
      <c r="C1298" s="15" t="s">
        <v>40</v>
      </c>
      <c r="D1298" s="15" t="s">
        <v>41</v>
      </c>
      <c r="E1298" s="15" t="s">
        <v>6281</v>
      </c>
      <c r="F1298" s="15" t="s">
        <v>6282</v>
      </c>
      <c r="G1298" s="15" t="s">
        <v>1795</v>
      </c>
      <c r="H1298" s="15" t="s">
        <v>6283</v>
      </c>
      <c r="I1298" s="15" t="s">
        <v>1709</v>
      </c>
    </row>
    <row r="1299" spans="1:9" x14ac:dyDescent="0.15">
      <c r="A1299" s="15" t="s">
        <v>6284</v>
      </c>
      <c r="B1299" s="15"/>
      <c r="C1299" s="15" t="s">
        <v>40</v>
      </c>
      <c r="D1299" s="15" t="s">
        <v>41</v>
      </c>
      <c r="E1299" s="15" t="s">
        <v>6285</v>
      </c>
      <c r="F1299" s="15" t="s">
        <v>6287</v>
      </c>
      <c r="G1299" s="15" t="s">
        <v>6286</v>
      </c>
      <c r="H1299" s="15" t="s">
        <v>6288</v>
      </c>
      <c r="I1299" s="15" t="s">
        <v>1709</v>
      </c>
    </row>
    <row r="1300" spans="1:9" x14ac:dyDescent="0.15">
      <c r="A1300" s="15" t="s">
        <v>6289</v>
      </c>
      <c r="B1300" s="15"/>
      <c r="C1300" s="15" t="s">
        <v>40</v>
      </c>
      <c r="D1300" s="15" t="s">
        <v>41</v>
      </c>
      <c r="E1300" s="15" t="s">
        <v>6290</v>
      </c>
      <c r="F1300" s="15" t="s">
        <v>6291</v>
      </c>
      <c r="G1300" s="15" t="s">
        <v>1879</v>
      </c>
      <c r="H1300" s="15" t="s">
        <v>6292</v>
      </c>
      <c r="I1300" s="15" t="s">
        <v>1709</v>
      </c>
    </row>
    <row r="1301" spans="1:9" x14ac:dyDescent="0.15">
      <c r="A1301" s="15" t="s">
        <v>6293</v>
      </c>
      <c r="B1301" s="15"/>
      <c r="C1301" s="15" t="s">
        <v>40</v>
      </c>
      <c r="D1301" s="15" t="s">
        <v>41</v>
      </c>
      <c r="E1301" s="15" t="s">
        <v>6294</v>
      </c>
      <c r="F1301" s="15" t="s">
        <v>6296</v>
      </c>
      <c r="G1301" s="15" t="s">
        <v>6295</v>
      </c>
      <c r="H1301" s="15" t="s">
        <v>6297</v>
      </c>
      <c r="I1301" s="15" t="s">
        <v>1709</v>
      </c>
    </row>
    <row r="1302" spans="1:9" x14ac:dyDescent="0.15">
      <c r="A1302" s="15" t="s">
        <v>6298</v>
      </c>
      <c r="B1302" s="15"/>
      <c r="C1302" s="15" t="s">
        <v>40</v>
      </c>
      <c r="D1302" s="15" t="s">
        <v>41</v>
      </c>
      <c r="E1302" s="15" t="s">
        <v>6299</v>
      </c>
      <c r="F1302" s="15" t="s">
        <v>6301</v>
      </c>
      <c r="G1302" s="15" t="s">
        <v>6300</v>
      </c>
      <c r="H1302" s="15" t="s">
        <v>6302</v>
      </c>
      <c r="I1302" s="15" t="s">
        <v>1709</v>
      </c>
    </row>
    <row r="1303" spans="1:9" x14ac:dyDescent="0.15">
      <c r="A1303" s="15" t="s">
        <v>6303</v>
      </c>
      <c r="B1303" s="15"/>
      <c r="C1303" s="15" t="s">
        <v>40</v>
      </c>
      <c r="D1303" s="15" t="s">
        <v>41</v>
      </c>
      <c r="E1303" s="15" t="s">
        <v>6304</v>
      </c>
      <c r="F1303" s="15" t="s">
        <v>6306</v>
      </c>
      <c r="G1303" s="15" t="s">
        <v>6305</v>
      </c>
      <c r="H1303" s="15" t="s">
        <v>6307</v>
      </c>
      <c r="I1303" s="15" t="s">
        <v>1709</v>
      </c>
    </row>
    <row r="1304" spans="1:9" x14ac:dyDescent="0.15">
      <c r="A1304" s="15" t="s">
        <v>6308</v>
      </c>
      <c r="B1304" s="15"/>
      <c r="C1304" s="15" t="s">
        <v>40</v>
      </c>
      <c r="D1304" s="15" t="s">
        <v>41</v>
      </c>
      <c r="E1304" s="15" t="s">
        <v>6309</v>
      </c>
      <c r="F1304" s="15" t="s">
        <v>6311</v>
      </c>
      <c r="G1304" s="15" t="s">
        <v>6310</v>
      </c>
      <c r="H1304" s="15" t="s">
        <v>6312</v>
      </c>
      <c r="I1304" s="15" t="s">
        <v>1709</v>
      </c>
    </row>
    <row r="1305" spans="1:9" x14ac:dyDescent="0.15">
      <c r="A1305" s="15" t="s">
        <v>6313</v>
      </c>
      <c r="B1305" s="15"/>
      <c r="C1305" s="15" t="s">
        <v>40</v>
      </c>
      <c r="D1305" s="15" t="s">
        <v>41</v>
      </c>
      <c r="E1305" s="15" t="s">
        <v>6314</v>
      </c>
      <c r="F1305" s="15" t="s">
        <v>6315</v>
      </c>
      <c r="G1305" s="15" t="s">
        <v>2963</v>
      </c>
      <c r="H1305" s="15" t="s">
        <v>6316</v>
      </c>
      <c r="I1305" s="15" t="s">
        <v>1709</v>
      </c>
    </row>
    <row r="1306" spans="1:9" x14ac:dyDescent="0.15">
      <c r="A1306" s="15" t="s">
        <v>6317</v>
      </c>
      <c r="B1306" s="15"/>
      <c r="C1306" s="15" t="s">
        <v>40</v>
      </c>
      <c r="D1306" s="15" t="s">
        <v>41</v>
      </c>
      <c r="E1306" s="15" t="s">
        <v>6318</v>
      </c>
      <c r="F1306" s="15" t="s">
        <v>6320</v>
      </c>
      <c r="G1306" s="15" t="s">
        <v>6319</v>
      </c>
      <c r="H1306" s="15" t="s">
        <v>6321</v>
      </c>
      <c r="I1306" s="15" t="s">
        <v>1709</v>
      </c>
    </row>
    <row r="1307" spans="1:9" x14ac:dyDescent="0.15">
      <c r="A1307" s="15" t="s">
        <v>6322</v>
      </c>
      <c r="B1307" s="15"/>
      <c r="C1307" s="15" t="s">
        <v>40</v>
      </c>
      <c r="D1307" s="15" t="s">
        <v>41</v>
      </c>
      <c r="E1307" s="15" t="s">
        <v>6323</v>
      </c>
      <c r="F1307" s="15" t="s">
        <v>6325</v>
      </c>
      <c r="G1307" s="15" t="s">
        <v>6324</v>
      </c>
      <c r="H1307" s="15" t="s">
        <v>6326</v>
      </c>
      <c r="I1307" s="15" t="s">
        <v>1709</v>
      </c>
    </row>
    <row r="1308" spans="1:9" x14ac:dyDescent="0.15">
      <c r="A1308" s="15" t="s">
        <v>6327</v>
      </c>
      <c r="B1308" s="15"/>
      <c r="C1308" s="15" t="s">
        <v>40</v>
      </c>
      <c r="D1308" s="15" t="s">
        <v>41</v>
      </c>
      <c r="E1308" s="15" t="s">
        <v>6328</v>
      </c>
      <c r="F1308" s="15" t="s">
        <v>6329</v>
      </c>
      <c r="G1308" s="15" t="s">
        <v>1815</v>
      </c>
      <c r="H1308" s="15" t="s">
        <v>6330</v>
      </c>
      <c r="I1308" s="15" t="s">
        <v>1709</v>
      </c>
    </row>
    <row r="1309" spans="1:9" x14ac:dyDescent="0.15">
      <c r="A1309" s="15" t="s">
        <v>6331</v>
      </c>
      <c r="B1309" s="15"/>
      <c r="C1309" s="15" t="s">
        <v>40</v>
      </c>
      <c r="D1309" s="15" t="s">
        <v>41</v>
      </c>
      <c r="E1309" s="15" t="s">
        <v>6332</v>
      </c>
      <c r="F1309" s="15" t="s">
        <v>6334</v>
      </c>
      <c r="G1309" s="15" t="s">
        <v>6333</v>
      </c>
      <c r="H1309" s="15" t="s">
        <v>6335</v>
      </c>
      <c r="I1309" s="15" t="s">
        <v>1709</v>
      </c>
    </row>
    <row r="1310" spans="1:9" x14ac:dyDescent="0.15">
      <c r="A1310" s="15" t="s">
        <v>6336</v>
      </c>
      <c r="B1310" s="15"/>
      <c r="C1310" s="15" t="s">
        <v>40</v>
      </c>
      <c r="D1310" s="15" t="s">
        <v>41</v>
      </c>
      <c r="E1310" s="15" t="s">
        <v>6337</v>
      </c>
      <c r="F1310" s="15" t="s">
        <v>6339</v>
      </c>
      <c r="G1310" s="15" t="s">
        <v>6338</v>
      </c>
      <c r="H1310" s="15" t="s">
        <v>6340</v>
      </c>
      <c r="I1310" s="15" t="s">
        <v>1709</v>
      </c>
    </row>
    <row r="1311" spans="1:9" x14ac:dyDescent="0.15">
      <c r="A1311" s="15" t="s">
        <v>6341</v>
      </c>
      <c r="B1311" s="15"/>
      <c r="C1311" s="15" t="s">
        <v>40</v>
      </c>
      <c r="D1311" s="15" t="s">
        <v>41</v>
      </c>
      <c r="E1311" s="15" t="s">
        <v>6342</v>
      </c>
      <c r="F1311" s="15" t="s">
        <v>6344</v>
      </c>
      <c r="G1311" s="15" t="s">
        <v>6343</v>
      </c>
      <c r="H1311" s="15" t="s">
        <v>6345</v>
      </c>
      <c r="I1311" s="15" t="s">
        <v>1709</v>
      </c>
    </row>
    <row r="1312" spans="1:9" x14ac:dyDescent="0.15">
      <c r="A1312" s="15" t="s">
        <v>6346</v>
      </c>
      <c r="B1312" s="15"/>
      <c r="C1312" s="15" t="s">
        <v>40</v>
      </c>
      <c r="D1312" s="15" t="s">
        <v>41</v>
      </c>
      <c r="E1312" s="15" t="s">
        <v>6347</v>
      </c>
      <c r="F1312" s="15" t="s">
        <v>6349</v>
      </c>
      <c r="G1312" s="15" t="s">
        <v>6348</v>
      </c>
      <c r="H1312" s="15" t="s">
        <v>6350</v>
      </c>
      <c r="I1312" s="15" t="s">
        <v>1709</v>
      </c>
    </row>
    <row r="1313" spans="1:9" x14ac:dyDescent="0.15">
      <c r="A1313" s="15" t="s">
        <v>6351</v>
      </c>
      <c r="B1313" s="15"/>
      <c r="C1313" s="15" t="s">
        <v>40</v>
      </c>
      <c r="D1313" s="15" t="s">
        <v>41</v>
      </c>
      <c r="E1313" s="15" t="s">
        <v>6352</v>
      </c>
      <c r="F1313" s="15" t="s">
        <v>6354</v>
      </c>
      <c r="G1313" s="15" t="s">
        <v>6353</v>
      </c>
      <c r="H1313" s="15" t="s">
        <v>6355</v>
      </c>
      <c r="I1313" s="15" t="s">
        <v>1709</v>
      </c>
    </row>
    <row r="1314" spans="1:9" x14ac:dyDescent="0.15">
      <c r="A1314" s="15" t="s">
        <v>6356</v>
      </c>
      <c r="B1314" s="15"/>
      <c r="C1314" s="15" t="s">
        <v>40</v>
      </c>
      <c r="D1314" s="15" t="s">
        <v>41</v>
      </c>
      <c r="E1314" s="15" t="s">
        <v>6357</v>
      </c>
      <c r="F1314" s="15" t="s">
        <v>6359</v>
      </c>
      <c r="G1314" s="15" t="s">
        <v>6358</v>
      </c>
      <c r="H1314" s="15" t="s">
        <v>6360</v>
      </c>
      <c r="I1314" s="15" t="s">
        <v>1709</v>
      </c>
    </row>
    <row r="1315" spans="1:9" x14ac:dyDescent="0.15">
      <c r="A1315" s="15" t="s">
        <v>6361</v>
      </c>
      <c r="B1315" s="15"/>
      <c r="C1315" s="15" t="s">
        <v>40</v>
      </c>
      <c r="D1315" s="15" t="s">
        <v>41</v>
      </c>
      <c r="E1315" s="15" t="s">
        <v>6362</v>
      </c>
      <c r="F1315" s="15" t="s">
        <v>6364</v>
      </c>
      <c r="G1315" s="15" t="s">
        <v>6363</v>
      </c>
      <c r="H1315" s="15" t="s">
        <v>6365</v>
      </c>
      <c r="I1315" s="15" t="s">
        <v>1709</v>
      </c>
    </row>
    <row r="1316" spans="1:9" x14ac:dyDescent="0.15">
      <c r="A1316" s="15" t="s">
        <v>6366</v>
      </c>
      <c r="B1316" s="15"/>
      <c r="C1316" s="15" t="s">
        <v>40</v>
      </c>
      <c r="D1316" s="15" t="s">
        <v>41</v>
      </c>
      <c r="E1316" s="15" t="s">
        <v>6367</v>
      </c>
      <c r="F1316" s="15" t="s">
        <v>6369</v>
      </c>
      <c r="G1316" s="15" t="s">
        <v>6368</v>
      </c>
      <c r="H1316" s="15" t="s">
        <v>6370</v>
      </c>
      <c r="I1316" s="15" t="s">
        <v>1709</v>
      </c>
    </row>
    <row r="1317" spans="1:9" x14ac:dyDescent="0.15">
      <c r="A1317" s="15" t="s">
        <v>6371</v>
      </c>
      <c r="B1317" s="15"/>
      <c r="C1317" s="15" t="s">
        <v>40</v>
      </c>
      <c r="D1317" s="15" t="s">
        <v>41</v>
      </c>
      <c r="E1317" s="15" t="s">
        <v>6372</v>
      </c>
      <c r="F1317" s="15" t="s">
        <v>6374</v>
      </c>
      <c r="G1317" s="15" t="s">
        <v>6373</v>
      </c>
      <c r="H1317" s="15" t="s">
        <v>6375</v>
      </c>
      <c r="I1317" s="15" t="s">
        <v>1709</v>
      </c>
    </row>
    <row r="1318" spans="1:9" x14ac:dyDescent="0.15">
      <c r="A1318" s="15" t="s">
        <v>6376</v>
      </c>
      <c r="B1318" s="15"/>
      <c r="C1318" s="15" t="s">
        <v>40</v>
      </c>
      <c r="D1318" s="15" t="s">
        <v>41</v>
      </c>
      <c r="E1318" s="15" t="s">
        <v>6377</v>
      </c>
      <c r="F1318" s="15" t="s">
        <v>6379</v>
      </c>
      <c r="G1318" s="15" t="s">
        <v>6378</v>
      </c>
      <c r="H1318" s="15" t="s">
        <v>6380</v>
      </c>
      <c r="I1318" s="15" t="s">
        <v>1709</v>
      </c>
    </row>
    <row r="1319" spans="1:9" x14ac:dyDescent="0.15">
      <c r="A1319" s="15" t="s">
        <v>6381</v>
      </c>
      <c r="B1319" s="15"/>
      <c r="C1319" s="15" t="s">
        <v>40</v>
      </c>
      <c r="D1319" s="15" t="s">
        <v>41</v>
      </c>
      <c r="E1319" s="15" t="s">
        <v>6382</v>
      </c>
      <c r="F1319" s="15" t="s">
        <v>6339</v>
      </c>
      <c r="G1319" s="15" t="s">
        <v>6338</v>
      </c>
      <c r="H1319" s="15" t="s">
        <v>6383</v>
      </c>
      <c r="I1319" s="15" t="s">
        <v>1709</v>
      </c>
    </row>
    <row r="1320" spans="1:9" x14ac:dyDescent="0.15">
      <c r="A1320" s="15" t="s">
        <v>6384</v>
      </c>
      <c r="B1320" s="15"/>
      <c r="C1320" s="15" t="s">
        <v>40</v>
      </c>
      <c r="D1320" s="15" t="s">
        <v>41</v>
      </c>
      <c r="E1320" s="15" t="s">
        <v>6385</v>
      </c>
      <c r="F1320" s="15" t="s">
        <v>6387</v>
      </c>
      <c r="G1320" s="15" t="s">
        <v>6386</v>
      </c>
      <c r="H1320" s="15" t="s">
        <v>6388</v>
      </c>
      <c r="I1320" s="15" t="s">
        <v>1709</v>
      </c>
    </row>
    <row r="1321" spans="1:9" x14ac:dyDescent="0.15">
      <c r="A1321" s="15" t="s">
        <v>6389</v>
      </c>
      <c r="B1321" s="15"/>
      <c r="C1321" s="15" t="s">
        <v>40</v>
      </c>
      <c r="D1321" s="15" t="s">
        <v>41</v>
      </c>
      <c r="E1321" s="15" t="s">
        <v>6390</v>
      </c>
      <c r="F1321" s="15" t="s">
        <v>6392</v>
      </c>
      <c r="G1321" s="15" t="s">
        <v>6391</v>
      </c>
      <c r="H1321" s="15" t="s">
        <v>6393</v>
      </c>
      <c r="I1321" s="15" t="s">
        <v>1709</v>
      </c>
    </row>
    <row r="1322" spans="1:9" x14ac:dyDescent="0.15">
      <c r="A1322" s="15" t="s">
        <v>6394</v>
      </c>
      <c r="B1322" s="15"/>
      <c r="C1322" s="15" t="s">
        <v>40</v>
      </c>
      <c r="D1322" s="15" t="s">
        <v>41</v>
      </c>
      <c r="E1322" s="15" t="s">
        <v>6395</v>
      </c>
      <c r="F1322" s="15" t="s">
        <v>6396</v>
      </c>
      <c r="G1322" s="15" t="s">
        <v>2900</v>
      </c>
      <c r="H1322" s="15" t="s">
        <v>6397</v>
      </c>
      <c r="I1322" s="15" t="s">
        <v>1709</v>
      </c>
    </row>
    <row r="1323" spans="1:9" x14ac:dyDescent="0.15">
      <c r="A1323" s="15" t="s">
        <v>6398</v>
      </c>
      <c r="B1323" s="15"/>
      <c r="C1323" s="15" t="s">
        <v>40</v>
      </c>
      <c r="D1323" s="15" t="s">
        <v>41</v>
      </c>
      <c r="E1323" s="15" t="s">
        <v>6399</v>
      </c>
      <c r="F1323" s="15" t="s">
        <v>6401</v>
      </c>
      <c r="G1323" s="15" t="s">
        <v>6400</v>
      </c>
      <c r="H1323" s="15" t="s">
        <v>6402</v>
      </c>
      <c r="I1323" s="15" t="s">
        <v>1709</v>
      </c>
    </row>
    <row r="1324" spans="1:9" x14ac:dyDescent="0.15">
      <c r="A1324" s="15" t="s">
        <v>6403</v>
      </c>
      <c r="B1324" s="15"/>
      <c r="C1324" s="15" t="s">
        <v>40</v>
      </c>
      <c r="D1324" s="15" t="s">
        <v>41</v>
      </c>
      <c r="E1324" s="15" t="s">
        <v>6404</v>
      </c>
      <c r="F1324" s="15" t="s">
        <v>6405</v>
      </c>
      <c r="G1324" s="15" t="s">
        <v>1834</v>
      </c>
      <c r="H1324" s="15" t="s">
        <v>6406</v>
      </c>
      <c r="I1324" s="15" t="s">
        <v>1709</v>
      </c>
    </row>
    <row r="1325" spans="1:9" x14ac:dyDescent="0.15">
      <c r="A1325" s="15" t="s">
        <v>6407</v>
      </c>
      <c r="B1325" s="15"/>
      <c r="C1325" s="15" t="s">
        <v>40</v>
      </c>
      <c r="D1325" s="15" t="s">
        <v>41</v>
      </c>
      <c r="E1325" s="15" t="s">
        <v>6408</v>
      </c>
      <c r="F1325" s="15" t="s">
        <v>6410</v>
      </c>
      <c r="G1325" s="15" t="s">
        <v>6409</v>
      </c>
      <c r="H1325" s="15" t="s">
        <v>6411</v>
      </c>
      <c r="I1325" s="15" t="s">
        <v>1709</v>
      </c>
    </row>
    <row r="1326" spans="1:9" x14ac:dyDescent="0.15">
      <c r="A1326" s="15" t="s">
        <v>6412</v>
      </c>
      <c r="B1326" s="15"/>
      <c r="C1326" s="15" t="s">
        <v>40</v>
      </c>
      <c r="D1326" s="15" t="s">
        <v>41</v>
      </c>
      <c r="E1326" s="15" t="s">
        <v>6413</v>
      </c>
      <c r="F1326" s="15" t="s">
        <v>6415</v>
      </c>
      <c r="G1326" s="15" t="s">
        <v>6414</v>
      </c>
      <c r="H1326" s="15" t="s">
        <v>6416</v>
      </c>
      <c r="I1326" s="15" t="s">
        <v>1709</v>
      </c>
    </row>
    <row r="1327" spans="1:9" x14ac:dyDescent="0.15">
      <c r="A1327" s="15" t="s">
        <v>6417</v>
      </c>
      <c r="B1327" s="15"/>
      <c r="C1327" s="15" t="s">
        <v>40</v>
      </c>
      <c r="D1327" s="15" t="s">
        <v>41</v>
      </c>
      <c r="E1327" s="15" t="s">
        <v>6418</v>
      </c>
      <c r="F1327" s="15" t="s">
        <v>6420</v>
      </c>
      <c r="G1327" s="15" t="s">
        <v>6419</v>
      </c>
      <c r="H1327" s="15" t="s">
        <v>6421</v>
      </c>
      <c r="I1327" s="15" t="s">
        <v>1709</v>
      </c>
    </row>
    <row r="1328" spans="1:9" x14ac:dyDescent="0.15">
      <c r="A1328" s="15" t="s">
        <v>6422</v>
      </c>
      <c r="B1328" s="15"/>
      <c r="C1328" s="15" t="s">
        <v>40</v>
      </c>
      <c r="D1328" s="15" t="s">
        <v>41</v>
      </c>
      <c r="E1328" s="15" t="s">
        <v>6423</v>
      </c>
      <c r="F1328" s="15" t="s">
        <v>6425</v>
      </c>
      <c r="G1328" s="15" t="s">
        <v>6424</v>
      </c>
      <c r="H1328" s="15" t="s">
        <v>6426</v>
      </c>
      <c r="I1328" s="15" t="s">
        <v>1709</v>
      </c>
    </row>
    <row r="1329" spans="1:9" x14ac:dyDescent="0.15">
      <c r="A1329" s="15" t="s">
        <v>6427</v>
      </c>
      <c r="B1329" s="15"/>
      <c r="C1329" s="15" t="s">
        <v>40</v>
      </c>
      <c r="D1329" s="15" t="s">
        <v>41</v>
      </c>
      <c r="E1329" s="15" t="s">
        <v>6428</v>
      </c>
      <c r="F1329" s="15" t="s">
        <v>6430</v>
      </c>
      <c r="G1329" s="15" t="s">
        <v>6429</v>
      </c>
      <c r="H1329" s="15" t="s">
        <v>6431</v>
      </c>
      <c r="I1329" s="15" t="s">
        <v>1709</v>
      </c>
    </row>
    <row r="1330" spans="1:9" x14ac:dyDescent="0.15">
      <c r="A1330" s="15" t="s">
        <v>6432</v>
      </c>
      <c r="B1330" s="15"/>
      <c r="C1330" s="15" t="s">
        <v>40</v>
      </c>
      <c r="D1330" s="15" t="s">
        <v>41</v>
      </c>
      <c r="E1330" s="15" t="s">
        <v>6433</v>
      </c>
      <c r="F1330" s="15" t="s">
        <v>6435</v>
      </c>
      <c r="G1330" s="15" t="s">
        <v>6434</v>
      </c>
      <c r="H1330" s="15" t="s">
        <v>6436</v>
      </c>
      <c r="I1330" s="15" t="s">
        <v>1709</v>
      </c>
    </row>
    <row r="1331" spans="1:9" x14ac:dyDescent="0.15">
      <c r="A1331" s="15" t="s">
        <v>6437</v>
      </c>
      <c r="B1331" s="15"/>
      <c r="C1331" s="15" t="s">
        <v>40</v>
      </c>
      <c r="D1331" s="15" t="s">
        <v>41</v>
      </c>
      <c r="E1331" s="15" t="s">
        <v>6438</v>
      </c>
      <c r="F1331" s="15" t="s">
        <v>6440</v>
      </c>
      <c r="G1331" s="15" t="s">
        <v>6439</v>
      </c>
      <c r="H1331" s="15" t="s">
        <v>6441</v>
      </c>
      <c r="I1331" s="15" t="s">
        <v>1709</v>
      </c>
    </row>
    <row r="1332" spans="1:9" x14ac:dyDescent="0.15">
      <c r="A1332" s="15" t="s">
        <v>6442</v>
      </c>
      <c r="B1332" s="15"/>
      <c r="C1332" s="15" t="s">
        <v>40</v>
      </c>
      <c r="D1332" s="15" t="s">
        <v>41</v>
      </c>
      <c r="E1332" s="15" t="s">
        <v>6443</v>
      </c>
      <c r="F1332" s="15" t="s">
        <v>6444</v>
      </c>
      <c r="G1332" s="15" t="s">
        <v>3173</v>
      </c>
      <c r="H1332" s="15" t="s">
        <v>6445</v>
      </c>
      <c r="I1332" s="15" t="s">
        <v>1709</v>
      </c>
    </row>
    <row r="1333" spans="1:9" x14ac:dyDescent="0.15">
      <c r="A1333" s="15" t="s">
        <v>6446</v>
      </c>
      <c r="B1333" s="15"/>
      <c r="C1333" s="15" t="s">
        <v>40</v>
      </c>
      <c r="D1333" s="15" t="s">
        <v>41</v>
      </c>
      <c r="E1333" s="15" t="s">
        <v>6447</v>
      </c>
      <c r="F1333" s="15" t="s">
        <v>6449</v>
      </c>
      <c r="G1333" s="15" t="s">
        <v>6448</v>
      </c>
      <c r="H1333" s="15" t="s">
        <v>6450</v>
      </c>
      <c r="I1333" s="15" t="s">
        <v>1709</v>
      </c>
    </row>
    <row r="1334" spans="1:9" x14ac:dyDescent="0.15">
      <c r="A1334" s="15" t="s">
        <v>6451</v>
      </c>
      <c r="B1334" s="15"/>
      <c r="C1334" s="15" t="s">
        <v>40</v>
      </c>
      <c r="D1334" s="15" t="s">
        <v>41</v>
      </c>
      <c r="E1334" s="15" t="s">
        <v>6452</v>
      </c>
      <c r="F1334" s="15" t="s">
        <v>6454</v>
      </c>
      <c r="G1334" s="15" t="s">
        <v>6453</v>
      </c>
      <c r="H1334" s="15" t="s">
        <v>6455</v>
      </c>
      <c r="I1334" s="15" t="s">
        <v>1709</v>
      </c>
    </row>
    <row r="1335" spans="1:9" x14ac:dyDescent="0.15">
      <c r="A1335" s="15" t="s">
        <v>6456</v>
      </c>
      <c r="B1335" s="15"/>
      <c r="C1335" s="15" t="s">
        <v>40</v>
      </c>
      <c r="D1335" s="15" t="s">
        <v>41</v>
      </c>
      <c r="E1335" s="15" t="s">
        <v>6457</v>
      </c>
      <c r="F1335" s="15" t="s">
        <v>6459</v>
      </c>
      <c r="G1335" s="15" t="s">
        <v>6458</v>
      </c>
      <c r="H1335" s="15" t="s">
        <v>6460</v>
      </c>
      <c r="I1335" s="15" t="s">
        <v>1709</v>
      </c>
    </row>
    <row r="1336" spans="1:9" x14ac:dyDescent="0.15">
      <c r="A1336" s="15" t="s">
        <v>6461</v>
      </c>
      <c r="B1336" s="15"/>
      <c r="C1336" s="15" t="s">
        <v>40</v>
      </c>
      <c r="D1336" s="15" t="s">
        <v>41</v>
      </c>
      <c r="E1336" s="15" t="s">
        <v>6462</v>
      </c>
      <c r="F1336" s="15" t="s">
        <v>6464</v>
      </c>
      <c r="G1336" s="15" t="s">
        <v>6463</v>
      </c>
      <c r="H1336" s="15" t="s">
        <v>6465</v>
      </c>
      <c r="I1336" s="15" t="s">
        <v>1709</v>
      </c>
    </row>
    <row r="1337" spans="1:9" x14ac:dyDescent="0.15">
      <c r="A1337" s="15" t="s">
        <v>6466</v>
      </c>
      <c r="B1337" s="15"/>
      <c r="C1337" s="15" t="s">
        <v>40</v>
      </c>
      <c r="D1337" s="15" t="s">
        <v>41</v>
      </c>
      <c r="E1337" s="15" t="s">
        <v>6467</v>
      </c>
      <c r="F1337" s="15" t="s">
        <v>6469</v>
      </c>
      <c r="G1337" s="15" t="s">
        <v>6468</v>
      </c>
      <c r="H1337" s="15" t="s">
        <v>6470</v>
      </c>
      <c r="I1337" s="15" t="s">
        <v>1709</v>
      </c>
    </row>
    <row r="1338" spans="1:9" x14ac:dyDescent="0.15">
      <c r="A1338" s="15" t="s">
        <v>6471</v>
      </c>
      <c r="B1338" s="15"/>
      <c r="C1338" s="15" t="s">
        <v>40</v>
      </c>
      <c r="D1338" s="15" t="s">
        <v>41</v>
      </c>
      <c r="E1338" s="15" t="s">
        <v>6472</v>
      </c>
      <c r="F1338" s="15" t="s">
        <v>6474</v>
      </c>
      <c r="G1338" s="15" t="s">
        <v>6473</v>
      </c>
      <c r="H1338" s="15" t="s">
        <v>6475</v>
      </c>
      <c r="I1338" s="15" t="s">
        <v>1709</v>
      </c>
    </row>
    <row r="1339" spans="1:9" x14ac:dyDescent="0.15">
      <c r="A1339" s="15" t="s">
        <v>6476</v>
      </c>
      <c r="B1339" s="15"/>
      <c r="C1339" s="15" t="s">
        <v>40</v>
      </c>
      <c r="D1339" s="15" t="s">
        <v>41</v>
      </c>
      <c r="E1339" s="15" t="s">
        <v>6477</v>
      </c>
      <c r="F1339" s="15" t="s">
        <v>6479</v>
      </c>
      <c r="G1339" s="15" t="s">
        <v>6478</v>
      </c>
      <c r="H1339" s="15" t="s">
        <v>6480</v>
      </c>
      <c r="I1339" s="15" t="s">
        <v>1709</v>
      </c>
    </row>
    <row r="1340" spans="1:9" x14ac:dyDescent="0.15">
      <c r="A1340" s="15" t="s">
        <v>6481</v>
      </c>
      <c r="B1340" s="15"/>
      <c r="C1340" s="15" t="s">
        <v>40</v>
      </c>
      <c r="D1340" s="15" t="s">
        <v>41</v>
      </c>
      <c r="E1340" s="15" t="s">
        <v>6482</v>
      </c>
      <c r="F1340" s="15" t="s">
        <v>6484</v>
      </c>
      <c r="G1340" s="15" t="s">
        <v>6483</v>
      </c>
      <c r="H1340" s="15" t="s">
        <v>6485</v>
      </c>
      <c r="I1340" s="15" t="s">
        <v>1709</v>
      </c>
    </row>
    <row r="1341" spans="1:9" x14ac:dyDescent="0.15">
      <c r="A1341" s="15" t="s">
        <v>6486</v>
      </c>
      <c r="B1341" s="15"/>
      <c r="C1341" s="15" t="s">
        <v>40</v>
      </c>
      <c r="D1341" s="15" t="s">
        <v>41</v>
      </c>
      <c r="E1341" s="15" t="s">
        <v>6487</v>
      </c>
      <c r="F1341" s="15" t="s">
        <v>6489</v>
      </c>
      <c r="G1341" s="15" t="s">
        <v>6488</v>
      </c>
      <c r="H1341" s="15" t="s">
        <v>6490</v>
      </c>
      <c r="I1341" s="15" t="s">
        <v>1709</v>
      </c>
    </row>
    <row r="1342" spans="1:9" x14ac:dyDescent="0.15">
      <c r="A1342" s="15" t="s">
        <v>6491</v>
      </c>
      <c r="B1342" s="15"/>
      <c r="C1342" s="15" t="s">
        <v>40</v>
      </c>
      <c r="D1342" s="15" t="s">
        <v>41</v>
      </c>
      <c r="E1342" s="15" t="s">
        <v>6492</v>
      </c>
      <c r="F1342" s="15" t="s">
        <v>6494</v>
      </c>
      <c r="G1342" s="15" t="s">
        <v>6493</v>
      </c>
      <c r="H1342" s="15" t="s">
        <v>6495</v>
      </c>
      <c r="I1342" s="15" t="s">
        <v>1709</v>
      </c>
    </row>
    <row r="1343" spans="1:9" x14ac:dyDescent="0.15">
      <c r="A1343" s="15" t="s">
        <v>6496</v>
      </c>
      <c r="B1343" s="15"/>
      <c r="C1343" s="15" t="s">
        <v>40</v>
      </c>
      <c r="D1343" s="15" t="s">
        <v>41</v>
      </c>
      <c r="E1343" s="15" t="s">
        <v>6497</v>
      </c>
      <c r="F1343" s="15" t="s">
        <v>6499</v>
      </c>
      <c r="G1343" s="15" t="s">
        <v>6498</v>
      </c>
      <c r="H1343" s="15" t="s">
        <v>6500</v>
      </c>
      <c r="I1343" s="15" t="s">
        <v>1709</v>
      </c>
    </row>
    <row r="1344" spans="1:9" x14ac:dyDescent="0.15">
      <c r="A1344" s="15" t="s">
        <v>6501</v>
      </c>
      <c r="B1344" s="15"/>
      <c r="C1344" s="15" t="s">
        <v>40</v>
      </c>
      <c r="D1344" s="15" t="s">
        <v>41</v>
      </c>
      <c r="E1344" s="15" t="s">
        <v>6502</v>
      </c>
      <c r="F1344" s="15" t="s">
        <v>6504</v>
      </c>
      <c r="G1344" s="15" t="s">
        <v>6503</v>
      </c>
      <c r="H1344" s="15" t="s">
        <v>6505</v>
      </c>
      <c r="I1344" s="15" t="s">
        <v>1709</v>
      </c>
    </row>
    <row r="1345" spans="1:9" x14ac:dyDescent="0.15">
      <c r="A1345" s="15" t="s">
        <v>6506</v>
      </c>
      <c r="B1345" s="15"/>
      <c r="C1345" s="15" t="s">
        <v>40</v>
      </c>
      <c r="D1345" s="15" t="s">
        <v>41</v>
      </c>
      <c r="E1345" s="15" t="s">
        <v>6507</v>
      </c>
      <c r="F1345" s="15" t="s">
        <v>6508</v>
      </c>
      <c r="G1345" s="15" t="s">
        <v>1879</v>
      </c>
      <c r="H1345" s="15" t="s">
        <v>6509</v>
      </c>
      <c r="I1345" s="15" t="s">
        <v>1709</v>
      </c>
    </row>
    <row r="1346" spans="1:9" x14ac:dyDescent="0.15">
      <c r="A1346" s="15" t="s">
        <v>6510</v>
      </c>
      <c r="B1346" s="15"/>
      <c r="C1346" s="15" t="s">
        <v>40</v>
      </c>
      <c r="D1346" s="15" t="s">
        <v>41</v>
      </c>
      <c r="E1346" s="15" t="s">
        <v>6511</v>
      </c>
      <c r="F1346" s="15" t="s">
        <v>6513</v>
      </c>
      <c r="G1346" s="15" t="s">
        <v>6512</v>
      </c>
      <c r="H1346" s="15" t="s">
        <v>6514</v>
      </c>
      <c r="I1346" s="15" t="s">
        <v>1709</v>
      </c>
    </row>
    <row r="1347" spans="1:9" x14ac:dyDescent="0.15">
      <c r="A1347" s="15" t="s">
        <v>6515</v>
      </c>
      <c r="B1347" s="15"/>
      <c r="C1347" s="15" t="s">
        <v>40</v>
      </c>
      <c r="D1347" s="15" t="s">
        <v>41</v>
      </c>
      <c r="E1347" s="15" t="s">
        <v>6516</v>
      </c>
      <c r="F1347" s="15" t="s">
        <v>6517</v>
      </c>
      <c r="G1347" s="15" t="s">
        <v>1943</v>
      </c>
      <c r="H1347" s="15" t="s">
        <v>6518</v>
      </c>
      <c r="I1347" s="15" t="s">
        <v>1709</v>
      </c>
    </row>
    <row r="1348" spans="1:9" x14ac:dyDescent="0.15">
      <c r="A1348" s="15" t="s">
        <v>6519</v>
      </c>
      <c r="B1348" s="15"/>
      <c r="C1348" s="15" t="s">
        <v>40</v>
      </c>
      <c r="D1348" s="15" t="s">
        <v>41</v>
      </c>
      <c r="E1348" s="15" t="s">
        <v>6520</v>
      </c>
      <c r="F1348" s="15" t="s">
        <v>6521</v>
      </c>
      <c r="G1348" s="15" t="s">
        <v>4185</v>
      </c>
      <c r="H1348" s="15" t="s">
        <v>6522</v>
      </c>
      <c r="I1348" s="15" t="s">
        <v>1709</v>
      </c>
    </row>
    <row r="1349" spans="1:9" x14ac:dyDescent="0.15">
      <c r="A1349" s="15" t="s">
        <v>6523</v>
      </c>
      <c r="B1349" s="15"/>
      <c r="C1349" s="15" t="s">
        <v>40</v>
      </c>
      <c r="D1349" s="15" t="s">
        <v>41</v>
      </c>
      <c r="E1349" s="15" t="s">
        <v>6524</v>
      </c>
      <c r="F1349" s="15" t="s">
        <v>6526</v>
      </c>
      <c r="G1349" s="15" t="s">
        <v>6525</v>
      </c>
      <c r="H1349" s="15" t="s">
        <v>6527</v>
      </c>
      <c r="I1349" s="15" t="s">
        <v>1709</v>
      </c>
    </row>
    <row r="1350" spans="1:9" x14ac:dyDescent="0.15">
      <c r="A1350" s="15" t="s">
        <v>6528</v>
      </c>
      <c r="B1350" s="15"/>
      <c r="C1350" s="15" t="s">
        <v>40</v>
      </c>
      <c r="D1350" s="15" t="s">
        <v>41</v>
      </c>
      <c r="E1350" s="15" t="s">
        <v>6529</v>
      </c>
      <c r="F1350" s="15" t="s">
        <v>6531</v>
      </c>
      <c r="G1350" s="15" t="s">
        <v>6530</v>
      </c>
      <c r="H1350" s="15" t="s">
        <v>6532</v>
      </c>
      <c r="I1350" s="15" t="s">
        <v>1709</v>
      </c>
    </row>
    <row r="1351" spans="1:9" x14ac:dyDescent="0.15">
      <c r="A1351" s="15" t="s">
        <v>6533</v>
      </c>
      <c r="B1351" s="15"/>
      <c r="C1351" s="15" t="s">
        <v>40</v>
      </c>
      <c r="D1351" s="15" t="s">
        <v>41</v>
      </c>
      <c r="E1351" s="15" t="s">
        <v>6534</v>
      </c>
      <c r="F1351" s="15" t="s">
        <v>6536</v>
      </c>
      <c r="G1351" s="15" t="s">
        <v>6535</v>
      </c>
      <c r="H1351" s="15" t="s">
        <v>6537</v>
      </c>
      <c r="I1351" s="15" t="s">
        <v>1709</v>
      </c>
    </row>
    <row r="1352" spans="1:9" x14ac:dyDescent="0.15">
      <c r="A1352" s="15" t="s">
        <v>6538</v>
      </c>
      <c r="B1352" s="15"/>
      <c r="C1352" s="15" t="s">
        <v>40</v>
      </c>
      <c r="D1352" s="15" t="s">
        <v>41</v>
      </c>
      <c r="E1352" s="15" t="s">
        <v>6539</v>
      </c>
      <c r="F1352" s="15" t="s">
        <v>6540</v>
      </c>
      <c r="G1352" s="15" t="s">
        <v>3257</v>
      </c>
      <c r="H1352" s="15" t="s">
        <v>6541</v>
      </c>
      <c r="I1352" s="15" t="s">
        <v>1709</v>
      </c>
    </row>
    <row r="1353" spans="1:9" x14ac:dyDescent="0.15">
      <c r="A1353" s="15" t="s">
        <v>6542</v>
      </c>
      <c r="B1353" s="15"/>
      <c r="C1353" s="15" t="s">
        <v>40</v>
      </c>
      <c r="D1353" s="15" t="s">
        <v>41</v>
      </c>
      <c r="E1353" s="15" t="s">
        <v>6543</v>
      </c>
      <c r="F1353" s="15" t="s">
        <v>6545</v>
      </c>
      <c r="G1353" s="15" t="s">
        <v>6544</v>
      </c>
      <c r="H1353" s="15" t="s">
        <v>6546</v>
      </c>
      <c r="I1353" s="15" t="s">
        <v>1709</v>
      </c>
    </row>
    <row r="1354" spans="1:9" x14ac:dyDescent="0.15">
      <c r="A1354" s="15" t="s">
        <v>6547</v>
      </c>
      <c r="B1354" s="15"/>
      <c r="C1354" s="15" t="s">
        <v>40</v>
      </c>
      <c r="D1354" s="15" t="s">
        <v>41</v>
      </c>
      <c r="E1354" s="15" t="s">
        <v>6548</v>
      </c>
      <c r="F1354" s="15" t="s">
        <v>6550</v>
      </c>
      <c r="G1354" s="15" t="s">
        <v>6549</v>
      </c>
      <c r="H1354" s="15" t="s">
        <v>6551</v>
      </c>
      <c r="I1354" s="15" t="s">
        <v>346</v>
      </c>
    </row>
    <row r="1355" spans="1:9" x14ac:dyDescent="0.15">
      <c r="A1355" s="15" t="s">
        <v>6552</v>
      </c>
      <c r="B1355" s="15"/>
      <c r="C1355" s="15" t="s">
        <v>40</v>
      </c>
      <c r="D1355" s="15" t="s">
        <v>41</v>
      </c>
      <c r="E1355" s="15" t="s">
        <v>6553</v>
      </c>
      <c r="F1355" s="15" t="s">
        <v>6554</v>
      </c>
      <c r="G1355" s="15" t="s">
        <v>2850</v>
      </c>
      <c r="H1355" s="15" t="s">
        <v>6555</v>
      </c>
      <c r="I1355" s="15" t="s">
        <v>346</v>
      </c>
    </row>
    <row r="1356" spans="1:9" x14ac:dyDescent="0.15">
      <c r="A1356" s="15" t="s">
        <v>6556</v>
      </c>
      <c r="B1356" s="15"/>
      <c r="C1356" s="15" t="s">
        <v>40</v>
      </c>
      <c r="D1356" s="15" t="s">
        <v>41</v>
      </c>
      <c r="E1356" s="15" t="s">
        <v>6557</v>
      </c>
      <c r="F1356" s="15" t="s">
        <v>6559</v>
      </c>
      <c r="G1356" s="15" t="s">
        <v>6558</v>
      </c>
      <c r="H1356" s="15" t="s">
        <v>6560</v>
      </c>
      <c r="I1356" s="15" t="s">
        <v>346</v>
      </c>
    </row>
    <row r="1357" spans="1:9" x14ac:dyDescent="0.15">
      <c r="A1357" s="15" t="s">
        <v>6561</v>
      </c>
      <c r="B1357" s="15"/>
      <c r="C1357" s="15" t="s">
        <v>40</v>
      </c>
      <c r="D1357" s="15" t="s">
        <v>41</v>
      </c>
      <c r="E1357" s="15" t="s">
        <v>6562</v>
      </c>
      <c r="F1357" s="15" t="s">
        <v>6564</v>
      </c>
      <c r="G1357" s="15" t="s">
        <v>6563</v>
      </c>
      <c r="H1357" s="15" t="s">
        <v>6565</v>
      </c>
      <c r="I1357" s="15" t="s">
        <v>346</v>
      </c>
    </row>
    <row r="1358" spans="1:9" x14ac:dyDescent="0.15">
      <c r="A1358" s="15" t="s">
        <v>6566</v>
      </c>
      <c r="B1358" s="15"/>
      <c r="C1358" s="15" t="s">
        <v>40</v>
      </c>
      <c r="D1358" s="15" t="s">
        <v>41</v>
      </c>
      <c r="E1358" s="15" t="s">
        <v>6567</v>
      </c>
      <c r="F1358" s="15" t="s">
        <v>6569</v>
      </c>
      <c r="G1358" s="15" t="s">
        <v>6568</v>
      </c>
      <c r="H1358" s="15" t="s">
        <v>6570</v>
      </c>
      <c r="I1358" s="15" t="s">
        <v>346</v>
      </c>
    </row>
    <row r="1359" spans="1:9" x14ac:dyDescent="0.15">
      <c r="A1359" s="15" t="s">
        <v>6571</v>
      </c>
      <c r="B1359" s="15"/>
      <c r="C1359" s="15" t="s">
        <v>40</v>
      </c>
      <c r="D1359" s="15" t="s">
        <v>41</v>
      </c>
      <c r="E1359" s="15" t="s">
        <v>6572</v>
      </c>
      <c r="F1359" s="15" t="s">
        <v>6574</v>
      </c>
      <c r="G1359" s="15" t="s">
        <v>6573</v>
      </c>
      <c r="H1359" s="15" t="s">
        <v>6575</v>
      </c>
      <c r="I1359" s="15" t="s">
        <v>346</v>
      </c>
    </row>
    <row r="1360" spans="1:9" x14ac:dyDescent="0.15">
      <c r="A1360" s="15" t="s">
        <v>6576</v>
      </c>
      <c r="B1360" s="15"/>
      <c r="C1360" s="15" t="s">
        <v>40</v>
      </c>
      <c r="D1360" s="15" t="s">
        <v>41</v>
      </c>
      <c r="E1360" s="15" t="s">
        <v>6577</v>
      </c>
      <c r="F1360" s="15" t="s">
        <v>6579</v>
      </c>
      <c r="G1360" s="15" t="s">
        <v>6578</v>
      </c>
      <c r="H1360" s="15" t="s">
        <v>6580</v>
      </c>
      <c r="I1360" s="15" t="s">
        <v>346</v>
      </c>
    </row>
    <row r="1361" spans="1:9" x14ac:dyDescent="0.15">
      <c r="A1361" s="15" t="s">
        <v>6581</v>
      </c>
      <c r="B1361" s="15"/>
      <c r="C1361" s="15" t="s">
        <v>40</v>
      </c>
      <c r="D1361" s="15" t="s">
        <v>41</v>
      </c>
      <c r="E1361" s="15" t="s">
        <v>6582</v>
      </c>
      <c r="F1361" s="15" t="s">
        <v>52</v>
      </c>
      <c r="G1361" s="15" t="s">
        <v>6583</v>
      </c>
      <c r="H1361" s="15" t="s">
        <v>6584</v>
      </c>
      <c r="I1361" s="15" t="s">
        <v>346</v>
      </c>
    </row>
    <row r="1362" spans="1:9" x14ac:dyDescent="0.15">
      <c r="A1362" s="15" t="s">
        <v>6585</v>
      </c>
      <c r="B1362" s="15"/>
      <c r="C1362" s="15" t="s">
        <v>40</v>
      </c>
      <c r="D1362" s="15" t="s">
        <v>41</v>
      </c>
      <c r="E1362" s="15" t="s">
        <v>6586</v>
      </c>
      <c r="F1362" s="15" t="s">
        <v>6588</v>
      </c>
      <c r="G1362" s="15" t="s">
        <v>6587</v>
      </c>
      <c r="H1362" s="15" t="s">
        <v>6589</v>
      </c>
      <c r="I1362" s="15" t="s">
        <v>2074</v>
      </c>
    </row>
    <row r="1363" spans="1:9" x14ac:dyDescent="0.15">
      <c r="A1363" s="15" t="s">
        <v>6590</v>
      </c>
      <c r="B1363" s="15"/>
      <c r="C1363" s="15" t="s">
        <v>40</v>
      </c>
      <c r="D1363" s="15" t="s">
        <v>41</v>
      </c>
      <c r="E1363" s="15" t="s">
        <v>6591</v>
      </c>
      <c r="F1363" s="15" t="s">
        <v>6592</v>
      </c>
      <c r="G1363" s="15" t="s">
        <v>2112</v>
      </c>
      <c r="H1363" s="15" t="s">
        <v>6593</v>
      </c>
      <c r="I1363" s="15" t="s">
        <v>2074</v>
      </c>
    </row>
    <row r="1364" spans="1:9" x14ac:dyDescent="0.15">
      <c r="A1364" s="15" t="s">
        <v>6594</v>
      </c>
      <c r="B1364" s="15"/>
      <c r="C1364" s="15" t="s">
        <v>40</v>
      </c>
      <c r="D1364" s="15" t="s">
        <v>41</v>
      </c>
      <c r="E1364" s="15" t="s">
        <v>6595</v>
      </c>
      <c r="F1364" s="15" t="s">
        <v>6597</v>
      </c>
      <c r="G1364" s="15" t="s">
        <v>6596</v>
      </c>
      <c r="H1364" s="15" t="s">
        <v>6598</v>
      </c>
      <c r="I1364" s="15" t="s">
        <v>2074</v>
      </c>
    </row>
    <row r="1365" spans="1:9" x14ac:dyDescent="0.15">
      <c r="A1365" s="15" t="s">
        <v>6599</v>
      </c>
      <c r="B1365" s="15"/>
      <c r="C1365" s="15" t="s">
        <v>40</v>
      </c>
      <c r="D1365" s="15" t="s">
        <v>41</v>
      </c>
      <c r="E1365" s="15" t="s">
        <v>6600</v>
      </c>
      <c r="F1365" s="15" t="s">
        <v>6602</v>
      </c>
      <c r="G1365" s="15" t="s">
        <v>6601</v>
      </c>
      <c r="H1365" s="15" t="s">
        <v>6603</v>
      </c>
      <c r="I1365" s="15" t="s">
        <v>2074</v>
      </c>
    </row>
    <row r="1366" spans="1:9" x14ac:dyDescent="0.15">
      <c r="A1366" s="15" t="s">
        <v>6604</v>
      </c>
      <c r="B1366" s="15"/>
      <c r="C1366" s="15" t="s">
        <v>40</v>
      </c>
      <c r="D1366" s="15" t="s">
        <v>41</v>
      </c>
      <c r="E1366" s="15" t="s">
        <v>6605</v>
      </c>
      <c r="F1366" s="15" t="s">
        <v>6607</v>
      </c>
      <c r="G1366" s="15" t="s">
        <v>6606</v>
      </c>
      <c r="H1366" s="15" t="s">
        <v>6608</v>
      </c>
      <c r="I1366" s="15" t="s">
        <v>2074</v>
      </c>
    </row>
    <row r="1367" spans="1:9" x14ac:dyDescent="0.15">
      <c r="A1367" s="15" t="s">
        <v>6609</v>
      </c>
      <c r="B1367" s="15"/>
      <c r="C1367" s="15" t="s">
        <v>40</v>
      </c>
      <c r="D1367" s="15" t="s">
        <v>41</v>
      </c>
      <c r="E1367" s="15" t="s">
        <v>6610</v>
      </c>
      <c r="F1367" s="15" t="s">
        <v>6612</v>
      </c>
      <c r="G1367" s="15" t="s">
        <v>6611</v>
      </c>
      <c r="H1367" s="15" t="s">
        <v>6613</v>
      </c>
      <c r="I1367" s="15" t="s">
        <v>6614</v>
      </c>
    </row>
    <row r="1368" spans="1:9" x14ac:dyDescent="0.15">
      <c r="A1368" s="15" t="s">
        <v>6615</v>
      </c>
      <c r="B1368" s="15"/>
      <c r="C1368" s="15" t="s">
        <v>40</v>
      </c>
      <c r="D1368" s="15" t="s">
        <v>41</v>
      </c>
      <c r="E1368" s="15" t="s">
        <v>6616</v>
      </c>
      <c r="F1368" s="15" t="s">
        <v>6618</v>
      </c>
      <c r="G1368" s="15" t="s">
        <v>6617</v>
      </c>
      <c r="H1368" s="15" t="s">
        <v>6619</v>
      </c>
      <c r="I1368" s="15" t="s">
        <v>6614</v>
      </c>
    </row>
    <row r="1369" spans="1:9" x14ac:dyDescent="0.15">
      <c r="A1369" s="15" t="s">
        <v>6620</v>
      </c>
      <c r="B1369" s="15"/>
      <c r="C1369" s="15" t="s">
        <v>40</v>
      </c>
      <c r="D1369" s="15" t="s">
        <v>41</v>
      </c>
      <c r="E1369" s="15" t="s">
        <v>6621</v>
      </c>
      <c r="F1369" s="15" t="s">
        <v>6623</v>
      </c>
      <c r="G1369" s="15" t="s">
        <v>6622</v>
      </c>
      <c r="H1369" s="15" t="s">
        <v>6624</v>
      </c>
      <c r="I1369" s="15" t="s">
        <v>6614</v>
      </c>
    </row>
    <row r="1370" spans="1:9" x14ac:dyDescent="0.15">
      <c r="A1370" s="15" t="s">
        <v>6625</v>
      </c>
      <c r="B1370" s="15"/>
      <c r="C1370" s="15" t="s">
        <v>40</v>
      </c>
      <c r="D1370" s="15" t="s">
        <v>41</v>
      </c>
      <c r="E1370" s="15" t="s">
        <v>6626</v>
      </c>
      <c r="F1370" s="15" t="s">
        <v>6628</v>
      </c>
      <c r="G1370" s="15" t="s">
        <v>6627</v>
      </c>
      <c r="H1370" s="15" t="s">
        <v>6629</v>
      </c>
      <c r="I1370" s="15" t="s">
        <v>6614</v>
      </c>
    </row>
    <row r="1371" spans="1:9" x14ac:dyDescent="0.15">
      <c r="A1371" s="15" t="s">
        <v>6630</v>
      </c>
      <c r="B1371" s="15"/>
      <c r="C1371" s="15" t="s">
        <v>40</v>
      </c>
      <c r="D1371" s="15" t="s">
        <v>41</v>
      </c>
      <c r="E1371" s="15" t="s">
        <v>6631</v>
      </c>
      <c r="F1371" s="15" t="s">
        <v>6633</v>
      </c>
      <c r="G1371" s="15" t="s">
        <v>6632</v>
      </c>
      <c r="H1371" s="15" t="s">
        <v>6634</v>
      </c>
      <c r="I1371" s="15" t="s">
        <v>6614</v>
      </c>
    </row>
    <row r="1372" spans="1:9" x14ac:dyDescent="0.15">
      <c r="A1372" s="15" t="s">
        <v>6635</v>
      </c>
      <c r="B1372" s="15"/>
      <c r="C1372" s="15" t="s">
        <v>40</v>
      </c>
      <c r="D1372" s="15" t="s">
        <v>41</v>
      </c>
      <c r="E1372" s="15" t="s">
        <v>6636</v>
      </c>
      <c r="F1372" s="15" t="s">
        <v>6638</v>
      </c>
      <c r="G1372" s="15" t="s">
        <v>6637</v>
      </c>
      <c r="H1372" s="15" t="s">
        <v>6639</v>
      </c>
      <c r="I1372" s="15" t="s">
        <v>6614</v>
      </c>
    </row>
    <row r="1373" spans="1:9" x14ac:dyDescent="0.15">
      <c r="A1373" s="15" t="s">
        <v>6640</v>
      </c>
      <c r="B1373" s="15"/>
      <c r="C1373" s="15" t="s">
        <v>40</v>
      </c>
      <c r="D1373" s="15" t="s">
        <v>41</v>
      </c>
      <c r="E1373" s="15" t="s">
        <v>6641</v>
      </c>
      <c r="F1373" s="15" t="s">
        <v>6643</v>
      </c>
      <c r="G1373" s="15" t="s">
        <v>6642</v>
      </c>
      <c r="H1373" s="15" t="s">
        <v>6644</v>
      </c>
      <c r="I1373" s="15" t="s">
        <v>6614</v>
      </c>
    </row>
    <row r="1374" spans="1:9" x14ac:dyDescent="0.15">
      <c r="A1374" s="15" t="s">
        <v>6645</v>
      </c>
      <c r="B1374" s="15"/>
      <c r="C1374" s="15" t="s">
        <v>40</v>
      </c>
      <c r="D1374" s="15" t="s">
        <v>41</v>
      </c>
      <c r="E1374" s="15" t="s">
        <v>6646</v>
      </c>
      <c r="F1374" s="15" t="s">
        <v>6648</v>
      </c>
      <c r="G1374" s="15" t="s">
        <v>6647</v>
      </c>
      <c r="H1374" s="15" t="s">
        <v>6649</v>
      </c>
      <c r="I1374" s="15" t="s">
        <v>6614</v>
      </c>
    </row>
    <row r="1375" spans="1:9" x14ac:dyDescent="0.15">
      <c r="A1375" s="15" t="s">
        <v>6650</v>
      </c>
      <c r="B1375" s="15"/>
      <c r="C1375" s="15" t="s">
        <v>40</v>
      </c>
      <c r="D1375" s="15" t="s">
        <v>41</v>
      </c>
      <c r="E1375" s="15" t="s">
        <v>6651</v>
      </c>
      <c r="F1375" s="15" t="s">
        <v>6652</v>
      </c>
      <c r="G1375" s="15" t="s">
        <v>6632</v>
      </c>
      <c r="H1375" s="15" t="s">
        <v>6653</v>
      </c>
      <c r="I1375" s="15" t="s">
        <v>6614</v>
      </c>
    </row>
    <row r="1376" spans="1:9" x14ac:dyDescent="0.15">
      <c r="A1376" s="15" t="s">
        <v>6654</v>
      </c>
      <c r="B1376" s="15"/>
      <c r="C1376" s="15" t="s">
        <v>40</v>
      </c>
      <c r="D1376" s="15" t="s">
        <v>41</v>
      </c>
      <c r="E1376" s="15" t="s">
        <v>6655</v>
      </c>
      <c r="F1376" s="15" t="s">
        <v>6657</v>
      </c>
      <c r="G1376" s="15" t="s">
        <v>6656</v>
      </c>
      <c r="H1376" s="15" t="s">
        <v>6658</v>
      </c>
      <c r="I1376" s="15" t="s">
        <v>6614</v>
      </c>
    </row>
    <row r="1377" spans="1:9" x14ac:dyDescent="0.15">
      <c r="A1377" s="15" t="s">
        <v>6659</v>
      </c>
      <c r="B1377" s="15"/>
      <c r="C1377" s="15" t="s">
        <v>40</v>
      </c>
      <c r="D1377" s="15" t="s">
        <v>41</v>
      </c>
      <c r="E1377" s="15" t="s">
        <v>6660</v>
      </c>
      <c r="F1377" s="15" t="s">
        <v>6662</v>
      </c>
      <c r="G1377" s="15" t="s">
        <v>6661</v>
      </c>
      <c r="H1377" s="15" t="s">
        <v>6663</v>
      </c>
      <c r="I1377" s="15" t="s">
        <v>6614</v>
      </c>
    </row>
    <row r="1378" spans="1:9" x14ac:dyDescent="0.15">
      <c r="A1378" s="15" t="s">
        <v>6664</v>
      </c>
      <c r="B1378" s="15"/>
      <c r="C1378" s="15" t="s">
        <v>40</v>
      </c>
      <c r="D1378" s="15" t="s">
        <v>41</v>
      </c>
      <c r="E1378" s="15" t="s">
        <v>6665</v>
      </c>
      <c r="F1378" s="15" t="s">
        <v>6667</v>
      </c>
      <c r="G1378" s="15" t="s">
        <v>6666</v>
      </c>
      <c r="H1378" s="15" t="s">
        <v>6668</v>
      </c>
      <c r="I1378" s="15" t="s">
        <v>6614</v>
      </c>
    </row>
    <row r="1379" spans="1:9" x14ac:dyDescent="0.15">
      <c r="A1379" s="15" t="s">
        <v>6669</v>
      </c>
      <c r="B1379" s="15"/>
      <c r="C1379" s="15" t="s">
        <v>40</v>
      </c>
      <c r="D1379" s="15" t="s">
        <v>41</v>
      </c>
      <c r="E1379" s="15" t="s">
        <v>6670</v>
      </c>
      <c r="F1379" s="15" t="s">
        <v>6672</v>
      </c>
      <c r="G1379" s="15" t="s">
        <v>6671</v>
      </c>
      <c r="H1379" s="15" t="s">
        <v>6673</v>
      </c>
      <c r="I1379" s="15" t="s">
        <v>6614</v>
      </c>
    </row>
    <row r="1380" spans="1:9" x14ac:dyDescent="0.15">
      <c r="A1380" s="15" t="s">
        <v>6674</v>
      </c>
      <c r="B1380" s="15"/>
      <c r="C1380" s="15" t="s">
        <v>40</v>
      </c>
      <c r="D1380" s="15" t="s">
        <v>41</v>
      </c>
      <c r="E1380" s="15" t="s">
        <v>6675</v>
      </c>
      <c r="F1380" s="15" t="s">
        <v>6677</v>
      </c>
      <c r="G1380" s="15" t="s">
        <v>6676</v>
      </c>
      <c r="H1380" s="15" t="s">
        <v>6678</v>
      </c>
      <c r="I1380" s="15" t="s">
        <v>6614</v>
      </c>
    </row>
    <row r="1381" spans="1:9" x14ac:dyDescent="0.15">
      <c r="A1381" s="15" t="s">
        <v>6679</v>
      </c>
      <c r="B1381" s="15"/>
      <c r="C1381" s="15" t="s">
        <v>40</v>
      </c>
      <c r="D1381" s="15" t="s">
        <v>41</v>
      </c>
      <c r="E1381" s="15" t="s">
        <v>6680</v>
      </c>
      <c r="F1381" s="15" t="s">
        <v>6682</v>
      </c>
      <c r="G1381" s="15" t="s">
        <v>6681</v>
      </c>
      <c r="H1381" s="15" t="s">
        <v>6683</v>
      </c>
      <c r="I1381" s="15" t="s">
        <v>6614</v>
      </c>
    </row>
    <row r="1382" spans="1:9" x14ac:dyDescent="0.15">
      <c r="A1382" s="15" t="s">
        <v>6684</v>
      </c>
      <c r="B1382" s="15"/>
      <c r="C1382" s="15" t="s">
        <v>40</v>
      </c>
      <c r="D1382" s="15" t="s">
        <v>41</v>
      </c>
      <c r="E1382" s="15" t="s">
        <v>6685</v>
      </c>
      <c r="F1382" s="15" t="s">
        <v>6687</v>
      </c>
      <c r="G1382" s="15" t="s">
        <v>6686</v>
      </c>
      <c r="H1382" s="15" t="s">
        <v>6688</v>
      </c>
      <c r="I1382" s="15" t="s">
        <v>6614</v>
      </c>
    </row>
    <row r="1383" spans="1:9" x14ac:dyDescent="0.15">
      <c r="A1383" s="15" t="s">
        <v>6689</v>
      </c>
      <c r="B1383" s="15"/>
      <c r="C1383" s="15" t="s">
        <v>40</v>
      </c>
      <c r="D1383" s="15" t="s">
        <v>41</v>
      </c>
      <c r="E1383" s="15" t="s">
        <v>6690</v>
      </c>
      <c r="F1383" s="15" t="s">
        <v>6691</v>
      </c>
      <c r="G1383" s="15" t="s">
        <v>5317</v>
      </c>
      <c r="H1383" s="15" t="s">
        <v>6692</v>
      </c>
      <c r="I1383" s="15" t="s">
        <v>6614</v>
      </c>
    </row>
    <row r="1384" spans="1:9" x14ac:dyDescent="0.15">
      <c r="A1384" s="15" t="s">
        <v>6693</v>
      </c>
      <c r="B1384" s="15"/>
      <c r="C1384" s="15" t="s">
        <v>40</v>
      </c>
      <c r="D1384" s="15" t="s">
        <v>41</v>
      </c>
      <c r="E1384" s="15" t="s">
        <v>6694</v>
      </c>
      <c r="F1384" s="15" t="s">
        <v>52</v>
      </c>
      <c r="G1384" s="15" t="s">
        <v>6695</v>
      </c>
      <c r="H1384" s="15" t="s">
        <v>6696</v>
      </c>
      <c r="I1384" s="15" t="s">
        <v>6614</v>
      </c>
    </row>
    <row r="1385" spans="1:9" x14ac:dyDescent="0.15">
      <c r="A1385" s="15" t="s">
        <v>6697</v>
      </c>
      <c r="B1385" s="15"/>
      <c r="C1385" s="15" t="s">
        <v>40</v>
      </c>
      <c r="D1385" s="15" t="s">
        <v>41</v>
      </c>
      <c r="E1385" s="15" t="s">
        <v>6698</v>
      </c>
      <c r="F1385" s="15" t="s">
        <v>6699</v>
      </c>
      <c r="G1385" s="15" t="s">
        <v>6647</v>
      </c>
      <c r="H1385" s="15" t="s">
        <v>6700</v>
      </c>
      <c r="I1385" s="15" t="s">
        <v>6614</v>
      </c>
    </row>
    <row r="1386" spans="1:9" x14ac:dyDescent="0.15">
      <c r="A1386" s="15" t="s">
        <v>6701</v>
      </c>
      <c r="B1386" s="15"/>
      <c r="C1386" s="15" t="s">
        <v>40</v>
      </c>
      <c r="D1386" s="15" t="s">
        <v>41</v>
      </c>
      <c r="E1386" s="15" t="s">
        <v>6702</v>
      </c>
      <c r="F1386" s="15" t="s">
        <v>6703</v>
      </c>
      <c r="G1386" s="15" t="s">
        <v>5317</v>
      </c>
      <c r="H1386" s="15" t="s">
        <v>6704</v>
      </c>
      <c r="I1386" s="15" t="s">
        <v>6614</v>
      </c>
    </row>
    <row r="1387" spans="1:9" x14ac:dyDescent="0.15">
      <c r="A1387" s="15" t="s">
        <v>6705</v>
      </c>
      <c r="B1387" s="15"/>
      <c r="C1387" s="15" t="s">
        <v>40</v>
      </c>
      <c r="D1387" s="15" t="s">
        <v>41</v>
      </c>
      <c r="E1387" s="15" t="s">
        <v>6706</v>
      </c>
      <c r="F1387" s="15" t="s">
        <v>6708</v>
      </c>
      <c r="G1387" s="15" t="s">
        <v>6707</v>
      </c>
      <c r="H1387" s="15" t="s">
        <v>6709</v>
      </c>
      <c r="I1387" s="15" t="s">
        <v>6614</v>
      </c>
    </row>
    <row r="1388" spans="1:9" x14ac:dyDescent="0.15">
      <c r="A1388" s="15" t="s">
        <v>6710</v>
      </c>
      <c r="B1388" s="15"/>
      <c r="C1388" s="15" t="s">
        <v>40</v>
      </c>
      <c r="D1388" s="15" t="s">
        <v>41</v>
      </c>
      <c r="E1388" s="15" t="s">
        <v>6711</v>
      </c>
      <c r="F1388" s="15" t="s">
        <v>6712</v>
      </c>
      <c r="G1388" s="15" t="s">
        <v>6666</v>
      </c>
      <c r="H1388" s="15" t="s">
        <v>6713</v>
      </c>
      <c r="I1388" s="15" t="s">
        <v>6614</v>
      </c>
    </row>
    <row r="1389" spans="1:9" x14ac:dyDescent="0.15">
      <c r="A1389" s="15" t="s">
        <v>6714</v>
      </c>
      <c r="B1389" s="15"/>
      <c r="C1389" s="15" t="s">
        <v>40</v>
      </c>
      <c r="D1389" s="15" t="s">
        <v>41</v>
      </c>
      <c r="E1389" s="15" t="s">
        <v>6715</v>
      </c>
      <c r="F1389" s="15" t="s">
        <v>6717</v>
      </c>
      <c r="G1389" s="15" t="s">
        <v>6716</v>
      </c>
      <c r="H1389" s="15" t="s">
        <v>6718</v>
      </c>
      <c r="I1389" s="15" t="s">
        <v>6614</v>
      </c>
    </row>
    <row r="1390" spans="1:9" x14ac:dyDescent="0.15">
      <c r="A1390" s="15" t="s">
        <v>6719</v>
      </c>
      <c r="B1390" s="15"/>
      <c r="C1390" s="15" t="s">
        <v>40</v>
      </c>
      <c r="D1390" s="15" t="s">
        <v>41</v>
      </c>
      <c r="E1390" s="15" t="s">
        <v>6720</v>
      </c>
      <c r="F1390" s="15" t="s">
        <v>6721</v>
      </c>
      <c r="G1390" s="15" t="s">
        <v>6622</v>
      </c>
      <c r="H1390" s="15" t="s">
        <v>6722</v>
      </c>
      <c r="I1390" s="15" t="s">
        <v>6614</v>
      </c>
    </row>
    <row r="1391" spans="1:9" x14ac:dyDescent="0.15">
      <c r="A1391" s="15" t="s">
        <v>6723</v>
      </c>
      <c r="B1391" s="15"/>
      <c r="C1391" s="15" t="s">
        <v>40</v>
      </c>
      <c r="D1391" s="15" t="s">
        <v>41</v>
      </c>
      <c r="E1391" s="15" t="s">
        <v>6724</v>
      </c>
      <c r="F1391" s="15" t="s">
        <v>6726</v>
      </c>
      <c r="G1391" s="15" t="s">
        <v>6725</v>
      </c>
      <c r="H1391" s="15" t="s">
        <v>6727</v>
      </c>
      <c r="I1391" s="15" t="s">
        <v>6614</v>
      </c>
    </row>
    <row r="1392" spans="1:9" x14ac:dyDescent="0.15">
      <c r="A1392" s="15" t="s">
        <v>6728</v>
      </c>
      <c r="B1392" s="15"/>
      <c r="C1392" s="15" t="s">
        <v>40</v>
      </c>
      <c r="D1392" s="15" t="s">
        <v>41</v>
      </c>
      <c r="E1392" s="15" t="s">
        <v>6729</v>
      </c>
      <c r="F1392" s="15" t="s">
        <v>6731</v>
      </c>
      <c r="G1392" s="15" t="s">
        <v>6730</v>
      </c>
      <c r="H1392" s="15" t="s">
        <v>6732</v>
      </c>
      <c r="I1392" s="15" t="s">
        <v>1709</v>
      </c>
    </row>
    <row r="1393" spans="1:9" x14ac:dyDescent="0.15">
      <c r="A1393" s="15" t="s">
        <v>6733</v>
      </c>
      <c r="B1393" s="15"/>
      <c r="C1393" s="15" t="s">
        <v>40</v>
      </c>
      <c r="D1393" s="15" t="s">
        <v>41</v>
      </c>
      <c r="E1393" s="15" t="s">
        <v>6734</v>
      </c>
      <c r="F1393" s="15" t="s">
        <v>6736</v>
      </c>
      <c r="G1393" s="15" t="s">
        <v>6735</v>
      </c>
      <c r="H1393" s="15" t="s">
        <v>6737</v>
      </c>
      <c r="I1393" s="15" t="s">
        <v>1709</v>
      </c>
    </row>
    <row r="1394" spans="1:9" x14ac:dyDescent="0.15">
      <c r="A1394" s="15" t="s">
        <v>6738</v>
      </c>
      <c r="B1394" s="15"/>
      <c r="C1394" s="15" t="s">
        <v>40</v>
      </c>
      <c r="D1394" s="15" t="s">
        <v>41</v>
      </c>
      <c r="E1394" s="15" t="s">
        <v>6739</v>
      </c>
      <c r="F1394" s="15" t="s">
        <v>6741</v>
      </c>
      <c r="G1394" s="15" t="s">
        <v>6740</v>
      </c>
      <c r="H1394" s="15" t="s">
        <v>6742</v>
      </c>
      <c r="I1394" s="15" t="s">
        <v>1709</v>
      </c>
    </row>
    <row r="1395" spans="1:9" x14ac:dyDescent="0.15">
      <c r="A1395" s="15" t="s">
        <v>6743</v>
      </c>
      <c r="B1395" s="15"/>
      <c r="C1395" s="15" t="s">
        <v>40</v>
      </c>
      <c r="D1395" s="15" t="s">
        <v>41</v>
      </c>
      <c r="E1395" s="15" t="s">
        <v>6744</v>
      </c>
      <c r="F1395" s="15" t="s">
        <v>6745</v>
      </c>
      <c r="G1395" s="15" t="s">
        <v>4685</v>
      </c>
      <c r="H1395" s="15" t="s">
        <v>6746</v>
      </c>
      <c r="I1395" s="15" t="s">
        <v>1709</v>
      </c>
    </row>
    <row r="1396" spans="1:9" x14ac:dyDescent="0.15">
      <c r="A1396" s="15" t="s">
        <v>6747</v>
      </c>
      <c r="B1396" s="15"/>
      <c r="C1396" s="15" t="s">
        <v>40</v>
      </c>
      <c r="D1396" s="15" t="s">
        <v>41</v>
      </c>
      <c r="E1396" s="15" t="s">
        <v>6748</v>
      </c>
      <c r="F1396" s="15" t="s">
        <v>6750</v>
      </c>
      <c r="G1396" s="15" t="s">
        <v>6749</v>
      </c>
      <c r="H1396" s="15" t="s">
        <v>6751</v>
      </c>
      <c r="I1396" s="15" t="s">
        <v>1709</v>
      </c>
    </row>
    <row r="1397" spans="1:9" x14ac:dyDescent="0.15">
      <c r="A1397" s="15" t="s">
        <v>6752</v>
      </c>
      <c r="B1397" s="15"/>
      <c r="C1397" s="15" t="s">
        <v>40</v>
      </c>
      <c r="D1397" s="15" t="s">
        <v>41</v>
      </c>
      <c r="E1397" s="15" t="s">
        <v>6753</v>
      </c>
      <c r="F1397" s="15" t="s">
        <v>52</v>
      </c>
      <c r="G1397" s="15" t="s">
        <v>6754</v>
      </c>
      <c r="H1397" s="15" t="s">
        <v>6755</v>
      </c>
      <c r="I1397" s="15" t="s">
        <v>1709</v>
      </c>
    </row>
    <row r="1398" spans="1:9" x14ac:dyDescent="0.15">
      <c r="A1398" s="15" t="s">
        <v>6756</v>
      </c>
      <c r="B1398" s="15"/>
      <c r="C1398" s="15" t="s">
        <v>40</v>
      </c>
      <c r="D1398" s="15" t="s">
        <v>41</v>
      </c>
      <c r="E1398" s="15" t="s">
        <v>6757</v>
      </c>
      <c r="F1398" s="15" t="s">
        <v>6759</v>
      </c>
      <c r="G1398" s="15" t="s">
        <v>6758</v>
      </c>
      <c r="H1398" s="15" t="s">
        <v>6760</v>
      </c>
      <c r="I1398" s="15" t="s">
        <v>1709</v>
      </c>
    </row>
    <row r="1399" spans="1:9" x14ac:dyDescent="0.15">
      <c r="A1399" s="15" t="s">
        <v>6761</v>
      </c>
      <c r="B1399" s="15"/>
      <c r="C1399" s="15" t="s">
        <v>40</v>
      </c>
      <c r="D1399" s="15" t="s">
        <v>41</v>
      </c>
      <c r="E1399" s="15" t="s">
        <v>6762</v>
      </c>
      <c r="F1399" s="15" t="s">
        <v>6764</v>
      </c>
      <c r="G1399" s="15" t="s">
        <v>6763</v>
      </c>
      <c r="H1399" s="15" t="s">
        <v>6765</v>
      </c>
      <c r="I1399" s="15" t="s">
        <v>1709</v>
      </c>
    </row>
    <row r="1400" spans="1:9" x14ac:dyDescent="0.15">
      <c r="A1400" s="15" t="s">
        <v>6766</v>
      </c>
      <c r="B1400" s="15"/>
      <c r="C1400" s="15" t="s">
        <v>40</v>
      </c>
      <c r="D1400" s="15" t="s">
        <v>41</v>
      </c>
      <c r="E1400" s="15" t="s">
        <v>6767</v>
      </c>
      <c r="F1400" s="15" t="s">
        <v>6768</v>
      </c>
      <c r="G1400" s="15" t="s">
        <v>6414</v>
      </c>
      <c r="H1400" s="15" t="s">
        <v>6769</v>
      </c>
      <c r="I1400" s="15" t="s">
        <v>1709</v>
      </c>
    </row>
    <row r="1401" spans="1:9" x14ac:dyDescent="0.15">
      <c r="A1401" s="15" t="s">
        <v>6770</v>
      </c>
      <c r="B1401" s="15"/>
      <c r="C1401" s="15" t="s">
        <v>40</v>
      </c>
      <c r="D1401" s="15" t="s">
        <v>41</v>
      </c>
      <c r="E1401" s="15" t="s">
        <v>6771</v>
      </c>
      <c r="F1401" s="15" t="s">
        <v>6773</v>
      </c>
      <c r="G1401" s="15" t="s">
        <v>6772</v>
      </c>
      <c r="H1401" s="15" t="s">
        <v>6774</v>
      </c>
      <c r="I1401" s="15" t="s">
        <v>1709</v>
      </c>
    </row>
    <row r="1402" spans="1:9" x14ac:dyDescent="0.15">
      <c r="A1402" s="15" t="s">
        <v>6775</v>
      </c>
      <c r="B1402" s="15"/>
      <c r="C1402" s="15" t="s">
        <v>40</v>
      </c>
      <c r="D1402" s="15" t="s">
        <v>41</v>
      </c>
      <c r="E1402" s="15" t="s">
        <v>6776</v>
      </c>
      <c r="F1402" s="15" t="s">
        <v>6778</v>
      </c>
      <c r="G1402" s="15" t="s">
        <v>6777</v>
      </c>
      <c r="H1402" s="15" t="s">
        <v>6779</v>
      </c>
      <c r="I1402" s="15" t="s">
        <v>1709</v>
      </c>
    </row>
    <row r="1403" spans="1:9" x14ac:dyDescent="0.15">
      <c r="A1403" s="15" t="s">
        <v>6780</v>
      </c>
      <c r="B1403" s="15"/>
      <c r="C1403" s="15" t="s">
        <v>40</v>
      </c>
      <c r="D1403" s="15" t="s">
        <v>41</v>
      </c>
      <c r="E1403" s="15" t="s">
        <v>6781</v>
      </c>
      <c r="F1403" s="15" t="s">
        <v>6783</v>
      </c>
      <c r="G1403" s="15" t="s">
        <v>6782</v>
      </c>
      <c r="H1403" s="15" t="s">
        <v>6784</v>
      </c>
      <c r="I1403" s="15" t="s">
        <v>1709</v>
      </c>
    </row>
    <row r="1404" spans="1:9" x14ac:dyDescent="0.15">
      <c r="A1404" s="15" t="s">
        <v>6785</v>
      </c>
      <c r="B1404" s="15"/>
      <c r="C1404" s="15" t="s">
        <v>40</v>
      </c>
      <c r="D1404" s="15" t="s">
        <v>41</v>
      </c>
      <c r="E1404" s="15" t="s">
        <v>6786</v>
      </c>
      <c r="F1404" s="15" t="s">
        <v>6788</v>
      </c>
      <c r="G1404" s="15" t="s">
        <v>6787</v>
      </c>
      <c r="H1404" s="15" t="s">
        <v>6789</v>
      </c>
      <c r="I1404" s="15" t="s">
        <v>1709</v>
      </c>
    </row>
    <row r="1405" spans="1:9" x14ac:dyDescent="0.15">
      <c r="A1405" s="15" t="s">
        <v>6790</v>
      </c>
      <c r="B1405" s="15"/>
      <c r="C1405" s="15" t="s">
        <v>40</v>
      </c>
      <c r="D1405" s="15" t="s">
        <v>41</v>
      </c>
      <c r="E1405" s="15" t="s">
        <v>6791</v>
      </c>
      <c r="F1405" s="15" t="s">
        <v>1825</v>
      </c>
      <c r="G1405" s="15" t="s">
        <v>1824</v>
      </c>
      <c r="H1405" s="15" t="s">
        <v>6792</v>
      </c>
      <c r="I1405" s="15" t="s">
        <v>1709</v>
      </c>
    </row>
    <row r="1406" spans="1:9" x14ac:dyDescent="0.15">
      <c r="A1406" s="15" t="s">
        <v>6793</v>
      </c>
      <c r="B1406" s="15"/>
      <c r="C1406" s="15" t="s">
        <v>40</v>
      </c>
      <c r="D1406" s="15" t="s">
        <v>41</v>
      </c>
      <c r="E1406" s="15" t="s">
        <v>6794</v>
      </c>
      <c r="F1406" s="15" t="s">
        <v>6796</v>
      </c>
      <c r="G1406" s="15" t="s">
        <v>6795</v>
      </c>
      <c r="H1406" s="15" t="s">
        <v>6797</v>
      </c>
      <c r="I1406" s="15" t="s">
        <v>1709</v>
      </c>
    </row>
    <row r="1407" spans="1:9" x14ac:dyDescent="0.15">
      <c r="A1407" s="15" t="s">
        <v>6798</v>
      </c>
      <c r="B1407" s="15"/>
      <c r="C1407" s="15" t="s">
        <v>40</v>
      </c>
      <c r="D1407" s="15" t="s">
        <v>41</v>
      </c>
      <c r="E1407" s="15" t="s">
        <v>6799</v>
      </c>
      <c r="F1407" s="15" t="s">
        <v>6801</v>
      </c>
      <c r="G1407" s="15" t="s">
        <v>6800</v>
      </c>
      <c r="H1407" s="15" t="s">
        <v>6802</v>
      </c>
      <c r="I1407" s="15" t="s">
        <v>1709</v>
      </c>
    </row>
    <row r="1408" spans="1:9" x14ac:dyDescent="0.15">
      <c r="A1408" s="15" t="s">
        <v>6803</v>
      </c>
      <c r="B1408" s="15"/>
      <c r="C1408" s="15" t="s">
        <v>40</v>
      </c>
      <c r="D1408" s="15" t="s">
        <v>41</v>
      </c>
      <c r="E1408" s="15" t="s">
        <v>6804</v>
      </c>
      <c r="F1408" s="15" t="s">
        <v>6806</v>
      </c>
      <c r="G1408" s="15" t="s">
        <v>6805</v>
      </c>
      <c r="H1408" s="15" t="s">
        <v>6807</v>
      </c>
      <c r="I1408" s="15" t="s">
        <v>1709</v>
      </c>
    </row>
    <row r="1409" spans="1:9" x14ac:dyDescent="0.15">
      <c r="A1409" s="15" t="s">
        <v>6808</v>
      </c>
      <c r="B1409" s="15"/>
      <c r="C1409" s="15" t="s">
        <v>40</v>
      </c>
      <c r="D1409" s="15" t="s">
        <v>41</v>
      </c>
      <c r="E1409" s="15" t="s">
        <v>6809</v>
      </c>
      <c r="F1409" s="15" t="s">
        <v>6811</v>
      </c>
      <c r="G1409" s="15" t="s">
        <v>6810</v>
      </c>
      <c r="H1409" s="15" t="s">
        <v>6812</v>
      </c>
      <c r="I1409" s="15" t="s">
        <v>1709</v>
      </c>
    </row>
    <row r="1410" spans="1:9" x14ac:dyDescent="0.15">
      <c r="A1410" s="15" t="s">
        <v>6813</v>
      </c>
      <c r="B1410" s="15"/>
      <c r="C1410" s="15" t="s">
        <v>40</v>
      </c>
      <c r="D1410" s="15" t="s">
        <v>41</v>
      </c>
      <c r="E1410" s="15" t="s">
        <v>6814</v>
      </c>
      <c r="F1410" s="15" t="s">
        <v>6816</v>
      </c>
      <c r="G1410" s="15" t="s">
        <v>6815</v>
      </c>
      <c r="H1410" s="15" t="s">
        <v>6817</v>
      </c>
      <c r="I1410" s="15" t="s">
        <v>1709</v>
      </c>
    </row>
    <row r="1411" spans="1:9" x14ac:dyDescent="0.15">
      <c r="A1411" s="15" t="s">
        <v>6818</v>
      </c>
      <c r="B1411" s="15"/>
      <c r="C1411" s="15" t="s">
        <v>40</v>
      </c>
      <c r="D1411" s="15" t="s">
        <v>41</v>
      </c>
      <c r="E1411" s="15" t="s">
        <v>6819</v>
      </c>
      <c r="F1411" s="15" t="s">
        <v>6821</v>
      </c>
      <c r="G1411" s="15" t="s">
        <v>6820</v>
      </c>
      <c r="H1411" s="15" t="s">
        <v>6822</v>
      </c>
      <c r="I1411" s="15" t="s">
        <v>1709</v>
      </c>
    </row>
    <row r="1412" spans="1:9" x14ac:dyDescent="0.15">
      <c r="A1412" s="15" t="s">
        <v>6823</v>
      </c>
      <c r="B1412" s="15"/>
      <c r="C1412" s="15" t="s">
        <v>40</v>
      </c>
      <c r="D1412" s="15" t="s">
        <v>41</v>
      </c>
      <c r="E1412" s="15" t="s">
        <v>6824</v>
      </c>
      <c r="F1412" s="15" t="s">
        <v>6826</v>
      </c>
      <c r="G1412" s="15" t="s">
        <v>6825</v>
      </c>
      <c r="H1412" s="15" t="s">
        <v>6827</v>
      </c>
      <c r="I1412" s="15" t="s">
        <v>1709</v>
      </c>
    </row>
    <row r="1413" spans="1:9" x14ac:dyDescent="0.15">
      <c r="A1413" s="15" t="s">
        <v>6828</v>
      </c>
      <c r="B1413" s="15"/>
      <c r="C1413" s="15" t="s">
        <v>40</v>
      </c>
      <c r="D1413" s="15" t="s">
        <v>41</v>
      </c>
      <c r="E1413" s="15" t="s">
        <v>6829</v>
      </c>
      <c r="F1413" s="15" t="s">
        <v>6830</v>
      </c>
      <c r="G1413" s="15" t="s">
        <v>2850</v>
      </c>
      <c r="H1413" s="15" t="s">
        <v>6831</v>
      </c>
      <c r="I1413" s="15" t="s">
        <v>1709</v>
      </c>
    </row>
    <row r="1414" spans="1:9" x14ac:dyDescent="0.15">
      <c r="A1414" s="15" t="s">
        <v>6832</v>
      </c>
      <c r="B1414" s="15"/>
      <c r="C1414" s="15" t="s">
        <v>40</v>
      </c>
      <c r="D1414" s="15" t="s">
        <v>41</v>
      </c>
      <c r="E1414" s="15" t="s">
        <v>6833</v>
      </c>
      <c r="F1414" s="15" t="s">
        <v>6835</v>
      </c>
      <c r="G1414" s="15" t="s">
        <v>6834</v>
      </c>
      <c r="H1414" s="15" t="s">
        <v>6836</v>
      </c>
      <c r="I1414" s="15" t="s">
        <v>1709</v>
      </c>
    </row>
    <row r="1415" spans="1:9" x14ac:dyDescent="0.15">
      <c r="A1415" s="15" t="s">
        <v>6837</v>
      </c>
      <c r="B1415" s="15"/>
      <c r="C1415" s="15" t="s">
        <v>40</v>
      </c>
      <c r="D1415" s="15" t="s">
        <v>41</v>
      </c>
      <c r="E1415" s="15" t="s">
        <v>6838</v>
      </c>
      <c r="F1415" s="15" t="s">
        <v>6839</v>
      </c>
      <c r="G1415" s="15" t="s">
        <v>6453</v>
      </c>
      <c r="H1415" s="15" t="s">
        <v>6840</v>
      </c>
      <c r="I1415" s="15" t="s">
        <v>1709</v>
      </c>
    </row>
    <row r="1416" spans="1:9" x14ac:dyDescent="0.15">
      <c r="A1416" s="15" t="s">
        <v>6841</v>
      </c>
      <c r="B1416" s="15"/>
      <c r="C1416" s="15" t="s">
        <v>40</v>
      </c>
      <c r="D1416" s="15" t="s">
        <v>41</v>
      </c>
      <c r="E1416" s="15" t="s">
        <v>6842</v>
      </c>
      <c r="F1416" s="15" t="s">
        <v>6844</v>
      </c>
      <c r="G1416" s="15" t="s">
        <v>6843</v>
      </c>
      <c r="H1416" s="15" t="s">
        <v>6845</v>
      </c>
      <c r="I1416" s="15" t="s">
        <v>1709</v>
      </c>
    </row>
    <row r="1417" spans="1:9" x14ac:dyDescent="0.15">
      <c r="A1417" s="15" t="s">
        <v>6846</v>
      </c>
      <c r="B1417" s="15"/>
      <c r="C1417" s="15" t="s">
        <v>40</v>
      </c>
      <c r="D1417" s="15" t="s">
        <v>41</v>
      </c>
      <c r="E1417" s="15" t="s">
        <v>6847</v>
      </c>
      <c r="F1417" s="15" t="s">
        <v>6849</v>
      </c>
      <c r="G1417" s="15" t="s">
        <v>6848</v>
      </c>
      <c r="H1417" s="15" t="s">
        <v>6850</v>
      </c>
      <c r="I1417" s="15" t="s">
        <v>1709</v>
      </c>
    </row>
    <row r="1418" spans="1:9" x14ac:dyDescent="0.15">
      <c r="A1418" s="15" t="s">
        <v>6851</v>
      </c>
      <c r="B1418" s="15"/>
      <c r="C1418" s="15" t="s">
        <v>40</v>
      </c>
      <c r="D1418" s="15" t="s">
        <v>41</v>
      </c>
      <c r="E1418" s="15" t="s">
        <v>6852</v>
      </c>
      <c r="F1418" s="15" t="s">
        <v>6854</v>
      </c>
      <c r="G1418" s="15" t="s">
        <v>6853</v>
      </c>
      <c r="H1418" s="15" t="s">
        <v>6855</v>
      </c>
      <c r="I1418" s="15" t="s">
        <v>1709</v>
      </c>
    </row>
    <row r="1419" spans="1:9" x14ac:dyDescent="0.15">
      <c r="A1419" s="15" t="s">
        <v>6856</v>
      </c>
      <c r="B1419" s="15"/>
      <c r="C1419" s="15" t="s">
        <v>40</v>
      </c>
      <c r="D1419" s="15" t="s">
        <v>41</v>
      </c>
      <c r="E1419" s="15" t="s">
        <v>6857</v>
      </c>
      <c r="F1419" s="15" t="s">
        <v>6859</v>
      </c>
      <c r="G1419" s="15" t="s">
        <v>6858</v>
      </c>
      <c r="H1419" s="15" t="s">
        <v>6860</v>
      </c>
      <c r="I1419" s="15" t="s">
        <v>1709</v>
      </c>
    </row>
    <row r="1420" spans="1:9" x14ac:dyDescent="0.15">
      <c r="A1420" s="15" t="s">
        <v>6861</v>
      </c>
      <c r="B1420" s="15"/>
      <c r="C1420" s="15" t="s">
        <v>40</v>
      </c>
      <c r="D1420" s="15" t="s">
        <v>41</v>
      </c>
      <c r="E1420" s="15" t="s">
        <v>6862</v>
      </c>
      <c r="F1420" s="15" t="s">
        <v>6864</v>
      </c>
      <c r="G1420" s="15" t="s">
        <v>6863</v>
      </c>
      <c r="H1420" s="15" t="s">
        <v>6865</v>
      </c>
      <c r="I1420" s="15" t="s">
        <v>1709</v>
      </c>
    </row>
    <row r="1421" spans="1:9" x14ac:dyDescent="0.15">
      <c r="A1421" s="15" t="s">
        <v>6866</v>
      </c>
      <c r="B1421" s="15"/>
      <c r="C1421" s="15" t="s">
        <v>40</v>
      </c>
      <c r="D1421" s="15" t="s">
        <v>41</v>
      </c>
      <c r="E1421" s="15" t="s">
        <v>6867</v>
      </c>
      <c r="F1421" s="15" t="s">
        <v>6869</v>
      </c>
      <c r="G1421" s="15" t="s">
        <v>6868</v>
      </c>
      <c r="H1421" s="15" t="s">
        <v>6870</v>
      </c>
      <c r="I1421" s="15" t="s">
        <v>1709</v>
      </c>
    </row>
    <row r="1422" spans="1:9" x14ac:dyDescent="0.15">
      <c r="A1422" s="15" t="s">
        <v>6871</v>
      </c>
      <c r="B1422" s="15"/>
      <c r="C1422" s="15" t="s">
        <v>40</v>
      </c>
      <c r="D1422" s="15" t="s">
        <v>41</v>
      </c>
      <c r="E1422" s="15" t="s">
        <v>6872</v>
      </c>
      <c r="F1422" s="15" t="s">
        <v>6874</v>
      </c>
      <c r="G1422" s="15" t="s">
        <v>6873</v>
      </c>
      <c r="H1422" s="15" t="s">
        <v>6875</v>
      </c>
      <c r="I1422" s="15" t="s">
        <v>1709</v>
      </c>
    </row>
    <row r="1423" spans="1:9" x14ac:dyDescent="0.15">
      <c r="A1423" s="15" t="s">
        <v>6876</v>
      </c>
      <c r="B1423" s="15"/>
      <c r="C1423" s="15" t="s">
        <v>40</v>
      </c>
      <c r="D1423" s="15" t="s">
        <v>41</v>
      </c>
      <c r="E1423" s="15" t="s">
        <v>6877</v>
      </c>
      <c r="F1423" s="15" t="s">
        <v>6879</v>
      </c>
      <c r="G1423" s="15" t="s">
        <v>6878</v>
      </c>
      <c r="H1423" s="15" t="s">
        <v>6880</v>
      </c>
      <c r="I1423" s="15" t="s">
        <v>1709</v>
      </c>
    </row>
    <row r="1424" spans="1:9" x14ac:dyDescent="0.15">
      <c r="A1424" s="15" t="s">
        <v>6881</v>
      </c>
      <c r="B1424" s="15"/>
      <c r="C1424" s="15" t="s">
        <v>40</v>
      </c>
      <c r="D1424" s="15" t="s">
        <v>41</v>
      </c>
      <c r="E1424" s="15" t="s">
        <v>6882</v>
      </c>
      <c r="F1424" s="15" t="s">
        <v>6884</v>
      </c>
      <c r="G1424" s="15" t="s">
        <v>6883</v>
      </c>
      <c r="H1424" s="15" t="s">
        <v>6885</v>
      </c>
      <c r="I1424" s="15" t="s">
        <v>1709</v>
      </c>
    </row>
    <row r="1425" spans="1:9" x14ac:dyDescent="0.15">
      <c r="A1425" s="15" t="s">
        <v>6886</v>
      </c>
      <c r="B1425" s="15"/>
      <c r="C1425" s="15" t="s">
        <v>40</v>
      </c>
      <c r="D1425" s="15" t="s">
        <v>41</v>
      </c>
      <c r="E1425" s="15" t="s">
        <v>6887</v>
      </c>
      <c r="F1425" s="15" t="s">
        <v>6889</v>
      </c>
      <c r="G1425" s="15" t="s">
        <v>6888</v>
      </c>
      <c r="H1425" s="15" t="s">
        <v>6890</v>
      </c>
      <c r="I1425" s="15" t="s">
        <v>1709</v>
      </c>
    </row>
    <row r="1426" spans="1:9" x14ac:dyDescent="0.15">
      <c r="A1426" s="15" t="s">
        <v>6891</v>
      </c>
      <c r="B1426" s="15"/>
      <c r="C1426" s="15" t="s">
        <v>40</v>
      </c>
      <c r="D1426" s="15" t="s">
        <v>41</v>
      </c>
      <c r="E1426" s="15" t="s">
        <v>6892</v>
      </c>
      <c r="F1426" s="15" t="s">
        <v>6894</v>
      </c>
      <c r="G1426" s="15" t="s">
        <v>6893</v>
      </c>
      <c r="H1426" s="15" t="s">
        <v>6895</v>
      </c>
      <c r="I1426" s="15" t="s">
        <v>1709</v>
      </c>
    </row>
    <row r="1427" spans="1:9" x14ac:dyDescent="0.15">
      <c r="A1427" s="15" t="s">
        <v>6896</v>
      </c>
      <c r="B1427" s="15"/>
      <c r="C1427" s="15" t="s">
        <v>40</v>
      </c>
      <c r="D1427" s="15" t="s">
        <v>41</v>
      </c>
      <c r="E1427" s="15" t="s">
        <v>6897</v>
      </c>
      <c r="F1427" s="15" t="s">
        <v>52</v>
      </c>
      <c r="G1427" s="15" t="s">
        <v>6898</v>
      </c>
      <c r="H1427" s="15" t="s">
        <v>6899</v>
      </c>
      <c r="I1427" s="15" t="s">
        <v>1709</v>
      </c>
    </row>
    <row r="1428" spans="1:9" x14ac:dyDescent="0.15">
      <c r="A1428" s="15" t="s">
        <v>6900</v>
      </c>
      <c r="B1428" s="15"/>
      <c r="C1428" s="15" t="s">
        <v>40</v>
      </c>
      <c r="D1428" s="15" t="s">
        <v>41</v>
      </c>
      <c r="E1428" s="15" t="s">
        <v>6901</v>
      </c>
      <c r="F1428" s="15" t="s">
        <v>6902</v>
      </c>
      <c r="G1428" s="15" t="s">
        <v>3257</v>
      </c>
      <c r="H1428" s="15" t="s">
        <v>6903</v>
      </c>
      <c r="I1428" s="15" t="s">
        <v>1709</v>
      </c>
    </row>
    <row r="1429" spans="1:9" x14ac:dyDescent="0.15">
      <c r="A1429" s="15" t="s">
        <v>6904</v>
      </c>
      <c r="B1429" s="15"/>
      <c r="C1429" s="15" t="s">
        <v>40</v>
      </c>
      <c r="D1429" s="15" t="s">
        <v>41</v>
      </c>
      <c r="E1429" s="15" t="s">
        <v>6905</v>
      </c>
      <c r="F1429" s="15" t="s">
        <v>6906</v>
      </c>
      <c r="G1429" s="15" t="s">
        <v>3257</v>
      </c>
      <c r="H1429" s="15" t="s">
        <v>6907</v>
      </c>
      <c r="I1429" s="15" t="s">
        <v>1709</v>
      </c>
    </row>
    <row r="1430" spans="1:9" x14ac:dyDescent="0.15">
      <c r="A1430" s="15" t="s">
        <v>6908</v>
      </c>
      <c r="B1430" s="15"/>
      <c r="C1430" s="15" t="s">
        <v>40</v>
      </c>
      <c r="D1430" s="15" t="s">
        <v>41</v>
      </c>
      <c r="E1430" s="15" t="s">
        <v>6909</v>
      </c>
      <c r="F1430" s="15" t="s">
        <v>6911</v>
      </c>
      <c r="G1430" s="15" t="s">
        <v>6910</v>
      </c>
      <c r="H1430" s="15" t="s">
        <v>6912</v>
      </c>
      <c r="I1430" s="15" t="s">
        <v>1709</v>
      </c>
    </row>
    <row r="1431" spans="1:9" x14ac:dyDescent="0.15">
      <c r="A1431" s="15" t="s">
        <v>6913</v>
      </c>
      <c r="B1431" s="15"/>
      <c r="C1431" s="15" t="s">
        <v>40</v>
      </c>
      <c r="D1431" s="15" t="s">
        <v>41</v>
      </c>
      <c r="E1431" s="15" t="s">
        <v>6914</v>
      </c>
      <c r="F1431" s="15" t="s">
        <v>6916</v>
      </c>
      <c r="G1431" s="15" t="s">
        <v>6915</v>
      </c>
      <c r="H1431" s="15" t="s">
        <v>6917</v>
      </c>
      <c r="I1431" s="15" t="s">
        <v>1709</v>
      </c>
    </row>
    <row r="1432" spans="1:9" x14ac:dyDescent="0.15">
      <c r="A1432" s="15" t="s">
        <v>6918</v>
      </c>
      <c r="B1432" s="15"/>
      <c r="C1432" s="15" t="s">
        <v>40</v>
      </c>
      <c r="D1432" s="15" t="s">
        <v>41</v>
      </c>
      <c r="E1432" s="15" t="s">
        <v>6919</v>
      </c>
      <c r="F1432" s="15" t="s">
        <v>6921</v>
      </c>
      <c r="G1432" s="15" t="s">
        <v>6920</v>
      </c>
      <c r="H1432" s="15" t="s">
        <v>6922</v>
      </c>
      <c r="I1432" s="15" t="s">
        <v>1709</v>
      </c>
    </row>
    <row r="1433" spans="1:9" x14ac:dyDescent="0.15">
      <c r="A1433" s="15" t="s">
        <v>6923</v>
      </c>
      <c r="B1433" s="15"/>
      <c r="C1433" s="15" t="s">
        <v>40</v>
      </c>
      <c r="D1433" s="15" t="s">
        <v>41</v>
      </c>
      <c r="E1433" s="15" t="s">
        <v>6924</v>
      </c>
      <c r="F1433" s="15" t="s">
        <v>6926</v>
      </c>
      <c r="G1433" s="15" t="s">
        <v>6925</v>
      </c>
      <c r="H1433" s="15" t="s">
        <v>6927</v>
      </c>
      <c r="I1433" s="15" t="s">
        <v>1709</v>
      </c>
    </row>
    <row r="1434" spans="1:9" x14ac:dyDescent="0.15">
      <c r="A1434" s="15" t="s">
        <v>6928</v>
      </c>
      <c r="B1434" s="15"/>
      <c r="C1434" s="15" t="s">
        <v>40</v>
      </c>
      <c r="D1434" s="15" t="s">
        <v>41</v>
      </c>
      <c r="E1434" s="15" t="s">
        <v>6929</v>
      </c>
      <c r="F1434" s="15" t="s">
        <v>6931</v>
      </c>
      <c r="G1434" s="15" t="s">
        <v>6930</v>
      </c>
      <c r="H1434" s="15" t="s">
        <v>6932</v>
      </c>
      <c r="I1434" s="15" t="s">
        <v>1709</v>
      </c>
    </row>
    <row r="1435" spans="1:9" x14ac:dyDescent="0.15">
      <c r="A1435" s="15" t="s">
        <v>6933</v>
      </c>
      <c r="B1435" s="15"/>
      <c r="C1435" s="15" t="s">
        <v>40</v>
      </c>
      <c r="D1435" s="15" t="s">
        <v>41</v>
      </c>
      <c r="E1435" s="15" t="s">
        <v>6934</v>
      </c>
      <c r="F1435" s="15" t="s">
        <v>6935</v>
      </c>
      <c r="G1435" s="15" t="s">
        <v>2850</v>
      </c>
      <c r="H1435" s="15" t="s">
        <v>6936</v>
      </c>
      <c r="I1435" s="15" t="s">
        <v>1709</v>
      </c>
    </row>
    <row r="1436" spans="1:9" x14ac:dyDescent="0.15">
      <c r="A1436" s="15" t="s">
        <v>6937</v>
      </c>
      <c r="B1436" s="15"/>
      <c r="C1436" s="15" t="s">
        <v>40</v>
      </c>
      <c r="D1436" s="15" t="s">
        <v>41</v>
      </c>
      <c r="E1436" s="15" t="s">
        <v>6938</v>
      </c>
      <c r="F1436" s="15" t="s">
        <v>6939</v>
      </c>
      <c r="G1436" s="15" t="s">
        <v>2850</v>
      </c>
      <c r="H1436" s="15" t="s">
        <v>6940</v>
      </c>
      <c r="I1436" s="15" t="s">
        <v>1709</v>
      </c>
    </row>
    <row r="1437" spans="1:9" x14ac:dyDescent="0.15">
      <c r="A1437" s="15" t="s">
        <v>6941</v>
      </c>
      <c r="B1437" s="15"/>
      <c r="C1437" s="15" t="s">
        <v>40</v>
      </c>
      <c r="D1437" s="15" t="s">
        <v>41</v>
      </c>
      <c r="E1437" s="15" t="s">
        <v>6942</v>
      </c>
      <c r="F1437" s="15" t="s">
        <v>6944</v>
      </c>
      <c r="G1437" s="15" t="s">
        <v>6943</v>
      </c>
      <c r="H1437" s="15" t="s">
        <v>6945</v>
      </c>
      <c r="I1437" s="15" t="s">
        <v>1709</v>
      </c>
    </row>
    <row r="1438" spans="1:9" x14ac:dyDescent="0.15">
      <c r="A1438" s="15" t="s">
        <v>6946</v>
      </c>
      <c r="B1438" s="15"/>
      <c r="C1438" s="15" t="s">
        <v>40</v>
      </c>
      <c r="D1438" s="15" t="s">
        <v>41</v>
      </c>
      <c r="E1438" s="15" t="s">
        <v>6947</v>
      </c>
      <c r="F1438" s="15" t="s">
        <v>6948</v>
      </c>
      <c r="G1438" s="15" t="s">
        <v>1854</v>
      </c>
      <c r="H1438" s="15" t="s">
        <v>6949</v>
      </c>
      <c r="I1438" s="15" t="s">
        <v>1709</v>
      </c>
    </row>
    <row r="1439" spans="1:9" x14ac:dyDescent="0.15">
      <c r="A1439" s="15" t="s">
        <v>6950</v>
      </c>
      <c r="B1439" s="15"/>
      <c r="C1439" s="15" t="s">
        <v>40</v>
      </c>
      <c r="D1439" s="15" t="s">
        <v>41</v>
      </c>
      <c r="E1439" s="15" t="s">
        <v>6951</v>
      </c>
      <c r="F1439" s="15" t="s">
        <v>6953</v>
      </c>
      <c r="G1439" s="15" t="s">
        <v>6952</v>
      </c>
      <c r="H1439" s="15" t="s">
        <v>6954</v>
      </c>
      <c r="I1439" s="15" t="s">
        <v>1709</v>
      </c>
    </row>
    <row r="1440" spans="1:9" x14ac:dyDescent="0.15">
      <c r="A1440" s="15" t="s">
        <v>6955</v>
      </c>
      <c r="B1440" s="15"/>
      <c r="C1440" s="15" t="s">
        <v>40</v>
      </c>
      <c r="D1440" s="15" t="s">
        <v>41</v>
      </c>
      <c r="E1440" s="15" t="s">
        <v>6956</v>
      </c>
      <c r="F1440" s="15" t="s">
        <v>6957</v>
      </c>
      <c r="G1440" s="15" t="s">
        <v>3125</v>
      </c>
      <c r="H1440" s="15" t="s">
        <v>6958</v>
      </c>
      <c r="I1440" s="15" t="s">
        <v>1709</v>
      </c>
    </row>
    <row r="1441" spans="1:9" x14ac:dyDescent="0.15">
      <c r="A1441" s="15" t="s">
        <v>6959</v>
      </c>
      <c r="B1441" s="15"/>
      <c r="C1441" s="15" t="s">
        <v>40</v>
      </c>
      <c r="D1441" s="15" t="s">
        <v>41</v>
      </c>
      <c r="E1441" s="15" t="s">
        <v>6960</v>
      </c>
      <c r="F1441" s="15" t="s">
        <v>6962</v>
      </c>
      <c r="G1441" s="15" t="s">
        <v>6961</v>
      </c>
      <c r="H1441" s="15" t="s">
        <v>6963</v>
      </c>
      <c r="I1441" s="15" t="s">
        <v>1709</v>
      </c>
    </row>
    <row r="1442" spans="1:9" x14ac:dyDescent="0.15">
      <c r="A1442" s="15" t="s">
        <v>6964</v>
      </c>
      <c r="B1442" s="15"/>
      <c r="C1442" s="15" t="s">
        <v>40</v>
      </c>
      <c r="D1442" s="15" t="s">
        <v>41</v>
      </c>
      <c r="E1442" s="15" t="s">
        <v>6965</v>
      </c>
      <c r="F1442" s="15" t="s">
        <v>6967</v>
      </c>
      <c r="G1442" s="15" t="s">
        <v>6966</v>
      </c>
      <c r="H1442" s="15" t="s">
        <v>6968</v>
      </c>
      <c r="I1442" s="15" t="s">
        <v>1709</v>
      </c>
    </row>
    <row r="1443" spans="1:9" x14ac:dyDescent="0.15">
      <c r="A1443" s="15" t="s">
        <v>6969</v>
      </c>
      <c r="B1443" s="15"/>
      <c r="C1443" s="15" t="s">
        <v>40</v>
      </c>
      <c r="D1443" s="15" t="s">
        <v>41</v>
      </c>
      <c r="E1443" s="15" t="s">
        <v>6970</v>
      </c>
      <c r="F1443" s="15" t="s">
        <v>6972</v>
      </c>
      <c r="G1443" s="15" t="s">
        <v>6971</v>
      </c>
      <c r="H1443" s="15" t="s">
        <v>6973</v>
      </c>
      <c r="I1443" s="15" t="s">
        <v>1709</v>
      </c>
    </row>
    <row r="1444" spans="1:9" x14ac:dyDescent="0.15">
      <c r="A1444" s="15" t="s">
        <v>6974</v>
      </c>
      <c r="B1444" s="15"/>
      <c r="C1444" s="15" t="s">
        <v>40</v>
      </c>
      <c r="D1444" s="15" t="s">
        <v>41</v>
      </c>
      <c r="E1444" s="15" t="s">
        <v>6975</v>
      </c>
      <c r="F1444" s="15" t="s">
        <v>6977</v>
      </c>
      <c r="G1444" s="15" t="s">
        <v>6976</v>
      </c>
      <c r="H1444" s="15" t="s">
        <v>6978</v>
      </c>
      <c r="I1444" s="15" t="s">
        <v>1709</v>
      </c>
    </row>
    <row r="1445" spans="1:9" x14ac:dyDescent="0.15">
      <c r="A1445" s="15" t="s">
        <v>6979</v>
      </c>
      <c r="B1445" s="15"/>
      <c r="C1445" s="15" t="s">
        <v>40</v>
      </c>
      <c r="D1445" s="15" t="s">
        <v>41</v>
      </c>
      <c r="E1445" s="15" t="s">
        <v>6980</v>
      </c>
      <c r="F1445" s="15" t="s">
        <v>6982</v>
      </c>
      <c r="G1445" s="15" t="s">
        <v>6981</v>
      </c>
      <c r="H1445" s="15" t="s">
        <v>6983</v>
      </c>
      <c r="I1445" s="15" t="s">
        <v>1709</v>
      </c>
    </row>
    <row r="1446" spans="1:9" x14ac:dyDescent="0.15">
      <c r="A1446" s="15" t="s">
        <v>6984</v>
      </c>
      <c r="B1446" s="15"/>
      <c r="C1446" s="15" t="s">
        <v>40</v>
      </c>
      <c r="D1446" s="15" t="s">
        <v>41</v>
      </c>
      <c r="E1446" s="15" t="s">
        <v>6985</v>
      </c>
      <c r="F1446" s="15" t="s">
        <v>6986</v>
      </c>
      <c r="G1446" s="15" t="s">
        <v>1879</v>
      </c>
      <c r="H1446" s="15" t="s">
        <v>6987</v>
      </c>
      <c r="I1446" s="15" t="s">
        <v>1709</v>
      </c>
    </row>
    <row r="1447" spans="1:9" x14ac:dyDescent="0.15">
      <c r="A1447" s="15" t="s">
        <v>6988</v>
      </c>
      <c r="B1447" s="15"/>
      <c r="C1447" s="15" t="s">
        <v>40</v>
      </c>
      <c r="D1447" s="15" t="s">
        <v>41</v>
      </c>
      <c r="E1447" s="15" t="s">
        <v>6989</v>
      </c>
      <c r="F1447" s="15" t="s">
        <v>6991</v>
      </c>
      <c r="G1447" s="15" t="s">
        <v>6990</v>
      </c>
      <c r="H1447" s="15" t="s">
        <v>6992</v>
      </c>
      <c r="I1447" s="15" t="s">
        <v>1709</v>
      </c>
    </row>
    <row r="1448" spans="1:9" x14ac:dyDescent="0.15">
      <c r="A1448" s="15" t="s">
        <v>6993</v>
      </c>
      <c r="B1448" s="15"/>
      <c r="C1448" s="15" t="s">
        <v>40</v>
      </c>
      <c r="D1448" s="15" t="s">
        <v>41</v>
      </c>
      <c r="E1448" s="15" t="s">
        <v>6994</v>
      </c>
      <c r="F1448" s="15" t="s">
        <v>6996</v>
      </c>
      <c r="G1448" s="15" t="s">
        <v>6995</v>
      </c>
      <c r="H1448" s="15" t="s">
        <v>6997</v>
      </c>
      <c r="I1448" s="15" t="s">
        <v>1709</v>
      </c>
    </row>
    <row r="1449" spans="1:9" x14ac:dyDescent="0.15">
      <c r="A1449" s="15" t="s">
        <v>6998</v>
      </c>
      <c r="B1449" s="15"/>
      <c r="C1449" s="15" t="s">
        <v>40</v>
      </c>
      <c r="D1449" s="15" t="s">
        <v>41</v>
      </c>
      <c r="E1449" s="15" t="s">
        <v>6999</v>
      </c>
      <c r="F1449" s="15" t="s">
        <v>7001</v>
      </c>
      <c r="G1449" s="15" t="s">
        <v>7000</v>
      </c>
      <c r="H1449" s="15" t="s">
        <v>7002</v>
      </c>
      <c r="I1449" s="15" t="s">
        <v>1709</v>
      </c>
    </row>
    <row r="1450" spans="1:9" x14ac:dyDescent="0.15">
      <c r="A1450" s="15" t="s">
        <v>7003</v>
      </c>
      <c r="B1450" s="15"/>
      <c r="C1450" s="15" t="s">
        <v>40</v>
      </c>
      <c r="D1450" s="15" t="s">
        <v>41</v>
      </c>
      <c r="E1450" s="15" t="s">
        <v>7004</v>
      </c>
      <c r="F1450" s="15" t="s">
        <v>7005</v>
      </c>
      <c r="G1450" s="15" t="s">
        <v>6878</v>
      </c>
      <c r="H1450" s="15" t="s">
        <v>7006</v>
      </c>
      <c r="I1450" s="15" t="s">
        <v>1709</v>
      </c>
    </row>
    <row r="1451" spans="1:9" x14ac:dyDescent="0.15">
      <c r="A1451" s="15" t="s">
        <v>7007</v>
      </c>
      <c r="B1451" s="15"/>
      <c r="C1451" s="15" t="s">
        <v>40</v>
      </c>
      <c r="D1451" s="15" t="s">
        <v>41</v>
      </c>
      <c r="E1451" s="15" t="s">
        <v>7008</v>
      </c>
      <c r="F1451" s="15" t="s">
        <v>7009</v>
      </c>
      <c r="G1451" s="15" t="s">
        <v>6920</v>
      </c>
      <c r="H1451" s="15" t="s">
        <v>7010</v>
      </c>
      <c r="I1451" s="15" t="s">
        <v>1709</v>
      </c>
    </row>
    <row r="1452" spans="1:9" x14ac:dyDescent="0.15">
      <c r="A1452" s="15" t="s">
        <v>7011</v>
      </c>
      <c r="B1452" s="15"/>
      <c r="C1452" s="15" t="s">
        <v>40</v>
      </c>
      <c r="D1452" s="15" t="s">
        <v>41</v>
      </c>
      <c r="E1452" s="15" t="s">
        <v>7012</v>
      </c>
      <c r="F1452" s="15" t="s">
        <v>7014</v>
      </c>
      <c r="G1452" s="15" t="s">
        <v>7013</v>
      </c>
      <c r="H1452" s="15" t="s">
        <v>7015</v>
      </c>
      <c r="I1452" s="15" t="s">
        <v>1709</v>
      </c>
    </row>
    <row r="1453" spans="1:9" x14ac:dyDescent="0.15">
      <c r="A1453" s="15" t="s">
        <v>7016</v>
      </c>
      <c r="B1453" s="15"/>
      <c r="C1453" s="15" t="s">
        <v>40</v>
      </c>
      <c r="D1453" s="15" t="s">
        <v>41</v>
      </c>
      <c r="E1453" s="15" t="s">
        <v>7017</v>
      </c>
      <c r="F1453" s="15" t="s">
        <v>7018</v>
      </c>
      <c r="G1453" s="15" t="s">
        <v>4708</v>
      </c>
      <c r="H1453" s="15" t="s">
        <v>7019</v>
      </c>
      <c r="I1453" s="15" t="s">
        <v>1709</v>
      </c>
    </row>
    <row r="1454" spans="1:9" x14ac:dyDescent="0.15">
      <c r="A1454" s="15" t="s">
        <v>7020</v>
      </c>
      <c r="B1454" s="15"/>
      <c r="C1454" s="15" t="s">
        <v>40</v>
      </c>
      <c r="D1454" s="15" t="s">
        <v>41</v>
      </c>
      <c r="E1454" s="15" t="s">
        <v>7021</v>
      </c>
      <c r="F1454" s="15" t="s">
        <v>7022</v>
      </c>
      <c r="G1454" s="15" t="s">
        <v>6943</v>
      </c>
      <c r="H1454" s="15" t="s">
        <v>7023</v>
      </c>
      <c r="I1454" s="15" t="s">
        <v>1709</v>
      </c>
    </row>
    <row r="1455" spans="1:9" x14ac:dyDescent="0.15">
      <c r="A1455" s="15" t="s">
        <v>7024</v>
      </c>
      <c r="B1455" s="15"/>
      <c r="C1455" s="15" t="s">
        <v>40</v>
      </c>
      <c r="D1455" s="15" t="s">
        <v>41</v>
      </c>
      <c r="E1455" s="15" t="s">
        <v>7025</v>
      </c>
      <c r="F1455" s="15" t="s">
        <v>7026</v>
      </c>
      <c r="G1455" s="15" t="s">
        <v>1854</v>
      </c>
      <c r="H1455" s="15" t="s">
        <v>7027</v>
      </c>
      <c r="I1455" s="15" t="s">
        <v>1709</v>
      </c>
    </row>
    <row r="1456" spans="1:9" x14ac:dyDescent="0.15">
      <c r="A1456" s="15" t="s">
        <v>7028</v>
      </c>
      <c r="B1456" s="15"/>
      <c r="C1456" s="15" t="s">
        <v>40</v>
      </c>
      <c r="D1456" s="15" t="s">
        <v>41</v>
      </c>
      <c r="E1456" s="15" t="s">
        <v>7029</v>
      </c>
      <c r="F1456" s="15" t="s">
        <v>7031</v>
      </c>
      <c r="G1456" s="15" t="s">
        <v>7030</v>
      </c>
      <c r="H1456" s="15" t="s">
        <v>7032</v>
      </c>
      <c r="I1456" s="15" t="s">
        <v>1709</v>
      </c>
    </row>
    <row r="1457" spans="1:9" x14ac:dyDescent="0.15">
      <c r="A1457" s="15" t="s">
        <v>7033</v>
      </c>
      <c r="B1457" s="15"/>
      <c r="C1457" s="15" t="s">
        <v>40</v>
      </c>
      <c r="D1457" s="15" t="s">
        <v>41</v>
      </c>
      <c r="E1457" s="15" t="s">
        <v>7034</v>
      </c>
      <c r="F1457" s="15" t="s">
        <v>7036</v>
      </c>
      <c r="G1457" s="15" t="s">
        <v>7035</v>
      </c>
      <c r="H1457" s="15" t="s">
        <v>7037</v>
      </c>
      <c r="I1457" s="15" t="s">
        <v>1709</v>
      </c>
    </row>
    <row r="1458" spans="1:9" x14ac:dyDescent="0.15">
      <c r="A1458" s="15" t="s">
        <v>7038</v>
      </c>
      <c r="B1458" s="15"/>
      <c r="C1458" s="15" t="s">
        <v>40</v>
      </c>
      <c r="D1458" s="15" t="s">
        <v>41</v>
      </c>
      <c r="E1458" s="15" t="s">
        <v>7039</v>
      </c>
      <c r="F1458" s="15" t="s">
        <v>7040</v>
      </c>
      <c r="G1458" s="15" t="s">
        <v>6429</v>
      </c>
      <c r="H1458" s="15" t="s">
        <v>7041</v>
      </c>
      <c r="I1458" s="15" t="s">
        <v>1709</v>
      </c>
    </row>
    <row r="1459" spans="1:9" x14ac:dyDescent="0.15">
      <c r="A1459" s="15" t="s">
        <v>7042</v>
      </c>
      <c r="B1459" s="15"/>
      <c r="C1459" s="15" t="s">
        <v>40</v>
      </c>
      <c r="D1459" s="15" t="s">
        <v>41</v>
      </c>
      <c r="E1459" s="15" t="s">
        <v>7043</v>
      </c>
      <c r="F1459" s="15" t="s">
        <v>7045</v>
      </c>
      <c r="G1459" s="15" t="s">
        <v>7044</v>
      </c>
      <c r="H1459" s="15" t="s">
        <v>7046</v>
      </c>
      <c r="I1459" s="15" t="s">
        <v>1709</v>
      </c>
    </row>
    <row r="1460" spans="1:9" x14ac:dyDescent="0.15">
      <c r="A1460" s="15" t="s">
        <v>7047</v>
      </c>
      <c r="B1460" s="15"/>
      <c r="C1460" s="15" t="s">
        <v>40</v>
      </c>
      <c r="D1460" s="15" t="s">
        <v>41</v>
      </c>
      <c r="E1460" s="15" t="s">
        <v>7048</v>
      </c>
      <c r="F1460" s="15" t="s">
        <v>7050</v>
      </c>
      <c r="G1460" s="15" t="s">
        <v>7049</v>
      </c>
      <c r="H1460" s="15" t="s">
        <v>7051</v>
      </c>
      <c r="I1460" s="15" t="s">
        <v>1709</v>
      </c>
    </row>
    <row r="1461" spans="1:9" x14ac:dyDescent="0.15">
      <c r="A1461" s="15" t="s">
        <v>7052</v>
      </c>
      <c r="B1461" s="15"/>
      <c r="C1461" s="15" t="s">
        <v>40</v>
      </c>
      <c r="D1461" s="15" t="s">
        <v>41</v>
      </c>
      <c r="E1461" s="15" t="s">
        <v>7053</v>
      </c>
      <c r="F1461" s="15" t="s">
        <v>7055</v>
      </c>
      <c r="G1461" s="15" t="s">
        <v>7054</v>
      </c>
      <c r="H1461" s="15" t="s">
        <v>7056</v>
      </c>
      <c r="I1461" s="15" t="s">
        <v>1709</v>
      </c>
    </row>
    <row r="1462" spans="1:9" x14ac:dyDescent="0.15">
      <c r="A1462" s="15" t="s">
        <v>7057</v>
      </c>
      <c r="B1462" s="15"/>
      <c r="C1462" s="15" t="s">
        <v>40</v>
      </c>
      <c r="D1462" s="15" t="s">
        <v>41</v>
      </c>
      <c r="E1462" s="15" t="s">
        <v>7058</v>
      </c>
      <c r="F1462" s="15" t="s">
        <v>7059</v>
      </c>
      <c r="G1462" s="15" t="s">
        <v>2850</v>
      </c>
      <c r="H1462" s="15" t="s">
        <v>7060</v>
      </c>
      <c r="I1462" s="15" t="s">
        <v>1709</v>
      </c>
    </row>
    <row r="1463" spans="1:9" x14ac:dyDescent="0.15">
      <c r="A1463" s="15" t="s">
        <v>7061</v>
      </c>
      <c r="B1463" s="15"/>
      <c r="C1463" s="15" t="s">
        <v>40</v>
      </c>
      <c r="D1463" s="15" t="s">
        <v>41</v>
      </c>
      <c r="E1463" s="15" t="s">
        <v>7062</v>
      </c>
      <c r="F1463" s="15" t="s">
        <v>7064</v>
      </c>
      <c r="G1463" s="15" t="s">
        <v>7063</v>
      </c>
      <c r="H1463" s="15" t="s">
        <v>7065</v>
      </c>
      <c r="I1463" s="15" t="s">
        <v>346</v>
      </c>
    </row>
    <row r="1464" spans="1:9" x14ac:dyDescent="0.15">
      <c r="A1464" s="15" t="s">
        <v>7066</v>
      </c>
      <c r="B1464" s="15"/>
      <c r="C1464" s="15" t="s">
        <v>40</v>
      </c>
      <c r="D1464" s="15" t="s">
        <v>41</v>
      </c>
      <c r="E1464" s="15" t="s">
        <v>7067</v>
      </c>
      <c r="F1464" s="15" t="s">
        <v>7069</v>
      </c>
      <c r="G1464" s="15" t="s">
        <v>7068</v>
      </c>
      <c r="H1464" s="15" t="s">
        <v>7070</v>
      </c>
      <c r="I1464" s="15" t="s">
        <v>346</v>
      </c>
    </row>
    <row r="1465" spans="1:9" x14ac:dyDescent="0.15">
      <c r="A1465" s="15" t="s">
        <v>7071</v>
      </c>
      <c r="B1465" s="15"/>
      <c r="C1465" s="15" t="s">
        <v>40</v>
      </c>
      <c r="D1465" s="15" t="s">
        <v>41</v>
      </c>
      <c r="E1465" s="15" t="s">
        <v>7072</v>
      </c>
      <c r="F1465" s="15" t="s">
        <v>7074</v>
      </c>
      <c r="G1465" s="15" t="s">
        <v>7073</v>
      </c>
      <c r="H1465" s="15" t="s">
        <v>7075</v>
      </c>
      <c r="I1465" s="15" t="s">
        <v>346</v>
      </c>
    </row>
    <row r="1466" spans="1:9" x14ac:dyDescent="0.15">
      <c r="A1466" s="15" t="s">
        <v>7076</v>
      </c>
      <c r="B1466" s="15"/>
      <c r="C1466" s="15" t="s">
        <v>40</v>
      </c>
      <c r="D1466" s="15" t="s">
        <v>41</v>
      </c>
      <c r="E1466" s="15" t="s">
        <v>7077</v>
      </c>
      <c r="F1466" s="15" t="s">
        <v>7079</v>
      </c>
      <c r="G1466" s="15" t="s">
        <v>7078</v>
      </c>
      <c r="H1466" s="15" t="s">
        <v>7080</v>
      </c>
      <c r="I1466" s="15" t="s">
        <v>346</v>
      </c>
    </row>
    <row r="1467" spans="1:9" x14ac:dyDescent="0.15">
      <c r="A1467" s="15" t="s">
        <v>7081</v>
      </c>
      <c r="B1467" s="15"/>
      <c r="C1467" s="15" t="s">
        <v>40</v>
      </c>
      <c r="D1467" s="15" t="s">
        <v>41</v>
      </c>
      <c r="E1467" s="15" t="s">
        <v>7082</v>
      </c>
      <c r="F1467" s="15" t="s">
        <v>7084</v>
      </c>
      <c r="G1467" s="15" t="s">
        <v>7083</v>
      </c>
      <c r="H1467" s="15" t="s">
        <v>7085</v>
      </c>
      <c r="I1467" s="15" t="s">
        <v>1709</v>
      </c>
    </row>
    <row r="1468" spans="1:9" x14ac:dyDescent="0.15">
      <c r="A1468" s="15" t="s">
        <v>7086</v>
      </c>
      <c r="B1468" s="15"/>
      <c r="C1468" s="15" t="s">
        <v>40</v>
      </c>
      <c r="D1468" s="15" t="s">
        <v>41</v>
      </c>
      <c r="E1468" s="15" t="s">
        <v>7087</v>
      </c>
      <c r="F1468" s="15" t="s">
        <v>7089</v>
      </c>
      <c r="G1468" s="15" t="s">
        <v>7088</v>
      </c>
      <c r="H1468" s="15" t="s">
        <v>7090</v>
      </c>
      <c r="I1468" s="15" t="s">
        <v>346</v>
      </c>
    </row>
    <row r="1469" spans="1:9" x14ac:dyDescent="0.15">
      <c r="A1469" s="15" t="s">
        <v>7091</v>
      </c>
      <c r="B1469" s="15"/>
      <c r="C1469" s="15" t="s">
        <v>40</v>
      </c>
      <c r="D1469" s="15" t="s">
        <v>41</v>
      </c>
      <c r="E1469" s="15" t="s">
        <v>7092</v>
      </c>
      <c r="F1469" s="15" t="s">
        <v>7094</v>
      </c>
      <c r="G1469" s="15" t="s">
        <v>7093</v>
      </c>
      <c r="H1469" s="15" t="s">
        <v>7095</v>
      </c>
      <c r="I1469" s="15" t="s">
        <v>346</v>
      </c>
    </row>
    <row r="1470" spans="1:9" x14ac:dyDescent="0.15">
      <c r="A1470" s="15" t="s">
        <v>7096</v>
      </c>
      <c r="B1470" s="15"/>
      <c r="C1470" s="15" t="s">
        <v>40</v>
      </c>
      <c r="D1470" s="15" t="s">
        <v>41</v>
      </c>
      <c r="E1470" s="15" t="s">
        <v>7097</v>
      </c>
      <c r="F1470" s="15" t="s">
        <v>7099</v>
      </c>
      <c r="G1470" s="15" t="s">
        <v>7098</v>
      </c>
      <c r="H1470" s="15" t="s">
        <v>7100</v>
      </c>
      <c r="I1470" s="15" t="s">
        <v>346</v>
      </c>
    </row>
    <row r="1471" spans="1:9" x14ac:dyDescent="0.15">
      <c r="A1471" s="15" t="s">
        <v>7101</v>
      </c>
      <c r="B1471" s="15"/>
      <c r="C1471" s="15" t="s">
        <v>40</v>
      </c>
      <c r="D1471" s="15" t="s">
        <v>41</v>
      </c>
      <c r="E1471" s="15" t="s">
        <v>7102</v>
      </c>
      <c r="F1471" s="15" t="s">
        <v>7104</v>
      </c>
      <c r="G1471" s="15" t="s">
        <v>7103</v>
      </c>
      <c r="H1471" s="15" t="s">
        <v>7105</v>
      </c>
      <c r="I1471" s="15" t="s">
        <v>346</v>
      </c>
    </row>
    <row r="1472" spans="1:9" x14ac:dyDescent="0.15">
      <c r="A1472" s="15" t="s">
        <v>7106</v>
      </c>
      <c r="B1472" s="15"/>
      <c r="C1472" s="15" t="s">
        <v>40</v>
      </c>
      <c r="D1472" s="15" t="s">
        <v>41</v>
      </c>
      <c r="E1472" s="15" t="s">
        <v>7107</v>
      </c>
      <c r="F1472" s="15" t="s">
        <v>7109</v>
      </c>
      <c r="G1472" s="15" t="s">
        <v>7108</v>
      </c>
      <c r="H1472" s="15" t="s">
        <v>7110</v>
      </c>
      <c r="I1472" s="15" t="s">
        <v>346</v>
      </c>
    </row>
    <row r="1473" spans="1:9" x14ac:dyDescent="0.15">
      <c r="A1473" s="15" t="s">
        <v>7111</v>
      </c>
      <c r="B1473" s="15"/>
      <c r="C1473" s="15" t="s">
        <v>40</v>
      </c>
      <c r="D1473" s="15" t="s">
        <v>41</v>
      </c>
      <c r="E1473" s="15" t="s">
        <v>7112</v>
      </c>
      <c r="F1473" s="15" t="s">
        <v>7114</v>
      </c>
      <c r="G1473" s="15" t="s">
        <v>7113</v>
      </c>
      <c r="H1473" s="15" t="s">
        <v>7115</v>
      </c>
      <c r="I1473" s="15" t="s">
        <v>346</v>
      </c>
    </row>
    <row r="1474" spans="1:9" x14ac:dyDescent="0.15">
      <c r="A1474" s="15" t="s">
        <v>7116</v>
      </c>
      <c r="B1474" s="15"/>
      <c r="C1474" s="15" t="s">
        <v>40</v>
      </c>
      <c r="D1474" s="15" t="s">
        <v>41</v>
      </c>
      <c r="E1474" s="15" t="s">
        <v>7117</v>
      </c>
      <c r="F1474" s="15" t="s">
        <v>7119</v>
      </c>
      <c r="G1474" s="15" t="s">
        <v>7118</v>
      </c>
      <c r="H1474" s="15" t="s">
        <v>7120</v>
      </c>
      <c r="I1474" s="15" t="s">
        <v>346</v>
      </c>
    </row>
    <row r="1475" spans="1:9" x14ac:dyDescent="0.15">
      <c r="A1475" s="15" t="s">
        <v>7121</v>
      </c>
      <c r="B1475" s="15"/>
      <c r="C1475" s="15" t="s">
        <v>40</v>
      </c>
      <c r="D1475" s="15" t="s">
        <v>41</v>
      </c>
      <c r="E1475" s="15" t="s">
        <v>7122</v>
      </c>
      <c r="F1475" s="15" t="s">
        <v>7123</v>
      </c>
      <c r="G1475" s="15" t="s">
        <v>3276</v>
      </c>
      <c r="H1475" s="15" t="s">
        <v>7124</v>
      </c>
      <c r="I1475" s="15" t="s">
        <v>346</v>
      </c>
    </row>
    <row r="1476" spans="1:9" x14ac:dyDescent="0.15">
      <c r="A1476" s="15" t="s">
        <v>7125</v>
      </c>
      <c r="B1476" s="15"/>
      <c r="C1476" s="15" t="s">
        <v>40</v>
      </c>
      <c r="D1476" s="15" t="s">
        <v>41</v>
      </c>
      <c r="E1476" s="15" t="s">
        <v>7126</v>
      </c>
      <c r="F1476" s="15" t="s">
        <v>7128</v>
      </c>
      <c r="G1476" s="15" t="s">
        <v>7127</v>
      </c>
      <c r="H1476" s="15" t="s">
        <v>7129</v>
      </c>
      <c r="I1476" s="15" t="s">
        <v>346</v>
      </c>
    </row>
    <row r="1477" spans="1:9" x14ac:dyDescent="0.15">
      <c r="A1477" s="15" t="s">
        <v>7130</v>
      </c>
      <c r="B1477" s="15"/>
      <c r="C1477" s="15" t="s">
        <v>40</v>
      </c>
      <c r="D1477" s="15" t="s">
        <v>41</v>
      </c>
      <c r="E1477" s="15" t="s">
        <v>7131</v>
      </c>
      <c r="F1477" s="15" t="s">
        <v>7133</v>
      </c>
      <c r="G1477" s="15" t="s">
        <v>7132</v>
      </c>
      <c r="H1477" s="15" t="s">
        <v>7134</v>
      </c>
      <c r="I1477" s="15" t="s">
        <v>346</v>
      </c>
    </row>
    <row r="1478" spans="1:9" x14ac:dyDescent="0.15">
      <c r="A1478" s="15" t="s">
        <v>7135</v>
      </c>
      <c r="B1478" s="15"/>
      <c r="C1478" s="15" t="s">
        <v>40</v>
      </c>
      <c r="D1478" s="15" t="s">
        <v>41</v>
      </c>
      <c r="E1478" s="15" t="s">
        <v>7136</v>
      </c>
      <c r="F1478" s="15" t="s">
        <v>7138</v>
      </c>
      <c r="G1478" s="15" t="s">
        <v>7137</v>
      </c>
      <c r="H1478" s="15" t="s">
        <v>7139</v>
      </c>
      <c r="I1478" s="15" t="s">
        <v>346</v>
      </c>
    </row>
    <row r="1479" spans="1:9" x14ac:dyDescent="0.15">
      <c r="A1479" s="15" t="s">
        <v>7140</v>
      </c>
      <c r="B1479" s="15"/>
      <c r="C1479" s="15" t="s">
        <v>40</v>
      </c>
      <c r="D1479" s="15" t="s">
        <v>41</v>
      </c>
      <c r="E1479" s="15" t="s">
        <v>7141</v>
      </c>
      <c r="F1479" s="15" t="s">
        <v>7143</v>
      </c>
      <c r="G1479" s="15" t="s">
        <v>7142</v>
      </c>
      <c r="H1479" s="15" t="s">
        <v>7144</v>
      </c>
      <c r="I1479" s="15" t="s">
        <v>346</v>
      </c>
    </row>
    <row r="1480" spans="1:9" x14ac:dyDescent="0.15">
      <c r="A1480" s="15" t="s">
        <v>7145</v>
      </c>
      <c r="B1480" s="15"/>
      <c r="C1480" s="15" t="s">
        <v>40</v>
      </c>
      <c r="D1480" s="15" t="s">
        <v>41</v>
      </c>
      <c r="E1480" s="15" t="s">
        <v>7146</v>
      </c>
      <c r="F1480" s="15" t="s">
        <v>7148</v>
      </c>
      <c r="G1480" s="15" t="s">
        <v>7147</v>
      </c>
      <c r="H1480" s="15" t="s">
        <v>7149</v>
      </c>
      <c r="I1480" s="15" t="s">
        <v>346</v>
      </c>
    </row>
    <row r="1481" spans="1:9" x14ac:dyDescent="0.15">
      <c r="A1481" s="15" t="s">
        <v>7150</v>
      </c>
      <c r="B1481" s="15"/>
      <c r="C1481" s="15" t="s">
        <v>40</v>
      </c>
      <c r="D1481" s="15" t="s">
        <v>41</v>
      </c>
      <c r="E1481" s="15" t="s">
        <v>7151</v>
      </c>
      <c r="F1481" s="15" t="s">
        <v>7153</v>
      </c>
      <c r="G1481" s="15" t="s">
        <v>7152</v>
      </c>
      <c r="H1481" s="15" t="s">
        <v>7154</v>
      </c>
      <c r="I1481" s="15" t="s">
        <v>346</v>
      </c>
    </row>
    <row r="1482" spans="1:9" x14ac:dyDescent="0.15">
      <c r="A1482" s="15" t="s">
        <v>7155</v>
      </c>
      <c r="B1482" s="15"/>
      <c r="C1482" s="15" t="s">
        <v>40</v>
      </c>
      <c r="D1482" s="15" t="s">
        <v>41</v>
      </c>
      <c r="E1482" s="15" t="s">
        <v>7156</v>
      </c>
      <c r="F1482" s="15" t="s">
        <v>7158</v>
      </c>
      <c r="G1482" s="15" t="s">
        <v>7157</v>
      </c>
      <c r="H1482" s="15" t="s">
        <v>7159</v>
      </c>
      <c r="I1482" s="15" t="s">
        <v>346</v>
      </c>
    </row>
    <row r="1483" spans="1:9" x14ac:dyDescent="0.15">
      <c r="A1483" s="15" t="s">
        <v>7160</v>
      </c>
      <c r="B1483" s="15"/>
      <c r="C1483" s="15" t="s">
        <v>40</v>
      </c>
      <c r="D1483" s="15" t="s">
        <v>41</v>
      </c>
      <c r="E1483" s="15" t="s">
        <v>7161</v>
      </c>
      <c r="F1483" s="15" t="s">
        <v>7163</v>
      </c>
      <c r="G1483" s="15" t="s">
        <v>7162</v>
      </c>
      <c r="H1483" s="15" t="s">
        <v>7164</v>
      </c>
      <c r="I1483" s="15" t="s">
        <v>346</v>
      </c>
    </row>
    <row r="1484" spans="1:9" x14ac:dyDescent="0.15">
      <c r="A1484" s="15" t="s">
        <v>7165</v>
      </c>
      <c r="B1484" s="15"/>
      <c r="C1484" s="15" t="s">
        <v>40</v>
      </c>
      <c r="D1484" s="15" t="s">
        <v>41</v>
      </c>
      <c r="E1484" s="15" t="s">
        <v>7166</v>
      </c>
      <c r="F1484" s="15" t="s">
        <v>7168</v>
      </c>
      <c r="G1484" s="15" t="s">
        <v>7167</v>
      </c>
      <c r="H1484" s="15" t="s">
        <v>7169</v>
      </c>
      <c r="I1484" s="15" t="s">
        <v>346</v>
      </c>
    </row>
    <row r="1485" spans="1:9" x14ac:dyDescent="0.15">
      <c r="A1485" s="15" t="s">
        <v>7170</v>
      </c>
      <c r="B1485" s="15"/>
      <c r="C1485" s="15" t="s">
        <v>40</v>
      </c>
      <c r="D1485" s="15" t="s">
        <v>41</v>
      </c>
      <c r="E1485" s="15" t="s">
        <v>7171</v>
      </c>
      <c r="F1485" s="15" t="s">
        <v>7172</v>
      </c>
      <c r="G1485" s="15" t="s">
        <v>359</v>
      </c>
      <c r="H1485" s="15" t="s">
        <v>7173</v>
      </c>
      <c r="I1485" s="15" t="s">
        <v>346</v>
      </c>
    </row>
    <row r="1486" spans="1:9" x14ac:dyDescent="0.15">
      <c r="A1486" s="15" t="s">
        <v>7174</v>
      </c>
      <c r="B1486" s="15"/>
      <c r="C1486" s="15" t="s">
        <v>40</v>
      </c>
      <c r="D1486" s="15" t="s">
        <v>41</v>
      </c>
      <c r="E1486" s="15" t="s">
        <v>7175</v>
      </c>
      <c r="F1486" s="15" t="s">
        <v>7176</v>
      </c>
      <c r="G1486" s="15" t="s">
        <v>359</v>
      </c>
      <c r="H1486" s="15" t="s">
        <v>7177</v>
      </c>
      <c r="I1486" s="15" t="s">
        <v>346</v>
      </c>
    </row>
    <row r="1487" spans="1:9" x14ac:dyDescent="0.15">
      <c r="A1487" s="15" t="s">
        <v>7178</v>
      </c>
      <c r="B1487" s="15"/>
      <c r="C1487" s="15" t="s">
        <v>40</v>
      </c>
      <c r="D1487" s="15" t="s">
        <v>41</v>
      </c>
      <c r="E1487" s="15" t="s">
        <v>7179</v>
      </c>
      <c r="F1487" s="15" t="s">
        <v>7181</v>
      </c>
      <c r="G1487" s="15" t="s">
        <v>7180</v>
      </c>
      <c r="H1487" s="15" t="s">
        <v>7182</v>
      </c>
      <c r="I1487" s="15" t="s">
        <v>346</v>
      </c>
    </row>
    <row r="1488" spans="1:9" x14ac:dyDescent="0.15">
      <c r="A1488" s="15" t="s">
        <v>7183</v>
      </c>
      <c r="B1488" s="15"/>
      <c r="C1488" s="15" t="s">
        <v>40</v>
      </c>
      <c r="D1488" s="15" t="s">
        <v>41</v>
      </c>
      <c r="E1488" s="15" t="s">
        <v>7184</v>
      </c>
      <c r="F1488" s="15" t="s">
        <v>7186</v>
      </c>
      <c r="G1488" s="15" t="s">
        <v>7185</v>
      </c>
      <c r="H1488" s="15" t="s">
        <v>7187</v>
      </c>
      <c r="I1488" s="15" t="s">
        <v>346</v>
      </c>
    </row>
    <row r="1489" spans="1:9" x14ac:dyDescent="0.15">
      <c r="A1489" s="15" t="s">
        <v>7188</v>
      </c>
      <c r="B1489" s="15"/>
      <c r="C1489" s="15" t="s">
        <v>40</v>
      </c>
      <c r="D1489" s="15" t="s">
        <v>41</v>
      </c>
      <c r="E1489" s="15" t="s">
        <v>7189</v>
      </c>
      <c r="F1489" s="15" t="s">
        <v>7191</v>
      </c>
      <c r="G1489" s="15" t="s">
        <v>7190</v>
      </c>
      <c r="H1489" s="15" t="s">
        <v>7192</v>
      </c>
      <c r="I1489" s="15" t="s">
        <v>346</v>
      </c>
    </row>
    <row r="1490" spans="1:9" x14ac:dyDescent="0.15">
      <c r="A1490" s="15" t="s">
        <v>7193</v>
      </c>
      <c r="B1490" s="15"/>
      <c r="C1490" s="15" t="s">
        <v>40</v>
      </c>
      <c r="D1490" s="15" t="s">
        <v>41</v>
      </c>
      <c r="E1490" s="15" t="s">
        <v>7194</v>
      </c>
      <c r="F1490" s="15" t="s">
        <v>7196</v>
      </c>
      <c r="G1490" s="15" t="s">
        <v>7195</v>
      </c>
      <c r="H1490" s="15" t="s">
        <v>7197</v>
      </c>
      <c r="I1490" s="15" t="s">
        <v>346</v>
      </c>
    </row>
    <row r="1491" spans="1:9" x14ac:dyDescent="0.15">
      <c r="A1491" s="15" t="s">
        <v>7198</v>
      </c>
      <c r="B1491" s="15"/>
      <c r="C1491" s="15" t="s">
        <v>40</v>
      </c>
      <c r="D1491" s="15" t="s">
        <v>41</v>
      </c>
      <c r="E1491" s="15" t="s">
        <v>7199</v>
      </c>
      <c r="F1491" s="15" t="s">
        <v>7201</v>
      </c>
      <c r="G1491" s="15" t="s">
        <v>7200</v>
      </c>
      <c r="H1491" s="15" t="s">
        <v>7202</v>
      </c>
      <c r="I1491" s="15" t="s">
        <v>346</v>
      </c>
    </row>
    <row r="1492" spans="1:9" x14ac:dyDescent="0.15">
      <c r="A1492" s="15" t="s">
        <v>7203</v>
      </c>
      <c r="B1492" s="15"/>
      <c r="C1492" s="15" t="s">
        <v>40</v>
      </c>
      <c r="D1492" s="15" t="s">
        <v>41</v>
      </c>
      <c r="E1492" s="15" t="s">
        <v>7204</v>
      </c>
      <c r="F1492" s="15" t="s">
        <v>7205</v>
      </c>
      <c r="G1492" s="15" t="s">
        <v>2056</v>
      </c>
      <c r="H1492" s="15" t="s">
        <v>7206</v>
      </c>
      <c r="I1492" s="15" t="s">
        <v>346</v>
      </c>
    </row>
    <row r="1493" spans="1:9" x14ac:dyDescent="0.15">
      <c r="A1493" s="15" t="s">
        <v>7207</v>
      </c>
      <c r="B1493" s="15"/>
      <c r="C1493" s="15" t="s">
        <v>40</v>
      </c>
      <c r="D1493" s="15" t="s">
        <v>41</v>
      </c>
      <c r="E1493" s="15" t="s">
        <v>7208</v>
      </c>
      <c r="F1493" s="15" t="s">
        <v>7209</v>
      </c>
      <c r="G1493" s="15" t="s">
        <v>2056</v>
      </c>
      <c r="H1493" s="15" t="s">
        <v>7210</v>
      </c>
      <c r="I1493" s="15" t="s">
        <v>346</v>
      </c>
    </row>
    <row r="1494" spans="1:9" x14ac:dyDescent="0.15">
      <c r="A1494" s="15" t="s">
        <v>7211</v>
      </c>
      <c r="B1494" s="15"/>
      <c r="C1494" s="15" t="s">
        <v>40</v>
      </c>
      <c r="D1494" s="15" t="s">
        <v>41</v>
      </c>
      <c r="E1494" s="15" t="s">
        <v>7212</v>
      </c>
      <c r="F1494" s="15" t="s">
        <v>7213</v>
      </c>
      <c r="G1494" s="15" t="s">
        <v>2915</v>
      </c>
      <c r="H1494" s="15" t="s">
        <v>7214</v>
      </c>
      <c r="I1494" s="15" t="s">
        <v>346</v>
      </c>
    </row>
    <row r="1495" spans="1:9" x14ac:dyDescent="0.15">
      <c r="A1495" s="15" t="s">
        <v>7215</v>
      </c>
      <c r="B1495" s="15"/>
      <c r="C1495" s="15" t="s">
        <v>40</v>
      </c>
      <c r="D1495" s="15" t="s">
        <v>41</v>
      </c>
      <c r="E1495" s="15" t="s">
        <v>7216</v>
      </c>
      <c r="F1495" s="15" t="s">
        <v>7218</v>
      </c>
      <c r="G1495" s="15" t="s">
        <v>7217</v>
      </c>
      <c r="H1495" s="15" t="s">
        <v>7219</v>
      </c>
      <c r="I1495" s="15" t="s">
        <v>346</v>
      </c>
    </row>
    <row r="1496" spans="1:9" x14ac:dyDescent="0.15">
      <c r="A1496" s="15" t="s">
        <v>7220</v>
      </c>
      <c r="B1496" s="15"/>
      <c r="C1496" s="15" t="s">
        <v>40</v>
      </c>
      <c r="D1496" s="15" t="s">
        <v>41</v>
      </c>
      <c r="E1496" s="15" t="s">
        <v>7221</v>
      </c>
      <c r="F1496" s="15" t="s">
        <v>7223</v>
      </c>
      <c r="G1496" s="15" t="s">
        <v>7222</v>
      </c>
      <c r="H1496" s="15" t="s">
        <v>7224</v>
      </c>
      <c r="I1496" s="15" t="s">
        <v>346</v>
      </c>
    </row>
    <row r="1497" spans="1:9" x14ac:dyDescent="0.15">
      <c r="A1497" s="15" t="s">
        <v>7225</v>
      </c>
      <c r="B1497" s="15"/>
      <c r="C1497" s="15" t="s">
        <v>40</v>
      </c>
      <c r="D1497" s="15" t="s">
        <v>41</v>
      </c>
      <c r="E1497" s="15" t="s">
        <v>7226</v>
      </c>
      <c r="F1497" s="15" t="s">
        <v>7228</v>
      </c>
      <c r="G1497" s="15" t="s">
        <v>7227</v>
      </c>
      <c r="H1497" s="15" t="s">
        <v>7229</v>
      </c>
      <c r="I1497" s="15" t="s">
        <v>346</v>
      </c>
    </row>
    <row r="1498" spans="1:9" x14ac:dyDescent="0.15">
      <c r="A1498" s="15" t="s">
        <v>7230</v>
      </c>
      <c r="B1498" s="15"/>
      <c r="C1498" s="15" t="s">
        <v>40</v>
      </c>
      <c r="D1498" s="15" t="s">
        <v>41</v>
      </c>
      <c r="E1498" s="15" t="s">
        <v>7231</v>
      </c>
      <c r="F1498" s="15" t="s">
        <v>7232</v>
      </c>
      <c r="G1498" s="15" t="s">
        <v>7157</v>
      </c>
      <c r="H1498" s="15" t="s">
        <v>7233</v>
      </c>
      <c r="I1498" s="15" t="s">
        <v>346</v>
      </c>
    </row>
    <row r="1499" spans="1:9" x14ac:dyDescent="0.15">
      <c r="A1499" s="15" t="s">
        <v>7234</v>
      </c>
      <c r="B1499" s="15"/>
      <c r="C1499" s="15" t="s">
        <v>40</v>
      </c>
      <c r="D1499" s="15" t="s">
        <v>41</v>
      </c>
      <c r="E1499" s="15" t="s">
        <v>7235</v>
      </c>
      <c r="F1499" s="15" t="s">
        <v>7237</v>
      </c>
      <c r="G1499" s="15" t="s">
        <v>7236</v>
      </c>
      <c r="H1499" s="15" t="s">
        <v>7238</v>
      </c>
      <c r="I1499" s="15" t="s">
        <v>346</v>
      </c>
    </row>
    <row r="1500" spans="1:9" x14ac:dyDescent="0.15">
      <c r="A1500" s="15" t="s">
        <v>7239</v>
      </c>
      <c r="B1500" s="15"/>
      <c r="C1500" s="15" t="s">
        <v>40</v>
      </c>
      <c r="D1500" s="15" t="s">
        <v>41</v>
      </c>
      <c r="E1500" s="15" t="s">
        <v>7240</v>
      </c>
      <c r="F1500" s="15" t="s">
        <v>7242</v>
      </c>
      <c r="G1500" s="15" t="s">
        <v>7241</v>
      </c>
      <c r="H1500" s="15" t="s">
        <v>7243</v>
      </c>
      <c r="I1500" s="15" t="s">
        <v>346</v>
      </c>
    </row>
    <row r="1501" spans="1:9" x14ac:dyDescent="0.15">
      <c r="A1501" s="15" t="s">
        <v>7244</v>
      </c>
      <c r="B1501" s="15"/>
      <c r="C1501" s="15" t="s">
        <v>40</v>
      </c>
      <c r="D1501" s="15" t="s">
        <v>41</v>
      </c>
      <c r="E1501" s="15" t="s">
        <v>7245</v>
      </c>
      <c r="F1501" s="15" t="s">
        <v>7247</v>
      </c>
      <c r="G1501" s="15" t="s">
        <v>7246</v>
      </c>
      <c r="H1501" s="15" t="s">
        <v>7248</v>
      </c>
      <c r="I1501" s="15" t="s">
        <v>346</v>
      </c>
    </row>
    <row r="1502" spans="1:9" x14ac:dyDescent="0.15">
      <c r="A1502" s="15" t="s">
        <v>7249</v>
      </c>
      <c r="B1502" s="15"/>
      <c r="C1502" s="15" t="s">
        <v>40</v>
      </c>
      <c r="D1502" s="15" t="s">
        <v>41</v>
      </c>
      <c r="E1502" s="15" t="s">
        <v>7250</v>
      </c>
      <c r="F1502" s="15" t="s">
        <v>7252</v>
      </c>
      <c r="G1502" s="15" t="s">
        <v>7251</v>
      </c>
      <c r="H1502" s="15" t="s">
        <v>7253</v>
      </c>
      <c r="I1502" s="15" t="s">
        <v>346</v>
      </c>
    </row>
    <row r="1503" spans="1:9" x14ac:dyDescent="0.15">
      <c r="A1503" s="15" t="s">
        <v>7254</v>
      </c>
      <c r="B1503" s="15"/>
      <c r="C1503" s="15" t="s">
        <v>40</v>
      </c>
      <c r="D1503" s="15" t="s">
        <v>41</v>
      </c>
      <c r="E1503" s="15" t="s">
        <v>7255</v>
      </c>
      <c r="F1503" s="15" t="s">
        <v>7257</v>
      </c>
      <c r="G1503" s="15" t="s">
        <v>7256</v>
      </c>
      <c r="H1503" s="15" t="s">
        <v>7258</v>
      </c>
      <c r="I1503" s="15" t="s">
        <v>346</v>
      </c>
    </row>
    <row r="1504" spans="1:9" x14ac:dyDescent="0.15">
      <c r="A1504" s="15" t="s">
        <v>7259</v>
      </c>
      <c r="B1504" s="15"/>
      <c r="C1504" s="15" t="s">
        <v>40</v>
      </c>
      <c r="D1504" s="15" t="s">
        <v>41</v>
      </c>
      <c r="E1504" s="15" t="s">
        <v>7260</v>
      </c>
      <c r="F1504" s="15" t="s">
        <v>7261</v>
      </c>
      <c r="G1504" s="15" t="s">
        <v>7113</v>
      </c>
      <c r="H1504" s="15" t="s">
        <v>7262</v>
      </c>
      <c r="I1504" s="15" t="s">
        <v>346</v>
      </c>
    </row>
    <row r="1505" spans="1:9" x14ac:dyDescent="0.15">
      <c r="A1505" s="15" t="s">
        <v>7263</v>
      </c>
      <c r="B1505" s="15"/>
      <c r="C1505" s="15" t="s">
        <v>40</v>
      </c>
      <c r="D1505" s="15" t="s">
        <v>41</v>
      </c>
      <c r="E1505" s="15" t="s">
        <v>7264</v>
      </c>
      <c r="F1505" s="15" t="s">
        <v>7266</v>
      </c>
      <c r="G1505" s="15" t="s">
        <v>7265</v>
      </c>
      <c r="H1505" s="15" t="s">
        <v>7267</v>
      </c>
      <c r="I1505" s="15" t="s">
        <v>346</v>
      </c>
    </row>
    <row r="1506" spans="1:9" x14ac:dyDescent="0.15">
      <c r="A1506" s="15" t="s">
        <v>7268</v>
      </c>
      <c r="B1506" s="15"/>
      <c r="C1506" s="15" t="s">
        <v>40</v>
      </c>
      <c r="D1506" s="15" t="s">
        <v>41</v>
      </c>
      <c r="E1506" s="15" t="s">
        <v>7269</v>
      </c>
      <c r="F1506" s="15" t="s">
        <v>7271</v>
      </c>
      <c r="G1506" s="15" t="s">
        <v>7270</v>
      </c>
      <c r="H1506" s="15" t="s">
        <v>7272</v>
      </c>
      <c r="I1506" s="15" t="s">
        <v>346</v>
      </c>
    </row>
    <row r="1507" spans="1:9" x14ac:dyDescent="0.15">
      <c r="A1507" s="15" t="s">
        <v>7273</v>
      </c>
      <c r="B1507" s="15"/>
      <c r="C1507" s="15" t="s">
        <v>40</v>
      </c>
      <c r="D1507" s="15" t="s">
        <v>41</v>
      </c>
      <c r="E1507" s="15" t="s">
        <v>7274</v>
      </c>
      <c r="F1507" s="15" t="s">
        <v>7276</v>
      </c>
      <c r="G1507" s="15" t="s">
        <v>7275</v>
      </c>
      <c r="H1507" s="15" t="s">
        <v>7277</v>
      </c>
      <c r="I1507" s="15" t="s">
        <v>346</v>
      </c>
    </row>
    <row r="1508" spans="1:9" x14ac:dyDescent="0.15">
      <c r="A1508" s="15" t="s">
        <v>7278</v>
      </c>
      <c r="B1508" s="15"/>
      <c r="C1508" s="15" t="s">
        <v>40</v>
      </c>
      <c r="D1508" s="15" t="s">
        <v>41</v>
      </c>
      <c r="E1508" s="15" t="s">
        <v>7279</v>
      </c>
      <c r="F1508" s="15" t="s">
        <v>7281</v>
      </c>
      <c r="G1508" s="15" t="s">
        <v>7280</v>
      </c>
      <c r="H1508" s="15" t="s">
        <v>7282</v>
      </c>
      <c r="I1508" s="15" t="s">
        <v>346</v>
      </c>
    </row>
    <row r="1509" spans="1:9" x14ac:dyDescent="0.15">
      <c r="A1509" s="15" t="s">
        <v>7283</v>
      </c>
      <c r="B1509" s="15"/>
      <c r="C1509" s="15" t="s">
        <v>40</v>
      </c>
      <c r="D1509" s="15" t="s">
        <v>41</v>
      </c>
      <c r="E1509" s="15" t="s">
        <v>7284</v>
      </c>
      <c r="F1509" s="15" t="s">
        <v>7286</v>
      </c>
      <c r="G1509" s="15" t="s">
        <v>7285</v>
      </c>
      <c r="H1509" s="15" t="s">
        <v>7287</v>
      </c>
      <c r="I1509" s="15" t="s">
        <v>346</v>
      </c>
    </row>
    <row r="1510" spans="1:9" x14ac:dyDescent="0.15">
      <c r="A1510" s="15" t="s">
        <v>7288</v>
      </c>
      <c r="B1510" s="15"/>
      <c r="C1510" s="15" t="s">
        <v>40</v>
      </c>
      <c r="D1510" s="15" t="s">
        <v>41</v>
      </c>
      <c r="E1510" s="15" t="s">
        <v>7289</v>
      </c>
      <c r="F1510" s="15" t="s">
        <v>7291</v>
      </c>
      <c r="G1510" s="15" t="s">
        <v>7290</v>
      </c>
      <c r="H1510" s="15" t="s">
        <v>7292</v>
      </c>
      <c r="I1510" s="15" t="s">
        <v>346</v>
      </c>
    </row>
    <row r="1511" spans="1:9" x14ac:dyDescent="0.15">
      <c r="A1511" s="15" t="s">
        <v>7293</v>
      </c>
      <c r="B1511" s="15"/>
      <c r="C1511" s="15" t="s">
        <v>40</v>
      </c>
      <c r="D1511" s="15" t="s">
        <v>41</v>
      </c>
      <c r="E1511" s="15" t="s">
        <v>7294</v>
      </c>
      <c r="F1511" s="15" t="s">
        <v>7296</v>
      </c>
      <c r="G1511" s="15" t="s">
        <v>7295</v>
      </c>
      <c r="H1511" s="15" t="s">
        <v>7297</v>
      </c>
      <c r="I1511" s="15" t="s">
        <v>346</v>
      </c>
    </row>
    <row r="1512" spans="1:9" x14ac:dyDescent="0.15">
      <c r="A1512" s="15" t="s">
        <v>7298</v>
      </c>
      <c r="B1512" s="15"/>
      <c r="C1512" s="15" t="s">
        <v>40</v>
      </c>
      <c r="D1512" s="15" t="s">
        <v>41</v>
      </c>
      <c r="E1512" s="15" t="s">
        <v>7299</v>
      </c>
      <c r="F1512" s="15" t="s">
        <v>7300</v>
      </c>
      <c r="G1512" s="15" t="s">
        <v>364</v>
      </c>
      <c r="H1512" s="15" t="s">
        <v>7301</v>
      </c>
      <c r="I1512" s="15" t="s">
        <v>346</v>
      </c>
    </row>
    <row r="1513" spans="1:9" x14ac:dyDescent="0.15">
      <c r="A1513" s="15" t="s">
        <v>7302</v>
      </c>
      <c r="B1513" s="15"/>
      <c r="C1513" s="15" t="s">
        <v>40</v>
      </c>
      <c r="D1513" s="15" t="s">
        <v>41</v>
      </c>
      <c r="E1513" s="15" t="s">
        <v>7303</v>
      </c>
      <c r="F1513" s="15" t="s">
        <v>7305</v>
      </c>
      <c r="G1513" s="15" t="s">
        <v>7304</v>
      </c>
      <c r="H1513" s="15" t="s">
        <v>7306</v>
      </c>
      <c r="I1513" s="15" t="s">
        <v>346</v>
      </c>
    </row>
    <row r="1514" spans="1:9" x14ac:dyDescent="0.15">
      <c r="A1514" s="15" t="s">
        <v>7307</v>
      </c>
      <c r="B1514" s="15"/>
      <c r="C1514" s="15" t="s">
        <v>40</v>
      </c>
      <c r="D1514" s="15" t="s">
        <v>41</v>
      </c>
      <c r="E1514" s="15" t="s">
        <v>7308</v>
      </c>
      <c r="F1514" s="15" t="s">
        <v>7310</v>
      </c>
      <c r="G1514" s="15" t="s">
        <v>7309</v>
      </c>
      <c r="H1514" s="15" t="s">
        <v>7311</v>
      </c>
      <c r="I1514" s="15" t="s">
        <v>346</v>
      </c>
    </row>
    <row r="1515" spans="1:9" x14ac:dyDescent="0.15">
      <c r="A1515" s="15" t="s">
        <v>7312</v>
      </c>
      <c r="B1515" s="15"/>
      <c r="C1515" s="15" t="s">
        <v>40</v>
      </c>
      <c r="D1515" s="15" t="s">
        <v>41</v>
      </c>
      <c r="E1515" s="15" t="s">
        <v>7313</v>
      </c>
      <c r="F1515" s="15" t="s">
        <v>7315</v>
      </c>
      <c r="G1515" s="15" t="s">
        <v>7314</v>
      </c>
      <c r="H1515" s="15" t="s">
        <v>7316</v>
      </c>
      <c r="I1515" s="15" t="s">
        <v>346</v>
      </c>
    </row>
    <row r="1516" spans="1:9" x14ac:dyDescent="0.15">
      <c r="A1516" s="15" t="s">
        <v>7317</v>
      </c>
      <c r="B1516" s="15"/>
      <c r="C1516" s="15" t="s">
        <v>40</v>
      </c>
      <c r="D1516" s="15" t="s">
        <v>41</v>
      </c>
      <c r="E1516" s="15" t="s">
        <v>7318</v>
      </c>
      <c r="F1516" s="15" t="s">
        <v>7319</v>
      </c>
      <c r="G1516" s="15" t="s">
        <v>359</v>
      </c>
      <c r="H1516" s="15" t="s">
        <v>7320</v>
      </c>
      <c r="I1516" s="15" t="s">
        <v>346</v>
      </c>
    </row>
    <row r="1517" spans="1:9" x14ac:dyDescent="0.15">
      <c r="A1517" s="15" t="s">
        <v>7321</v>
      </c>
      <c r="B1517" s="15"/>
      <c r="C1517" s="15" t="s">
        <v>40</v>
      </c>
      <c r="D1517" s="15" t="s">
        <v>41</v>
      </c>
      <c r="E1517" s="15" t="s">
        <v>7322</v>
      </c>
      <c r="F1517" s="15" t="s">
        <v>7324</v>
      </c>
      <c r="G1517" s="15" t="s">
        <v>7323</v>
      </c>
      <c r="H1517" s="15" t="s">
        <v>7325</v>
      </c>
      <c r="I1517" s="15" t="s">
        <v>346</v>
      </c>
    </row>
    <row r="1518" spans="1:9" x14ac:dyDescent="0.15">
      <c r="A1518" s="15" t="s">
        <v>7326</v>
      </c>
      <c r="B1518" s="15"/>
      <c r="C1518" s="15" t="s">
        <v>40</v>
      </c>
      <c r="D1518" s="15" t="s">
        <v>41</v>
      </c>
      <c r="E1518" s="15" t="s">
        <v>7327</v>
      </c>
      <c r="F1518" s="15" t="s">
        <v>7329</v>
      </c>
      <c r="G1518" s="15" t="s">
        <v>7328</v>
      </c>
      <c r="H1518" s="15" t="s">
        <v>7330</v>
      </c>
      <c r="I1518" s="15" t="s">
        <v>346</v>
      </c>
    </row>
    <row r="1519" spans="1:9" x14ac:dyDescent="0.15">
      <c r="A1519" s="15" t="s">
        <v>7331</v>
      </c>
      <c r="B1519" s="15"/>
      <c r="C1519" s="15" t="s">
        <v>40</v>
      </c>
      <c r="D1519" s="15" t="s">
        <v>41</v>
      </c>
      <c r="E1519" s="15" t="s">
        <v>7332</v>
      </c>
      <c r="F1519" s="15" t="s">
        <v>7334</v>
      </c>
      <c r="G1519" s="15" t="s">
        <v>7333</v>
      </c>
      <c r="H1519" s="15" t="s">
        <v>7335</v>
      </c>
      <c r="I1519" s="15" t="s">
        <v>346</v>
      </c>
    </row>
    <row r="1520" spans="1:9" x14ac:dyDescent="0.15">
      <c r="A1520" s="15" t="s">
        <v>7336</v>
      </c>
      <c r="B1520" s="15"/>
      <c r="C1520" s="15" t="s">
        <v>40</v>
      </c>
      <c r="D1520" s="15" t="s">
        <v>41</v>
      </c>
      <c r="E1520" s="15" t="s">
        <v>7337</v>
      </c>
      <c r="F1520" s="15" t="s">
        <v>7339</v>
      </c>
      <c r="G1520" s="15" t="s">
        <v>7338</v>
      </c>
      <c r="H1520" s="15" t="s">
        <v>7340</v>
      </c>
      <c r="I1520" s="15" t="s">
        <v>346</v>
      </c>
    </row>
    <row r="1521" spans="1:9" x14ac:dyDescent="0.15">
      <c r="A1521" s="15" t="s">
        <v>7341</v>
      </c>
      <c r="B1521" s="15"/>
      <c r="C1521" s="15" t="s">
        <v>40</v>
      </c>
      <c r="D1521" s="15" t="s">
        <v>41</v>
      </c>
      <c r="E1521" s="15" t="s">
        <v>7342</v>
      </c>
      <c r="F1521" s="15" t="s">
        <v>7344</v>
      </c>
      <c r="G1521" s="15" t="s">
        <v>7343</v>
      </c>
      <c r="H1521" s="15" t="s">
        <v>7345</v>
      </c>
      <c r="I1521" s="15" t="s">
        <v>346</v>
      </c>
    </row>
    <row r="1522" spans="1:9" x14ac:dyDescent="0.15">
      <c r="A1522" s="15" t="s">
        <v>7346</v>
      </c>
      <c r="B1522" s="15"/>
      <c r="C1522" s="15" t="s">
        <v>40</v>
      </c>
      <c r="D1522" s="15" t="s">
        <v>41</v>
      </c>
      <c r="E1522" s="15" t="s">
        <v>7347</v>
      </c>
      <c r="F1522" s="15" t="s">
        <v>7349</v>
      </c>
      <c r="G1522" s="15" t="s">
        <v>7348</v>
      </c>
      <c r="H1522" s="15" t="s">
        <v>7350</v>
      </c>
      <c r="I1522" s="15" t="s">
        <v>346</v>
      </c>
    </row>
    <row r="1523" spans="1:9" x14ac:dyDescent="0.15">
      <c r="A1523" s="15" t="s">
        <v>7351</v>
      </c>
      <c r="B1523" s="15"/>
      <c r="C1523" s="15" t="s">
        <v>40</v>
      </c>
      <c r="D1523" s="15" t="s">
        <v>41</v>
      </c>
      <c r="E1523" s="15" t="s">
        <v>7352</v>
      </c>
      <c r="F1523" s="15" t="s">
        <v>7353</v>
      </c>
      <c r="G1523" s="15" t="s">
        <v>2021</v>
      </c>
      <c r="H1523" s="15" t="s">
        <v>7354</v>
      </c>
      <c r="I1523" s="15" t="s">
        <v>346</v>
      </c>
    </row>
    <row r="1524" spans="1:9" x14ac:dyDescent="0.15">
      <c r="A1524" s="15" t="s">
        <v>7355</v>
      </c>
      <c r="B1524" s="15"/>
      <c r="C1524" s="15" t="s">
        <v>40</v>
      </c>
      <c r="D1524" s="15" t="s">
        <v>41</v>
      </c>
      <c r="E1524" s="15" t="s">
        <v>7356</v>
      </c>
      <c r="F1524" s="15" t="s">
        <v>7358</v>
      </c>
      <c r="G1524" s="15" t="s">
        <v>7357</v>
      </c>
      <c r="H1524" s="15" t="s">
        <v>7359</v>
      </c>
      <c r="I1524" s="15" t="s">
        <v>346</v>
      </c>
    </row>
    <row r="1525" spans="1:9" x14ac:dyDescent="0.15">
      <c r="A1525" s="15" t="s">
        <v>7360</v>
      </c>
      <c r="B1525" s="15"/>
      <c r="C1525" s="15" t="s">
        <v>40</v>
      </c>
      <c r="D1525" s="15" t="s">
        <v>41</v>
      </c>
      <c r="E1525" s="15" t="s">
        <v>7361</v>
      </c>
      <c r="F1525" s="15" t="s">
        <v>7363</v>
      </c>
      <c r="G1525" s="15" t="s">
        <v>7362</v>
      </c>
      <c r="H1525" s="15" t="s">
        <v>7364</v>
      </c>
      <c r="I1525" s="15" t="s">
        <v>346</v>
      </c>
    </row>
    <row r="1526" spans="1:9" x14ac:dyDescent="0.15">
      <c r="A1526" s="15" t="s">
        <v>7365</v>
      </c>
      <c r="B1526" s="15"/>
      <c r="C1526" s="15" t="s">
        <v>40</v>
      </c>
      <c r="D1526" s="15" t="s">
        <v>41</v>
      </c>
      <c r="E1526" s="15" t="s">
        <v>7366</v>
      </c>
      <c r="F1526" s="15" t="s">
        <v>7368</v>
      </c>
      <c r="G1526" s="15" t="s">
        <v>7367</v>
      </c>
      <c r="H1526" s="15" t="s">
        <v>7369</v>
      </c>
      <c r="I1526" s="15" t="s">
        <v>346</v>
      </c>
    </row>
    <row r="1527" spans="1:9" x14ac:dyDescent="0.15">
      <c r="A1527" s="15" t="s">
        <v>7370</v>
      </c>
      <c r="B1527" s="15"/>
      <c r="C1527" s="15" t="s">
        <v>40</v>
      </c>
      <c r="D1527" s="15" t="s">
        <v>41</v>
      </c>
      <c r="E1527" s="15" t="s">
        <v>7371</v>
      </c>
      <c r="F1527" s="15" t="s">
        <v>7372</v>
      </c>
      <c r="G1527" s="15" t="s">
        <v>7367</v>
      </c>
      <c r="H1527" s="15" t="s">
        <v>7373</v>
      </c>
      <c r="I1527" s="15" t="s">
        <v>346</v>
      </c>
    </row>
    <row r="1528" spans="1:9" x14ac:dyDescent="0.15">
      <c r="A1528" s="15" t="s">
        <v>7374</v>
      </c>
      <c r="B1528" s="15"/>
      <c r="C1528" s="15" t="s">
        <v>40</v>
      </c>
      <c r="D1528" s="15" t="s">
        <v>41</v>
      </c>
      <c r="E1528" s="15" t="s">
        <v>7375</v>
      </c>
      <c r="F1528" s="15" t="s">
        <v>7376</v>
      </c>
      <c r="G1528" s="15" t="s">
        <v>7367</v>
      </c>
      <c r="H1528" s="15" t="s">
        <v>7377</v>
      </c>
      <c r="I1528" s="15" t="s">
        <v>346</v>
      </c>
    </row>
    <row r="1529" spans="1:9" x14ac:dyDescent="0.15">
      <c r="A1529" s="15" t="s">
        <v>7378</v>
      </c>
      <c r="B1529" s="15"/>
      <c r="C1529" s="15" t="s">
        <v>40</v>
      </c>
      <c r="D1529" s="15" t="s">
        <v>41</v>
      </c>
      <c r="E1529" s="15" t="s">
        <v>7379</v>
      </c>
      <c r="F1529" s="15" t="s">
        <v>7381</v>
      </c>
      <c r="G1529" s="15" t="s">
        <v>7380</v>
      </c>
      <c r="H1529" s="15" t="s">
        <v>7382</v>
      </c>
      <c r="I1529" s="15" t="s">
        <v>346</v>
      </c>
    </row>
    <row r="1530" spans="1:9" x14ac:dyDescent="0.15">
      <c r="A1530" s="15" t="s">
        <v>7383</v>
      </c>
      <c r="B1530" s="15"/>
      <c r="C1530" s="15" t="s">
        <v>40</v>
      </c>
      <c r="D1530" s="15" t="s">
        <v>41</v>
      </c>
      <c r="E1530" s="15" t="s">
        <v>7384</v>
      </c>
      <c r="F1530" s="15" t="s">
        <v>7386</v>
      </c>
      <c r="G1530" s="15" t="s">
        <v>7385</v>
      </c>
      <c r="H1530" s="15" t="s">
        <v>7387</v>
      </c>
      <c r="I1530" s="15" t="s">
        <v>346</v>
      </c>
    </row>
    <row r="1531" spans="1:9" x14ac:dyDescent="0.15">
      <c r="A1531" s="15" t="s">
        <v>7388</v>
      </c>
      <c r="B1531" s="15"/>
      <c r="C1531" s="15" t="s">
        <v>40</v>
      </c>
      <c r="D1531" s="15" t="s">
        <v>41</v>
      </c>
      <c r="E1531" s="15" t="s">
        <v>7389</v>
      </c>
      <c r="F1531" s="15" t="s">
        <v>7390</v>
      </c>
      <c r="G1531" s="15" t="s">
        <v>3342</v>
      </c>
      <c r="H1531" s="15" t="s">
        <v>7391</v>
      </c>
      <c r="I1531" s="15" t="s">
        <v>346</v>
      </c>
    </row>
    <row r="1532" spans="1:9" x14ac:dyDescent="0.15">
      <c r="A1532" s="15" t="s">
        <v>7392</v>
      </c>
      <c r="B1532" s="15"/>
      <c r="C1532" s="15" t="s">
        <v>40</v>
      </c>
      <c r="D1532" s="15" t="s">
        <v>41</v>
      </c>
      <c r="E1532" s="15" t="s">
        <v>7393</v>
      </c>
      <c r="F1532" s="15" t="s">
        <v>7394</v>
      </c>
      <c r="G1532" s="15" t="s">
        <v>3342</v>
      </c>
      <c r="H1532" s="15" t="s">
        <v>7395</v>
      </c>
      <c r="I1532" s="15" t="s">
        <v>346</v>
      </c>
    </row>
    <row r="1533" spans="1:9" x14ac:dyDescent="0.15">
      <c r="A1533" s="15" t="s">
        <v>7396</v>
      </c>
      <c r="B1533" s="15"/>
      <c r="C1533" s="15" t="s">
        <v>40</v>
      </c>
      <c r="D1533" s="15" t="s">
        <v>41</v>
      </c>
      <c r="E1533" s="15" t="s">
        <v>7397</v>
      </c>
      <c r="F1533" s="15" t="s">
        <v>7398</v>
      </c>
      <c r="G1533" s="15" t="s">
        <v>7200</v>
      </c>
      <c r="H1533" s="15" t="s">
        <v>7399</v>
      </c>
      <c r="I1533" s="15" t="s">
        <v>346</v>
      </c>
    </row>
    <row r="1534" spans="1:9" x14ac:dyDescent="0.15">
      <c r="A1534" s="15" t="s">
        <v>7400</v>
      </c>
      <c r="B1534" s="15"/>
      <c r="C1534" s="15" t="s">
        <v>40</v>
      </c>
      <c r="D1534" s="15" t="s">
        <v>41</v>
      </c>
      <c r="E1534" s="15" t="s">
        <v>7401</v>
      </c>
      <c r="F1534" s="15" t="s">
        <v>7403</v>
      </c>
      <c r="G1534" s="15" t="s">
        <v>7402</v>
      </c>
      <c r="H1534" s="15" t="s">
        <v>7404</v>
      </c>
      <c r="I1534" s="15" t="s">
        <v>346</v>
      </c>
    </row>
    <row r="1535" spans="1:9" x14ac:dyDescent="0.15">
      <c r="A1535" s="15" t="s">
        <v>7405</v>
      </c>
      <c r="B1535" s="15"/>
      <c r="C1535" s="15" t="s">
        <v>40</v>
      </c>
      <c r="D1535" s="15" t="s">
        <v>41</v>
      </c>
      <c r="E1535" s="15" t="s">
        <v>7406</v>
      </c>
      <c r="F1535" s="15" t="s">
        <v>7407</v>
      </c>
      <c r="G1535" s="15" t="s">
        <v>343</v>
      </c>
      <c r="H1535" s="15" t="s">
        <v>7408</v>
      </c>
      <c r="I1535" s="15" t="s">
        <v>346</v>
      </c>
    </row>
    <row r="1536" spans="1:9" x14ac:dyDescent="0.15">
      <c r="A1536" s="15" t="s">
        <v>7409</v>
      </c>
      <c r="B1536" s="15"/>
      <c r="C1536" s="15" t="s">
        <v>40</v>
      </c>
      <c r="D1536" s="15" t="s">
        <v>41</v>
      </c>
      <c r="E1536" s="15" t="s">
        <v>7410</v>
      </c>
      <c r="F1536" s="15" t="s">
        <v>7411</v>
      </c>
      <c r="G1536" s="15" t="s">
        <v>343</v>
      </c>
      <c r="H1536" s="15" t="s">
        <v>7412</v>
      </c>
      <c r="I1536" s="15" t="s">
        <v>346</v>
      </c>
    </row>
    <row r="1537" spans="1:9" x14ac:dyDescent="0.15">
      <c r="A1537" s="15" t="s">
        <v>7413</v>
      </c>
      <c r="B1537" s="15"/>
      <c r="C1537" s="15" t="s">
        <v>40</v>
      </c>
      <c r="D1537" s="15" t="s">
        <v>41</v>
      </c>
      <c r="E1537" s="15" t="s">
        <v>7414</v>
      </c>
      <c r="F1537" s="15" t="s">
        <v>7415</v>
      </c>
      <c r="G1537" s="15" t="s">
        <v>2051</v>
      </c>
      <c r="H1537" s="15" t="s">
        <v>7416</v>
      </c>
      <c r="I1537" s="15" t="s">
        <v>346</v>
      </c>
    </row>
    <row r="1538" spans="1:9" x14ac:dyDescent="0.15">
      <c r="A1538" s="15" t="s">
        <v>7417</v>
      </c>
      <c r="B1538" s="15"/>
      <c r="C1538" s="15" t="s">
        <v>40</v>
      </c>
      <c r="D1538" s="15" t="s">
        <v>41</v>
      </c>
      <c r="E1538" s="15" t="s">
        <v>7418</v>
      </c>
      <c r="F1538" s="15" t="s">
        <v>7420</v>
      </c>
      <c r="G1538" s="15" t="s">
        <v>7419</v>
      </c>
      <c r="H1538" s="15" t="s">
        <v>7421</v>
      </c>
      <c r="I1538" s="15" t="s">
        <v>346</v>
      </c>
    </row>
    <row r="1539" spans="1:9" x14ac:dyDescent="0.15">
      <c r="A1539" s="15" t="s">
        <v>7422</v>
      </c>
      <c r="B1539" s="15"/>
      <c r="C1539" s="15" t="s">
        <v>40</v>
      </c>
      <c r="D1539" s="15" t="s">
        <v>41</v>
      </c>
      <c r="E1539" s="15" t="s">
        <v>7423</v>
      </c>
      <c r="F1539" s="15" t="s">
        <v>7425</v>
      </c>
      <c r="G1539" s="15" t="s">
        <v>7424</v>
      </c>
      <c r="H1539" s="15" t="s">
        <v>7426</v>
      </c>
      <c r="I1539" s="15" t="s">
        <v>346</v>
      </c>
    </row>
    <row r="1540" spans="1:9" x14ac:dyDescent="0.15">
      <c r="A1540" s="15" t="s">
        <v>7427</v>
      </c>
      <c r="B1540" s="15"/>
      <c r="C1540" s="15" t="s">
        <v>40</v>
      </c>
      <c r="D1540" s="15" t="s">
        <v>41</v>
      </c>
      <c r="E1540" s="15" t="s">
        <v>7428</v>
      </c>
      <c r="F1540" s="15" t="s">
        <v>7429</v>
      </c>
      <c r="G1540" s="15" t="s">
        <v>15</v>
      </c>
      <c r="H1540" s="15" t="s">
        <v>7430</v>
      </c>
      <c r="I1540" s="15" t="s">
        <v>346</v>
      </c>
    </row>
    <row r="1541" spans="1:9" x14ac:dyDescent="0.15">
      <c r="A1541" s="15" t="s">
        <v>7431</v>
      </c>
      <c r="B1541" s="15"/>
      <c r="C1541" s="15" t="s">
        <v>40</v>
      </c>
      <c r="D1541" s="15" t="s">
        <v>41</v>
      </c>
      <c r="E1541" s="15" t="s">
        <v>7432</v>
      </c>
      <c r="F1541" s="15" t="s">
        <v>7434</v>
      </c>
      <c r="G1541" s="15" t="s">
        <v>7433</v>
      </c>
      <c r="H1541" s="15" t="s">
        <v>7435</v>
      </c>
      <c r="I1541" s="15" t="s">
        <v>346</v>
      </c>
    </row>
    <row r="1542" spans="1:9" x14ac:dyDescent="0.15">
      <c r="A1542" s="15" t="s">
        <v>7436</v>
      </c>
      <c r="B1542" s="15"/>
      <c r="C1542" s="15" t="s">
        <v>40</v>
      </c>
      <c r="D1542" s="15" t="s">
        <v>41</v>
      </c>
      <c r="E1542" s="15" t="s">
        <v>7437</v>
      </c>
      <c r="F1542" s="15" t="s">
        <v>7438</v>
      </c>
      <c r="G1542" s="15" t="s">
        <v>7137</v>
      </c>
      <c r="H1542" s="15" t="s">
        <v>7439</v>
      </c>
      <c r="I1542" s="15" t="s">
        <v>346</v>
      </c>
    </row>
    <row r="1543" spans="1:9" x14ac:dyDescent="0.15">
      <c r="A1543" s="15" t="s">
        <v>7440</v>
      </c>
      <c r="B1543" s="15"/>
      <c r="C1543" s="15" t="s">
        <v>40</v>
      </c>
      <c r="D1543" s="15" t="s">
        <v>41</v>
      </c>
      <c r="E1543" s="15" t="s">
        <v>7441</v>
      </c>
      <c r="F1543" s="15" t="s">
        <v>7442</v>
      </c>
      <c r="G1543" s="15" t="s">
        <v>359</v>
      </c>
      <c r="H1543" s="15" t="s">
        <v>7443</v>
      </c>
      <c r="I1543" s="15" t="s">
        <v>346</v>
      </c>
    </row>
    <row r="1544" spans="1:9" x14ac:dyDescent="0.15">
      <c r="A1544" s="15" t="s">
        <v>7444</v>
      </c>
      <c r="B1544" s="15"/>
      <c r="C1544" s="15" t="s">
        <v>40</v>
      </c>
      <c r="D1544" s="15" t="s">
        <v>41</v>
      </c>
      <c r="E1544" s="15" t="s">
        <v>7445</v>
      </c>
      <c r="F1544" s="15" t="s">
        <v>7447</v>
      </c>
      <c r="G1544" s="15" t="s">
        <v>7446</v>
      </c>
      <c r="H1544" s="15" t="s">
        <v>7448</v>
      </c>
      <c r="I1544" s="15" t="s">
        <v>346</v>
      </c>
    </row>
    <row r="1545" spans="1:9" x14ac:dyDescent="0.15">
      <c r="A1545" s="15" t="s">
        <v>7449</v>
      </c>
      <c r="B1545" s="15"/>
      <c r="C1545" s="15" t="s">
        <v>40</v>
      </c>
      <c r="D1545" s="15" t="s">
        <v>41</v>
      </c>
      <c r="E1545" s="15" t="s">
        <v>7450</v>
      </c>
      <c r="F1545" s="15" t="s">
        <v>7452</v>
      </c>
      <c r="G1545" s="15" t="s">
        <v>7451</v>
      </c>
      <c r="H1545" s="15" t="s">
        <v>7453</v>
      </c>
      <c r="I1545" s="15" t="s">
        <v>346</v>
      </c>
    </row>
    <row r="1546" spans="1:9" x14ac:dyDescent="0.15">
      <c r="A1546" s="15" t="s">
        <v>7454</v>
      </c>
      <c r="B1546" s="15"/>
      <c r="C1546" s="15" t="s">
        <v>40</v>
      </c>
      <c r="D1546" s="15" t="s">
        <v>41</v>
      </c>
      <c r="E1546" s="15" t="s">
        <v>7455</v>
      </c>
      <c r="F1546" s="15" t="s">
        <v>52</v>
      </c>
      <c r="G1546" s="15" t="s">
        <v>7456</v>
      </c>
      <c r="H1546" s="15" t="s">
        <v>7457</v>
      </c>
      <c r="I1546" s="15" t="s">
        <v>346</v>
      </c>
    </row>
    <row r="1547" spans="1:9" x14ac:dyDescent="0.15">
      <c r="A1547" s="15" t="s">
        <v>7458</v>
      </c>
      <c r="B1547" s="15"/>
      <c r="C1547" s="15" t="s">
        <v>40</v>
      </c>
      <c r="D1547" s="15" t="s">
        <v>41</v>
      </c>
      <c r="E1547" s="15" t="s">
        <v>7459</v>
      </c>
      <c r="F1547" s="15" t="s">
        <v>7461</v>
      </c>
      <c r="G1547" s="15" t="s">
        <v>7460</v>
      </c>
      <c r="H1547" s="15" t="s">
        <v>7462</v>
      </c>
      <c r="I1547" s="15" t="s">
        <v>346</v>
      </c>
    </row>
    <row r="1548" spans="1:9" x14ac:dyDescent="0.15">
      <c r="A1548" s="15" t="s">
        <v>7463</v>
      </c>
      <c r="B1548" s="15"/>
      <c r="C1548" s="15" t="s">
        <v>40</v>
      </c>
      <c r="D1548" s="15" t="s">
        <v>41</v>
      </c>
      <c r="E1548" s="15" t="s">
        <v>7464</v>
      </c>
      <c r="F1548" s="15" t="s">
        <v>7465</v>
      </c>
      <c r="G1548" s="15" t="s">
        <v>343</v>
      </c>
      <c r="H1548" s="15" t="s">
        <v>7466</v>
      </c>
      <c r="I1548" s="15" t="s">
        <v>346</v>
      </c>
    </row>
    <row r="1549" spans="1:9" x14ac:dyDescent="0.15">
      <c r="A1549" s="15" t="s">
        <v>7467</v>
      </c>
      <c r="B1549" s="15"/>
      <c r="C1549" s="15" t="s">
        <v>40</v>
      </c>
      <c r="D1549" s="15" t="s">
        <v>41</v>
      </c>
      <c r="E1549" s="15" t="s">
        <v>7468</v>
      </c>
      <c r="F1549" s="15" t="s">
        <v>7470</v>
      </c>
      <c r="G1549" s="15" t="s">
        <v>7469</v>
      </c>
      <c r="H1549" s="15" t="s">
        <v>7471</v>
      </c>
      <c r="I1549" s="15" t="s">
        <v>346</v>
      </c>
    </row>
    <row r="1550" spans="1:9" x14ac:dyDescent="0.15">
      <c r="A1550" s="15" t="s">
        <v>7472</v>
      </c>
      <c r="B1550" s="15"/>
      <c r="C1550" s="15" t="s">
        <v>40</v>
      </c>
      <c r="D1550" s="15" t="s">
        <v>41</v>
      </c>
      <c r="E1550" s="15" t="s">
        <v>7473</v>
      </c>
      <c r="F1550" s="15" t="s">
        <v>7475</v>
      </c>
      <c r="G1550" s="15" t="s">
        <v>7474</v>
      </c>
      <c r="H1550" s="15" t="s">
        <v>7476</v>
      </c>
      <c r="I1550" s="15" t="s">
        <v>346</v>
      </c>
    </row>
    <row r="1551" spans="1:9" x14ac:dyDescent="0.15">
      <c r="A1551" s="15" t="s">
        <v>7477</v>
      </c>
      <c r="B1551" s="15"/>
      <c r="C1551" s="15" t="s">
        <v>40</v>
      </c>
      <c r="D1551" s="15" t="s">
        <v>41</v>
      </c>
      <c r="E1551" s="15" t="s">
        <v>7478</v>
      </c>
      <c r="F1551" s="15" t="s">
        <v>52</v>
      </c>
      <c r="G1551" s="15" t="s">
        <v>7479</v>
      </c>
      <c r="H1551" s="15" t="s">
        <v>7480</v>
      </c>
      <c r="I1551" s="15" t="s">
        <v>346</v>
      </c>
    </row>
    <row r="1552" spans="1:9" x14ac:dyDescent="0.15">
      <c r="A1552" s="15" t="s">
        <v>7481</v>
      </c>
      <c r="B1552" s="15"/>
      <c r="C1552" s="15" t="s">
        <v>40</v>
      </c>
      <c r="D1552" s="15" t="s">
        <v>41</v>
      </c>
      <c r="E1552" s="15" t="s">
        <v>7482</v>
      </c>
      <c r="F1552" s="15" t="s">
        <v>7484</v>
      </c>
      <c r="G1552" s="15" t="s">
        <v>7483</v>
      </c>
      <c r="H1552" s="15" t="s">
        <v>7485</v>
      </c>
      <c r="I1552" s="15" t="s">
        <v>346</v>
      </c>
    </row>
    <row r="1553" spans="1:9" x14ac:dyDescent="0.15">
      <c r="A1553" s="15" t="s">
        <v>7486</v>
      </c>
      <c r="B1553" s="15"/>
      <c r="C1553" s="15" t="s">
        <v>40</v>
      </c>
      <c r="D1553" s="15" t="s">
        <v>41</v>
      </c>
      <c r="E1553" s="15" t="s">
        <v>7487</v>
      </c>
      <c r="F1553" s="15" t="s">
        <v>7489</v>
      </c>
      <c r="G1553" s="15" t="s">
        <v>7488</v>
      </c>
      <c r="H1553" s="15" t="s">
        <v>7490</v>
      </c>
      <c r="I1553" s="15" t="s">
        <v>346</v>
      </c>
    </row>
    <row r="1554" spans="1:9" x14ac:dyDescent="0.15">
      <c r="A1554" s="15" t="s">
        <v>7491</v>
      </c>
      <c r="B1554" s="15"/>
      <c r="C1554" s="15" t="s">
        <v>40</v>
      </c>
      <c r="D1554" s="15" t="s">
        <v>41</v>
      </c>
      <c r="E1554" s="15" t="s">
        <v>7492</v>
      </c>
      <c r="F1554" s="15" t="s">
        <v>7494</v>
      </c>
      <c r="G1554" s="15" t="s">
        <v>7493</v>
      </c>
      <c r="H1554" s="15" t="s">
        <v>7495</v>
      </c>
      <c r="I1554" s="15" t="s">
        <v>346</v>
      </c>
    </row>
    <row r="1555" spans="1:9" x14ac:dyDescent="0.15">
      <c r="A1555" s="15" t="s">
        <v>7496</v>
      </c>
      <c r="B1555" s="15"/>
      <c r="C1555" s="15" t="s">
        <v>40</v>
      </c>
      <c r="D1555" s="15" t="s">
        <v>41</v>
      </c>
      <c r="E1555" s="15" t="s">
        <v>7497</v>
      </c>
      <c r="F1555" s="15" t="s">
        <v>7499</v>
      </c>
      <c r="G1555" s="15" t="s">
        <v>7498</v>
      </c>
      <c r="H1555" s="15" t="s">
        <v>7500</v>
      </c>
      <c r="I1555" s="15" t="s">
        <v>346</v>
      </c>
    </row>
    <row r="1556" spans="1:9" x14ac:dyDescent="0.15">
      <c r="A1556" s="15" t="s">
        <v>7501</v>
      </c>
      <c r="B1556" s="15"/>
      <c r="C1556" s="15" t="s">
        <v>40</v>
      </c>
      <c r="D1556" s="15" t="s">
        <v>41</v>
      </c>
      <c r="E1556" s="15" t="s">
        <v>7502</v>
      </c>
      <c r="F1556" s="15" t="s">
        <v>7504</v>
      </c>
      <c r="G1556" s="15" t="s">
        <v>7503</v>
      </c>
      <c r="H1556" s="15" t="s">
        <v>7505</v>
      </c>
      <c r="I1556" s="15" t="s">
        <v>346</v>
      </c>
    </row>
    <row r="1557" spans="1:9" x14ac:dyDescent="0.15">
      <c r="A1557" s="15" t="s">
        <v>7506</v>
      </c>
      <c r="B1557" s="15"/>
      <c r="C1557" s="15" t="s">
        <v>40</v>
      </c>
      <c r="D1557" s="15" t="s">
        <v>41</v>
      </c>
      <c r="E1557" s="15" t="s">
        <v>7507</v>
      </c>
      <c r="F1557" s="15" t="s">
        <v>7509</v>
      </c>
      <c r="G1557" s="15" t="s">
        <v>7508</v>
      </c>
      <c r="H1557" s="15" t="s">
        <v>7510</v>
      </c>
      <c r="I1557" s="15" t="s">
        <v>346</v>
      </c>
    </row>
    <row r="1558" spans="1:9" x14ac:dyDescent="0.15">
      <c r="A1558" s="15" t="s">
        <v>7511</v>
      </c>
      <c r="B1558" s="15"/>
      <c r="C1558" s="15" t="s">
        <v>40</v>
      </c>
      <c r="D1558" s="15" t="s">
        <v>41</v>
      </c>
      <c r="E1558" s="15" t="s">
        <v>7512</v>
      </c>
      <c r="F1558" s="15" t="s">
        <v>7514</v>
      </c>
      <c r="G1558" s="15" t="s">
        <v>7513</v>
      </c>
      <c r="H1558" s="15" t="s">
        <v>7515</v>
      </c>
      <c r="I1558" s="15" t="s">
        <v>346</v>
      </c>
    </row>
    <row r="1559" spans="1:9" x14ac:dyDescent="0.15">
      <c r="A1559" s="15" t="s">
        <v>7516</v>
      </c>
      <c r="B1559" s="15"/>
      <c r="C1559" s="15" t="s">
        <v>40</v>
      </c>
      <c r="D1559" s="15" t="s">
        <v>41</v>
      </c>
      <c r="E1559" s="15" t="s">
        <v>7517</v>
      </c>
      <c r="F1559" s="15" t="s">
        <v>7518</v>
      </c>
      <c r="G1559" s="15" t="s">
        <v>7241</v>
      </c>
      <c r="H1559" s="15" t="s">
        <v>7519</v>
      </c>
      <c r="I1559" s="15" t="s">
        <v>346</v>
      </c>
    </row>
    <row r="1560" spans="1:9" x14ac:dyDescent="0.15">
      <c r="A1560" s="15" t="s">
        <v>7520</v>
      </c>
      <c r="B1560" s="15"/>
      <c r="C1560" s="15" t="s">
        <v>40</v>
      </c>
      <c r="D1560" s="15" t="s">
        <v>41</v>
      </c>
      <c r="E1560" s="15" t="s">
        <v>7521</v>
      </c>
      <c r="F1560" s="15" t="s">
        <v>7523</v>
      </c>
      <c r="G1560" s="15" t="s">
        <v>7522</v>
      </c>
      <c r="H1560" s="15" t="s">
        <v>7524</v>
      </c>
      <c r="I1560" s="15" t="s">
        <v>346</v>
      </c>
    </row>
    <row r="1561" spans="1:9" x14ac:dyDescent="0.15">
      <c r="A1561" s="15" t="s">
        <v>7525</v>
      </c>
      <c r="B1561" s="15"/>
      <c r="C1561" s="15" t="s">
        <v>40</v>
      </c>
      <c r="D1561" s="15" t="s">
        <v>41</v>
      </c>
      <c r="E1561" s="15" t="s">
        <v>7526</v>
      </c>
      <c r="F1561" s="15" t="s">
        <v>7528</v>
      </c>
      <c r="G1561" s="15" t="s">
        <v>7527</v>
      </c>
      <c r="H1561" s="15" t="s">
        <v>7529</v>
      </c>
      <c r="I1561" s="15" t="s">
        <v>346</v>
      </c>
    </row>
    <row r="1562" spans="1:9" x14ac:dyDescent="0.15">
      <c r="A1562" s="15" t="s">
        <v>7530</v>
      </c>
      <c r="B1562" s="15"/>
      <c r="C1562" s="15" t="s">
        <v>40</v>
      </c>
      <c r="D1562" s="15" t="s">
        <v>41</v>
      </c>
      <c r="E1562" s="15" t="s">
        <v>7531</v>
      </c>
      <c r="F1562" s="15" t="s">
        <v>7533</v>
      </c>
      <c r="G1562" s="15" t="s">
        <v>7532</v>
      </c>
      <c r="H1562" s="15" t="s">
        <v>7534</v>
      </c>
      <c r="I1562" s="15" t="s">
        <v>346</v>
      </c>
    </row>
    <row r="1563" spans="1:9" x14ac:dyDescent="0.15">
      <c r="A1563" s="15" t="s">
        <v>7535</v>
      </c>
      <c r="B1563" s="15"/>
      <c r="C1563" s="15" t="s">
        <v>40</v>
      </c>
      <c r="D1563" s="15" t="s">
        <v>41</v>
      </c>
      <c r="E1563" s="15" t="s">
        <v>7536</v>
      </c>
      <c r="F1563" s="15" t="s">
        <v>52</v>
      </c>
      <c r="G1563" s="15" t="s">
        <v>7537</v>
      </c>
      <c r="H1563" s="15" t="s">
        <v>7538</v>
      </c>
      <c r="I1563" s="15" t="s">
        <v>346</v>
      </c>
    </row>
    <row r="1564" spans="1:9" x14ac:dyDescent="0.15">
      <c r="A1564" s="15" t="s">
        <v>7539</v>
      </c>
      <c r="B1564" s="15"/>
      <c r="C1564" s="15" t="s">
        <v>40</v>
      </c>
      <c r="D1564" s="15" t="s">
        <v>41</v>
      </c>
      <c r="E1564" s="15" t="s">
        <v>7540</v>
      </c>
      <c r="F1564" s="15" t="s">
        <v>52</v>
      </c>
      <c r="G1564" s="15" t="s">
        <v>7541</v>
      </c>
      <c r="H1564" s="15" t="s">
        <v>7542</v>
      </c>
      <c r="I1564" s="15" t="s">
        <v>346</v>
      </c>
    </row>
    <row r="1565" spans="1:9" x14ac:dyDescent="0.15">
      <c r="A1565" s="15" t="s">
        <v>7543</v>
      </c>
      <c r="B1565" s="15"/>
      <c r="C1565" s="15" t="s">
        <v>40</v>
      </c>
      <c r="D1565" s="15" t="s">
        <v>41</v>
      </c>
      <c r="E1565" s="15" t="s">
        <v>7544</v>
      </c>
      <c r="F1565" s="15" t="s">
        <v>7545</v>
      </c>
      <c r="G1565" s="15" t="s">
        <v>2056</v>
      </c>
      <c r="H1565" s="15" t="s">
        <v>7546</v>
      </c>
      <c r="I1565" s="15" t="s">
        <v>346</v>
      </c>
    </row>
    <row r="1566" spans="1:9" x14ac:dyDescent="0.15">
      <c r="A1566" s="15" t="s">
        <v>7547</v>
      </c>
      <c r="B1566" s="15"/>
      <c r="C1566" s="15" t="s">
        <v>40</v>
      </c>
      <c r="D1566" s="15" t="s">
        <v>41</v>
      </c>
      <c r="E1566" s="15" t="s">
        <v>7548</v>
      </c>
      <c r="F1566" s="15" t="s">
        <v>7549</v>
      </c>
      <c r="G1566" s="15" t="s">
        <v>2041</v>
      </c>
      <c r="H1566" s="15" t="s">
        <v>7550</v>
      </c>
      <c r="I1566" s="15" t="s">
        <v>346</v>
      </c>
    </row>
    <row r="1567" spans="1:9" x14ac:dyDescent="0.15">
      <c r="A1567" s="15" t="s">
        <v>7551</v>
      </c>
      <c r="B1567" s="15"/>
      <c r="C1567" s="15" t="s">
        <v>40</v>
      </c>
      <c r="D1567" s="15" t="s">
        <v>41</v>
      </c>
      <c r="E1567" s="15" t="s">
        <v>7552</v>
      </c>
      <c r="F1567" s="15" t="s">
        <v>7554</v>
      </c>
      <c r="G1567" s="15" t="s">
        <v>7553</v>
      </c>
      <c r="H1567" s="15" t="s">
        <v>7555</v>
      </c>
      <c r="I1567" s="15" t="s">
        <v>346</v>
      </c>
    </row>
    <row r="1568" spans="1:9" x14ac:dyDescent="0.15">
      <c r="A1568" s="15" t="s">
        <v>7556</v>
      </c>
      <c r="B1568" s="15"/>
      <c r="C1568" s="15" t="s">
        <v>40</v>
      </c>
      <c r="D1568" s="15" t="s">
        <v>41</v>
      </c>
      <c r="E1568" s="15" t="s">
        <v>7557</v>
      </c>
      <c r="F1568" s="15" t="s">
        <v>7559</v>
      </c>
      <c r="G1568" s="15" t="s">
        <v>7558</v>
      </c>
      <c r="H1568" s="15" t="s">
        <v>7560</v>
      </c>
      <c r="I1568" s="15" t="s">
        <v>346</v>
      </c>
    </row>
    <row r="1569" spans="1:9" x14ac:dyDescent="0.15">
      <c r="A1569" s="15" t="s">
        <v>7561</v>
      </c>
      <c r="B1569" s="15"/>
      <c r="C1569" s="15" t="s">
        <v>40</v>
      </c>
      <c r="D1569" s="15" t="s">
        <v>41</v>
      </c>
      <c r="E1569" s="15" t="s">
        <v>7562</v>
      </c>
      <c r="F1569" s="15" t="s">
        <v>7564</v>
      </c>
      <c r="G1569" s="15" t="s">
        <v>7563</v>
      </c>
      <c r="H1569" s="15" t="s">
        <v>7565</v>
      </c>
      <c r="I1569" s="15" t="s">
        <v>346</v>
      </c>
    </row>
    <row r="1570" spans="1:9" x14ac:dyDescent="0.15">
      <c r="A1570" s="15" t="s">
        <v>7566</v>
      </c>
      <c r="B1570" s="15"/>
      <c r="C1570" s="15" t="s">
        <v>40</v>
      </c>
      <c r="D1570" s="15" t="s">
        <v>41</v>
      </c>
      <c r="E1570" s="15" t="s">
        <v>7567</v>
      </c>
      <c r="F1570" s="15" t="s">
        <v>7569</v>
      </c>
      <c r="G1570" s="15" t="s">
        <v>7568</v>
      </c>
      <c r="H1570" s="15" t="s">
        <v>7570</v>
      </c>
      <c r="I1570" s="15" t="s">
        <v>346</v>
      </c>
    </row>
    <row r="1571" spans="1:9" x14ac:dyDescent="0.15">
      <c r="A1571" s="15" t="s">
        <v>7571</v>
      </c>
      <c r="B1571" s="15"/>
      <c r="C1571" s="15" t="s">
        <v>40</v>
      </c>
      <c r="D1571" s="15" t="s">
        <v>41</v>
      </c>
      <c r="E1571" s="15" t="s">
        <v>7572</v>
      </c>
      <c r="F1571" s="15" t="s">
        <v>7573</v>
      </c>
      <c r="G1571" s="15" t="s">
        <v>359</v>
      </c>
      <c r="H1571" s="15" t="s">
        <v>7574</v>
      </c>
      <c r="I1571" s="15" t="s">
        <v>346</v>
      </c>
    </row>
    <row r="1572" spans="1:9" x14ac:dyDescent="0.15">
      <c r="A1572" s="15" t="s">
        <v>7575</v>
      </c>
      <c r="B1572" s="15"/>
      <c r="C1572" s="15" t="s">
        <v>40</v>
      </c>
      <c r="D1572" s="15" t="s">
        <v>41</v>
      </c>
      <c r="E1572" s="15" t="s">
        <v>7576</v>
      </c>
      <c r="F1572" s="15" t="s">
        <v>7577</v>
      </c>
      <c r="G1572" s="15" t="s">
        <v>359</v>
      </c>
      <c r="H1572" s="15" t="s">
        <v>7578</v>
      </c>
      <c r="I1572" s="15" t="s">
        <v>346</v>
      </c>
    </row>
    <row r="1573" spans="1:9" x14ac:dyDescent="0.15">
      <c r="A1573" s="15" t="s">
        <v>7579</v>
      </c>
      <c r="B1573" s="15"/>
      <c r="C1573" s="15" t="s">
        <v>40</v>
      </c>
      <c r="D1573" s="15" t="s">
        <v>41</v>
      </c>
      <c r="E1573" s="15" t="s">
        <v>7580</v>
      </c>
      <c r="F1573" s="15" t="s">
        <v>7582</v>
      </c>
      <c r="G1573" s="15" t="s">
        <v>7581</v>
      </c>
      <c r="H1573" s="15" t="s">
        <v>7583</v>
      </c>
      <c r="I1573" s="15" t="s">
        <v>346</v>
      </c>
    </row>
    <row r="1574" spans="1:9" x14ac:dyDescent="0.15">
      <c r="A1574" s="15" t="s">
        <v>7584</v>
      </c>
      <c r="B1574" s="15"/>
      <c r="C1574" s="15" t="s">
        <v>40</v>
      </c>
      <c r="D1574" s="15" t="s">
        <v>41</v>
      </c>
      <c r="E1574" s="15" t="s">
        <v>7585</v>
      </c>
      <c r="F1574" s="15" t="s">
        <v>7587</v>
      </c>
      <c r="G1574" s="15" t="s">
        <v>7586</v>
      </c>
      <c r="H1574" s="15" t="s">
        <v>7588</v>
      </c>
      <c r="I1574" s="15" t="s">
        <v>346</v>
      </c>
    </row>
    <row r="1575" spans="1:9" x14ac:dyDescent="0.15">
      <c r="A1575" s="15" t="s">
        <v>7589</v>
      </c>
      <c r="B1575" s="15"/>
      <c r="C1575" s="15" t="s">
        <v>40</v>
      </c>
      <c r="D1575" s="15" t="s">
        <v>41</v>
      </c>
      <c r="E1575" s="15" t="s">
        <v>7590</v>
      </c>
      <c r="F1575" s="15" t="s">
        <v>7592</v>
      </c>
      <c r="G1575" s="15" t="s">
        <v>7591</v>
      </c>
      <c r="H1575" s="15" t="s">
        <v>7593</v>
      </c>
      <c r="I1575" s="15" t="s">
        <v>346</v>
      </c>
    </row>
    <row r="1576" spans="1:9" x14ac:dyDescent="0.15">
      <c r="A1576" s="15" t="s">
        <v>7594</v>
      </c>
      <c r="B1576" s="15"/>
      <c r="C1576" s="15" t="s">
        <v>40</v>
      </c>
      <c r="D1576" s="15" t="s">
        <v>41</v>
      </c>
      <c r="E1576" s="15" t="s">
        <v>7595</v>
      </c>
      <c r="F1576" s="15" t="s">
        <v>7597</v>
      </c>
      <c r="G1576" s="15" t="s">
        <v>7596</v>
      </c>
      <c r="H1576" s="15" t="s">
        <v>7598</v>
      </c>
      <c r="I1576" s="15" t="s">
        <v>346</v>
      </c>
    </row>
    <row r="1577" spans="1:9" x14ac:dyDescent="0.15">
      <c r="A1577" s="15" t="s">
        <v>7599</v>
      </c>
      <c r="B1577" s="15"/>
      <c r="C1577" s="15" t="s">
        <v>40</v>
      </c>
      <c r="D1577" s="15" t="s">
        <v>41</v>
      </c>
      <c r="E1577" s="15" t="s">
        <v>7600</v>
      </c>
      <c r="F1577" s="15" t="s">
        <v>7602</v>
      </c>
      <c r="G1577" s="15" t="s">
        <v>7601</v>
      </c>
      <c r="H1577" s="15" t="s">
        <v>7603</v>
      </c>
      <c r="I1577" s="15" t="s">
        <v>346</v>
      </c>
    </row>
    <row r="1578" spans="1:9" x14ac:dyDescent="0.15">
      <c r="A1578" s="15" t="s">
        <v>7604</v>
      </c>
      <c r="B1578" s="15"/>
      <c r="C1578" s="15" t="s">
        <v>40</v>
      </c>
      <c r="D1578" s="15" t="s">
        <v>41</v>
      </c>
      <c r="E1578" s="15" t="s">
        <v>7605</v>
      </c>
      <c r="F1578" s="15" t="s">
        <v>7607</v>
      </c>
      <c r="G1578" s="15" t="s">
        <v>7606</v>
      </c>
      <c r="H1578" s="15" t="s">
        <v>7608</v>
      </c>
      <c r="I1578" s="15" t="s">
        <v>346</v>
      </c>
    </row>
    <row r="1579" spans="1:9" x14ac:dyDescent="0.15">
      <c r="A1579" s="15" t="s">
        <v>7609</v>
      </c>
      <c r="B1579" s="15"/>
      <c r="C1579" s="15" t="s">
        <v>40</v>
      </c>
      <c r="D1579" s="15" t="s">
        <v>41</v>
      </c>
      <c r="E1579" s="15" t="s">
        <v>7610</v>
      </c>
      <c r="F1579" s="15" t="s">
        <v>7611</v>
      </c>
      <c r="G1579" s="15" t="s">
        <v>7460</v>
      </c>
      <c r="H1579" s="15" t="s">
        <v>7612</v>
      </c>
      <c r="I1579" s="15" t="s">
        <v>346</v>
      </c>
    </row>
    <row r="1580" spans="1:9" x14ac:dyDescent="0.15">
      <c r="A1580" s="15" t="s">
        <v>7613</v>
      </c>
      <c r="B1580" s="15"/>
      <c r="C1580" s="15" t="s">
        <v>40</v>
      </c>
      <c r="D1580" s="15" t="s">
        <v>41</v>
      </c>
      <c r="E1580" s="15" t="s">
        <v>7614</v>
      </c>
      <c r="F1580" s="15" t="s">
        <v>7615</v>
      </c>
      <c r="G1580" s="15" t="s">
        <v>7290</v>
      </c>
      <c r="H1580" s="15" t="s">
        <v>7616</v>
      </c>
      <c r="I1580" s="15" t="s">
        <v>346</v>
      </c>
    </row>
    <row r="1581" spans="1:9" x14ac:dyDescent="0.15">
      <c r="A1581" s="15" t="s">
        <v>7617</v>
      </c>
      <c r="B1581" s="15"/>
      <c r="C1581" s="15" t="s">
        <v>40</v>
      </c>
      <c r="D1581" s="15" t="s">
        <v>41</v>
      </c>
      <c r="E1581" s="15" t="s">
        <v>7618</v>
      </c>
      <c r="F1581" s="15" t="s">
        <v>7619</v>
      </c>
      <c r="G1581" s="15" t="s">
        <v>2046</v>
      </c>
      <c r="H1581" s="15" t="s">
        <v>7620</v>
      </c>
      <c r="I1581" s="15" t="s">
        <v>346</v>
      </c>
    </row>
    <row r="1582" spans="1:9" x14ac:dyDescent="0.15">
      <c r="A1582" s="15" t="s">
        <v>7621</v>
      </c>
      <c r="B1582" s="15"/>
      <c r="C1582" s="15" t="s">
        <v>40</v>
      </c>
      <c r="D1582" s="15" t="s">
        <v>41</v>
      </c>
      <c r="E1582" s="15" t="s">
        <v>7622</v>
      </c>
      <c r="F1582" s="15" t="s">
        <v>7624</v>
      </c>
      <c r="G1582" s="15" t="s">
        <v>7623</v>
      </c>
      <c r="H1582" s="15" t="s">
        <v>7625</v>
      </c>
      <c r="I1582" s="15" t="s">
        <v>346</v>
      </c>
    </row>
    <row r="1583" spans="1:9" x14ac:dyDescent="0.15">
      <c r="A1583" s="15" t="s">
        <v>7626</v>
      </c>
      <c r="B1583" s="15"/>
      <c r="C1583" s="15" t="s">
        <v>40</v>
      </c>
      <c r="D1583" s="15" t="s">
        <v>41</v>
      </c>
      <c r="E1583" s="15" t="s">
        <v>7627</v>
      </c>
      <c r="F1583" s="15" t="s">
        <v>7629</v>
      </c>
      <c r="G1583" s="15" t="s">
        <v>7628</v>
      </c>
      <c r="H1583" s="15" t="s">
        <v>7630</v>
      </c>
      <c r="I1583" s="15" t="s">
        <v>346</v>
      </c>
    </row>
    <row r="1584" spans="1:9" x14ac:dyDescent="0.15">
      <c r="A1584" s="15" t="s">
        <v>7631</v>
      </c>
      <c r="B1584" s="15"/>
      <c r="C1584" s="15" t="s">
        <v>40</v>
      </c>
      <c r="D1584" s="15" t="s">
        <v>41</v>
      </c>
      <c r="E1584" s="15" t="s">
        <v>7632</v>
      </c>
      <c r="F1584" s="15" t="s">
        <v>7634</v>
      </c>
      <c r="G1584" s="15" t="s">
        <v>7633</v>
      </c>
      <c r="H1584" s="15" t="s">
        <v>7635</v>
      </c>
      <c r="I1584" s="15" t="s">
        <v>346</v>
      </c>
    </row>
    <row r="1585" spans="1:9" x14ac:dyDescent="0.15">
      <c r="A1585" s="15" t="s">
        <v>7636</v>
      </c>
      <c r="B1585" s="15"/>
      <c r="C1585" s="15" t="s">
        <v>40</v>
      </c>
      <c r="D1585" s="15" t="s">
        <v>41</v>
      </c>
      <c r="E1585" s="15" t="s">
        <v>7637</v>
      </c>
      <c r="F1585" s="15" t="s">
        <v>7639</v>
      </c>
      <c r="G1585" s="15" t="s">
        <v>7638</v>
      </c>
      <c r="H1585" s="15" t="s">
        <v>7640</v>
      </c>
      <c r="I1585" s="15" t="s">
        <v>346</v>
      </c>
    </row>
    <row r="1586" spans="1:9" x14ac:dyDescent="0.15">
      <c r="A1586" s="15" t="s">
        <v>7641</v>
      </c>
      <c r="B1586" s="15"/>
      <c r="C1586" s="15" t="s">
        <v>40</v>
      </c>
      <c r="D1586" s="15" t="s">
        <v>41</v>
      </c>
      <c r="E1586" s="15" t="s">
        <v>7642</v>
      </c>
      <c r="F1586" s="15" t="s">
        <v>7644</v>
      </c>
      <c r="G1586" s="15" t="s">
        <v>7643</v>
      </c>
      <c r="H1586" s="15" t="s">
        <v>7645</v>
      </c>
      <c r="I1586" s="15" t="s">
        <v>346</v>
      </c>
    </row>
    <row r="1587" spans="1:9" x14ac:dyDescent="0.15">
      <c r="A1587" s="15" t="s">
        <v>7646</v>
      </c>
      <c r="B1587" s="15"/>
      <c r="C1587" s="15" t="s">
        <v>40</v>
      </c>
      <c r="D1587" s="15" t="s">
        <v>41</v>
      </c>
      <c r="E1587" s="15" t="s">
        <v>7647</v>
      </c>
      <c r="F1587" s="15" t="s">
        <v>52</v>
      </c>
      <c r="G1587" s="15" t="s">
        <v>389</v>
      </c>
      <c r="H1587" s="15" t="s">
        <v>7648</v>
      </c>
      <c r="I1587" s="15" t="s">
        <v>346</v>
      </c>
    </row>
    <row r="1588" spans="1:9" x14ac:dyDescent="0.15">
      <c r="A1588" s="15" t="s">
        <v>7649</v>
      </c>
      <c r="B1588" s="15"/>
      <c r="C1588" s="15" t="s">
        <v>40</v>
      </c>
      <c r="D1588" s="15" t="s">
        <v>41</v>
      </c>
      <c r="E1588" s="15" t="s">
        <v>7650</v>
      </c>
      <c r="F1588" s="15" t="s">
        <v>7652</v>
      </c>
      <c r="G1588" s="15" t="s">
        <v>7651</v>
      </c>
      <c r="H1588" s="15" t="s">
        <v>7653</v>
      </c>
      <c r="I1588" s="15" t="s">
        <v>346</v>
      </c>
    </row>
    <row r="1589" spans="1:9" x14ac:dyDescent="0.15">
      <c r="A1589" s="15" t="s">
        <v>7654</v>
      </c>
      <c r="B1589" s="15"/>
      <c r="C1589" s="15" t="s">
        <v>40</v>
      </c>
      <c r="D1589" s="15" t="s">
        <v>41</v>
      </c>
      <c r="E1589" s="15" t="s">
        <v>7655</v>
      </c>
      <c r="F1589" s="15" t="s">
        <v>7657</v>
      </c>
      <c r="G1589" s="15" t="s">
        <v>7656</v>
      </c>
      <c r="H1589" s="15" t="s">
        <v>7658</v>
      </c>
      <c r="I1589" s="15" t="s">
        <v>346</v>
      </c>
    </row>
    <row r="1590" spans="1:9" x14ac:dyDescent="0.15">
      <c r="A1590" s="15" t="s">
        <v>7659</v>
      </c>
      <c r="B1590" s="15"/>
      <c r="C1590" s="15" t="s">
        <v>40</v>
      </c>
      <c r="D1590" s="15" t="s">
        <v>41</v>
      </c>
      <c r="E1590" s="15" t="s">
        <v>7660</v>
      </c>
      <c r="F1590" s="15" t="s">
        <v>7661</v>
      </c>
      <c r="G1590" s="15" t="s">
        <v>1933</v>
      </c>
      <c r="H1590" s="15" t="s">
        <v>7662</v>
      </c>
      <c r="I1590" s="15" t="s">
        <v>346</v>
      </c>
    </row>
    <row r="1591" spans="1:9" x14ac:dyDescent="0.15">
      <c r="A1591" s="15" t="s">
        <v>7663</v>
      </c>
      <c r="B1591" s="15"/>
      <c r="C1591" s="15" t="s">
        <v>40</v>
      </c>
      <c r="D1591" s="15" t="s">
        <v>41</v>
      </c>
      <c r="E1591" s="15" t="s">
        <v>7664</v>
      </c>
      <c r="F1591" s="15" t="s">
        <v>7665</v>
      </c>
      <c r="G1591" s="15" t="s">
        <v>7596</v>
      </c>
      <c r="H1591" s="15" t="s">
        <v>7666</v>
      </c>
      <c r="I1591" s="15" t="s">
        <v>346</v>
      </c>
    </row>
    <row r="1592" spans="1:9" x14ac:dyDescent="0.15">
      <c r="A1592" s="15" t="s">
        <v>7667</v>
      </c>
      <c r="B1592" s="15"/>
      <c r="C1592" s="15" t="s">
        <v>40</v>
      </c>
      <c r="D1592" s="15" t="s">
        <v>41</v>
      </c>
      <c r="E1592" s="15" t="s">
        <v>7668</v>
      </c>
      <c r="F1592" s="15" t="s">
        <v>7670</v>
      </c>
      <c r="G1592" s="15" t="s">
        <v>7669</v>
      </c>
      <c r="H1592" s="15" t="s">
        <v>7671</v>
      </c>
      <c r="I1592" s="15" t="s">
        <v>346</v>
      </c>
    </row>
    <row r="1593" spans="1:9" x14ac:dyDescent="0.15">
      <c r="A1593" s="15" t="s">
        <v>7672</v>
      </c>
      <c r="B1593" s="15"/>
      <c r="C1593" s="15" t="s">
        <v>40</v>
      </c>
      <c r="D1593" s="15" t="s">
        <v>41</v>
      </c>
      <c r="E1593" s="15" t="s">
        <v>7673</v>
      </c>
      <c r="F1593" s="15" t="s">
        <v>7675</v>
      </c>
      <c r="G1593" s="15" t="s">
        <v>7674</v>
      </c>
      <c r="H1593" s="15" t="s">
        <v>7676</v>
      </c>
      <c r="I1593" s="15" t="s">
        <v>346</v>
      </c>
    </row>
    <row r="1594" spans="1:9" x14ac:dyDescent="0.15">
      <c r="A1594" s="15" t="s">
        <v>7677</v>
      </c>
      <c r="B1594" s="15"/>
      <c r="C1594" s="15" t="s">
        <v>40</v>
      </c>
      <c r="D1594" s="15" t="s">
        <v>41</v>
      </c>
      <c r="E1594" s="15" t="s">
        <v>7678</v>
      </c>
      <c r="F1594" s="15" t="s">
        <v>7680</v>
      </c>
      <c r="G1594" s="15" t="s">
        <v>7679</v>
      </c>
      <c r="H1594" s="15" t="s">
        <v>7681</v>
      </c>
      <c r="I1594" s="15" t="s">
        <v>346</v>
      </c>
    </row>
    <row r="1595" spans="1:9" x14ac:dyDescent="0.15">
      <c r="A1595" s="15" t="s">
        <v>7682</v>
      </c>
      <c r="B1595" s="15"/>
      <c r="C1595" s="15" t="s">
        <v>40</v>
      </c>
      <c r="D1595" s="15" t="s">
        <v>41</v>
      </c>
      <c r="E1595" s="15" t="s">
        <v>7683</v>
      </c>
      <c r="F1595" s="15" t="s">
        <v>7685</v>
      </c>
      <c r="G1595" s="15" t="s">
        <v>7684</v>
      </c>
      <c r="H1595" s="15" t="s">
        <v>7686</v>
      </c>
      <c r="I1595" s="15" t="s">
        <v>346</v>
      </c>
    </row>
    <row r="1596" spans="1:9" x14ac:dyDescent="0.15">
      <c r="A1596" s="15" t="s">
        <v>7687</v>
      </c>
      <c r="B1596" s="15"/>
      <c r="C1596" s="15" t="s">
        <v>40</v>
      </c>
      <c r="D1596" s="15" t="s">
        <v>41</v>
      </c>
      <c r="E1596" s="15" t="s">
        <v>7688</v>
      </c>
      <c r="F1596" s="15" t="s">
        <v>7689</v>
      </c>
      <c r="G1596" s="15" t="s">
        <v>6563</v>
      </c>
      <c r="H1596" s="15" t="s">
        <v>7690</v>
      </c>
      <c r="I1596" s="15" t="s">
        <v>346</v>
      </c>
    </row>
    <row r="1597" spans="1:9" x14ac:dyDescent="0.15">
      <c r="A1597" s="15" t="s">
        <v>7691</v>
      </c>
      <c r="B1597" s="15"/>
      <c r="C1597" s="15" t="s">
        <v>40</v>
      </c>
      <c r="D1597" s="15" t="s">
        <v>41</v>
      </c>
      <c r="E1597" s="15" t="s">
        <v>7692</v>
      </c>
      <c r="F1597" s="15" t="s">
        <v>7693</v>
      </c>
      <c r="G1597" s="15" t="s">
        <v>7367</v>
      </c>
      <c r="H1597" s="15" t="s">
        <v>7694</v>
      </c>
      <c r="I1597" s="15" t="s">
        <v>346</v>
      </c>
    </row>
    <row r="1598" spans="1:9" x14ac:dyDescent="0.15">
      <c r="A1598" s="15" t="s">
        <v>7695</v>
      </c>
      <c r="B1598" s="15"/>
      <c r="C1598" s="15" t="s">
        <v>40</v>
      </c>
      <c r="D1598" s="15" t="s">
        <v>41</v>
      </c>
      <c r="E1598" s="15" t="s">
        <v>7696</v>
      </c>
      <c r="F1598" s="15" t="s">
        <v>7698</v>
      </c>
      <c r="G1598" s="15" t="s">
        <v>7697</v>
      </c>
      <c r="H1598" s="15" t="s">
        <v>7699</v>
      </c>
      <c r="I1598" s="15" t="s">
        <v>346</v>
      </c>
    </row>
    <row r="1599" spans="1:9" x14ac:dyDescent="0.15">
      <c r="A1599" s="15" t="s">
        <v>7700</v>
      </c>
      <c r="B1599" s="15"/>
      <c r="C1599" s="15" t="s">
        <v>40</v>
      </c>
      <c r="D1599" s="15" t="s">
        <v>41</v>
      </c>
      <c r="E1599" s="15" t="s">
        <v>7701</v>
      </c>
      <c r="F1599" s="15" t="s">
        <v>7703</v>
      </c>
      <c r="G1599" s="15" t="s">
        <v>7702</v>
      </c>
      <c r="H1599" s="15" t="s">
        <v>7704</v>
      </c>
      <c r="I1599" s="15" t="s">
        <v>346</v>
      </c>
    </row>
    <row r="1600" spans="1:9" x14ac:dyDescent="0.15">
      <c r="A1600" s="15" t="s">
        <v>7705</v>
      </c>
      <c r="B1600" s="15"/>
      <c r="C1600" s="15" t="s">
        <v>40</v>
      </c>
      <c r="D1600" s="15" t="s">
        <v>41</v>
      </c>
      <c r="E1600" s="15" t="s">
        <v>7706</v>
      </c>
      <c r="F1600" s="15" t="s">
        <v>7708</v>
      </c>
      <c r="G1600" s="15" t="s">
        <v>7707</v>
      </c>
      <c r="H1600" s="15" t="s">
        <v>7709</v>
      </c>
      <c r="I1600" s="15" t="s">
        <v>346</v>
      </c>
    </row>
    <row r="1601" spans="1:9" x14ac:dyDescent="0.15">
      <c r="A1601" s="15" t="s">
        <v>7710</v>
      </c>
      <c r="B1601" s="15"/>
      <c r="C1601" s="15" t="s">
        <v>40</v>
      </c>
      <c r="D1601" s="15" t="s">
        <v>41</v>
      </c>
      <c r="E1601" s="15" t="s">
        <v>7711</v>
      </c>
      <c r="F1601" s="15" t="s">
        <v>7657</v>
      </c>
      <c r="G1601" s="15" t="s">
        <v>7656</v>
      </c>
      <c r="H1601" s="15" t="s">
        <v>7712</v>
      </c>
      <c r="I1601" s="15" t="s">
        <v>346</v>
      </c>
    </row>
    <row r="1602" spans="1:9" x14ac:dyDescent="0.15">
      <c r="A1602" s="15" t="s">
        <v>7713</v>
      </c>
      <c r="B1602" s="15"/>
      <c r="C1602" s="15" t="s">
        <v>40</v>
      </c>
      <c r="D1602" s="15" t="s">
        <v>41</v>
      </c>
      <c r="E1602" s="15" t="s">
        <v>7714</v>
      </c>
      <c r="F1602" s="15" t="s">
        <v>7716</v>
      </c>
      <c r="G1602" s="15" t="s">
        <v>7715</v>
      </c>
      <c r="H1602" s="15" t="s">
        <v>7717</v>
      </c>
      <c r="I1602" s="15" t="s">
        <v>346</v>
      </c>
    </row>
    <row r="1603" spans="1:9" x14ac:dyDescent="0.15">
      <c r="A1603" s="15" t="s">
        <v>7718</v>
      </c>
      <c r="B1603" s="15"/>
      <c r="C1603" s="15" t="s">
        <v>40</v>
      </c>
      <c r="D1603" s="15" t="s">
        <v>41</v>
      </c>
      <c r="E1603" s="15" t="s">
        <v>7719</v>
      </c>
      <c r="F1603" s="15" t="s">
        <v>7721</v>
      </c>
      <c r="G1603" s="15" t="s">
        <v>7720</v>
      </c>
      <c r="H1603" s="15" t="s">
        <v>7722</v>
      </c>
      <c r="I1603" s="15" t="s">
        <v>346</v>
      </c>
    </row>
    <row r="1604" spans="1:9" x14ac:dyDescent="0.15">
      <c r="A1604" s="15" t="s">
        <v>7723</v>
      </c>
      <c r="B1604" s="15"/>
      <c r="C1604" s="15" t="s">
        <v>40</v>
      </c>
      <c r="D1604" s="15" t="s">
        <v>41</v>
      </c>
      <c r="E1604" s="15" t="s">
        <v>7724</v>
      </c>
      <c r="F1604" s="15" t="s">
        <v>7726</v>
      </c>
      <c r="G1604" s="15" t="s">
        <v>7725</v>
      </c>
      <c r="H1604" s="15" t="s">
        <v>7727</v>
      </c>
      <c r="I1604" s="15" t="s">
        <v>346</v>
      </c>
    </row>
    <row r="1605" spans="1:9" x14ac:dyDescent="0.15">
      <c r="A1605" s="15" t="s">
        <v>7728</v>
      </c>
      <c r="B1605" s="15"/>
      <c r="C1605" s="15" t="s">
        <v>40</v>
      </c>
      <c r="D1605" s="15" t="s">
        <v>41</v>
      </c>
      <c r="E1605" s="15" t="s">
        <v>7729</v>
      </c>
      <c r="F1605" s="15" t="s">
        <v>7731</v>
      </c>
      <c r="G1605" s="15" t="s">
        <v>7730</v>
      </c>
      <c r="H1605" s="15" t="s">
        <v>7732</v>
      </c>
      <c r="I1605" s="15" t="s">
        <v>346</v>
      </c>
    </row>
    <row r="1606" spans="1:9" x14ac:dyDescent="0.15">
      <c r="A1606" s="15" t="s">
        <v>7733</v>
      </c>
      <c r="B1606" s="15"/>
      <c r="C1606" s="15" t="s">
        <v>40</v>
      </c>
      <c r="D1606" s="15" t="s">
        <v>41</v>
      </c>
      <c r="E1606" s="15" t="s">
        <v>7734</v>
      </c>
      <c r="F1606" s="15" t="s">
        <v>7736</v>
      </c>
      <c r="G1606" s="15" t="s">
        <v>7735</v>
      </c>
      <c r="H1606" s="15" t="s">
        <v>7737</v>
      </c>
      <c r="I1606" s="15" t="s">
        <v>346</v>
      </c>
    </row>
    <row r="1607" spans="1:9" x14ac:dyDescent="0.15">
      <c r="A1607" s="15" t="s">
        <v>7738</v>
      </c>
      <c r="B1607" s="15"/>
      <c r="C1607" s="15" t="s">
        <v>40</v>
      </c>
      <c r="D1607" s="15" t="s">
        <v>41</v>
      </c>
      <c r="E1607" s="15" t="s">
        <v>7739</v>
      </c>
      <c r="F1607" s="15" t="s">
        <v>7740</v>
      </c>
      <c r="G1607" s="15" t="s">
        <v>7241</v>
      </c>
      <c r="H1607" s="15" t="s">
        <v>7243</v>
      </c>
      <c r="I1607" s="15" t="s">
        <v>346</v>
      </c>
    </row>
    <row r="1608" spans="1:9" x14ac:dyDescent="0.15">
      <c r="A1608" s="15" t="s">
        <v>7741</v>
      </c>
      <c r="B1608" s="15"/>
      <c r="C1608" s="15" t="s">
        <v>40</v>
      </c>
      <c r="D1608" s="15" t="s">
        <v>41</v>
      </c>
      <c r="E1608" s="15" t="s">
        <v>7742</v>
      </c>
      <c r="F1608" s="15" t="s">
        <v>7744</v>
      </c>
      <c r="G1608" s="15" t="s">
        <v>7743</v>
      </c>
      <c r="H1608" s="15" t="s">
        <v>7745</v>
      </c>
      <c r="I1608" s="15" t="s">
        <v>346</v>
      </c>
    </row>
    <row r="1609" spans="1:9" x14ac:dyDescent="0.15">
      <c r="A1609" s="15" t="s">
        <v>7746</v>
      </c>
      <c r="B1609" s="15"/>
      <c r="C1609" s="15" t="s">
        <v>40</v>
      </c>
      <c r="D1609" s="15" t="s">
        <v>41</v>
      </c>
      <c r="E1609" s="15" t="s">
        <v>7747</v>
      </c>
      <c r="F1609" s="15" t="s">
        <v>7749</v>
      </c>
      <c r="G1609" s="15" t="s">
        <v>7748</v>
      </c>
      <c r="H1609" s="15" t="s">
        <v>7750</v>
      </c>
      <c r="I1609" s="15" t="s">
        <v>346</v>
      </c>
    </row>
    <row r="1610" spans="1:9" x14ac:dyDescent="0.15">
      <c r="A1610" s="15" t="s">
        <v>7751</v>
      </c>
      <c r="B1610" s="15"/>
      <c r="C1610" s="15" t="s">
        <v>40</v>
      </c>
      <c r="D1610" s="15" t="s">
        <v>41</v>
      </c>
      <c r="E1610" s="15" t="s">
        <v>7752</v>
      </c>
      <c r="F1610" s="15" t="s">
        <v>7754</v>
      </c>
      <c r="G1610" s="15" t="s">
        <v>7753</v>
      </c>
      <c r="H1610" s="15" t="s">
        <v>7755</v>
      </c>
      <c r="I1610" s="15" t="s">
        <v>346</v>
      </c>
    </row>
    <row r="1611" spans="1:9" x14ac:dyDescent="0.15">
      <c r="A1611" s="15" t="s">
        <v>7756</v>
      </c>
      <c r="B1611" s="15"/>
      <c r="C1611" s="15" t="s">
        <v>40</v>
      </c>
      <c r="D1611" s="15" t="s">
        <v>41</v>
      </c>
      <c r="E1611" s="15" t="s">
        <v>7757</v>
      </c>
      <c r="F1611" s="15" t="s">
        <v>7759</v>
      </c>
      <c r="G1611" s="15" t="s">
        <v>7758</v>
      </c>
      <c r="H1611" s="15" t="s">
        <v>7760</v>
      </c>
      <c r="I1611" s="15" t="s">
        <v>346</v>
      </c>
    </row>
    <row r="1612" spans="1:9" x14ac:dyDescent="0.15">
      <c r="A1612" s="15" t="s">
        <v>7761</v>
      </c>
      <c r="B1612" s="15"/>
      <c r="C1612" s="15" t="s">
        <v>40</v>
      </c>
      <c r="D1612" s="15" t="s">
        <v>41</v>
      </c>
      <c r="E1612" s="15" t="s">
        <v>7762</v>
      </c>
      <c r="F1612" s="15" t="s">
        <v>7763</v>
      </c>
      <c r="G1612" s="15" t="s">
        <v>359</v>
      </c>
      <c r="H1612" s="15" t="s">
        <v>7764</v>
      </c>
      <c r="I1612" s="15" t="s">
        <v>346</v>
      </c>
    </row>
    <row r="1613" spans="1:9" x14ac:dyDescent="0.15">
      <c r="A1613" s="15" t="s">
        <v>7765</v>
      </c>
      <c r="B1613" s="15"/>
      <c r="C1613" s="15" t="s">
        <v>40</v>
      </c>
      <c r="D1613" s="15" t="s">
        <v>41</v>
      </c>
      <c r="E1613" s="15" t="s">
        <v>7766</v>
      </c>
      <c r="F1613" s="15" t="s">
        <v>7767</v>
      </c>
      <c r="G1613" s="15" t="s">
        <v>7460</v>
      </c>
      <c r="H1613" s="15" t="s">
        <v>7768</v>
      </c>
      <c r="I1613" s="15" t="s">
        <v>346</v>
      </c>
    </row>
    <row r="1614" spans="1:9" x14ac:dyDescent="0.15">
      <c r="A1614" s="15" t="s">
        <v>7769</v>
      </c>
      <c r="B1614" s="15"/>
      <c r="C1614" s="15" t="s">
        <v>40</v>
      </c>
      <c r="D1614" s="15" t="s">
        <v>41</v>
      </c>
      <c r="E1614" s="15" t="s">
        <v>7770</v>
      </c>
      <c r="F1614" s="15" t="s">
        <v>7772</v>
      </c>
      <c r="G1614" s="15" t="s">
        <v>7771</v>
      </c>
      <c r="H1614" s="15" t="s">
        <v>7773</v>
      </c>
      <c r="I1614" s="15" t="s">
        <v>346</v>
      </c>
    </row>
    <row r="1615" spans="1:9" x14ac:dyDescent="0.15">
      <c r="A1615" s="15" t="s">
        <v>7774</v>
      </c>
      <c r="B1615" s="15"/>
      <c r="C1615" s="15" t="s">
        <v>40</v>
      </c>
      <c r="D1615" s="15" t="s">
        <v>41</v>
      </c>
      <c r="E1615" s="15" t="s">
        <v>7775</v>
      </c>
      <c r="F1615" s="15" t="s">
        <v>7776</v>
      </c>
      <c r="G1615" s="15" t="s">
        <v>7275</v>
      </c>
      <c r="H1615" s="15" t="s">
        <v>7777</v>
      </c>
      <c r="I1615" s="15" t="s">
        <v>346</v>
      </c>
    </row>
    <row r="1616" spans="1:9" x14ac:dyDescent="0.15">
      <c r="A1616" s="15" t="s">
        <v>7778</v>
      </c>
      <c r="B1616" s="15"/>
      <c r="C1616" s="15" t="s">
        <v>40</v>
      </c>
      <c r="D1616" s="15" t="s">
        <v>41</v>
      </c>
      <c r="E1616" s="15" t="s">
        <v>7779</v>
      </c>
      <c r="F1616" s="15" t="s">
        <v>7781</v>
      </c>
      <c r="G1616" s="15" t="s">
        <v>7780</v>
      </c>
      <c r="H1616" s="15" t="s">
        <v>7782</v>
      </c>
      <c r="I1616" s="15" t="s">
        <v>346</v>
      </c>
    </row>
    <row r="1617" spans="1:9" x14ac:dyDescent="0.15">
      <c r="A1617" s="15" t="s">
        <v>7783</v>
      </c>
      <c r="B1617" s="15"/>
      <c r="C1617" s="15" t="s">
        <v>40</v>
      </c>
      <c r="D1617" s="15" t="s">
        <v>41</v>
      </c>
      <c r="E1617" s="15" t="s">
        <v>7784</v>
      </c>
      <c r="F1617" s="15" t="s">
        <v>7786</v>
      </c>
      <c r="G1617" s="15" t="s">
        <v>7785</v>
      </c>
      <c r="H1617" s="15" t="s">
        <v>7787</v>
      </c>
      <c r="I1617" s="15" t="s">
        <v>346</v>
      </c>
    </row>
    <row r="1618" spans="1:9" x14ac:dyDescent="0.15">
      <c r="A1618" s="15" t="s">
        <v>7788</v>
      </c>
      <c r="B1618" s="15"/>
      <c r="C1618" s="15" t="s">
        <v>40</v>
      </c>
      <c r="D1618" s="15" t="s">
        <v>41</v>
      </c>
      <c r="E1618" s="15" t="s">
        <v>7789</v>
      </c>
      <c r="F1618" s="15" t="s">
        <v>7791</v>
      </c>
      <c r="G1618" s="15" t="s">
        <v>7790</v>
      </c>
      <c r="H1618" s="15" t="s">
        <v>7792</v>
      </c>
      <c r="I1618" s="15" t="s">
        <v>416</v>
      </c>
    </row>
    <row r="1619" spans="1:9" x14ac:dyDescent="0.15">
      <c r="A1619" s="15" t="s">
        <v>7793</v>
      </c>
      <c r="B1619" s="15"/>
      <c r="C1619" s="15" t="s">
        <v>40</v>
      </c>
      <c r="D1619" s="15" t="s">
        <v>41</v>
      </c>
      <c r="E1619" s="15" t="s">
        <v>7794</v>
      </c>
      <c r="F1619" s="15" t="s">
        <v>7796</v>
      </c>
      <c r="G1619" s="15" t="s">
        <v>7795</v>
      </c>
      <c r="H1619" s="15" t="s">
        <v>7797</v>
      </c>
      <c r="I1619" s="15" t="s">
        <v>416</v>
      </c>
    </row>
    <row r="1620" spans="1:9" x14ac:dyDescent="0.15">
      <c r="A1620" s="15" t="s">
        <v>7798</v>
      </c>
      <c r="B1620" s="15"/>
      <c r="C1620" s="15" t="s">
        <v>40</v>
      </c>
      <c r="D1620" s="15" t="s">
        <v>41</v>
      </c>
      <c r="E1620" s="15" t="s">
        <v>7799</v>
      </c>
      <c r="F1620" s="15" t="s">
        <v>7801</v>
      </c>
      <c r="G1620" s="15" t="s">
        <v>7800</v>
      </c>
      <c r="H1620" s="15" t="s">
        <v>7802</v>
      </c>
      <c r="I1620" s="15" t="s">
        <v>416</v>
      </c>
    </row>
    <row r="1621" spans="1:9" x14ac:dyDescent="0.15">
      <c r="A1621" s="15" t="s">
        <v>7803</v>
      </c>
      <c r="B1621" s="15"/>
      <c r="C1621" s="15" t="s">
        <v>40</v>
      </c>
      <c r="D1621" s="15" t="s">
        <v>41</v>
      </c>
      <c r="E1621" s="15" t="s">
        <v>7804</v>
      </c>
      <c r="F1621" s="15" t="s">
        <v>7806</v>
      </c>
      <c r="G1621" s="15" t="s">
        <v>7805</v>
      </c>
      <c r="H1621" s="15" t="s">
        <v>7807</v>
      </c>
      <c r="I1621" s="15" t="s">
        <v>416</v>
      </c>
    </row>
    <row r="1622" spans="1:9" x14ac:dyDescent="0.15">
      <c r="A1622" s="15" t="s">
        <v>7808</v>
      </c>
      <c r="B1622" s="15"/>
      <c r="C1622" s="15" t="s">
        <v>40</v>
      </c>
      <c r="D1622" s="15" t="s">
        <v>41</v>
      </c>
      <c r="E1622" s="15" t="s">
        <v>7809</v>
      </c>
      <c r="F1622" s="15" t="s">
        <v>7811</v>
      </c>
      <c r="G1622" s="15" t="s">
        <v>7810</v>
      </c>
      <c r="H1622" s="15" t="s">
        <v>7812</v>
      </c>
      <c r="I1622" s="15" t="s">
        <v>416</v>
      </c>
    </row>
    <row r="1623" spans="1:9" x14ac:dyDescent="0.15">
      <c r="A1623" s="15" t="s">
        <v>7813</v>
      </c>
      <c r="B1623" s="15"/>
      <c r="C1623" s="15" t="s">
        <v>40</v>
      </c>
      <c r="D1623" s="15" t="s">
        <v>41</v>
      </c>
      <c r="E1623" s="15" t="s">
        <v>7814</v>
      </c>
      <c r="F1623" s="15" t="s">
        <v>7816</v>
      </c>
      <c r="G1623" s="15" t="s">
        <v>7815</v>
      </c>
      <c r="H1623" s="15" t="s">
        <v>7817</v>
      </c>
      <c r="I1623" s="15" t="s">
        <v>416</v>
      </c>
    </row>
    <row r="1624" spans="1:9" x14ac:dyDescent="0.15">
      <c r="A1624" s="15" t="s">
        <v>7818</v>
      </c>
      <c r="B1624" s="15"/>
      <c r="C1624" s="15" t="s">
        <v>40</v>
      </c>
      <c r="D1624" s="15" t="s">
        <v>41</v>
      </c>
      <c r="E1624" s="15" t="s">
        <v>7819</v>
      </c>
      <c r="F1624" s="15" t="s">
        <v>7821</v>
      </c>
      <c r="G1624" s="15" t="s">
        <v>7820</v>
      </c>
      <c r="H1624" s="15" t="s">
        <v>7822</v>
      </c>
      <c r="I1624" s="15" t="s">
        <v>416</v>
      </c>
    </row>
    <row r="1625" spans="1:9" x14ac:dyDescent="0.15">
      <c r="A1625" s="15" t="s">
        <v>7823</v>
      </c>
      <c r="B1625" s="15"/>
      <c r="C1625" s="15" t="s">
        <v>40</v>
      </c>
      <c r="D1625" s="15" t="s">
        <v>41</v>
      </c>
      <c r="E1625" s="15" t="s">
        <v>7824</v>
      </c>
      <c r="F1625" s="15" t="s">
        <v>7826</v>
      </c>
      <c r="G1625" s="15" t="s">
        <v>7825</v>
      </c>
      <c r="H1625" s="15" t="s">
        <v>7827</v>
      </c>
      <c r="I1625" s="15" t="s">
        <v>416</v>
      </c>
    </row>
    <row r="1626" spans="1:9" x14ac:dyDescent="0.15">
      <c r="A1626" s="15" t="s">
        <v>7828</v>
      </c>
      <c r="B1626" s="15"/>
      <c r="C1626" s="15" t="s">
        <v>40</v>
      </c>
      <c r="D1626" s="15" t="s">
        <v>41</v>
      </c>
      <c r="E1626" s="15" t="s">
        <v>7829</v>
      </c>
      <c r="F1626" s="15" t="s">
        <v>7831</v>
      </c>
      <c r="G1626" s="15" t="s">
        <v>7830</v>
      </c>
      <c r="H1626" s="15" t="s">
        <v>7832</v>
      </c>
      <c r="I1626" s="15" t="s">
        <v>416</v>
      </c>
    </row>
    <row r="1627" spans="1:9" x14ac:dyDescent="0.15">
      <c r="A1627" s="15" t="s">
        <v>7833</v>
      </c>
      <c r="B1627" s="15"/>
      <c r="C1627" s="15" t="s">
        <v>40</v>
      </c>
      <c r="D1627" s="15" t="s">
        <v>41</v>
      </c>
      <c r="E1627" s="15" t="s">
        <v>7834</v>
      </c>
      <c r="F1627" s="15" t="s">
        <v>7836</v>
      </c>
      <c r="G1627" s="15" t="s">
        <v>7835</v>
      </c>
      <c r="H1627" s="15" t="s">
        <v>7837</v>
      </c>
      <c r="I1627" s="15" t="s">
        <v>416</v>
      </c>
    </row>
    <row r="1628" spans="1:9" x14ac:dyDescent="0.15">
      <c r="A1628" s="15" t="s">
        <v>7838</v>
      </c>
      <c r="B1628" s="15"/>
      <c r="C1628" s="15" t="s">
        <v>40</v>
      </c>
      <c r="D1628" s="15" t="s">
        <v>41</v>
      </c>
      <c r="E1628" s="15" t="s">
        <v>7839</v>
      </c>
      <c r="F1628" s="15" t="s">
        <v>7840</v>
      </c>
      <c r="G1628" s="15" t="s">
        <v>3002</v>
      </c>
      <c r="H1628" s="15" t="s">
        <v>7841</v>
      </c>
      <c r="I1628" s="15" t="s">
        <v>416</v>
      </c>
    </row>
    <row r="1629" spans="1:9" x14ac:dyDescent="0.15">
      <c r="A1629" s="15" t="s">
        <v>7842</v>
      </c>
      <c r="B1629" s="15"/>
      <c r="C1629" s="15" t="s">
        <v>40</v>
      </c>
      <c r="D1629" s="15" t="s">
        <v>41</v>
      </c>
      <c r="E1629" s="15" t="s">
        <v>7843</v>
      </c>
      <c r="F1629" s="15" t="s">
        <v>7845</v>
      </c>
      <c r="G1629" s="15" t="s">
        <v>7844</v>
      </c>
      <c r="H1629" s="15" t="s">
        <v>7846</v>
      </c>
      <c r="I1629" s="15" t="s">
        <v>416</v>
      </c>
    </row>
    <row r="1630" spans="1:9" x14ac:dyDescent="0.15">
      <c r="A1630" s="15" t="s">
        <v>7847</v>
      </c>
      <c r="B1630" s="15"/>
      <c r="C1630" s="15" t="s">
        <v>40</v>
      </c>
      <c r="D1630" s="15" t="s">
        <v>41</v>
      </c>
      <c r="E1630" s="15" t="s">
        <v>7848</v>
      </c>
      <c r="F1630" s="15" t="s">
        <v>7849</v>
      </c>
      <c r="G1630" s="15" t="s">
        <v>3342</v>
      </c>
      <c r="H1630" s="15" t="s">
        <v>7850</v>
      </c>
      <c r="I1630" s="15" t="s">
        <v>416</v>
      </c>
    </row>
    <row r="1631" spans="1:9" x14ac:dyDescent="0.15">
      <c r="A1631" s="15" t="s">
        <v>7851</v>
      </c>
      <c r="B1631" s="15"/>
      <c r="C1631" s="15" t="s">
        <v>40</v>
      </c>
      <c r="D1631" s="15" t="s">
        <v>41</v>
      </c>
      <c r="E1631" s="15" t="s">
        <v>7852</v>
      </c>
      <c r="F1631" s="15" t="s">
        <v>7854</v>
      </c>
      <c r="G1631" s="15" t="s">
        <v>7853</v>
      </c>
      <c r="H1631" s="15" t="s">
        <v>7855</v>
      </c>
      <c r="I1631" s="15" t="s">
        <v>416</v>
      </c>
    </row>
    <row r="1632" spans="1:9" x14ac:dyDescent="0.15">
      <c r="A1632" s="15" t="s">
        <v>7856</v>
      </c>
      <c r="B1632" s="15"/>
      <c r="C1632" s="15" t="s">
        <v>40</v>
      </c>
      <c r="D1632" s="15" t="s">
        <v>41</v>
      </c>
      <c r="E1632" s="15" t="s">
        <v>7857</v>
      </c>
      <c r="F1632" s="15" t="s">
        <v>7859</v>
      </c>
      <c r="G1632" s="15" t="s">
        <v>7858</v>
      </c>
      <c r="H1632" s="15" t="s">
        <v>7860</v>
      </c>
      <c r="I1632" s="15" t="s">
        <v>416</v>
      </c>
    </row>
    <row r="1633" spans="1:9" x14ac:dyDescent="0.15">
      <c r="A1633" s="15" t="s">
        <v>7861</v>
      </c>
      <c r="B1633" s="15"/>
      <c r="C1633" s="15" t="s">
        <v>40</v>
      </c>
      <c r="D1633" s="15" t="s">
        <v>41</v>
      </c>
      <c r="E1633" s="15" t="s">
        <v>7862</v>
      </c>
      <c r="F1633" s="15" t="s">
        <v>7864</v>
      </c>
      <c r="G1633" s="15" t="s">
        <v>7863</v>
      </c>
      <c r="H1633" s="15" t="s">
        <v>7865</v>
      </c>
      <c r="I1633" s="15" t="s">
        <v>416</v>
      </c>
    </row>
    <row r="1634" spans="1:9" x14ac:dyDescent="0.15">
      <c r="A1634" s="15" t="s">
        <v>7866</v>
      </c>
      <c r="B1634" s="15"/>
      <c r="C1634" s="15" t="s">
        <v>40</v>
      </c>
      <c r="D1634" s="15" t="s">
        <v>41</v>
      </c>
      <c r="E1634" s="15" t="s">
        <v>7867</v>
      </c>
      <c r="F1634" s="15" t="s">
        <v>52</v>
      </c>
      <c r="G1634" s="15" t="s">
        <v>19</v>
      </c>
      <c r="H1634" s="15" t="s">
        <v>7868</v>
      </c>
      <c r="I1634" s="15" t="s">
        <v>416</v>
      </c>
    </row>
    <row r="1635" spans="1:9" x14ac:dyDescent="0.15">
      <c r="A1635" s="15" t="s">
        <v>7869</v>
      </c>
      <c r="B1635" s="15"/>
      <c r="C1635" s="15" t="s">
        <v>40</v>
      </c>
      <c r="D1635" s="15" t="s">
        <v>41</v>
      </c>
      <c r="E1635" s="15" t="s">
        <v>7870</v>
      </c>
      <c r="F1635" s="15" t="s">
        <v>7872</v>
      </c>
      <c r="G1635" s="15" t="s">
        <v>7871</v>
      </c>
      <c r="H1635" s="15" t="s">
        <v>7873</v>
      </c>
      <c r="I1635" s="15" t="s">
        <v>416</v>
      </c>
    </row>
    <row r="1636" spans="1:9" x14ac:dyDescent="0.15">
      <c r="A1636" s="15" t="s">
        <v>7874</v>
      </c>
      <c r="B1636" s="15"/>
      <c r="C1636" s="15" t="s">
        <v>40</v>
      </c>
      <c r="D1636" s="15" t="s">
        <v>41</v>
      </c>
      <c r="E1636" s="15" t="s">
        <v>7875</v>
      </c>
      <c r="F1636" s="15" t="s">
        <v>7876</v>
      </c>
      <c r="G1636" s="15" t="s">
        <v>26</v>
      </c>
      <c r="H1636" s="15" t="s">
        <v>7877</v>
      </c>
      <c r="I1636" s="15" t="s">
        <v>416</v>
      </c>
    </row>
    <row r="1637" spans="1:9" x14ac:dyDescent="0.15">
      <c r="A1637" s="15" t="s">
        <v>7878</v>
      </c>
      <c r="B1637" s="15"/>
      <c r="C1637" s="15" t="s">
        <v>40</v>
      </c>
      <c r="D1637" s="15" t="s">
        <v>41</v>
      </c>
      <c r="E1637" s="15" t="s">
        <v>7879</v>
      </c>
      <c r="F1637" s="15" t="s">
        <v>7880</v>
      </c>
      <c r="G1637" s="15" t="s">
        <v>4922</v>
      </c>
      <c r="H1637" s="15" t="s">
        <v>7881</v>
      </c>
      <c r="I1637" s="15" t="s">
        <v>416</v>
      </c>
    </row>
    <row r="1638" spans="1:9" x14ac:dyDescent="0.15">
      <c r="A1638" s="15" t="s">
        <v>7882</v>
      </c>
      <c r="B1638" s="15"/>
      <c r="C1638" s="15" t="s">
        <v>40</v>
      </c>
      <c r="D1638" s="15" t="s">
        <v>41</v>
      </c>
      <c r="E1638" s="15" t="s">
        <v>7883</v>
      </c>
      <c r="F1638" s="15" t="s">
        <v>7885</v>
      </c>
      <c r="G1638" s="15" t="s">
        <v>7884</v>
      </c>
      <c r="H1638" s="15" t="s">
        <v>7886</v>
      </c>
      <c r="I1638" s="15" t="s">
        <v>416</v>
      </c>
    </row>
    <row r="1639" spans="1:9" x14ac:dyDescent="0.15">
      <c r="A1639" s="15" t="s">
        <v>7887</v>
      </c>
      <c r="B1639" s="15"/>
      <c r="C1639" s="15" t="s">
        <v>40</v>
      </c>
      <c r="D1639" s="15" t="s">
        <v>41</v>
      </c>
      <c r="E1639" s="15" t="s">
        <v>7888</v>
      </c>
      <c r="F1639" s="15" t="s">
        <v>7889</v>
      </c>
      <c r="G1639" s="15" t="s">
        <v>2973</v>
      </c>
      <c r="H1639" s="15" t="s">
        <v>7890</v>
      </c>
      <c r="I1639" s="15" t="s">
        <v>416</v>
      </c>
    </row>
    <row r="1640" spans="1:9" x14ac:dyDescent="0.15">
      <c r="A1640" s="15" t="s">
        <v>7891</v>
      </c>
      <c r="B1640" s="15"/>
      <c r="C1640" s="15" t="s">
        <v>40</v>
      </c>
      <c r="D1640" s="15" t="s">
        <v>41</v>
      </c>
      <c r="E1640" s="15" t="s">
        <v>7892</v>
      </c>
      <c r="F1640" s="15" t="s">
        <v>7894</v>
      </c>
      <c r="G1640" s="15" t="s">
        <v>7893</v>
      </c>
      <c r="H1640" s="15" t="s">
        <v>7895</v>
      </c>
      <c r="I1640" s="15" t="s">
        <v>416</v>
      </c>
    </row>
    <row r="1641" spans="1:9" x14ac:dyDescent="0.15">
      <c r="A1641" s="15" t="s">
        <v>7896</v>
      </c>
      <c r="B1641" s="15"/>
      <c r="C1641" s="15" t="s">
        <v>40</v>
      </c>
      <c r="D1641" s="15" t="s">
        <v>41</v>
      </c>
      <c r="E1641" s="15" t="s">
        <v>7897</v>
      </c>
      <c r="F1641" s="15" t="s">
        <v>7899</v>
      </c>
      <c r="G1641" s="15" t="s">
        <v>7898</v>
      </c>
      <c r="H1641" s="15" t="s">
        <v>7900</v>
      </c>
      <c r="I1641" s="15" t="s">
        <v>416</v>
      </c>
    </row>
    <row r="1642" spans="1:9" x14ac:dyDescent="0.15">
      <c r="A1642" s="15" t="s">
        <v>7901</v>
      </c>
      <c r="B1642" s="15"/>
      <c r="C1642" s="15" t="s">
        <v>40</v>
      </c>
      <c r="D1642" s="15" t="s">
        <v>41</v>
      </c>
      <c r="E1642" s="15" t="s">
        <v>7902</v>
      </c>
      <c r="F1642" s="15" t="s">
        <v>7903</v>
      </c>
      <c r="G1642" s="15" t="s">
        <v>6063</v>
      </c>
      <c r="H1642" s="15" t="s">
        <v>7904</v>
      </c>
      <c r="I1642" s="15" t="s">
        <v>416</v>
      </c>
    </row>
    <row r="1643" spans="1:9" x14ac:dyDescent="0.15">
      <c r="A1643" s="15" t="s">
        <v>7905</v>
      </c>
      <c r="B1643" s="15"/>
      <c r="C1643" s="15" t="s">
        <v>40</v>
      </c>
      <c r="D1643" s="15" t="s">
        <v>41</v>
      </c>
      <c r="E1643" s="15" t="s">
        <v>7906</v>
      </c>
      <c r="F1643" s="15" t="s">
        <v>7908</v>
      </c>
      <c r="G1643" s="15" t="s">
        <v>7907</v>
      </c>
      <c r="H1643" s="15" t="s">
        <v>7909</v>
      </c>
      <c r="I1643" s="15" t="s">
        <v>416</v>
      </c>
    </row>
    <row r="1644" spans="1:9" x14ac:dyDescent="0.15">
      <c r="A1644" s="15" t="s">
        <v>7910</v>
      </c>
      <c r="B1644" s="15"/>
      <c r="C1644" s="15" t="s">
        <v>40</v>
      </c>
      <c r="D1644" s="15" t="s">
        <v>41</v>
      </c>
      <c r="E1644" s="15" t="s">
        <v>7911</v>
      </c>
      <c r="F1644" s="15" t="s">
        <v>7913</v>
      </c>
      <c r="G1644" s="15" t="s">
        <v>7912</v>
      </c>
      <c r="H1644" s="15" t="s">
        <v>7914</v>
      </c>
      <c r="I1644" s="15" t="s">
        <v>416</v>
      </c>
    </row>
    <row r="1645" spans="1:9" x14ac:dyDescent="0.15">
      <c r="A1645" s="15" t="s">
        <v>7915</v>
      </c>
      <c r="B1645" s="15"/>
      <c r="C1645" s="15" t="s">
        <v>40</v>
      </c>
      <c r="D1645" s="15" t="s">
        <v>41</v>
      </c>
      <c r="E1645" s="15" t="s">
        <v>7916</v>
      </c>
      <c r="F1645" s="15" t="s">
        <v>52</v>
      </c>
      <c r="G1645" s="15" t="s">
        <v>7917</v>
      </c>
      <c r="H1645" s="15" t="s">
        <v>7918</v>
      </c>
      <c r="I1645" s="15" t="s">
        <v>416</v>
      </c>
    </row>
    <row r="1646" spans="1:9" x14ac:dyDescent="0.15">
      <c r="A1646" s="15" t="s">
        <v>7919</v>
      </c>
      <c r="B1646" s="15"/>
      <c r="C1646" s="15" t="s">
        <v>40</v>
      </c>
      <c r="D1646" s="15" t="s">
        <v>41</v>
      </c>
      <c r="E1646" s="15" t="s">
        <v>7920</v>
      </c>
      <c r="F1646" s="15" t="s">
        <v>7921</v>
      </c>
      <c r="G1646" s="15" t="s">
        <v>26</v>
      </c>
      <c r="H1646" s="15" t="s">
        <v>7922</v>
      </c>
      <c r="I1646" s="15" t="s">
        <v>416</v>
      </c>
    </row>
    <row r="1647" spans="1:9" x14ac:dyDescent="0.15">
      <c r="A1647" s="15" t="s">
        <v>7923</v>
      </c>
      <c r="B1647" s="15"/>
      <c r="C1647" s="15" t="s">
        <v>40</v>
      </c>
      <c r="D1647" s="15" t="s">
        <v>41</v>
      </c>
      <c r="E1647" s="15" t="s">
        <v>7924</v>
      </c>
      <c r="F1647" s="15" t="s">
        <v>7926</v>
      </c>
      <c r="G1647" s="15" t="s">
        <v>7925</v>
      </c>
      <c r="H1647" s="15" t="s">
        <v>7927</v>
      </c>
      <c r="I1647" s="15" t="s">
        <v>416</v>
      </c>
    </row>
    <row r="1648" spans="1:9" x14ac:dyDescent="0.15">
      <c r="A1648" s="15" t="s">
        <v>7928</v>
      </c>
      <c r="B1648" s="15"/>
      <c r="C1648" s="15" t="s">
        <v>40</v>
      </c>
      <c r="D1648" s="15" t="s">
        <v>41</v>
      </c>
      <c r="E1648" s="15" t="s">
        <v>7929</v>
      </c>
      <c r="F1648" s="15" t="s">
        <v>7931</v>
      </c>
      <c r="G1648" s="15" t="s">
        <v>7930</v>
      </c>
      <c r="H1648" s="15" t="s">
        <v>7932</v>
      </c>
      <c r="I1648" s="15" t="s">
        <v>416</v>
      </c>
    </row>
    <row r="1649" spans="1:9" x14ac:dyDescent="0.15">
      <c r="A1649" s="15" t="s">
        <v>7933</v>
      </c>
      <c r="B1649" s="15"/>
      <c r="C1649" s="15" t="s">
        <v>40</v>
      </c>
      <c r="D1649" s="15" t="s">
        <v>41</v>
      </c>
      <c r="E1649" s="15" t="s">
        <v>7934</v>
      </c>
      <c r="F1649" s="15" t="s">
        <v>52</v>
      </c>
      <c r="G1649" s="15" t="s">
        <v>7935</v>
      </c>
      <c r="H1649" s="15" t="s">
        <v>7936</v>
      </c>
      <c r="I1649" s="15" t="s">
        <v>416</v>
      </c>
    </row>
    <row r="1650" spans="1:9" x14ac:dyDescent="0.15">
      <c r="A1650" s="15" t="s">
        <v>7937</v>
      </c>
      <c r="B1650" s="15"/>
      <c r="C1650" s="15" t="s">
        <v>40</v>
      </c>
      <c r="D1650" s="15" t="s">
        <v>41</v>
      </c>
      <c r="E1650" s="15" t="s">
        <v>7938</v>
      </c>
      <c r="F1650" s="15" t="s">
        <v>7940</v>
      </c>
      <c r="G1650" s="15" t="s">
        <v>7939</v>
      </c>
      <c r="H1650" s="15" t="s">
        <v>7941</v>
      </c>
      <c r="I1650" s="15" t="s">
        <v>416</v>
      </c>
    </row>
    <row r="1651" spans="1:9" x14ac:dyDescent="0.15">
      <c r="A1651" s="15" t="s">
        <v>7942</v>
      </c>
      <c r="B1651" s="15"/>
      <c r="C1651" s="15" t="s">
        <v>40</v>
      </c>
      <c r="D1651" s="15" t="s">
        <v>41</v>
      </c>
      <c r="E1651" s="15" t="s">
        <v>7943</v>
      </c>
      <c r="F1651" s="15" t="s">
        <v>7945</v>
      </c>
      <c r="G1651" s="15" t="s">
        <v>7944</v>
      </c>
      <c r="H1651" s="15" t="s">
        <v>7946</v>
      </c>
      <c r="I1651" s="15" t="s">
        <v>416</v>
      </c>
    </row>
    <row r="1652" spans="1:9" x14ac:dyDescent="0.15">
      <c r="A1652" s="15" t="s">
        <v>7947</v>
      </c>
      <c r="B1652" s="15"/>
      <c r="C1652" s="15" t="s">
        <v>40</v>
      </c>
      <c r="D1652" s="15" t="s">
        <v>41</v>
      </c>
      <c r="E1652" s="15" t="s">
        <v>7948</v>
      </c>
      <c r="F1652" s="15" t="s">
        <v>7950</v>
      </c>
      <c r="G1652" s="15" t="s">
        <v>7949</v>
      </c>
      <c r="H1652" s="15" t="s">
        <v>7951</v>
      </c>
      <c r="I1652" s="15" t="s">
        <v>416</v>
      </c>
    </row>
    <row r="1653" spans="1:9" x14ac:dyDescent="0.15">
      <c r="A1653" s="15" t="s">
        <v>7952</v>
      </c>
      <c r="B1653" s="15"/>
      <c r="C1653" s="15" t="s">
        <v>40</v>
      </c>
      <c r="D1653" s="15" t="s">
        <v>41</v>
      </c>
      <c r="E1653" s="15" t="s">
        <v>7953</v>
      </c>
      <c r="F1653" s="15" t="s">
        <v>7955</v>
      </c>
      <c r="G1653" s="15" t="s">
        <v>7954</v>
      </c>
      <c r="H1653" s="15" t="s">
        <v>7956</v>
      </c>
      <c r="I1653" s="15" t="s">
        <v>416</v>
      </c>
    </row>
    <row r="1654" spans="1:9" x14ac:dyDescent="0.15">
      <c r="A1654" s="15" t="s">
        <v>7957</v>
      </c>
      <c r="B1654" s="15"/>
      <c r="C1654" s="15" t="s">
        <v>40</v>
      </c>
      <c r="D1654" s="15" t="s">
        <v>41</v>
      </c>
      <c r="E1654" s="15" t="s">
        <v>7958</v>
      </c>
      <c r="F1654" s="15" t="s">
        <v>7959</v>
      </c>
      <c r="G1654" s="15" t="s">
        <v>3030</v>
      </c>
      <c r="H1654" s="15" t="s">
        <v>7960</v>
      </c>
      <c r="I1654" s="15" t="s">
        <v>416</v>
      </c>
    </row>
    <row r="1655" spans="1:9" x14ac:dyDescent="0.15">
      <c r="A1655" s="15" t="s">
        <v>7961</v>
      </c>
      <c r="B1655" s="15"/>
      <c r="C1655" s="15" t="s">
        <v>40</v>
      </c>
      <c r="D1655" s="15" t="s">
        <v>41</v>
      </c>
      <c r="E1655" s="15" t="s">
        <v>7962</v>
      </c>
      <c r="F1655" s="15" t="s">
        <v>7964</v>
      </c>
      <c r="G1655" s="15" t="s">
        <v>7963</v>
      </c>
      <c r="H1655" s="15" t="s">
        <v>7965</v>
      </c>
      <c r="I1655" s="15" t="s">
        <v>416</v>
      </c>
    </row>
    <row r="1656" spans="1:9" x14ac:dyDescent="0.15">
      <c r="A1656" s="15" t="s">
        <v>7966</v>
      </c>
      <c r="B1656" s="15"/>
      <c r="C1656" s="15" t="s">
        <v>40</v>
      </c>
      <c r="D1656" s="15" t="s">
        <v>41</v>
      </c>
      <c r="E1656" s="15" t="s">
        <v>7967</v>
      </c>
      <c r="F1656" s="15" t="s">
        <v>7969</v>
      </c>
      <c r="G1656" s="15" t="s">
        <v>7968</v>
      </c>
      <c r="H1656" s="15" t="s">
        <v>7970</v>
      </c>
      <c r="I1656" s="15" t="s">
        <v>416</v>
      </c>
    </row>
    <row r="1657" spans="1:9" x14ac:dyDescent="0.15">
      <c r="A1657" s="15" t="s">
        <v>7971</v>
      </c>
      <c r="B1657" s="15"/>
      <c r="C1657" s="15" t="s">
        <v>40</v>
      </c>
      <c r="D1657" s="15" t="s">
        <v>41</v>
      </c>
      <c r="E1657" s="15" t="s">
        <v>7972</v>
      </c>
      <c r="F1657" s="15" t="s">
        <v>7974</v>
      </c>
      <c r="G1657" s="15" t="s">
        <v>7973</v>
      </c>
      <c r="H1657" s="15" t="s">
        <v>7975</v>
      </c>
      <c r="I1657" s="15" t="s">
        <v>416</v>
      </c>
    </row>
    <row r="1658" spans="1:9" x14ac:dyDescent="0.15">
      <c r="A1658" s="15" t="s">
        <v>7976</v>
      </c>
      <c r="B1658" s="15"/>
      <c r="C1658" s="15" t="s">
        <v>40</v>
      </c>
      <c r="D1658" s="15" t="s">
        <v>41</v>
      </c>
      <c r="E1658" s="15" t="s">
        <v>7977</v>
      </c>
      <c r="F1658" s="15" t="s">
        <v>7979</v>
      </c>
      <c r="G1658" s="15" t="s">
        <v>7978</v>
      </c>
      <c r="H1658" s="15" t="s">
        <v>7980</v>
      </c>
      <c r="I1658" s="15" t="s">
        <v>416</v>
      </c>
    </row>
    <row r="1659" spans="1:9" x14ac:dyDescent="0.15">
      <c r="A1659" s="15" t="s">
        <v>7981</v>
      </c>
      <c r="B1659" s="15"/>
      <c r="C1659" s="15" t="s">
        <v>40</v>
      </c>
      <c r="D1659" s="15" t="s">
        <v>41</v>
      </c>
      <c r="E1659" s="15" t="s">
        <v>7982</v>
      </c>
      <c r="F1659" s="15" t="s">
        <v>7984</v>
      </c>
      <c r="G1659" s="15" t="s">
        <v>7983</v>
      </c>
      <c r="H1659" s="15" t="s">
        <v>7985</v>
      </c>
      <c r="I1659" s="15" t="s">
        <v>416</v>
      </c>
    </row>
    <row r="1660" spans="1:9" x14ac:dyDescent="0.15">
      <c r="A1660" s="15" t="s">
        <v>7986</v>
      </c>
      <c r="B1660" s="15"/>
      <c r="C1660" s="15" t="s">
        <v>40</v>
      </c>
      <c r="D1660" s="15" t="s">
        <v>41</v>
      </c>
      <c r="E1660" s="15" t="s">
        <v>7987</v>
      </c>
      <c r="F1660" s="15" t="s">
        <v>7988</v>
      </c>
      <c r="G1660" s="15" t="s">
        <v>6661</v>
      </c>
      <c r="H1660" s="15" t="s">
        <v>7989</v>
      </c>
      <c r="I1660" s="15" t="s">
        <v>416</v>
      </c>
    </row>
    <row r="1661" spans="1:9" x14ac:dyDescent="0.15">
      <c r="A1661" s="15" t="s">
        <v>7990</v>
      </c>
      <c r="B1661" s="15"/>
      <c r="C1661" s="15" t="s">
        <v>40</v>
      </c>
      <c r="D1661" s="15" t="s">
        <v>41</v>
      </c>
      <c r="E1661" s="15" t="s">
        <v>7991</v>
      </c>
      <c r="F1661" s="15" t="s">
        <v>7993</v>
      </c>
      <c r="G1661" s="15" t="s">
        <v>7992</v>
      </c>
      <c r="H1661" s="15" t="s">
        <v>7994</v>
      </c>
      <c r="I1661" s="15" t="s">
        <v>416</v>
      </c>
    </row>
    <row r="1662" spans="1:9" x14ac:dyDescent="0.15">
      <c r="A1662" s="15" t="s">
        <v>7995</v>
      </c>
      <c r="B1662" s="15"/>
      <c r="C1662" s="15" t="s">
        <v>40</v>
      </c>
      <c r="D1662" s="15" t="s">
        <v>41</v>
      </c>
      <c r="E1662" s="15" t="s">
        <v>7996</v>
      </c>
      <c r="F1662" s="15" t="s">
        <v>7998</v>
      </c>
      <c r="G1662" s="15" t="s">
        <v>7997</v>
      </c>
      <c r="H1662" s="15" t="s">
        <v>7999</v>
      </c>
      <c r="I1662" s="15" t="s">
        <v>416</v>
      </c>
    </row>
    <row r="1663" spans="1:9" x14ac:dyDescent="0.15">
      <c r="A1663" s="15" t="s">
        <v>8000</v>
      </c>
      <c r="B1663" s="15"/>
      <c r="C1663" s="15" t="s">
        <v>40</v>
      </c>
      <c r="D1663" s="15" t="s">
        <v>41</v>
      </c>
      <c r="E1663" s="15" t="s">
        <v>8001</v>
      </c>
      <c r="F1663" s="15" t="s">
        <v>8003</v>
      </c>
      <c r="G1663" s="15" t="s">
        <v>8002</v>
      </c>
      <c r="H1663" s="15" t="s">
        <v>8004</v>
      </c>
      <c r="I1663" s="15" t="s">
        <v>416</v>
      </c>
    </row>
    <row r="1664" spans="1:9" x14ac:dyDescent="0.15">
      <c r="A1664" s="15" t="s">
        <v>8005</v>
      </c>
      <c r="B1664" s="15"/>
      <c r="C1664" s="15" t="s">
        <v>40</v>
      </c>
      <c r="D1664" s="15" t="s">
        <v>41</v>
      </c>
      <c r="E1664" s="15" t="s">
        <v>8006</v>
      </c>
      <c r="F1664" s="15" t="s">
        <v>8008</v>
      </c>
      <c r="G1664" s="15" t="s">
        <v>8007</v>
      </c>
      <c r="H1664" s="15" t="s">
        <v>8009</v>
      </c>
      <c r="I1664" s="15" t="s">
        <v>416</v>
      </c>
    </row>
    <row r="1665" spans="1:9" x14ac:dyDescent="0.15">
      <c r="A1665" s="15" t="s">
        <v>8010</v>
      </c>
      <c r="B1665" s="15"/>
      <c r="C1665" s="15" t="s">
        <v>40</v>
      </c>
      <c r="D1665" s="15" t="s">
        <v>41</v>
      </c>
      <c r="E1665" s="15" t="s">
        <v>8011</v>
      </c>
      <c r="F1665" s="15" t="s">
        <v>8012</v>
      </c>
      <c r="G1665" s="15" t="s">
        <v>3002</v>
      </c>
      <c r="H1665" s="15" t="s">
        <v>8013</v>
      </c>
      <c r="I1665" s="15" t="s">
        <v>416</v>
      </c>
    </row>
    <row r="1666" spans="1:9" x14ac:dyDescent="0.15">
      <c r="A1666" s="15" t="s">
        <v>8014</v>
      </c>
      <c r="B1666" s="15"/>
      <c r="C1666" s="15" t="s">
        <v>40</v>
      </c>
      <c r="D1666" s="15" t="s">
        <v>41</v>
      </c>
      <c r="E1666" s="15" t="s">
        <v>8015</v>
      </c>
      <c r="F1666" s="15" t="s">
        <v>8017</v>
      </c>
      <c r="G1666" s="15" t="s">
        <v>8016</v>
      </c>
      <c r="H1666" s="15" t="s">
        <v>8018</v>
      </c>
      <c r="I1666" s="15" t="s">
        <v>416</v>
      </c>
    </row>
    <row r="1667" spans="1:9" x14ac:dyDescent="0.15">
      <c r="A1667" s="15" t="s">
        <v>8019</v>
      </c>
      <c r="B1667" s="15"/>
      <c r="C1667" s="15" t="s">
        <v>40</v>
      </c>
      <c r="D1667" s="15" t="s">
        <v>41</v>
      </c>
      <c r="E1667" s="15" t="s">
        <v>8020</v>
      </c>
      <c r="F1667" s="15" t="s">
        <v>8022</v>
      </c>
      <c r="G1667" s="15" t="s">
        <v>8021</v>
      </c>
      <c r="H1667" s="15" t="s">
        <v>8023</v>
      </c>
      <c r="I1667" s="15" t="s">
        <v>416</v>
      </c>
    </row>
    <row r="1668" spans="1:9" x14ac:dyDescent="0.15">
      <c r="A1668" s="15" t="s">
        <v>8024</v>
      </c>
      <c r="B1668" s="15"/>
      <c r="C1668" s="15" t="s">
        <v>40</v>
      </c>
      <c r="D1668" s="15" t="s">
        <v>41</v>
      </c>
      <c r="E1668" s="15" t="s">
        <v>8025</v>
      </c>
      <c r="F1668" s="15" t="s">
        <v>8027</v>
      </c>
      <c r="G1668" s="15" t="s">
        <v>8026</v>
      </c>
      <c r="H1668" s="15" t="s">
        <v>8028</v>
      </c>
      <c r="I1668" s="15" t="s">
        <v>416</v>
      </c>
    </row>
    <row r="1669" spans="1:9" x14ac:dyDescent="0.15">
      <c r="A1669" s="15" t="s">
        <v>8029</v>
      </c>
      <c r="B1669" s="15"/>
      <c r="C1669" s="15" t="s">
        <v>40</v>
      </c>
      <c r="D1669" s="15" t="s">
        <v>41</v>
      </c>
      <c r="E1669" s="15" t="s">
        <v>8030</v>
      </c>
      <c r="F1669" s="15" t="s">
        <v>8032</v>
      </c>
      <c r="G1669" s="15" t="s">
        <v>8031</v>
      </c>
      <c r="H1669" s="15" t="s">
        <v>8033</v>
      </c>
      <c r="I1669" s="15" t="s">
        <v>416</v>
      </c>
    </row>
    <row r="1670" spans="1:9" x14ac:dyDescent="0.15">
      <c r="A1670" s="15" t="s">
        <v>8034</v>
      </c>
      <c r="B1670" s="15"/>
      <c r="C1670" s="15" t="s">
        <v>40</v>
      </c>
      <c r="D1670" s="15" t="s">
        <v>41</v>
      </c>
      <c r="E1670" s="15" t="s">
        <v>8035</v>
      </c>
      <c r="F1670" s="15" t="s">
        <v>8037</v>
      </c>
      <c r="G1670" s="15" t="s">
        <v>8036</v>
      </c>
      <c r="H1670" s="15" t="s">
        <v>8038</v>
      </c>
      <c r="I1670" s="15" t="s">
        <v>416</v>
      </c>
    </row>
    <row r="1671" spans="1:9" x14ac:dyDescent="0.15">
      <c r="A1671" s="15" t="s">
        <v>8039</v>
      </c>
      <c r="B1671" s="15"/>
      <c r="C1671" s="15" t="s">
        <v>40</v>
      </c>
      <c r="D1671" s="15" t="s">
        <v>41</v>
      </c>
      <c r="E1671" s="15" t="s">
        <v>8040</v>
      </c>
      <c r="F1671" s="15" t="s">
        <v>8042</v>
      </c>
      <c r="G1671" s="15" t="s">
        <v>8041</v>
      </c>
      <c r="H1671" s="15" t="s">
        <v>8043</v>
      </c>
      <c r="I1671" s="15" t="s">
        <v>416</v>
      </c>
    </row>
    <row r="1672" spans="1:9" x14ac:dyDescent="0.15">
      <c r="A1672" s="15" t="s">
        <v>8044</v>
      </c>
      <c r="B1672" s="15"/>
      <c r="C1672" s="15" t="s">
        <v>40</v>
      </c>
      <c r="D1672" s="15" t="s">
        <v>41</v>
      </c>
      <c r="E1672" s="15" t="s">
        <v>8045</v>
      </c>
      <c r="F1672" s="15" t="s">
        <v>8047</v>
      </c>
      <c r="G1672" s="15" t="s">
        <v>8046</v>
      </c>
      <c r="H1672" s="15" t="s">
        <v>8048</v>
      </c>
      <c r="I1672" s="15" t="s">
        <v>416</v>
      </c>
    </row>
    <row r="1673" spans="1:9" x14ac:dyDescent="0.15">
      <c r="A1673" s="15" t="s">
        <v>8049</v>
      </c>
      <c r="B1673" s="15"/>
      <c r="C1673" s="15" t="s">
        <v>40</v>
      </c>
      <c r="D1673" s="15" t="s">
        <v>41</v>
      </c>
      <c r="E1673" s="15" t="s">
        <v>8050</v>
      </c>
      <c r="F1673" s="15" t="s">
        <v>8052</v>
      </c>
      <c r="G1673" s="15" t="s">
        <v>8051</v>
      </c>
      <c r="H1673" s="15" t="s">
        <v>8053</v>
      </c>
      <c r="I1673" s="15" t="s">
        <v>416</v>
      </c>
    </row>
    <row r="1674" spans="1:9" x14ac:dyDescent="0.15">
      <c r="A1674" s="15" t="s">
        <v>8054</v>
      </c>
      <c r="B1674" s="15"/>
      <c r="C1674" s="15" t="s">
        <v>40</v>
      </c>
      <c r="D1674" s="15" t="s">
        <v>41</v>
      </c>
      <c r="E1674" s="15" t="s">
        <v>8055</v>
      </c>
      <c r="F1674" s="15" t="s">
        <v>8056</v>
      </c>
      <c r="G1674" s="15" t="s">
        <v>7825</v>
      </c>
      <c r="H1674" s="15" t="s">
        <v>8057</v>
      </c>
      <c r="I1674" s="15" t="s">
        <v>416</v>
      </c>
    </row>
    <row r="1675" spans="1:9" x14ac:dyDescent="0.15">
      <c r="A1675" s="15" t="s">
        <v>8058</v>
      </c>
      <c r="B1675" s="15"/>
      <c r="C1675" s="15" t="s">
        <v>40</v>
      </c>
      <c r="D1675" s="15" t="s">
        <v>41</v>
      </c>
      <c r="E1675" s="15" t="s">
        <v>8059</v>
      </c>
      <c r="F1675" s="15" t="s">
        <v>8061</v>
      </c>
      <c r="G1675" s="15" t="s">
        <v>8060</v>
      </c>
      <c r="H1675" s="15" t="s">
        <v>8062</v>
      </c>
      <c r="I1675" s="15" t="s">
        <v>416</v>
      </c>
    </row>
    <row r="1676" spans="1:9" x14ac:dyDescent="0.15">
      <c r="A1676" s="15" t="s">
        <v>8063</v>
      </c>
      <c r="B1676" s="15"/>
      <c r="C1676" s="15" t="s">
        <v>40</v>
      </c>
      <c r="D1676" s="15" t="s">
        <v>41</v>
      </c>
      <c r="E1676" s="15" t="s">
        <v>8064</v>
      </c>
      <c r="F1676" s="15" t="s">
        <v>8065</v>
      </c>
      <c r="G1676" s="15" t="s">
        <v>2092</v>
      </c>
      <c r="H1676" s="15" t="s">
        <v>8066</v>
      </c>
      <c r="I1676" s="15" t="s">
        <v>416</v>
      </c>
    </row>
    <row r="1677" spans="1:9" x14ac:dyDescent="0.15">
      <c r="A1677" s="15" t="s">
        <v>8067</v>
      </c>
      <c r="B1677" s="15"/>
      <c r="C1677" s="15" t="s">
        <v>40</v>
      </c>
      <c r="D1677" s="15" t="s">
        <v>41</v>
      </c>
      <c r="E1677" s="15" t="s">
        <v>8068</v>
      </c>
      <c r="F1677" s="15" t="s">
        <v>8070</v>
      </c>
      <c r="G1677" s="15" t="s">
        <v>8069</v>
      </c>
      <c r="H1677" s="15" t="s">
        <v>8071</v>
      </c>
      <c r="I1677" s="15" t="s">
        <v>416</v>
      </c>
    </row>
    <row r="1678" spans="1:9" x14ac:dyDescent="0.15">
      <c r="A1678" s="15" t="s">
        <v>8072</v>
      </c>
      <c r="B1678" s="15"/>
      <c r="C1678" s="15" t="s">
        <v>40</v>
      </c>
      <c r="D1678" s="15" t="s">
        <v>41</v>
      </c>
      <c r="E1678" s="15" t="s">
        <v>8073</v>
      </c>
      <c r="F1678" s="15" t="s">
        <v>8075</v>
      </c>
      <c r="G1678" s="15" t="s">
        <v>8074</v>
      </c>
      <c r="H1678" s="15" t="s">
        <v>8076</v>
      </c>
      <c r="I1678" s="15" t="s">
        <v>416</v>
      </c>
    </row>
    <row r="1679" spans="1:9" x14ac:dyDescent="0.15">
      <c r="A1679" s="15" t="s">
        <v>8077</v>
      </c>
      <c r="B1679" s="15"/>
      <c r="C1679" s="15" t="s">
        <v>40</v>
      </c>
      <c r="D1679" s="15" t="s">
        <v>41</v>
      </c>
      <c r="E1679" s="15" t="s">
        <v>8078</v>
      </c>
      <c r="F1679" s="15" t="s">
        <v>8080</v>
      </c>
      <c r="G1679" s="15" t="s">
        <v>8079</v>
      </c>
      <c r="H1679" s="15" t="s">
        <v>8081</v>
      </c>
      <c r="I1679" s="15" t="s">
        <v>416</v>
      </c>
    </row>
    <row r="1680" spans="1:9" x14ac:dyDescent="0.15">
      <c r="A1680" s="15" t="s">
        <v>8082</v>
      </c>
      <c r="B1680" s="15"/>
      <c r="C1680" s="15" t="s">
        <v>40</v>
      </c>
      <c r="D1680" s="15" t="s">
        <v>41</v>
      </c>
      <c r="E1680" s="15" t="s">
        <v>8083</v>
      </c>
      <c r="F1680" s="15" t="s">
        <v>8085</v>
      </c>
      <c r="G1680" s="15" t="s">
        <v>8084</v>
      </c>
      <c r="H1680" s="15" t="s">
        <v>8086</v>
      </c>
      <c r="I1680" s="15" t="s">
        <v>416</v>
      </c>
    </row>
    <row r="1681" spans="1:9" x14ac:dyDescent="0.15">
      <c r="A1681" s="15" t="s">
        <v>8087</v>
      </c>
      <c r="B1681" s="15"/>
      <c r="C1681" s="15" t="s">
        <v>40</v>
      </c>
      <c r="D1681" s="15" t="s">
        <v>41</v>
      </c>
      <c r="E1681" s="15" t="s">
        <v>8088</v>
      </c>
      <c r="F1681" s="15" t="s">
        <v>8090</v>
      </c>
      <c r="G1681" s="15" t="s">
        <v>8089</v>
      </c>
      <c r="H1681" s="15" t="s">
        <v>8091</v>
      </c>
      <c r="I1681" s="15" t="s">
        <v>416</v>
      </c>
    </row>
    <row r="1682" spans="1:9" x14ac:dyDescent="0.15">
      <c r="A1682" s="15" t="s">
        <v>8092</v>
      </c>
      <c r="B1682" s="15"/>
      <c r="C1682" s="15" t="s">
        <v>40</v>
      </c>
      <c r="D1682" s="15" t="s">
        <v>41</v>
      </c>
      <c r="E1682" s="15" t="s">
        <v>8093</v>
      </c>
      <c r="F1682" s="15" t="s">
        <v>8095</v>
      </c>
      <c r="G1682" s="15" t="s">
        <v>8094</v>
      </c>
      <c r="H1682" s="15" t="s">
        <v>8096</v>
      </c>
      <c r="I1682" s="15" t="s">
        <v>416</v>
      </c>
    </row>
    <row r="1683" spans="1:9" x14ac:dyDescent="0.15">
      <c r="A1683" s="15" t="s">
        <v>8097</v>
      </c>
      <c r="B1683" s="15"/>
      <c r="C1683" s="15" t="s">
        <v>40</v>
      </c>
      <c r="D1683" s="15" t="s">
        <v>41</v>
      </c>
      <c r="E1683" s="15" t="s">
        <v>8098</v>
      </c>
      <c r="F1683" s="15" t="s">
        <v>8100</v>
      </c>
      <c r="G1683" s="15" t="s">
        <v>8099</v>
      </c>
      <c r="H1683" s="15" t="s">
        <v>8101</v>
      </c>
      <c r="I1683" s="15" t="s">
        <v>416</v>
      </c>
    </row>
    <row r="1684" spans="1:9" x14ac:dyDescent="0.15">
      <c r="A1684" s="15" t="s">
        <v>8102</v>
      </c>
      <c r="B1684" s="15"/>
      <c r="C1684" s="15" t="s">
        <v>40</v>
      </c>
      <c r="D1684" s="15" t="s">
        <v>41</v>
      </c>
      <c r="E1684" s="15" t="s">
        <v>8103</v>
      </c>
      <c r="F1684" s="15" t="s">
        <v>8105</v>
      </c>
      <c r="G1684" s="15" t="s">
        <v>8104</v>
      </c>
      <c r="H1684" s="15" t="s">
        <v>8106</v>
      </c>
      <c r="I1684" s="15" t="s">
        <v>416</v>
      </c>
    </row>
    <row r="1685" spans="1:9" x14ac:dyDescent="0.15">
      <c r="A1685" s="15" t="s">
        <v>8107</v>
      </c>
      <c r="B1685" s="15"/>
      <c r="C1685" s="15" t="s">
        <v>40</v>
      </c>
      <c r="D1685" s="15" t="s">
        <v>41</v>
      </c>
      <c r="E1685" s="15" t="s">
        <v>8108</v>
      </c>
      <c r="F1685" s="15" t="s">
        <v>8110</v>
      </c>
      <c r="G1685" s="15" t="s">
        <v>8109</v>
      </c>
      <c r="H1685" s="15" t="s">
        <v>8111</v>
      </c>
      <c r="I1685" s="15" t="s">
        <v>416</v>
      </c>
    </row>
    <row r="1686" spans="1:9" x14ac:dyDescent="0.15">
      <c r="A1686" s="15" t="s">
        <v>8112</v>
      </c>
      <c r="B1686" s="15"/>
      <c r="C1686" s="15" t="s">
        <v>40</v>
      </c>
      <c r="D1686" s="15" t="s">
        <v>41</v>
      </c>
      <c r="E1686" s="15" t="s">
        <v>8113</v>
      </c>
      <c r="F1686" s="15" t="s">
        <v>8115</v>
      </c>
      <c r="G1686" s="15" t="s">
        <v>8114</v>
      </c>
      <c r="H1686" s="15" t="s">
        <v>8116</v>
      </c>
      <c r="I1686" s="15" t="s">
        <v>416</v>
      </c>
    </row>
    <row r="1687" spans="1:9" x14ac:dyDescent="0.15">
      <c r="A1687" s="15" t="s">
        <v>8117</v>
      </c>
      <c r="B1687" s="15"/>
      <c r="C1687" s="15" t="s">
        <v>40</v>
      </c>
      <c r="D1687" s="15" t="s">
        <v>41</v>
      </c>
      <c r="E1687" s="15" t="s">
        <v>8118</v>
      </c>
      <c r="F1687" s="15" t="s">
        <v>8120</v>
      </c>
      <c r="G1687" s="15" t="s">
        <v>8119</v>
      </c>
      <c r="H1687" s="15" t="s">
        <v>8121</v>
      </c>
      <c r="I1687" s="15" t="s">
        <v>416</v>
      </c>
    </row>
    <row r="1688" spans="1:9" x14ac:dyDescent="0.15">
      <c r="A1688" s="15" t="s">
        <v>8122</v>
      </c>
      <c r="B1688" s="15"/>
      <c r="C1688" s="15" t="s">
        <v>40</v>
      </c>
      <c r="D1688" s="15" t="s">
        <v>41</v>
      </c>
      <c r="E1688" s="15" t="s">
        <v>8123</v>
      </c>
      <c r="F1688" s="15" t="s">
        <v>8125</v>
      </c>
      <c r="G1688" s="15" t="s">
        <v>8124</v>
      </c>
      <c r="H1688" s="15" t="s">
        <v>8126</v>
      </c>
      <c r="I1688" s="15" t="s">
        <v>416</v>
      </c>
    </row>
    <row r="1689" spans="1:9" x14ac:dyDescent="0.15">
      <c r="A1689" s="15" t="s">
        <v>8127</v>
      </c>
      <c r="B1689" s="15"/>
      <c r="C1689" s="15" t="s">
        <v>40</v>
      </c>
      <c r="D1689" s="15" t="s">
        <v>41</v>
      </c>
      <c r="E1689" s="15" t="s">
        <v>8128</v>
      </c>
      <c r="F1689" s="15" t="s">
        <v>8130</v>
      </c>
      <c r="G1689" s="15" t="s">
        <v>8129</v>
      </c>
      <c r="H1689" s="15" t="s">
        <v>8131</v>
      </c>
      <c r="I1689" s="15" t="s">
        <v>416</v>
      </c>
    </row>
    <row r="1690" spans="1:9" x14ac:dyDescent="0.15">
      <c r="A1690" s="15" t="s">
        <v>8132</v>
      </c>
      <c r="B1690" s="15"/>
      <c r="C1690" s="15" t="s">
        <v>40</v>
      </c>
      <c r="D1690" s="15" t="s">
        <v>41</v>
      </c>
      <c r="E1690" s="15" t="s">
        <v>8133</v>
      </c>
      <c r="F1690" s="15" t="s">
        <v>8135</v>
      </c>
      <c r="G1690" s="15" t="s">
        <v>8134</v>
      </c>
      <c r="H1690" s="15" t="s">
        <v>8136</v>
      </c>
      <c r="I1690" s="15" t="s">
        <v>416</v>
      </c>
    </row>
    <row r="1691" spans="1:9" x14ac:dyDescent="0.15">
      <c r="A1691" s="15" t="s">
        <v>8137</v>
      </c>
      <c r="B1691" s="15"/>
      <c r="C1691" s="15" t="s">
        <v>40</v>
      </c>
      <c r="D1691" s="15" t="s">
        <v>41</v>
      </c>
      <c r="E1691" s="15" t="s">
        <v>8138</v>
      </c>
      <c r="F1691" s="15" t="s">
        <v>8140</v>
      </c>
      <c r="G1691" s="15" t="s">
        <v>8139</v>
      </c>
      <c r="H1691" s="15" t="s">
        <v>8141</v>
      </c>
      <c r="I1691" s="15" t="s">
        <v>416</v>
      </c>
    </row>
    <row r="1692" spans="1:9" x14ac:dyDescent="0.15">
      <c r="A1692" s="15" t="s">
        <v>8142</v>
      </c>
      <c r="B1692" s="15"/>
      <c r="C1692" s="15" t="s">
        <v>40</v>
      </c>
      <c r="D1692" s="15" t="s">
        <v>41</v>
      </c>
      <c r="E1692" s="15" t="s">
        <v>8143</v>
      </c>
      <c r="F1692" s="15" t="s">
        <v>8145</v>
      </c>
      <c r="G1692" s="15" t="s">
        <v>8144</v>
      </c>
      <c r="H1692" s="15" t="s">
        <v>8146</v>
      </c>
      <c r="I1692" s="15" t="s">
        <v>416</v>
      </c>
    </row>
    <row r="1693" spans="1:9" x14ac:dyDescent="0.15">
      <c r="A1693" s="15" t="s">
        <v>8147</v>
      </c>
      <c r="B1693" s="15"/>
      <c r="C1693" s="15" t="s">
        <v>40</v>
      </c>
      <c r="D1693" s="15" t="s">
        <v>41</v>
      </c>
      <c r="E1693" s="15" t="s">
        <v>8148</v>
      </c>
      <c r="F1693" s="15" t="s">
        <v>8149</v>
      </c>
      <c r="G1693" s="15" t="s">
        <v>7949</v>
      </c>
      <c r="H1693" s="15" t="s">
        <v>8150</v>
      </c>
      <c r="I1693" s="15" t="s">
        <v>416</v>
      </c>
    </row>
    <row r="1694" spans="1:9" x14ac:dyDescent="0.15">
      <c r="A1694" s="15" t="s">
        <v>8151</v>
      </c>
      <c r="B1694" s="15"/>
      <c r="C1694" s="15" t="s">
        <v>40</v>
      </c>
      <c r="D1694" s="15" t="s">
        <v>41</v>
      </c>
      <c r="E1694" s="15" t="s">
        <v>8152</v>
      </c>
      <c r="F1694" s="15" t="s">
        <v>8154</v>
      </c>
      <c r="G1694" s="15" t="s">
        <v>8153</v>
      </c>
      <c r="H1694" s="15" t="s">
        <v>8155</v>
      </c>
      <c r="I1694" s="15" t="s">
        <v>416</v>
      </c>
    </row>
    <row r="1695" spans="1:9" x14ac:dyDescent="0.15">
      <c r="A1695" s="15" t="s">
        <v>8156</v>
      </c>
      <c r="B1695" s="15"/>
      <c r="C1695" s="15" t="s">
        <v>40</v>
      </c>
      <c r="D1695" s="15" t="s">
        <v>41</v>
      </c>
      <c r="E1695" s="15" t="s">
        <v>8157</v>
      </c>
      <c r="F1695" s="15" t="s">
        <v>52</v>
      </c>
      <c r="G1695" s="15" t="s">
        <v>8158</v>
      </c>
      <c r="H1695" s="15" t="s">
        <v>8159</v>
      </c>
      <c r="I1695" s="15" t="s">
        <v>416</v>
      </c>
    </row>
    <row r="1696" spans="1:9" x14ac:dyDescent="0.15">
      <c r="A1696" s="15" t="s">
        <v>8160</v>
      </c>
      <c r="B1696" s="15"/>
      <c r="C1696" s="15" t="s">
        <v>40</v>
      </c>
      <c r="D1696" s="15" t="s">
        <v>41</v>
      </c>
      <c r="E1696" s="15" t="s">
        <v>8161</v>
      </c>
      <c r="F1696" s="15" t="s">
        <v>8162</v>
      </c>
      <c r="G1696" s="15" t="s">
        <v>7265</v>
      </c>
      <c r="H1696" s="15" t="s">
        <v>8163</v>
      </c>
      <c r="I1696" s="15" t="s">
        <v>416</v>
      </c>
    </row>
    <row r="1697" spans="1:9" x14ac:dyDescent="0.15">
      <c r="A1697" s="15" t="s">
        <v>8164</v>
      </c>
      <c r="B1697" s="15"/>
      <c r="C1697" s="15" t="s">
        <v>40</v>
      </c>
      <c r="D1697" s="15" t="s">
        <v>41</v>
      </c>
      <c r="E1697" s="15" t="s">
        <v>8165</v>
      </c>
      <c r="F1697" s="15" t="s">
        <v>8167</v>
      </c>
      <c r="G1697" s="15" t="s">
        <v>8166</v>
      </c>
      <c r="H1697" s="15" t="s">
        <v>8168</v>
      </c>
      <c r="I1697" s="15" t="s">
        <v>416</v>
      </c>
    </row>
    <row r="1698" spans="1:9" x14ac:dyDescent="0.15">
      <c r="A1698" s="15" t="s">
        <v>8169</v>
      </c>
      <c r="B1698" s="15"/>
      <c r="C1698" s="15" t="s">
        <v>40</v>
      </c>
      <c r="D1698" s="15" t="s">
        <v>41</v>
      </c>
      <c r="E1698" s="15" t="s">
        <v>8170</v>
      </c>
      <c r="F1698" s="15" t="s">
        <v>8172</v>
      </c>
      <c r="G1698" s="15" t="s">
        <v>8171</v>
      </c>
      <c r="H1698" s="15" t="s">
        <v>8173</v>
      </c>
      <c r="I1698" s="15" t="s">
        <v>416</v>
      </c>
    </row>
    <row r="1699" spans="1:9" x14ac:dyDescent="0.15">
      <c r="A1699" s="15" t="s">
        <v>8174</v>
      </c>
      <c r="B1699" s="15"/>
      <c r="C1699" s="15" t="s">
        <v>40</v>
      </c>
      <c r="D1699" s="15" t="s">
        <v>41</v>
      </c>
      <c r="E1699" s="15" t="s">
        <v>8175</v>
      </c>
      <c r="F1699" s="15" t="s">
        <v>8176</v>
      </c>
      <c r="G1699" s="15" t="s">
        <v>1968</v>
      </c>
      <c r="H1699" s="15" t="s">
        <v>8177</v>
      </c>
      <c r="I1699" s="15" t="s">
        <v>416</v>
      </c>
    </row>
    <row r="1700" spans="1:9" x14ac:dyDescent="0.15">
      <c r="A1700" s="15" t="s">
        <v>8178</v>
      </c>
      <c r="B1700" s="15"/>
      <c r="C1700" s="15" t="s">
        <v>40</v>
      </c>
      <c r="D1700" s="15" t="s">
        <v>41</v>
      </c>
      <c r="E1700" s="15" t="s">
        <v>8179</v>
      </c>
      <c r="F1700" s="15" t="s">
        <v>8180</v>
      </c>
      <c r="G1700" s="15" t="s">
        <v>1968</v>
      </c>
      <c r="H1700" s="15" t="s">
        <v>8181</v>
      </c>
      <c r="I1700" s="15" t="s">
        <v>416</v>
      </c>
    </row>
    <row r="1701" spans="1:9" x14ac:dyDescent="0.15">
      <c r="A1701" s="15" t="s">
        <v>8182</v>
      </c>
      <c r="B1701" s="15"/>
      <c r="C1701" s="15" t="s">
        <v>40</v>
      </c>
      <c r="D1701" s="15" t="s">
        <v>41</v>
      </c>
      <c r="E1701" s="15" t="s">
        <v>8183</v>
      </c>
      <c r="F1701" s="15" t="s">
        <v>8185</v>
      </c>
      <c r="G1701" s="15" t="s">
        <v>8184</v>
      </c>
      <c r="H1701" s="15" t="s">
        <v>8186</v>
      </c>
      <c r="I1701" s="15" t="s">
        <v>416</v>
      </c>
    </row>
    <row r="1702" spans="1:9" x14ac:dyDescent="0.15">
      <c r="A1702" s="15" t="s">
        <v>8187</v>
      </c>
      <c r="B1702" s="15"/>
      <c r="C1702" s="15" t="s">
        <v>40</v>
      </c>
      <c r="D1702" s="15" t="s">
        <v>41</v>
      </c>
      <c r="E1702" s="15" t="s">
        <v>8188</v>
      </c>
      <c r="F1702" s="15" t="s">
        <v>8190</v>
      </c>
      <c r="G1702" s="15" t="s">
        <v>8189</v>
      </c>
      <c r="H1702" s="15" t="s">
        <v>8191</v>
      </c>
      <c r="I1702" s="15" t="s">
        <v>416</v>
      </c>
    </row>
    <row r="1703" spans="1:9" x14ac:dyDescent="0.15">
      <c r="A1703" s="15" t="s">
        <v>8192</v>
      </c>
      <c r="B1703" s="15"/>
      <c r="C1703" s="15" t="s">
        <v>40</v>
      </c>
      <c r="D1703" s="15" t="s">
        <v>41</v>
      </c>
      <c r="E1703" s="15" t="s">
        <v>8193</v>
      </c>
      <c r="F1703" s="15" t="s">
        <v>8195</v>
      </c>
      <c r="G1703" s="15" t="s">
        <v>8194</v>
      </c>
      <c r="H1703" s="15" t="s">
        <v>8196</v>
      </c>
      <c r="I1703" s="15" t="s">
        <v>416</v>
      </c>
    </row>
    <row r="1704" spans="1:9" x14ac:dyDescent="0.15">
      <c r="A1704" s="15" t="s">
        <v>8197</v>
      </c>
      <c r="B1704" s="15"/>
      <c r="C1704" s="15" t="s">
        <v>40</v>
      </c>
      <c r="D1704" s="15" t="s">
        <v>41</v>
      </c>
      <c r="E1704" s="15" t="s">
        <v>8198</v>
      </c>
      <c r="F1704" s="15" t="s">
        <v>8200</v>
      </c>
      <c r="G1704" s="15" t="s">
        <v>8199</v>
      </c>
      <c r="H1704" s="15" t="s">
        <v>8201</v>
      </c>
      <c r="I1704" s="15" t="s">
        <v>416</v>
      </c>
    </row>
    <row r="1705" spans="1:9" x14ac:dyDescent="0.15">
      <c r="A1705" s="15" t="s">
        <v>8202</v>
      </c>
      <c r="B1705" s="15"/>
      <c r="C1705" s="15" t="s">
        <v>40</v>
      </c>
      <c r="D1705" s="15" t="s">
        <v>41</v>
      </c>
      <c r="E1705" s="15" t="s">
        <v>8203</v>
      </c>
      <c r="F1705" s="15" t="s">
        <v>8205</v>
      </c>
      <c r="G1705" s="15" t="s">
        <v>8204</v>
      </c>
      <c r="H1705" s="15" t="s">
        <v>8206</v>
      </c>
      <c r="I1705" s="15" t="s">
        <v>416</v>
      </c>
    </row>
    <row r="1706" spans="1:9" x14ac:dyDescent="0.15">
      <c r="A1706" s="15" t="s">
        <v>8207</v>
      </c>
      <c r="B1706" s="15"/>
      <c r="C1706" s="15" t="s">
        <v>40</v>
      </c>
      <c r="D1706" s="15" t="s">
        <v>41</v>
      </c>
      <c r="E1706" s="15" t="s">
        <v>8208</v>
      </c>
      <c r="F1706" s="15" t="s">
        <v>8210</v>
      </c>
      <c r="G1706" s="15" t="s">
        <v>8209</v>
      </c>
      <c r="H1706" s="15" t="s">
        <v>8211</v>
      </c>
      <c r="I1706" s="15" t="s">
        <v>416</v>
      </c>
    </row>
    <row r="1707" spans="1:9" x14ac:dyDescent="0.15">
      <c r="A1707" s="15" t="s">
        <v>8212</v>
      </c>
      <c r="B1707" s="15"/>
      <c r="C1707" s="15" t="s">
        <v>40</v>
      </c>
      <c r="D1707" s="15" t="s">
        <v>41</v>
      </c>
      <c r="E1707" s="15" t="s">
        <v>8213</v>
      </c>
      <c r="F1707" s="15" t="s">
        <v>8214</v>
      </c>
      <c r="G1707" s="15" t="s">
        <v>7930</v>
      </c>
      <c r="H1707" s="15" t="s">
        <v>8215</v>
      </c>
      <c r="I1707" s="15" t="s">
        <v>416</v>
      </c>
    </row>
    <row r="1708" spans="1:9" x14ac:dyDescent="0.15">
      <c r="A1708" s="15" t="s">
        <v>8216</v>
      </c>
      <c r="B1708" s="15"/>
      <c r="C1708" s="15" t="s">
        <v>40</v>
      </c>
      <c r="D1708" s="15" t="s">
        <v>41</v>
      </c>
      <c r="E1708" s="15" t="s">
        <v>8217</v>
      </c>
      <c r="F1708" s="15" t="s">
        <v>8218</v>
      </c>
      <c r="G1708" s="15" t="s">
        <v>7930</v>
      </c>
      <c r="H1708" s="15" t="s">
        <v>8219</v>
      </c>
      <c r="I1708" s="15" t="s">
        <v>416</v>
      </c>
    </row>
    <row r="1709" spans="1:9" x14ac:dyDescent="0.15">
      <c r="A1709" s="15" t="s">
        <v>8220</v>
      </c>
      <c r="B1709" s="15"/>
      <c r="C1709" s="15" t="s">
        <v>40</v>
      </c>
      <c r="D1709" s="15" t="s">
        <v>41</v>
      </c>
      <c r="E1709" s="15" t="s">
        <v>8221</v>
      </c>
      <c r="F1709" s="15" t="s">
        <v>8223</v>
      </c>
      <c r="G1709" s="15" t="s">
        <v>8222</v>
      </c>
      <c r="H1709" s="15" t="s">
        <v>8224</v>
      </c>
      <c r="I1709" s="15" t="s">
        <v>8225</v>
      </c>
    </row>
    <row r="1710" spans="1:9" x14ac:dyDescent="0.15">
      <c r="A1710" s="15" t="s">
        <v>8226</v>
      </c>
      <c r="B1710" s="15"/>
      <c r="C1710" s="15" t="s">
        <v>40</v>
      </c>
      <c r="D1710" s="15" t="s">
        <v>41</v>
      </c>
      <c r="E1710" s="15" t="s">
        <v>8227</v>
      </c>
      <c r="F1710" s="15" t="s">
        <v>8228</v>
      </c>
      <c r="G1710" s="15" t="s">
        <v>4893</v>
      </c>
      <c r="H1710" s="15" t="s">
        <v>8229</v>
      </c>
      <c r="I1710" s="15" t="s">
        <v>416</v>
      </c>
    </row>
    <row r="1711" spans="1:9" x14ac:dyDescent="0.15">
      <c r="A1711" s="15" t="s">
        <v>8230</v>
      </c>
      <c r="B1711" s="15"/>
      <c r="C1711" s="15" t="s">
        <v>40</v>
      </c>
      <c r="D1711" s="15" t="s">
        <v>41</v>
      </c>
      <c r="E1711" s="15" t="s">
        <v>8231</v>
      </c>
      <c r="F1711" s="15" t="s">
        <v>8233</v>
      </c>
      <c r="G1711" s="15" t="s">
        <v>8232</v>
      </c>
      <c r="H1711" s="15" t="s">
        <v>8234</v>
      </c>
      <c r="I1711" s="15" t="s">
        <v>416</v>
      </c>
    </row>
    <row r="1712" spans="1:9" x14ac:dyDescent="0.15">
      <c r="A1712" s="15" t="s">
        <v>8235</v>
      </c>
      <c r="B1712" s="15"/>
      <c r="C1712" s="15" t="s">
        <v>40</v>
      </c>
      <c r="D1712" s="15" t="s">
        <v>41</v>
      </c>
      <c r="E1712" s="15" t="s">
        <v>8236</v>
      </c>
      <c r="F1712" s="15" t="s">
        <v>8238</v>
      </c>
      <c r="G1712" s="15" t="s">
        <v>8237</v>
      </c>
      <c r="H1712" s="15" t="s">
        <v>8239</v>
      </c>
      <c r="I1712" s="15" t="s">
        <v>416</v>
      </c>
    </row>
    <row r="1713" spans="1:9" x14ac:dyDescent="0.15">
      <c r="A1713" s="15" t="s">
        <v>8240</v>
      </c>
      <c r="B1713" s="15"/>
      <c r="C1713" s="15" t="s">
        <v>40</v>
      </c>
      <c r="D1713" s="15" t="s">
        <v>41</v>
      </c>
      <c r="E1713" s="15" t="s">
        <v>8241</v>
      </c>
      <c r="F1713" s="15" t="s">
        <v>8243</v>
      </c>
      <c r="G1713" s="15" t="s">
        <v>8242</v>
      </c>
      <c r="H1713" s="15" t="s">
        <v>8244</v>
      </c>
      <c r="I1713" s="15" t="s">
        <v>416</v>
      </c>
    </row>
    <row r="1714" spans="1:9" x14ac:dyDescent="0.15">
      <c r="A1714" s="15" t="s">
        <v>8245</v>
      </c>
      <c r="B1714" s="15"/>
      <c r="C1714" s="15" t="s">
        <v>40</v>
      </c>
      <c r="D1714" s="15" t="s">
        <v>41</v>
      </c>
      <c r="E1714" s="15" t="s">
        <v>8246</v>
      </c>
      <c r="F1714" s="15" t="s">
        <v>8248</v>
      </c>
      <c r="G1714" s="15" t="s">
        <v>8247</v>
      </c>
      <c r="H1714" s="15" t="s">
        <v>8249</v>
      </c>
      <c r="I1714" s="15" t="s">
        <v>416</v>
      </c>
    </row>
    <row r="1715" spans="1:9" x14ac:dyDescent="0.15">
      <c r="A1715" s="15" t="s">
        <v>8251</v>
      </c>
      <c r="B1715" s="15"/>
      <c r="C1715" s="15" t="s">
        <v>40</v>
      </c>
      <c r="D1715" s="15" t="s">
        <v>41</v>
      </c>
      <c r="E1715" s="15" t="s">
        <v>8252</v>
      </c>
      <c r="F1715" s="15" t="s">
        <v>8254</v>
      </c>
      <c r="G1715" s="15" t="s">
        <v>8253</v>
      </c>
      <c r="H1715" s="15" t="s">
        <v>8255</v>
      </c>
      <c r="I1715" s="15" t="s">
        <v>416</v>
      </c>
    </row>
    <row r="1716" spans="1:9" x14ac:dyDescent="0.15">
      <c r="A1716" s="15" t="s">
        <v>8256</v>
      </c>
      <c r="B1716" s="15"/>
      <c r="C1716" s="15" t="s">
        <v>40</v>
      </c>
      <c r="D1716" s="15" t="s">
        <v>41</v>
      </c>
      <c r="E1716" s="15" t="s">
        <v>8257</v>
      </c>
      <c r="F1716" s="15" t="s">
        <v>8259</v>
      </c>
      <c r="G1716" s="15" t="s">
        <v>8258</v>
      </c>
      <c r="H1716" s="15" t="s">
        <v>8260</v>
      </c>
      <c r="I1716" s="15" t="s">
        <v>416</v>
      </c>
    </row>
    <row r="1717" spans="1:9" x14ac:dyDescent="0.15">
      <c r="A1717" s="15" t="s">
        <v>8261</v>
      </c>
      <c r="B1717" s="15"/>
      <c r="C1717" s="15" t="s">
        <v>40</v>
      </c>
      <c r="D1717" s="15" t="s">
        <v>41</v>
      </c>
      <c r="E1717" s="15" t="s">
        <v>8262</v>
      </c>
      <c r="F1717" s="15" t="s">
        <v>8264</v>
      </c>
      <c r="G1717" s="15" t="s">
        <v>8263</v>
      </c>
      <c r="H1717" s="15" t="s">
        <v>8265</v>
      </c>
      <c r="I1717" s="15" t="s">
        <v>416</v>
      </c>
    </row>
    <row r="1718" spans="1:9" x14ac:dyDescent="0.15">
      <c r="A1718" s="15" t="s">
        <v>8266</v>
      </c>
      <c r="B1718" s="15"/>
      <c r="C1718" s="15" t="s">
        <v>40</v>
      </c>
      <c r="D1718" s="15" t="s">
        <v>41</v>
      </c>
      <c r="E1718" s="15" t="s">
        <v>8267</v>
      </c>
      <c r="F1718" s="15" t="s">
        <v>8268</v>
      </c>
      <c r="G1718" s="15" t="s">
        <v>8074</v>
      </c>
      <c r="H1718" s="15" t="s">
        <v>8269</v>
      </c>
      <c r="I1718" s="15" t="s">
        <v>416</v>
      </c>
    </row>
    <row r="1719" spans="1:9" x14ac:dyDescent="0.15">
      <c r="A1719" s="15" t="s">
        <v>8270</v>
      </c>
      <c r="B1719" s="15"/>
      <c r="C1719" s="15" t="s">
        <v>40</v>
      </c>
      <c r="D1719" s="15" t="s">
        <v>41</v>
      </c>
      <c r="E1719" s="15" t="s">
        <v>8271</v>
      </c>
      <c r="F1719" s="15" t="s">
        <v>8273</v>
      </c>
      <c r="G1719" s="15" t="s">
        <v>8272</v>
      </c>
      <c r="H1719" s="15" t="s">
        <v>8274</v>
      </c>
      <c r="I1719" s="15" t="s">
        <v>416</v>
      </c>
    </row>
    <row r="1720" spans="1:9" x14ac:dyDescent="0.15">
      <c r="A1720" s="15" t="s">
        <v>8275</v>
      </c>
      <c r="B1720" s="15"/>
      <c r="C1720" s="15" t="s">
        <v>40</v>
      </c>
      <c r="D1720" s="15" t="s">
        <v>41</v>
      </c>
      <c r="E1720" s="15" t="s">
        <v>8276</v>
      </c>
      <c r="F1720" s="15" t="s">
        <v>8278</v>
      </c>
      <c r="G1720" s="15" t="s">
        <v>8277</v>
      </c>
      <c r="H1720" s="15" t="s">
        <v>8279</v>
      </c>
      <c r="I1720" s="15" t="s">
        <v>416</v>
      </c>
    </row>
    <row r="1721" spans="1:9" x14ac:dyDescent="0.15">
      <c r="A1721" s="15" t="s">
        <v>8280</v>
      </c>
      <c r="B1721" s="15"/>
      <c r="C1721" s="15" t="s">
        <v>40</v>
      </c>
      <c r="D1721" s="15" t="s">
        <v>41</v>
      </c>
      <c r="E1721" s="15" t="s">
        <v>8281</v>
      </c>
      <c r="F1721" s="15" t="s">
        <v>8283</v>
      </c>
      <c r="G1721" s="15" t="s">
        <v>8282</v>
      </c>
      <c r="H1721" s="15" t="s">
        <v>8284</v>
      </c>
      <c r="I1721" s="15" t="s">
        <v>416</v>
      </c>
    </row>
    <row r="1722" spans="1:9" x14ac:dyDescent="0.15">
      <c r="A1722" s="15" t="s">
        <v>8285</v>
      </c>
      <c r="B1722" s="15"/>
      <c r="C1722" s="15" t="s">
        <v>40</v>
      </c>
      <c r="D1722" s="15" t="s">
        <v>41</v>
      </c>
      <c r="E1722" s="15" t="s">
        <v>8286</v>
      </c>
      <c r="F1722" s="15" t="s">
        <v>8287</v>
      </c>
      <c r="G1722" s="15" t="s">
        <v>17</v>
      </c>
      <c r="H1722" s="15" t="s">
        <v>8288</v>
      </c>
      <c r="I1722" s="15" t="s">
        <v>416</v>
      </c>
    </row>
    <row r="1723" spans="1:9" x14ac:dyDescent="0.15">
      <c r="A1723" s="15" t="s">
        <v>8289</v>
      </c>
      <c r="B1723" s="15"/>
      <c r="C1723" s="15" t="s">
        <v>40</v>
      </c>
      <c r="D1723" s="15" t="s">
        <v>41</v>
      </c>
      <c r="E1723" s="15" t="s">
        <v>8290</v>
      </c>
      <c r="F1723" s="15" t="s">
        <v>8292</v>
      </c>
      <c r="G1723" s="15" t="s">
        <v>8291</v>
      </c>
      <c r="H1723" s="15" t="s">
        <v>8293</v>
      </c>
      <c r="I1723" s="15" t="s">
        <v>416</v>
      </c>
    </row>
    <row r="1724" spans="1:9" x14ac:dyDescent="0.15">
      <c r="A1724" s="15" t="s">
        <v>8294</v>
      </c>
      <c r="B1724" s="15"/>
      <c r="C1724" s="15" t="s">
        <v>40</v>
      </c>
      <c r="D1724" s="15" t="s">
        <v>41</v>
      </c>
      <c r="E1724" s="15" t="s">
        <v>8295</v>
      </c>
      <c r="F1724" s="15" t="s">
        <v>8296</v>
      </c>
      <c r="G1724" s="15" t="s">
        <v>3342</v>
      </c>
      <c r="H1724" s="15" t="s">
        <v>8297</v>
      </c>
      <c r="I1724" s="15" t="s">
        <v>416</v>
      </c>
    </row>
    <row r="1725" spans="1:9" x14ac:dyDescent="0.15">
      <c r="A1725" s="15" t="s">
        <v>8298</v>
      </c>
      <c r="B1725" s="15"/>
      <c r="C1725" s="15" t="s">
        <v>40</v>
      </c>
      <c r="D1725" s="15" t="s">
        <v>41</v>
      </c>
      <c r="E1725" s="15" t="s">
        <v>8299</v>
      </c>
      <c r="F1725" s="15" t="s">
        <v>8301</v>
      </c>
      <c r="G1725" s="15" t="s">
        <v>8300</v>
      </c>
      <c r="H1725" s="15" t="s">
        <v>8302</v>
      </c>
      <c r="I1725" s="15" t="s">
        <v>416</v>
      </c>
    </row>
    <row r="1726" spans="1:9" x14ac:dyDescent="0.15">
      <c r="A1726" s="15" t="s">
        <v>8303</v>
      </c>
      <c r="B1726" s="15"/>
      <c r="C1726" s="15" t="s">
        <v>40</v>
      </c>
      <c r="D1726" s="15" t="s">
        <v>41</v>
      </c>
      <c r="E1726" s="15" t="s">
        <v>8304</v>
      </c>
      <c r="F1726" s="15" t="s">
        <v>8306</v>
      </c>
      <c r="G1726" s="15" t="s">
        <v>8305</v>
      </c>
      <c r="H1726" s="15" t="s">
        <v>8307</v>
      </c>
      <c r="I1726" s="15" t="s">
        <v>416</v>
      </c>
    </row>
    <row r="1727" spans="1:9" x14ac:dyDescent="0.15">
      <c r="A1727" s="15" t="s">
        <v>8308</v>
      </c>
      <c r="B1727" s="15"/>
      <c r="C1727" s="15" t="s">
        <v>40</v>
      </c>
      <c r="D1727" s="15" t="s">
        <v>41</v>
      </c>
      <c r="E1727" s="15" t="s">
        <v>8309</v>
      </c>
      <c r="F1727" s="15" t="s">
        <v>8311</v>
      </c>
      <c r="G1727" s="15" t="s">
        <v>8310</v>
      </c>
      <c r="H1727" s="15" t="s">
        <v>8312</v>
      </c>
      <c r="I1727" s="15" t="s">
        <v>416</v>
      </c>
    </row>
    <row r="1728" spans="1:9" x14ac:dyDescent="0.15">
      <c r="A1728" s="15" t="s">
        <v>8313</v>
      </c>
      <c r="B1728" s="15"/>
      <c r="C1728" s="15" t="s">
        <v>40</v>
      </c>
      <c r="D1728" s="15" t="s">
        <v>41</v>
      </c>
      <c r="E1728" s="15" t="s">
        <v>8314</v>
      </c>
      <c r="F1728" s="15" t="s">
        <v>8316</v>
      </c>
      <c r="G1728" s="15" t="s">
        <v>8315</v>
      </c>
      <c r="H1728" s="15" t="s">
        <v>8317</v>
      </c>
      <c r="I1728" s="15" t="s">
        <v>416</v>
      </c>
    </row>
    <row r="1729" spans="1:9" x14ac:dyDescent="0.15">
      <c r="A1729" s="15" t="s">
        <v>8318</v>
      </c>
      <c r="B1729" s="15"/>
      <c r="C1729" s="15" t="s">
        <v>40</v>
      </c>
      <c r="D1729" s="15" t="s">
        <v>41</v>
      </c>
      <c r="E1729" s="15" t="s">
        <v>8319</v>
      </c>
      <c r="F1729" s="15" t="s">
        <v>8321</v>
      </c>
      <c r="G1729" s="15" t="s">
        <v>8320</v>
      </c>
      <c r="H1729" s="15" t="s">
        <v>8322</v>
      </c>
      <c r="I1729" s="15" t="s">
        <v>416</v>
      </c>
    </row>
    <row r="1730" spans="1:9" x14ac:dyDescent="0.15">
      <c r="A1730" s="15" t="s">
        <v>8323</v>
      </c>
      <c r="B1730" s="15"/>
      <c r="C1730" s="15" t="s">
        <v>40</v>
      </c>
      <c r="D1730" s="15" t="s">
        <v>41</v>
      </c>
      <c r="E1730" s="15" t="s">
        <v>8324</v>
      </c>
      <c r="F1730" s="15" t="s">
        <v>8326</v>
      </c>
      <c r="G1730" s="15" t="s">
        <v>8325</v>
      </c>
      <c r="H1730" s="15" t="s">
        <v>8327</v>
      </c>
      <c r="I1730" s="15" t="s">
        <v>416</v>
      </c>
    </row>
    <row r="1731" spans="1:9" x14ac:dyDescent="0.15">
      <c r="A1731" s="15" t="s">
        <v>8328</v>
      </c>
      <c r="B1731" s="15"/>
      <c r="C1731" s="15" t="s">
        <v>40</v>
      </c>
      <c r="D1731" s="15" t="s">
        <v>41</v>
      </c>
      <c r="E1731" s="15" t="s">
        <v>8329</v>
      </c>
      <c r="F1731" s="15" t="s">
        <v>8331</v>
      </c>
      <c r="G1731" s="15" t="s">
        <v>8330</v>
      </c>
      <c r="H1731" s="15" t="s">
        <v>8332</v>
      </c>
      <c r="I1731" s="15" t="s">
        <v>416</v>
      </c>
    </row>
    <row r="1732" spans="1:9" x14ac:dyDescent="0.15">
      <c r="A1732" s="15" t="s">
        <v>8333</v>
      </c>
      <c r="B1732" s="15"/>
      <c r="C1732" s="15" t="s">
        <v>40</v>
      </c>
      <c r="D1732" s="15" t="s">
        <v>41</v>
      </c>
      <c r="E1732" s="15" t="s">
        <v>8334</v>
      </c>
      <c r="F1732" s="15" t="s">
        <v>8335</v>
      </c>
      <c r="G1732" s="15" t="s">
        <v>7963</v>
      </c>
      <c r="H1732" s="15" t="s">
        <v>8336</v>
      </c>
      <c r="I1732" s="15" t="s">
        <v>416</v>
      </c>
    </row>
    <row r="1733" spans="1:9" x14ac:dyDescent="0.15">
      <c r="A1733" s="15" t="s">
        <v>8337</v>
      </c>
      <c r="B1733" s="15"/>
      <c r="C1733" s="15" t="s">
        <v>40</v>
      </c>
      <c r="D1733" s="15" t="s">
        <v>41</v>
      </c>
      <c r="E1733" s="15" t="s">
        <v>8338</v>
      </c>
      <c r="F1733" s="15" t="s">
        <v>8340</v>
      </c>
      <c r="G1733" s="15" t="s">
        <v>8339</v>
      </c>
      <c r="H1733" s="15" t="s">
        <v>8341</v>
      </c>
      <c r="I1733" s="15" t="s">
        <v>416</v>
      </c>
    </row>
    <row r="1734" spans="1:9" x14ac:dyDescent="0.15">
      <c r="A1734" s="15" t="s">
        <v>8342</v>
      </c>
      <c r="B1734" s="15"/>
      <c r="C1734" s="15" t="s">
        <v>40</v>
      </c>
      <c r="D1734" s="15" t="s">
        <v>41</v>
      </c>
      <c r="E1734" s="15" t="s">
        <v>8343</v>
      </c>
      <c r="F1734" s="15" t="s">
        <v>8345</v>
      </c>
      <c r="G1734" s="15" t="s">
        <v>8344</v>
      </c>
      <c r="H1734" s="15" t="s">
        <v>8346</v>
      </c>
      <c r="I1734" s="15" t="s">
        <v>416</v>
      </c>
    </row>
    <row r="1735" spans="1:9" x14ac:dyDescent="0.15">
      <c r="A1735" s="15" t="s">
        <v>8347</v>
      </c>
      <c r="B1735" s="15"/>
      <c r="C1735" s="15" t="s">
        <v>40</v>
      </c>
      <c r="D1735" s="15" t="s">
        <v>41</v>
      </c>
      <c r="E1735" s="15" t="s">
        <v>8348</v>
      </c>
      <c r="F1735" s="15" t="s">
        <v>8350</v>
      </c>
      <c r="G1735" s="15" t="s">
        <v>8349</v>
      </c>
      <c r="H1735" s="15" t="s">
        <v>8351</v>
      </c>
      <c r="I1735" s="15" t="s">
        <v>416</v>
      </c>
    </row>
    <row r="1736" spans="1:9" x14ac:dyDescent="0.15">
      <c r="A1736" s="15" t="s">
        <v>8352</v>
      </c>
      <c r="B1736" s="15"/>
      <c r="C1736" s="15" t="s">
        <v>40</v>
      </c>
      <c r="D1736" s="15" t="s">
        <v>41</v>
      </c>
      <c r="E1736" s="15" t="s">
        <v>8353</v>
      </c>
      <c r="F1736" s="15" t="s">
        <v>8355</v>
      </c>
      <c r="G1736" s="15" t="s">
        <v>8354</v>
      </c>
      <c r="H1736" s="15" t="s">
        <v>8356</v>
      </c>
      <c r="I1736" s="15" t="s">
        <v>416</v>
      </c>
    </row>
    <row r="1737" spans="1:9" x14ac:dyDescent="0.15">
      <c r="A1737" s="15" t="s">
        <v>8357</v>
      </c>
      <c r="B1737" s="15"/>
      <c r="C1737" s="15" t="s">
        <v>40</v>
      </c>
      <c r="D1737" s="15" t="s">
        <v>41</v>
      </c>
      <c r="E1737" s="15" t="s">
        <v>8358</v>
      </c>
      <c r="F1737" s="15" t="s">
        <v>52</v>
      </c>
      <c r="G1737" s="15" t="s">
        <v>8359</v>
      </c>
      <c r="H1737" s="15" t="s">
        <v>8360</v>
      </c>
      <c r="I1737" s="15" t="s">
        <v>416</v>
      </c>
    </row>
    <row r="1738" spans="1:9" x14ac:dyDescent="0.15">
      <c r="A1738" s="15" t="s">
        <v>8361</v>
      </c>
      <c r="B1738" s="15"/>
      <c r="C1738" s="15" t="s">
        <v>40</v>
      </c>
      <c r="D1738" s="15" t="s">
        <v>41</v>
      </c>
      <c r="E1738" s="15" t="s">
        <v>8362</v>
      </c>
      <c r="F1738" s="15" t="s">
        <v>8364</v>
      </c>
      <c r="G1738" s="15" t="s">
        <v>8363</v>
      </c>
      <c r="H1738" s="15" t="s">
        <v>8365</v>
      </c>
      <c r="I1738" s="15" t="s">
        <v>416</v>
      </c>
    </row>
    <row r="1739" spans="1:9" x14ac:dyDescent="0.15">
      <c r="A1739" s="15" t="s">
        <v>8366</v>
      </c>
      <c r="B1739" s="15"/>
      <c r="C1739" s="15" t="s">
        <v>40</v>
      </c>
      <c r="D1739" s="15" t="s">
        <v>41</v>
      </c>
      <c r="E1739" s="15" t="s">
        <v>8367</v>
      </c>
      <c r="F1739" s="15" t="s">
        <v>8369</v>
      </c>
      <c r="G1739" s="15" t="s">
        <v>8368</v>
      </c>
      <c r="H1739" s="15" t="s">
        <v>8370</v>
      </c>
      <c r="I1739" s="15" t="s">
        <v>416</v>
      </c>
    </row>
    <row r="1740" spans="1:9" x14ac:dyDescent="0.15">
      <c r="A1740" s="15" t="s">
        <v>8371</v>
      </c>
      <c r="B1740" s="15"/>
      <c r="C1740" s="15" t="s">
        <v>40</v>
      </c>
      <c r="D1740" s="15" t="s">
        <v>41</v>
      </c>
      <c r="E1740" s="15" t="s">
        <v>8372</v>
      </c>
      <c r="F1740" s="15" t="s">
        <v>8374</v>
      </c>
      <c r="G1740" s="15" t="s">
        <v>8373</v>
      </c>
      <c r="H1740" s="15" t="s">
        <v>8375</v>
      </c>
      <c r="I1740" s="15" t="s">
        <v>416</v>
      </c>
    </row>
    <row r="1741" spans="1:9" x14ac:dyDescent="0.15">
      <c r="A1741" s="15" t="s">
        <v>8376</v>
      </c>
      <c r="B1741" s="15"/>
      <c r="C1741" s="15" t="s">
        <v>40</v>
      </c>
      <c r="D1741" s="15" t="s">
        <v>41</v>
      </c>
      <c r="E1741" s="15" t="s">
        <v>8377</v>
      </c>
      <c r="F1741" s="15" t="s">
        <v>8379</v>
      </c>
      <c r="G1741" s="15" t="s">
        <v>8378</v>
      </c>
      <c r="H1741" s="15" t="s">
        <v>8380</v>
      </c>
      <c r="I1741" s="15" t="s">
        <v>416</v>
      </c>
    </row>
    <row r="1742" spans="1:9" x14ac:dyDescent="0.15">
      <c r="A1742" s="15" t="s">
        <v>8381</v>
      </c>
      <c r="B1742" s="15"/>
      <c r="C1742" s="15" t="s">
        <v>40</v>
      </c>
      <c r="D1742" s="15" t="s">
        <v>41</v>
      </c>
      <c r="E1742" s="15" t="s">
        <v>8382</v>
      </c>
      <c r="F1742" s="15" t="s">
        <v>8384</v>
      </c>
      <c r="G1742" s="15" t="s">
        <v>8383</v>
      </c>
      <c r="H1742" s="15" t="s">
        <v>8385</v>
      </c>
      <c r="I1742" s="15" t="s">
        <v>416</v>
      </c>
    </row>
    <row r="1743" spans="1:9" x14ac:dyDescent="0.15">
      <c r="A1743" s="15" t="s">
        <v>8386</v>
      </c>
      <c r="B1743" s="15"/>
      <c r="C1743" s="15" t="s">
        <v>40</v>
      </c>
      <c r="D1743" s="15" t="s">
        <v>41</v>
      </c>
      <c r="E1743" s="15" t="s">
        <v>8387</v>
      </c>
      <c r="F1743" s="15" t="s">
        <v>8389</v>
      </c>
      <c r="G1743" s="15" t="s">
        <v>8388</v>
      </c>
      <c r="H1743" s="15" t="s">
        <v>8390</v>
      </c>
      <c r="I1743" s="15" t="s">
        <v>416</v>
      </c>
    </row>
    <row r="1744" spans="1:9" x14ac:dyDescent="0.15">
      <c r="A1744" s="15" t="s">
        <v>8391</v>
      </c>
      <c r="B1744" s="15"/>
      <c r="C1744" s="15" t="s">
        <v>40</v>
      </c>
      <c r="D1744" s="15" t="s">
        <v>41</v>
      </c>
      <c r="E1744" s="15" t="s">
        <v>8392</v>
      </c>
      <c r="F1744" s="15" t="s">
        <v>8394</v>
      </c>
      <c r="G1744" s="15" t="s">
        <v>8393</v>
      </c>
      <c r="H1744" s="15" t="s">
        <v>8395</v>
      </c>
      <c r="I1744" s="15" t="s">
        <v>416</v>
      </c>
    </row>
    <row r="1745" spans="1:9" x14ac:dyDescent="0.15">
      <c r="A1745" s="15" t="s">
        <v>8396</v>
      </c>
      <c r="B1745" s="15"/>
      <c r="C1745" s="15" t="s">
        <v>40</v>
      </c>
      <c r="D1745" s="15" t="s">
        <v>41</v>
      </c>
      <c r="E1745" s="15" t="s">
        <v>8397</v>
      </c>
      <c r="F1745" s="15" t="s">
        <v>8399</v>
      </c>
      <c r="G1745" s="15" t="s">
        <v>8398</v>
      </c>
      <c r="H1745" s="15" t="s">
        <v>8400</v>
      </c>
      <c r="I1745" s="15" t="s">
        <v>416</v>
      </c>
    </row>
    <row r="1746" spans="1:9" x14ac:dyDescent="0.15">
      <c r="A1746" s="15" t="s">
        <v>8401</v>
      </c>
      <c r="B1746" s="15"/>
      <c r="C1746" s="15" t="s">
        <v>40</v>
      </c>
      <c r="D1746" s="15" t="s">
        <v>41</v>
      </c>
      <c r="E1746" s="15" t="s">
        <v>8402</v>
      </c>
      <c r="F1746" s="15" t="s">
        <v>8404</v>
      </c>
      <c r="G1746" s="15" t="s">
        <v>8403</v>
      </c>
      <c r="H1746" s="15" t="s">
        <v>8405</v>
      </c>
      <c r="I1746" s="15" t="s">
        <v>416</v>
      </c>
    </row>
    <row r="1747" spans="1:9" x14ac:dyDescent="0.15">
      <c r="A1747" s="15" t="s">
        <v>8406</v>
      </c>
      <c r="B1747" s="15"/>
      <c r="C1747" s="15" t="s">
        <v>40</v>
      </c>
      <c r="D1747" s="15" t="s">
        <v>41</v>
      </c>
      <c r="E1747" s="15" t="s">
        <v>8407</v>
      </c>
      <c r="F1747" s="15" t="s">
        <v>8409</v>
      </c>
      <c r="G1747" s="15" t="s">
        <v>8408</v>
      </c>
      <c r="H1747" s="15" t="s">
        <v>8410</v>
      </c>
      <c r="I1747" s="15" t="s">
        <v>416</v>
      </c>
    </row>
    <row r="1748" spans="1:9" x14ac:dyDescent="0.15">
      <c r="A1748" s="15" t="s">
        <v>8411</v>
      </c>
      <c r="B1748" s="15"/>
      <c r="C1748" s="15" t="s">
        <v>40</v>
      </c>
      <c r="D1748" s="15" t="s">
        <v>41</v>
      </c>
      <c r="E1748" s="15" t="s">
        <v>8412</v>
      </c>
      <c r="F1748" s="15" t="s">
        <v>8414</v>
      </c>
      <c r="G1748" s="15" t="s">
        <v>8413</v>
      </c>
      <c r="H1748" s="15" t="s">
        <v>8415</v>
      </c>
      <c r="I1748" s="15" t="s">
        <v>416</v>
      </c>
    </row>
    <row r="1749" spans="1:9" x14ac:dyDescent="0.15">
      <c r="A1749" s="15" t="s">
        <v>8416</v>
      </c>
      <c r="B1749" s="15"/>
      <c r="C1749" s="15" t="s">
        <v>40</v>
      </c>
      <c r="D1749" s="15" t="s">
        <v>41</v>
      </c>
      <c r="E1749" s="15" t="s">
        <v>8417</v>
      </c>
      <c r="F1749" s="15" t="s">
        <v>8419</v>
      </c>
      <c r="G1749" s="15" t="s">
        <v>8418</v>
      </c>
      <c r="H1749" s="15" t="s">
        <v>8420</v>
      </c>
      <c r="I1749" s="15" t="s">
        <v>416</v>
      </c>
    </row>
    <row r="1750" spans="1:9" x14ac:dyDescent="0.15">
      <c r="A1750" s="15" t="s">
        <v>8421</v>
      </c>
      <c r="B1750" s="15"/>
      <c r="C1750" s="15" t="s">
        <v>40</v>
      </c>
      <c r="D1750" s="15" t="s">
        <v>41</v>
      </c>
      <c r="E1750" s="15" t="s">
        <v>8422</v>
      </c>
      <c r="F1750" s="15" t="s">
        <v>8424</v>
      </c>
      <c r="G1750" s="15" t="s">
        <v>8423</v>
      </c>
      <c r="H1750" s="15" t="s">
        <v>8425</v>
      </c>
      <c r="I1750" s="15" t="s">
        <v>416</v>
      </c>
    </row>
    <row r="1751" spans="1:9" x14ac:dyDescent="0.15">
      <c r="A1751" s="15" t="s">
        <v>8426</v>
      </c>
      <c r="B1751" s="15"/>
      <c r="C1751" s="15" t="s">
        <v>40</v>
      </c>
      <c r="D1751" s="15" t="s">
        <v>41</v>
      </c>
      <c r="E1751" s="15" t="s">
        <v>8427</v>
      </c>
      <c r="F1751" s="15" t="s">
        <v>8429</v>
      </c>
      <c r="G1751" s="15" t="s">
        <v>8428</v>
      </c>
      <c r="H1751" s="15" t="s">
        <v>8430</v>
      </c>
      <c r="I1751" s="15" t="s">
        <v>416</v>
      </c>
    </row>
    <row r="1752" spans="1:9" x14ac:dyDescent="0.15">
      <c r="A1752" s="15" t="s">
        <v>8431</v>
      </c>
      <c r="B1752" s="15"/>
      <c r="C1752" s="15" t="s">
        <v>40</v>
      </c>
      <c r="D1752" s="15" t="s">
        <v>41</v>
      </c>
      <c r="E1752" s="15" t="s">
        <v>8432</v>
      </c>
      <c r="F1752" s="15" t="s">
        <v>8434</v>
      </c>
      <c r="G1752" s="15" t="s">
        <v>8433</v>
      </c>
      <c r="H1752" s="15" t="s">
        <v>8435</v>
      </c>
      <c r="I1752" s="15" t="s">
        <v>416</v>
      </c>
    </row>
    <row r="1753" spans="1:9" x14ac:dyDescent="0.15">
      <c r="A1753" s="15" t="s">
        <v>8436</v>
      </c>
      <c r="B1753" s="15"/>
      <c r="C1753" s="15" t="s">
        <v>40</v>
      </c>
      <c r="D1753" s="15" t="s">
        <v>41</v>
      </c>
      <c r="E1753" s="15" t="s">
        <v>8437</v>
      </c>
      <c r="F1753" s="15" t="s">
        <v>8438</v>
      </c>
      <c r="G1753" s="15" t="s">
        <v>8021</v>
      </c>
      <c r="H1753" s="15" t="s">
        <v>8439</v>
      </c>
      <c r="I1753" s="15" t="s">
        <v>416</v>
      </c>
    </row>
    <row r="1754" spans="1:9" x14ac:dyDescent="0.15">
      <c r="A1754" s="15" t="s">
        <v>8440</v>
      </c>
      <c r="B1754" s="15"/>
      <c r="C1754" s="15" t="s">
        <v>40</v>
      </c>
      <c r="D1754" s="15" t="s">
        <v>41</v>
      </c>
      <c r="E1754" s="15" t="s">
        <v>8441</v>
      </c>
      <c r="F1754" s="15" t="s">
        <v>8443</v>
      </c>
      <c r="G1754" s="15" t="s">
        <v>8442</v>
      </c>
      <c r="H1754" s="15" t="s">
        <v>8444</v>
      </c>
      <c r="I1754" s="15" t="s">
        <v>416</v>
      </c>
    </row>
    <row r="1755" spans="1:9" x14ac:dyDescent="0.15">
      <c r="A1755" s="15" t="s">
        <v>8445</v>
      </c>
      <c r="B1755" s="15"/>
      <c r="C1755" s="15" t="s">
        <v>40</v>
      </c>
      <c r="D1755" s="15" t="s">
        <v>41</v>
      </c>
      <c r="E1755" s="15" t="s">
        <v>8446</v>
      </c>
      <c r="F1755" s="15" t="s">
        <v>8447</v>
      </c>
      <c r="G1755" s="15" t="s">
        <v>3002</v>
      </c>
      <c r="H1755" s="15" t="s">
        <v>8448</v>
      </c>
      <c r="I1755" s="15" t="s">
        <v>416</v>
      </c>
    </row>
    <row r="1756" spans="1:9" x14ac:dyDescent="0.15">
      <c r="A1756" s="15" t="s">
        <v>8449</v>
      </c>
      <c r="B1756" s="15"/>
      <c r="C1756" s="15" t="s">
        <v>40</v>
      </c>
      <c r="D1756" s="15" t="s">
        <v>41</v>
      </c>
      <c r="E1756" s="15" t="s">
        <v>8450</v>
      </c>
      <c r="F1756" s="15" t="s">
        <v>8451</v>
      </c>
      <c r="G1756" s="15" t="s">
        <v>8051</v>
      </c>
      <c r="H1756" s="15" t="s">
        <v>8452</v>
      </c>
      <c r="I1756" s="15" t="s">
        <v>416</v>
      </c>
    </row>
    <row r="1757" spans="1:9" x14ac:dyDescent="0.15">
      <c r="A1757" s="15" t="s">
        <v>8453</v>
      </c>
      <c r="B1757" s="15"/>
      <c r="C1757" s="15" t="s">
        <v>40</v>
      </c>
      <c r="D1757" s="15" t="s">
        <v>41</v>
      </c>
      <c r="E1757" s="15" t="s">
        <v>8454</v>
      </c>
      <c r="F1757" s="15" t="s">
        <v>8456</v>
      </c>
      <c r="G1757" s="15" t="s">
        <v>8455</v>
      </c>
      <c r="H1757" s="15" t="s">
        <v>8457</v>
      </c>
      <c r="I1757" s="15" t="s">
        <v>416</v>
      </c>
    </row>
    <row r="1758" spans="1:9" x14ac:dyDescent="0.15">
      <c r="A1758" s="15" t="s">
        <v>8458</v>
      </c>
      <c r="B1758" s="15"/>
      <c r="C1758" s="15" t="s">
        <v>40</v>
      </c>
      <c r="D1758" s="15" t="s">
        <v>41</v>
      </c>
      <c r="E1758" s="15" t="s">
        <v>8459</v>
      </c>
      <c r="F1758" s="15" t="s">
        <v>8461</v>
      </c>
      <c r="G1758" s="15" t="s">
        <v>8460</v>
      </c>
      <c r="H1758" s="15" t="s">
        <v>8462</v>
      </c>
      <c r="I1758" s="15" t="s">
        <v>416</v>
      </c>
    </row>
    <row r="1759" spans="1:9" x14ac:dyDescent="0.15">
      <c r="A1759" s="15" t="s">
        <v>8463</v>
      </c>
      <c r="B1759" s="15"/>
      <c r="C1759" s="15" t="s">
        <v>40</v>
      </c>
      <c r="D1759" s="15" t="s">
        <v>41</v>
      </c>
      <c r="E1759" s="15" t="s">
        <v>8464</v>
      </c>
      <c r="F1759" s="15" t="s">
        <v>8466</v>
      </c>
      <c r="G1759" s="15" t="s">
        <v>8465</v>
      </c>
      <c r="H1759" s="15" t="s">
        <v>8467</v>
      </c>
      <c r="I1759" s="15" t="s">
        <v>416</v>
      </c>
    </row>
    <row r="1760" spans="1:9" x14ac:dyDescent="0.15">
      <c r="A1760" s="15" t="s">
        <v>8468</v>
      </c>
      <c r="B1760" s="15"/>
      <c r="C1760" s="15" t="s">
        <v>40</v>
      </c>
      <c r="D1760" s="15" t="s">
        <v>41</v>
      </c>
      <c r="E1760" s="15" t="s">
        <v>8469</v>
      </c>
      <c r="F1760" s="15" t="s">
        <v>8470</v>
      </c>
      <c r="G1760" s="15" t="s">
        <v>7963</v>
      </c>
      <c r="H1760" s="15" t="s">
        <v>8471</v>
      </c>
      <c r="I1760" s="15" t="s">
        <v>416</v>
      </c>
    </row>
    <row r="1761" spans="1:9" x14ac:dyDescent="0.15">
      <c r="A1761" s="15" t="s">
        <v>8472</v>
      </c>
      <c r="B1761" s="15"/>
      <c r="C1761" s="15" t="s">
        <v>40</v>
      </c>
      <c r="D1761" s="15" t="s">
        <v>41</v>
      </c>
      <c r="E1761" s="15" t="s">
        <v>8473</v>
      </c>
      <c r="F1761" s="15" t="s">
        <v>8475</v>
      </c>
      <c r="G1761" s="15" t="s">
        <v>8474</v>
      </c>
      <c r="H1761" s="15" t="s">
        <v>8476</v>
      </c>
      <c r="I1761" s="15" t="s">
        <v>416</v>
      </c>
    </row>
    <row r="1762" spans="1:9" x14ac:dyDescent="0.15">
      <c r="A1762" s="15" t="s">
        <v>8477</v>
      </c>
      <c r="B1762" s="15"/>
      <c r="C1762" s="15" t="s">
        <v>40</v>
      </c>
      <c r="D1762" s="15" t="s">
        <v>41</v>
      </c>
      <c r="E1762" s="15" t="s">
        <v>8478</v>
      </c>
      <c r="F1762" s="15" t="s">
        <v>8480</v>
      </c>
      <c r="G1762" s="15" t="s">
        <v>8479</v>
      </c>
      <c r="H1762" s="15" t="s">
        <v>8481</v>
      </c>
      <c r="I1762" s="15" t="s">
        <v>416</v>
      </c>
    </row>
    <row r="1763" spans="1:9" x14ac:dyDescent="0.15">
      <c r="A1763" s="15" t="s">
        <v>8482</v>
      </c>
      <c r="B1763" s="15"/>
      <c r="C1763" s="15" t="s">
        <v>40</v>
      </c>
      <c r="D1763" s="15" t="s">
        <v>41</v>
      </c>
      <c r="E1763" s="15" t="s">
        <v>8483</v>
      </c>
      <c r="F1763" s="15" t="s">
        <v>8485</v>
      </c>
      <c r="G1763" s="15" t="s">
        <v>8484</v>
      </c>
      <c r="H1763" s="15" t="s">
        <v>8486</v>
      </c>
      <c r="I1763" s="15" t="s">
        <v>416</v>
      </c>
    </row>
    <row r="1764" spans="1:9" x14ac:dyDescent="0.15">
      <c r="A1764" s="15" t="s">
        <v>8487</v>
      </c>
      <c r="B1764" s="15"/>
      <c r="C1764" s="15" t="s">
        <v>40</v>
      </c>
      <c r="D1764" s="15" t="s">
        <v>41</v>
      </c>
      <c r="E1764" s="15" t="s">
        <v>8488</v>
      </c>
      <c r="F1764" s="15" t="s">
        <v>8490</v>
      </c>
      <c r="G1764" s="15" t="s">
        <v>8489</v>
      </c>
      <c r="H1764" s="15" t="s">
        <v>8491</v>
      </c>
      <c r="I1764" s="15" t="s">
        <v>416</v>
      </c>
    </row>
    <row r="1765" spans="1:9" x14ac:dyDescent="0.15">
      <c r="A1765" s="15" t="s">
        <v>8492</v>
      </c>
      <c r="B1765" s="15"/>
      <c r="C1765" s="15" t="s">
        <v>40</v>
      </c>
      <c r="D1765" s="15" t="s">
        <v>41</v>
      </c>
      <c r="E1765" s="15" t="s">
        <v>8493</v>
      </c>
      <c r="F1765" s="15" t="s">
        <v>8495</v>
      </c>
      <c r="G1765" s="15" t="s">
        <v>8494</v>
      </c>
      <c r="H1765" s="15" t="s">
        <v>8496</v>
      </c>
      <c r="I1765" s="15" t="s">
        <v>416</v>
      </c>
    </row>
    <row r="1766" spans="1:9" x14ac:dyDescent="0.15">
      <c r="A1766" s="15" t="s">
        <v>8497</v>
      </c>
      <c r="B1766" s="15"/>
      <c r="C1766" s="15" t="s">
        <v>40</v>
      </c>
      <c r="D1766" s="15" t="s">
        <v>41</v>
      </c>
      <c r="E1766" s="15" t="s">
        <v>8498</v>
      </c>
      <c r="F1766" s="15" t="s">
        <v>8500</v>
      </c>
      <c r="G1766" s="15" t="s">
        <v>8499</v>
      </c>
      <c r="H1766" s="15" t="s">
        <v>8501</v>
      </c>
      <c r="I1766" s="15" t="s">
        <v>416</v>
      </c>
    </row>
    <row r="1767" spans="1:9" x14ac:dyDescent="0.15">
      <c r="A1767" s="15" t="s">
        <v>8502</v>
      </c>
      <c r="B1767" s="15"/>
      <c r="C1767" s="15" t="s">
        <v>40</v>
      </c>
      <c r="D1767" s="15" t="s">
        <v>41</v>
      </c>
      <c r="E1767" s="15" t="s">
        <v>8503</v>
      </c>
      <c r="F1767" s="15" t="s">
        <v>8505</v>
      </c>
      <c r="G1767" s="15" t="s">
        <v>8504</v>
      </c>
      <c r="H1767" s="15" t="s">
        <v>8506</v>
      </c>
      <c r="I1767" s="15" t="s">
        <v>416</v>
      </c>
    </row>
    <row r="1768" spans="1:9" x14ac:dyDescent="0.15">
      <c r="A1768" s="15" t="s">
        <v>8507</v>
      </c>
      <c r="B1768" s="15"/>
      <c r="C1768" s="15" t="s">
        <v>40</v>
      </c>
      <c r="D1768" s="15" t="s">
        <v>41</v>
      </c>
      <c r="E1768" s="15" t="s">
        <v>8508</v>
      </c>
      <c r="F1768" s="15" t="s">
        <v>8510</v>
      </c>
      <c r="G1768" s="15" t="s">
        <v>8509</v>
      </c>
      <c r="H1768" s="15" t="s">
        <v>8511</v>
      </c>
      <c r="I1768" s="15" t="s">
        <v>416</v>
      </c>
    </row>
    <row r="1769" spans="1:9" x14ac:dyDescent="0.15">
      <c r="A1769" s="15" t="s">
        <v>8512</v>
      </c>
      <c r="B1769" s="15"/>
      <c r="C1769" s="15" t="s">
        <v>40</v>
      </c>
      <c r="D1769" s="15" t="s">
        <v>41</v>
      </c>
      <c r="E1769" s="15" t="s">
        <v>8513</v>
      </c>
      <c r="F1769" s="15" t="s">
        <v>8514</v>
      </c>
      <c r="G1769" s="15" t="s">
        <v>7790</v>
      </c>
      <c r="H1769" s="15" t="s">
        <v>8515</v>
      </c>
      <c r="I1769" s="15" t="s">
        <v>416</v>
      </c>
    </row>
    <row r="1770" spans="1:9" x14ac:dyDescent="0.15">
      <c r="A1770" s="15" t="s">
        <v>8516</v>
      </c>
      <c r="B1770" s="15"/>
      <c r="C1770" s="15" t="s">
        <v>40</v>
      </c>
      <c r="D1770" s="15" t="s">
        <v>41</v>
      </c>
      <c r="E1770" s="15" t="s">
        <v>8517</v>
      </c>
      <c r="F1770" s="15" t="s">
        <v>8519</v>
      </c>
      <c r="G1770" s="15" t="s">
        <v>8518</v>
      </c>
      <c r="H1770" s="15" t="s">
        <v>8520</v>
      </c>
      <c r="I1770" s="15" t="s">
        <v>416</v>
      </c>
    </row>
    <row r="1771" spans="1:9" x14ac:dyDescent="0.15">
      <c r="A1771" s="15" t="s">
        <v>8521</v>
      </c>
      <c r="B1771" s="15"/>
      <c r="C1771" s="15" t="s">
        <v>40</v>
      </c>
      <c r="D1771" s="15" t="s">
        <v>41</v>
      </c>
      <c r="E1771" s="15" t="s">
        <v>8522</v>
      </c>
      <c r="F1771" s="15" t="s">
        <v>8524</v>
      </c>
      <c r="G1771" s="15" t="s">
        <v>8523</v>
      </c>
      <c r="H1771" s="15" t="s">
        <v>8525</v>
      </c>
      <c r="I1771" s="15" t="s">
        <v>416</v>
      </c>
    </row>
    <row r="1772" spans="1:9" x14ac:dyDescent="0.15">
      <c r="A1772" s="15" t="s">
        <v>8526</v>
      </c>
      <c r="B1772" s="15"/>
      <c r="C1772" s="15" t="s">
        <v>40</v>
      </c>
      <c r="D1772" s="15" t="s">
        <v>41</v>
      </c>
      <c r="E1772" s="15" t="s">
        <v>8527</v>
      </c>
      <c r="F1772" s="15" t="s">
        <v>8528</v>
      </c>
      <c r="G1772" s="15" t="s">
        <v>3025</v>
      </c>
      <c r="H1772" s="15" t="s">
        <v>8529</v>
      </c>
      <c r="I1772" s="15" t="s">
        <v>416</v>
      </c>
    </row>
    <row r="1773" spans="1:9" x14ac:dyDescent="0.15">
      <c r="A1773" s="15" t="s">
        <v>8530</v>
      </c>
      <c r="B1773" s="15"/>
      <c r="C1773" s="15" t="s">
        <v>40</v>
      </c>
      <c r="D1773" s="15" t="s">
        <v>41</v>
      </c>
      <c r="E1773" s="15" t="s">
        <v>8531</v>
      </c>
      <c r="F1773" s="15" t="s">
        <v>8533</v>
      </c>
      <c r="G1773" s="15" t="s">
        <v>8532</v>
      </c>
      <c r="H1773" s="15" t="s">
        <v>8534</v>
      </c>
      <c r="I1773" s="15" t="s">
        <v>416</v>
      </c>
    </row>
    <row r="1774" spans="1:9" x14ac:dyDescent="0.15">
      <c r="A1774" s="15" t="s">
        <v>8535</v>
      </c>
      <c r="B1774" s="15"/>
      <c r="C1774" s="15" t="s">
        <v>40</v>
      </c>
      <c r="D1774" s="15" t="s">
        <v>41</v>
      </c>
      <c r="E1774" s="15" t="s">
        <v>8536</v>
      </c>
      <c r="F1774" s="15" t="s">
        <v>8538</v>
      </c>
      <c r="G1774" s="15" t="s">
        <v>8537</v>
      </c>
      <c r="H1774" s="15" t="s">
        <v>8539</v>
      </c>
      <c r="I1774" s="15" t="s">
        <v>416</v>
      </c>
    </row>
    <row r="1775" spans="1:9" x14ac:dyDescent="0.15">
      <c r="A1775" s="15" t="s">
        <v>8540</v>
      </c>
      <c r="B1775" s="15"/>
      <c r="C1775" s="15" t="s">
        <v>40</v>
      </c>
      <c r="D1775" s="15" t="s">
        <v>41</v>
      </c>
      <c r="E1775" s="15" t="s">
        <v>8541</v>
      </c>
      <c r="F1775" s="15" t="s">
        <v>52</v>
      </c>
      <c r="G1775" s="15" t="s">
        <v>8542</v>
      </c>
      <c r="H1775" s="15" t="s">
        <v>8543</v>
      </c>
      <c r="I1775" s="15" t="s">
        <v>416</v>
      </c>
    </row>
    <row r="1776" spans="1:9" x14ac:dyDescent="0.15">
      <c r="A1776" s="15" t="s">
        <v>8544</v>
      </c>
      <c r="B1776" s="15"/>
      <c r="C1776" s="15" t="s">
        <v>40</v>
      </c>
      <c r="D1776" s="15" t="s">
        <v>41</v>
      </c>
      <c r="E1776" s="15" t="s">
        <v>8545</v>
      </c>
      <c r="F1776" s="15" t="s">
        <v>8547</v>
      </c>
      <c r="G1776" s="15" t="s">
        <v>8546</v>
      </c>
      <c r="H1776" s="15" t="s">
        <v>8548</v>
      </c>
      <c r="I1776" s="15" t="s">
        <v>416</v>
      </c>
    </row>
    <row r="1777" spans="1:9" x14ac:dyDescent="0.15">
      <c r="A1777" s="15" t="s">
        <v>8549</v>
      </c>
      <c r="B1777" s="15"/>
      <c r="C1777" s="15" t="s">
        <v>40</v>
      </c>
      <c r="D1777" s="15" t="s">
        <v>41</v>
      </c>
      <c r="E1777" s="15" t="s">
        <v>8550</v>
      </c>
      <c r="F1777" s="15" t="s">
        <v>8551</v>
      </c>
      <c r="G1777" s="15" t="s">
        <v>2997</v>
      </c>
      <c r="H1777" s="15" t="s">
        <v>8552</v>
      </c>
      <c r="I1777" s="15" t="s">
        <v>416</v>
      </c>
    </row>
    <row r="1778" spans="1:9" x14ac:dyDescent="0.15">
      <c r="A1778" s="15" t="s">
        <v>8553</v>
      </c>
      <c r="B1778" s="15"/>
      <c r="C1778" s="15" t="s">
        <v>40</v>
      </c>
      <c r="D1778" s="15" t="s">
        <v>41</v>
      </c>
      <c r="E1778" s="15" t="s">
        <v>8554</v>
      </c>
      <c r="F1778" s="15" t="s">
        <v>8556</v>
      </c>
      <c r="G1778" s="15" t="s">
        <v>8555</v>
      </c>
      <c r="H1778" s="15" t="s">
        <v>8557</v>
      </c>
      <c r="I1778" s="15" t="s">
        <v>416</v>
      </c>
    </row>
    <row r="1779" spans="1:9" x14ac:dyDescent="0.15">
      <c r="A1779" s="15" t="s">
        <v>8558</v>
      </c>
      <c r="B1779" s="15"/>
      <c r="C1779" s="15" t="s">
        <v>40</v>
      </c>
      <c r="D1779" s="15" t="s">
        <v>41</v>
      </c>
      <c r="E1779" s="15" t="s">
        <v>8559</v>
      </c>
      <c r="F1779" s="15" t="s">
        <v>8561</v>
      </c>
      <c r="G1779" s="15" t="s">
        <v>8560</v>
      </c>
      <c r="H1779" s="15" t="s">
        <v>8562</v>
      </c>
      <c r="I1779" s="15" t="s">
        <v>416</v>
      </c>
    </row>
    <row r="1780" spans="1:9" x14ac:dyDescent="0.15">
      <c r="A1780" s="15" t="s">
        <v>8563</v>
      </c>
      <c r="B1780" s="15"/>
      <c r="C1780" s="15" t="s">
        <v>40</v>
      </c>
      <c r="D1780" s="15" t="s">
        <v>41</v>
      </c>
      <c r="E1780" s="15" t="s">
        <v>8564</v>
      </c>
      <c r="F1780" s="15" t="s">
        <v>8566</v>
      </c>
      <c r="G1780" s="15" t="s">
        <v>8565</v>
      </c>
      <c r="H1780" s="15" t="s">
        <v>8567</v>
      </c>
      <c r="I1780" s="15" t="s">
        <v>416</v>
      </c>
    </row>
    <row r="1781" spans="1:9" x14ac:dyDescent="0.15">
      <c r="A1781" s="15" t="s">
        <v>8568</v>
      </c>
      <c r="B1781" s="15"/>
      <c r="C1781" s="15" t="s">
        <v>40</v>
      </c>
      <c r="D1781" s="15" t="s">
        <v>41</v>
      </c>
      <c r="E1781" s="15" t="s">
        <v>8569</v>
      </c>
      <c r="F1781" s="15" t="s">
        <v>8570</v>
      </c>
      <c r="G1781" s="15" t="s">
        <v>6232</v>
      </c>
      <c r="H1781" s="15" t="s">
        <v>8571</v>
      </c>
      <c r="I1781" s="15" t="s">
        <v>2074</v>
      </c>
    </row>
    <row r="1782" spans="1:9" x14ac:dyDescent="0.15">
      <c r="A1782" s="15" t="s">
        <v>8572</v>
      </c>
      <c r="B1782" s="15"/>
      <c r="C1782" s="15" t="s">
        <v>40</v>
      </c>
      <c r="D1782" s="15" t="s">
        <v>41</v>
      </c>
      <c r="E1782" s="15" t="s">
        <v>8573</v>
      </c>
      <c r="F1782" s="15" t="s">
        <v>8575</v>
      </c>
      <c r="G1782" s="15" t="s">
        <v>8574</v>
      </c>
      <c r="H1782" s="15" t="s">
        <v>8576</v>
      </c>
      <c r="I1782" s="15" t="s">
        <v>2074</v>
      </c>
    </row>
    <row r="1783" spans="1:9" x14ac:dyDescent="0.15">
      <c r="A1783" s="15" t="s">
        <v>8577</v>
      </c>
      <c r="B1783" s="15"/>
      <c r="C1783" s="15" t="s">
        <v>40</v>
      </c>
      <c r="D1783" s="15" t="s">
        <v>41</v>
      </c>
      <c r="E1783" s="15" t="s">
        <v>8578</v>
      </c>
      <c r="F1783" s="15" t="s">
        <v>8579</v>
      </c>
      <c r="G1783" s="15" t="s">
        <v>2097</v>
      </c>
      <c r="H1783" s="15" t="s">
        <v>8580</v>
      </c>
      <c r="I1783" s="15" t="s">
        <v>2074</v>
      </c>
    </row>
    <row r="1784" spans="1:9" x14ac:dyDescent="0.15">
      <c r="A1784" s="15" t="s">
        <v>8581</v>
      </c>
      <c r="B1784" s="15"/>
      <c r="C1784" s="15" t="s">
        <v>40</v>
      </c>
      <c r="D1784" s="15" t="s">
        <v>41</v>
      </c>
      <c r="E1784" s="15" t="s">
        <v>8582</v>
      </c>
      <c r="F1784" s="15" t="s">
        <v>8583</v>
      </c>
      <c r="G1784" s="15" t="s">
        <v>2097</v>
      </c>
      <c r="H1784" s="15" t="s">
        <v>8584</v>
      </c>
      <c r="I1784" s="15" t="s">
        <v>2074</v>
      </c>
    </row>
    <row r="1785" spans="1:9" x14ac:dyDescent="0.15">
      <c r="A1785" s="15" t="s">
        <v>8585</v>
      </c>
      <c r="B1785" s="15"/>
      <c r="C1785" s="15" t="s">
        <v>40</v>
      </c>
      <c r="D1785" s="15" t="s">
        <v>41</v>
      </c>
      <c r="E1785" s="15" t="s">
        <v>8586</v>
      </c>
      <c r="F1785" s="15" t="s">
        <v>8588</v>
      </c>
      <c r="G1785" s="15" t="s">
        <v>8587</v>
      </c>
      <c r="H1785" s="15" t="s">
        <v>8589</v>
      </c>
      <c r="I1785" s="15" t="s">
        <v>2074</v>
      </c>
    </row>
    <row r="1786" spans="1:9" x14ac:dyDescent="0.15">
      <c r="A1786" s="15" t="s">
        <v>8590</v>
      </c>
      <c r="B1786" s="15"/>
      <c r="C1786" s="15" t="s">
        <v>40</v>
      </c>
      <c r="D1786" s="15" t="s">
        <v>41</v>
      </c>
      <c r="E1786" s="15" t="s">
        <v>8591</v>
      </c>
      <c r="F1786" s="15" t="s">
        <v>8593</v>
      </c>
      <c r="G1786" s="15" t="s">
        <v>8592</v>
      </c>
      <c r="H1786" s="15" t="s">
        <v>8594</v>
      </c>
      <c r="I1786" s="15" t="s">
        <v>2074</v>
      </c>
    </row>
    <row r="1787" spans="1:9" x14ac:dyDescent="0.15">
      <c r="A1787" s="15" t="s">
        <v>8595</v>
      </c>
      <c r="B1787" s="15"/>
      <c r="C1787" s="15" t="s">
        <v>40</v>
      </c>
      <c r="D1787" s="15" t="s">
        <v>41</v>
      </c>
      <c r="E1787" s="15" t="s">
        <v>8596</v>
      </c>
      <c r="F1787" s="15" t="s">
        <v>52</v>
      </c>
      <c r="G1787" s="15" t="s">
        <v>8597</v>
      </c>
      <c r="H1787" s="15" t="s">
        <v>8598</v>
      </c>
      <c r="I1787" s="15" t="s">
        <v>2074</v>
      </c>
    </row>
    <row r="1788" spans="1:9" x14ac:dyDescent="0.15">
      <c r="A1788" s="15" t="s">
        <v>8599</v>
      </c>
      <c r="B1788" s="15"/>
      <c r="C1788" s="15" t="s">
        <v>40</v>
      </c>
      <c r="D1788" s="15" t="s">
        <v>41</v>
      </c>
      <c r="E1788" s="15" t="s">
        <v>8600</v>
      </c>
      <c r="F1788" s="15" t="s">
        <v>8602</v>
      </c>
      <c r="G1788" s="15" t="s">
        <v>8601</v>
      </c>
      <c r="H1788" s="15" t="s">
        <v>8603</v>
      </c>
      <c r="I1788" s="15" t="s">
        <v>2074</v>
      </c>
    </row>
    <row r="1789" spans="1:9" x14ac:dyDescent="0.15">
      <c r="A1789" s="15" t="s">
        <v>8604</v>
      </c>
      <c r="B1789" s="15"/>
      <c r="C1789" s="15" t="s">
        <v>40</v>
      </c>
      <c r="D1789" s="15" t="s">
        <v>41</v>
      </c>
      <c r="E1789" s="15" t="s">
        <v>8605</v>
      </c>
      <c r="F1789" s="15" t="s">
        <v>8607</v>
      </c>
      <c r="G1789" s="15" t="s">
        <v>8606</v>
      </c>
      <c r="H1789" s="15" t="s">
        <v>8608</v>
      </c>
      <c r="I1789" s="15" t="s">
        <v>2074</v>
      </c>
    </row>
    <row r="1790" spans="1:9" x14ac:dyDescent="0.15">
      <c r="A1790" s="15" t="s">
        <v>8609</v>
      </c>
      <c r="B1790" s="15"/>
      <c r="C1790" s="15" t="s">
        <v>40</v>
      </c>
      <c r="D1790" s="15" t="s">
        <v>41</v>
      </c>
      <c r="E1790" s="15" t="s">
        <v>8610</v>
      </c>
      <c r="F1790" s="15" t="s">
        <v>8611</v>
      </c>
      <c r="G1790" s="15" t="s">
        <v>2112</v>
      </c>
      <c r="H1790" s="15" t="s">
        <v>8612</v>
      </c>
      <c r="I1790" s="15" t="s">
        <v>2074</v>
      </c>
    </row>
    <row r="1791" spans="1:9" x14ac:dyDescent="0.15">
      <c r="A1791" s="15" t="s">
        <v>8613</v>
      </c>
      <c r="B1791" s="15"/>
      <c r="C1791" s="15" t="s">
        <v>40</v>
      </c>
      <c r="D1791" s="15" t="s">
        <v>41</v>
      </c>
      <c r="E1791" s="15" t="s">
        <v>8614</v>
      </c>
      <c r="F1791" s="15" t="s">
        <v>8616</v>
      </c>
      <c r="G1791" s="15" t="s">
        <v>8615</v>
      </c>
      <c r="H1791" s="15" t="s">
        <v>8617</v>
      </c>
      <c r="I1791" s="15" t="s">
        <v>2074</v>
      </c>
    </row>
    <row r="1792" spans="1:9" x14ac:dyDescent="0.15">
      <c r="A1792" s="15" t="s">
        <v>8618</v>
      </c>
      <c r="B1792" s="15"/>
      <c r="C1792" s="15" t="s">
        <v>40</v>
      </c>
      <c r="D1792" s="15" t="s">
        <v>41</v>
      </c>
      <c r="E1792" s="15" t="s">
        <v>8619</v>
      </c>
      <c r="F1792" s="15" t="s">
        <v>8621</v>
      </c>
      <c r="G1792" s="15" t="s">
        <v>8620</v>
      </c>
      <c r="H1792" s="15" t="s">
        <v>8622</v>
      </c>
      <c r="I1792" s="15" t="s">
        <v>2074</v>
      </c>
    </row>
    <row r="1793" spans="1:9" x14ac:dyDescent="0.15">
      <c r="A1793" s="15" t="s">
        <v>8623</v>
      </c>
      <c r="B1793" s="15"/>
      <c r="C1793" s="15" t="s">
        <v>40</v>
      </c>
      <c r="D1793" s="15" t="s">
        <v>41</v>
      </c>
      <c r="E1793" s="15" t="s">
        <v>8624</v>
      </c>
      <c r="F1793" s="15" t="s">
        <v>8626</v>
      </c>
      <c r="G1793" s="15" t="s">
        <v>8625</v>
      </c>
      <c r="H1793" s="15" t="s">
        <v>8627</v>
      </c>
      <c r="I1793" s="15" t="s">
        <v>2074</v>
      </c>
    </row>
    <row r="1794" spans="1:9" x14ac:dyDescent="0.15">
      <c r="A1794" s="15" t="s">
        <v>8628</v>
      </c>
      <c r="B1794" s="15"/>
      <c r="C1794" s="15" t="s">
        <v>40</v>
      </c>
      <c r="D1794" s="15" t="s">
        <v>41</v>
      </c>
      <c r="E1794" s="15" t="s">
        <v>8629</v>
      </c>
      <c r="F1794" s="15" t="s">
        <v>8631</v>
      </c>
      <c r="G1794" s="15" t="s">
        <v>8630</v>
      </c>
      <c r="H1794" s="15" t="s">
        <v>8632</v>
      </c>
      <c r="I1794" s="15" t="s">
        <v>2074</v>
      </c>
    </row>
    <row r="1795" spans="1:9" x14ac:dyDescent="0.15">
      <c r="A1795" s="15" t="s">
        <v>8633</v>
      </c>
      <c r="B1795" s="15"/>
      <c r="C1795" s="15" t="s">
        <v>40</v>
      </c>
      <c r="D1795" s="15" t="s">
        <v>41</v>
      </c>
      <c r="E1795" s="15" t="s">
        <v>8634</v>
      </c>
      <c r="F1795" s="15" t="s">
        <v>8636</v>
      </c>
      <c r="G1795" s="15" t="s">
        <v>8635</v>
      </c>
      <c r="H1795" s="15" t="s">
        <v>8637</v>
      </c>
      <c r="I1795" s="15" t="s">
        <v>2074</v>
      </c>
    </row>
    <row r="1796" spans="1:9" x14ac:dyDescent="0.15">
      <c r="A1796" s="15" t="s">
        <v>8638</v>
      </c>
      <c r="B1796" s="15"/>
      <c r="C1796" s="15" t="s">
        <v>40</v>
      </c>
      <c r="D1796" s="15" t="s">
        <v>41</v>
      </c>
      <c r="E1796" s="15" t="s">
        <v>8639</v>
      </c>
      <c r="F1796" s="15" t="s">
        <v>8641</v>
      </c>
      <c r="G1796" s="15" t="s">
        <v>8640</v>
      </c>
      <c r="H1796" s="15" t="s">
        <v>8642</v>
      </c>
      <c r="I1796" s="15" t="s">
        <v>2074</v>
      </c>
    </row>
    <row r="1797" spans="1:9" x14ac:dyDescent="0.15">
      <c r="A1797" s="15" t="s">
        <v>8643</v>
      </c>
      <c r="B1797" s="15"/>
      <c r="C1797" s="15" t="s">
        <v>40</v>
      </c>
      <c r="D1797" s="15" t="s">
        <v>41</v>
      </c>
      <c r="E1797" s="15" t="s">
        <v>8644</v>
      </c>
      <c r="F1797" s="15" t="s">
        <v>8646</v>
      </c>
      <c r="G1797" s="15" t="s">
        <v>8645</v>
      </c>
      <c r="H1797" s="15" t="s">
        <v>8647</v>
      </c>
      <c r="I1797" s="15" t="s">
        <v>2074</v>
      </c>
    </row>
    <row r="1798" spans="1:9" x14ac:dyDescent="0.15">
      <c r="A1798" s="15" t="s">
        <v>8648</v>
      </c>
      <c r="B1798" s="15"/>
      <c r="C1798" s="15" t="s">
        <v>40</v>
      </c>
      <c r="D1798" s="15" t="s">
        <v>41</v>
      </c>
      <c r="E1798" s="15" t="s">
        <v>8649</v>
      </c>
      <c r="F1798" s="15" t="s">
        <v>8651</v>
      </c>
      <c r="G1798" s="15" t="s">
        <v>8650</v>
      </c>
      <c r="H1798" s="15" t="s">
        <v>8652</v>
      </c>
      <c r="I1798" s="15" t="s">
        <v>2074</v>
      </c>
    </row>
    <row r="1799" spans="1:9" x14ac:dyDescent="0.15">
      <c r="A1799" s="15" t="s">
        <v>8653</v>
      </c>
      <c r="B1799" s="15"/>
      <c r="C1799" s="15" t="s">
        <v>40</v>
      </c>
      <c r="D1799" s="15" t="s">
        <v>41</v>
      </c>
      <c r="E1799" s="15" t="s">
        <v>8654</v>
      </c>
      <c r="F1799" s="15" t="s">
        <v>8656</v>
      </c>
      <c r="G1799" s="15" t="s">
        <v>8655</v>
      </c>
      <c r="H1799" s="15" t="s">
        <v>8657</v>
      </c>
      <c r="I1799" s="15" t="s">
        <v>2074</v>
      </c>
    </row>
    <row r="1800" spans="1:9" x14ac:dyDescent="0.15">
      <c r="A1800" s="15" t="s">
        <v>8658</v>
      </c>
      <c r="B1800" s="15"/>
      <c r="C1800" s="15" t="s">
        <v>40</v>
      </c>
      <c r="D1800" s="15" t="s">
        <v>41</v>
      </c>
      <c r="E1800" s="15" t="s">
        <v>8659</v>
      </c>
      <c r="F1800" s="15" t="s">
        <v>8660</v>
      </c>
      <c r="G1800" s="15" t="s">
        <v>8630</v>
      </c>
      <c r="H1800" s="15" t="s">
        <v>8661</v>
      </c>
      <c r="I1800" s="15" t="s">
        <v>2074</v>
      </c>
    </row>
    <row r="1801" spans="1:9" x14ac:dyDescent="0.15">
      <c r="A1801" s="15" t="s">
        <v>8662</v>
      </c>
      <c r="B1801" s="15"/>
      <c r="C1801" s="15" t="s">
        <v>40</v>
      </c>
      <c r="D1801" s="15" t="s">
        <v>41</v>
      </c>
      <c r="E1801" s="15" t="s">
        <v>8663</v>
      </c>
      <c r="F1801" s="15" t="s">
        <v>8665</v>
      </c>
      <c r="G1801" s="15" t="s">
        <v>8664</v>
      </c>
      <c r="H1801" s="15" t="s">
        <v>8666</v>
      </c>
      <c r="I1801" s="15" t="s">
        <v>2074</v>
      </c>
    </row>
    <row r="1802" spans="1:9" x14ac:dyDescent="0.15">
      <c r="A1802" s="15" t="s">
        <v>8667</v>
      </c>
      <c r="B1802" s="15"/>
      <c r="C1802" s="15" t="s">
        <v>40</v>
      </c>
      <c r="D1802" s="15" t="s">
        <v>41</v>
      </c>
      <c r="E1802" s="15" t="s">
        <v>8668</v>
      </c>
      <c r="F1802" s="15" t="s">
        <v>8669</v>
      </c>
      <c r="G1802" s="15" t="s">
        <v>2112</v>
      </c>
      <c r="H1802" s="15" t="s">
        <v>8670</v>
      </c>
      <c r="I1802" s="15" t="s">
        <v>2074</v>
      </c>
    </row>
    <row r="1803" spans="1:9" x14ac:dyDescent="0.15">
      <c r="A1803" s="15" t="s">
        <v>8671</v>
      </c>
      <c r="B1803" s="15"/>
      <c r="C1803" s="15" t="s">
        <v>40</v>
      </c>
      <c r="D1803" s="15" t="s">
        <v>41</v>
      </c>
      <c r="E1803" s="15" t="s">
        <v>8672</v>
      </c>
      <c r="F1803" s="15" t="s">
        <v>8674</v>
      </c>
      <c r="G1803" s="15" t="s">
        <v>8673</v>
      </c>
      <c r="H1803" s="15" t="s">
        <v>8675</v>
      </c>
      <c r="I1803" s="15" t="s">
        <v>2074</v>
      </c>
    </row>
    <row r="1804" spans="1:9" x14ac:dyDescent="0.15">
      <c r="A1804" s="15" t="s">
        <v>8676</v>
      </c>
      <c r="B1804" s="15"/>
      <c r="C1804" s="15" t="s">
        <v>40</v>
      </c>
      <c r="D1804" s="15" t="s">
        <v>41</v>
      </c>
      <c r="E1804" s="15" t="s">
        <v>8677</v>
      </c>
      <c r="F1804" s="15" t="s">
        <v>8678</v>
      </c>
      <c r="G1804" s="15" t="s">
        <v>2121</v>
      </c>
      <c r="H1804" s="15" t="s">
        <v>8679</v>
      </c>
      <c r="I1804" s="15" t="s">
        <v>2074</v>
      </c>
    </row>
    <row r="1805" spans="1:9" x14ac:dyDescent="0.15">
      <c r="A1805" s="15" t="s">
        <v>8680</v>
      </c>
      <c r="B1805" s="15"/>
      <c r="C1805" s="15" t="s">
        <v>40</v>
      </c>
      <c r="D1805" s="15" t="s">
        <v>41</v>
      </c>
      <c r="E1805" s="15" t="s">
        <v>8681</v>
      </c>
      <c r="F1805" s="15" t="s">
        <v>8683</v>
      </c>
      <c r="G1805" s="15" t="s">
        <v>8682</v>
      </c>
      <c r="H1805" s="15" t="s">
        <v>8684</v>
      </c>
      <c r="I1805" s="15" t="s">
        <v>2074</v>
      </c>
    </row>
    <row r="1806" spans="1:9" x14ac:dyDescent="0.15">
      <c r="A1806" s="15" t="s">
        <v>8685</v>
      </c>
      <c r="B1806" s="15"/>
      <c r="C1806" s="15" t="s">
        <v>40</v>
      </c>
      <c r="D1806" s="15" t="s">
        <v>41</v>
      </c>
      <c r="E1806" s="15" t="s">
        <v>8686</v>
      </c>
      <c r="F1806" s="15" t="s">
        <v>8688</v>
      </c>
      <c r="G1806" s="15" t="s">
        <v>8687</v>
      </c>
      <c r="H1806" s="15" t="s">
        <v>8689</v>
      </c>
      <c r="I1806" s="15" t="s">
        <v>2074</v>
      </c>
    </row>
    <row r="1807" spans="1:9" x14ac:dyDescent="0.15">
      <c r="A1807" s="15" t="s">
        <v>8690</v>
      </c>
      <c r="B1807" s="15"/>
      <c r="C1807" s="15" t="s">
        <v>40</v>
      </c>
      <c r="D1807" s="15" t="s">
        <v>41</v>
      </c>
      <c r="E1807" s="15" t="s">
        <v>8691</v>
      </c>
      <c r="F1807" s="15" t="s">
        <v>8693</v>
      </c>
      <c r="G1807" s="15" t="s">
        <v>8692</v>
      </c>
      <c r="H1807" s="15" t="s">
        <v>8694</v>
      </c>
      <c r="I1807" s="15" t="s">
        <v>2074</v>
      </c>
    </row>
    <row r="1808" spans="1:9" x14ac:dyDescent="0.15">
      <c r="A1808" s="15" t="s">
        <v>8695</v>
      </c>
      <c r="B1808" s="15"/>
      <c r="C1808" s="15" t="s">
        <v>40</v>
      </c>
      <c r="D1808" s="15" t="s">
        <v>41</v>
      </c>
      <c r="E1808" s="15" t="s">
        <v>8696</v>
      </c>
      <c r="F1808" s="15" t="s">
        <v>8698</v>
      </c>
      <c r="G1808" s="15" t="s">
        <v>8697</v>
      </c>
      <c r="H1808" s="15" t="s">
        <v>8699</v>
      </c>
      <c r="I1808" s="15" t="s">
        <v>2074</v>
      </c>
    </row>
    <row r="1809" spans="1:9" x14ac:dyDescent="0.15">
      <c r="A1809" s="15" t="s">
        <v>8700</v>
      </c>
      <c r="B1809" s="15"/>
      <c r="C1809" s="15" t="s">
        <v>40</v>
      </c>
      <c r="D1809" s="15" t="s">
        <v>41</v>
      </c>
      <c r="E1809" s="15" t="s">
        <v>8701</v>
      </c>
      <c r="F1809" s="15" t="s">
        <v>8703</v>
      </c>
      <c r="G1809" s="15" t="s">
        <v>8702</v>
      </c>
      <c r="H1809" s="15" t="s">
        <v>8704</v>
      </c>
      <c r="I1809" s="15" t="s">
        <v>2074</v>
      </c>
    </row>
    <row r="1810" spans="1:9" x14ac:dyDescent="0.15">
      <c r="A1810" s="15" t="s">
        <v>8705</v>
      </c>
      <c r="B1810" s="15"/>
      <c r="C1810" s="15" t="s">
        <v>40</v>
      </c>
      <c r="D1810" s="15" t="s">
        <v>41</v>
      </c>
      <c r="E1810" s="15" t="s">
        <v>8706</v>
      </c>
      <c r="F1810" s="15" t="s">
        <v>8708</v>
      </c>
      <c r="G1810" s="15" t="s">
        <v>8707</v>
      </c>
      <c r="H1810" s="15" t="s">
        <v>8709</v>
      </c>
      <c r="I1810" s="15" t="s">
        <v>2074</v>
      </c>
    </row>
    <row r="1811" spans="1:9" x14ac:dyDescent="0.15">
      <c r="A1811" s="15" t="s">
        <v>8710</v>
      </c>
      <c r="B1811" s="15"/>
      <c r="C1811" s="15" t="s">
        <v>40</v>
      </c>
      <c r="D1811" s="15" t="s">
        <v>41</v>
      </c>
      <c r="E1811" s="15" t="s">
        <v>8711</v>
      </c>
      <c r="F1811" s="15" t="s">
        <v>8713</v>
      </c>
      <c r="G1811" s="15" t="s">
        <v>8712</v>
      </c>
      <c r="H1811" s="15" t="s">
        <v>8714</v>
      </c>
      <c r="I1811" s="15" t="s">
        <v>2074</v>
      </c>
    </row>
    <row r="1812" spans="1:9" x14ac:dyDescent="0.15">
      <c r="A1812" s="15" t="s">
        <v>8715</v>
      </c>
      <c r="B1812" s="15"/>
      <c r="C1812" s="15" t="s">
        <v>40</v>
      </c>
      <c r="D1812" s="15" t="s">
        <v>41</v>
      </c>
      <c r="E1812" s="15" t="s">
        <v>8716</v>
      </c>
      <c r="F1812" s="15" t="s">
        <v>8717</v>
      </c>
      <c r="G1812" s="15" t="s">
        <v>2112</v>
      </c>
      <c r="H1812" s="15" t="s">
        <v>8718</v>
      </c>
      <c r="I1812" s="15" t="s">
        <v>2074</v>
      </c>
    </row>
    <row r="1813" spans="1:9" x14ac:dyDescent="0.15">
      <c r="A1813" s="15" t="s">
        <v>8719</v>
      </c>
      <c r="B1813" s="15"/>
      <c r="C1813" s="15" t="s">
        <v>40</v>
      </c>
      <c r="D1813" s="15" t="s">
        <v>41</v>
      </c>
      <c r="E1813" s="15" t="s">
        <v>8720</v>
      </c>
      <c r="F1813" s="15" t="s">
        <v>8722</v>
      </c>
      <c r="G1813" s="15" t="s">
        <v>8721</v>
      </c>
      <c r="H1813" s="15" t="s">
        <v>8723</v>
      </c>
      <c r="I1813" s="15" t="s">
        <v>2074</v>
      </c>
    </row>
    <row r="1814" spans="1:9" x14ac:dyDescent="0.15">
      <c r="A1814" s="15" t="s">
        <v>8724</v>
      </c>
      <c r="B1814" s="15"/>
      <c r="C1814" s="15" t="s">
        <v>40</v>
      </c>
      <c r="D1814" s="15" t="s">
        <v>41</v>
      </c>
      <c r="E1814" s="15" t="s">
        <v>8725</v>
      </c>
      <c r="F1814" s="15" t="s">
        <v>8727</v>
      </c>
      <c r="G1814" s="15" t="s">
        <v>8726</v>
      </c>
      <c r="H1814" s="15" t="s">
        <v>8728</v>
      </c>
      <c r="I1814" s="15" t="s">
        <v>2074</v>
      </c>
    </row>
    <row r="1815" spans="1:9" x14ac:dyDescent="0.15">
      <c r="A1815" s="15" t="s">
        <v>8729</v>
      </c>
      <c r="B1815" s="15"/>
      <c r="C1815" s="15" t="s">
        <v>40</v>
      </c>
      <c r="D1815" s="15" t="s">
        <v>41</v>
      </c>
      <c r="E1815" s="15" t="s">
        <v>8730</v>
      </c>
      <c r="F1815" s="15" t="s">
        <v>8732</v>
      </c>
      <c r="G1815" s="15" t="s">
        <v>8731</v>
      </c>
      <c r="H1815" s="15" t="s">
        <v>8733</v>
      </c>
      <c r="I1815" s="15" t="s">
        <v>2074</v>
      </c>
    </row>
    <row r="1816" spans="1:9" x14ac:dyDescent="0.15">
      <c r="A1816" s="15" t="s">
        <v>8734</v>
      </c>
      <c r="B1816" s="15"/>
      <c r="C1816" s="15" t="s">
        <v>40</v>
      </c>
      <c r="D1816" s="15" t="s">
        <v>41</v>
      </c>
      <c r="E1816" s="15" t="s">
        <v>8735</v>
      </c>
      <c r="F1816" s="15" t="s">
        <v>8737</v>
      </c>
      <c r="G1816" s="15" t="s">
        <v>8736</v>
      </c>
      <c r="H1816" s="15" t="s">
        <v>8738</v>
      </c>
      <c r="I1816" s="15" t="s">
        <v>2074</v>
      </c>
    </row>
    <row r="1817" spans="1:9" x14ac:dyDescent="0.15">
      <c r="A1817" s="15" t="s">
        <v>40</v>
      </c>
      <c r="B1817" s="15"/>
      <c r="C1817" s="15" t="s">
        <v>40</v>
      </c>
      <c r="D1817" s="15" t="s">
        <v>41</v>
      </c>
      <c r="E1817" s="15" t="s">
        <v>8739</v>
      </c>
      <c r="F1817" s="15" t="s">
        <v>8741</v>
      </c>
      <c r="G1817" s="15" t="s">
        <v>8740</v>
      </c>
      <c r="H1817" s="15" t="s">
        <v>8742</v>
      </c>
      <c r="I1817" s="15" t="s">
        <v>2074</v>
      </c>
    </row>
    <row r="1818" spans="1:9" x14ac:dyDescent="0.15">
      <c r="A1818" s="15" t="s">
        <v>8743</v>
      </c>
      <c r="B1818" s="15"/>
      <c r="C1818" s="15" t="s">
        <v>40</v>
      </c>
      <c r="D1818" s="15" t="s">
        <v>41</v>
      </c>
      <c r="E1818" s="15" t="s">
        <v>8744</v>
      </c>
      <c r="F1818" s="15" t="s">
        <v>8746</v>
      </c>
      <c r="G1818" s="15" t="s">
        <v>8745</v>
      </c>
      <c r="H1818" s="15" t="s">
        <v>8747</v>
      </c>
      <c r="I1818" s="15" t="s">
        <v>2074</v>
      </c>
    </row>
    <row r="1819" spans="1:9" x14ac:dyDescent="0.15">
      <c r="A1819" s="15" t="s">
        <v>8748</v>
      </c>
      <c r="B1819" s="15"/>
      <c r="C1819" s="15" t="s">
        <v>40</v>
      </c>
      <c r="D1819" s="15" t="s">
        <v>41</v>
      </c>
      <c r="E1819" s="15" t="s">
        <v>8749</v>
      </c>
      <c r="F1819" s="15" t="s">
        <v>8751</v>
      </c>
      <c r="G1819" s="15" t="s">
        <v>8750</v>
      </c>
      <c r="H1819" s="15" t="s">
        <v>8752</v>
      </c>
      <c r="I1819" s="15" t="s">
        <v>2074</v>
      </c>
    </row>
    <row r="1820" spans="1:9" x14ac:dyDescent="0.15">
      <c r="A1820" s="15" t="s">
        <v>8753</v>
      </c>
      <c r="B1820" s="15"/>
      <c r="C1820" s="15" t="s">
        <v>40</v>
      </c>
      <c r="D1820" s="15" t="s">
        <v>41</v>
      </c>
      <c r="E1820" s="15" t="s">
        <v>8754</v>
      </c>
      <c r="F1820" s="15" t="s">
        <v>8755</v>
      </c>
      <c r="G1820" s="15" t="s">
        <v>8635</v>
      </c>
      <c r="H1820" s="15" t="s">
        <v>8756</v>
      </c>
      <c r="I1820" s="15" t="s">
        <v>2074</v>
      </c>
    </row>
    <row r="1821" spans="1:9" x14ac:dyDescent="0.15">
      <c r="A1821" s="15" t="s">
        <v>8757</v>
      </c>
      <c r="B1821" s="15"/>
      <c r="C1821" s="15" t="s">
        <v>40</v>
      </c>
      <c r="D1821" s="15" t="s">
        <v>41</v>
      </c>
      <c r="E1821" s="15" t="s">
        <v>8758</v>
      </c>
      <c r="F1821" s="15" t="s">
        <v>8760</v>
      </c>
      <c r="G1821" s="15" t="s">
        <v>8759</v>
      </c>
      <c r="H1821" s="15" t="s">
        <v>8761</v>
      </c>
      <c r="I1821" s="15" t="s">
        <v>2074</v>
      </c>
    </row>
    <row r="1822" spans="1:9" x14ac:dyDescent="0.15">
      <c r="A1822" s="15" t="s">
        <v>8762</v>
      </c>
      <c r="B1822" s="15"/>
      <c r="C1822" s="15" t="s">
        <v>40</v>
      </c>
      <c r="D1822" s="15" t="s">
        <v>41</v>
      </c>
      <c r="E1822" s="15" t="s">
        <v>8763</v>
      </c>
      <c r="F1822" s="15" t="s">
        <v>8764</v>
      </c>
      <c r="G1822" s="15" t="s">
        <v>8682</v>
      </c>
      <c r="H1822" s="15" t="s">
        <v>8765</v>
      </c>
      <c r="I1822" s="15" t="s">
        <v>2074</v>
      </c>
    </row>
    <row r="1823" spans="1:9" x14ac:dyDescent="0.15">
      <c r="A1823" s="15" t="s">
        <v>8766</v>
      </c>
      <c r="B1823" s="15"/>
      <c r="C1823" s="15" t="s">
        <v>40</v>
      </c>
      <c r="D1823" s="15" t="s">
        <v>41</v>
      </c>
      <c r="E1823" s="15" t="s">
        <v>8767</v>
      </c>
      <c r="F1823" s="15" t="s">
        <v>8768</v>
      </c>
      <c r="G1823" s="15" t="s">
        <v>8640</v>
      </c>
      <c r="H1823" s="15" t="s">
        <v>8769</v>
      </c>
      <c r="I1823" s="15" t="s">
        <v>2074</v>
      </c>
    </row>
    <row r="1824" spans="1:9" x14ac:dyDescent="0.15">
      <c r="A1824" s="15" t="s">
        <v>8770</v>
      </c>
      <c r="B1824" s="15"/>
      <c r="C1824" s="15" t="s">
        <v>40</v>
      </c>
      <c r="D1824" s="15" t="s">
        <v>41</v>
      </c>
      <c r="E1824" s="15" t="s">
        <v>8771</v>
      </c>
      <c r="F1824" s="15" t="s">
        <v>8773</v>
      </c>
      <c r="G1824" s="15" t="s">
        <v>8772</v>
      </c>
      <c r="H1824" s="15" t="s">
        <v>8774</v>
      </c>
      <c r="I1824" s="15" t="s">
        <v>2074</v>
      </c>
    </row>
    <row r="1825" spans="1:9" x14ac:dyDescent="0.15">
      <c r="A1825" s="15" t="s">
        <v>8775</v>
      </c>
      <c r="B1825" s="15"/>
      <c r="C1825" s="15" t="s">
        <v>40</v>
      </c>
      <c r="D1825" s="15" t="s">
        <v>41</v>
      </c>
      <c r="E1825" s="15" t="s">
        <v>8776</v>
      </c>
      <c r="F1825" s="15" t="s">
        <v>8777</v>
      </c>
      <c r="G1825" s="15" t="s">
        <v>2112</v>
      </c>
      <c r="H1825" s="15" t="s">
        <v>8778</v>
      </c>
      <c r="I1825" s="15" t="s">
        <v>2074</v>
      </c>
    </row>
    <row r="1826" spans="1:9" x14ac:dyDescent="0.15">
      <c r="A1826" s="15" t="s">
        <v>8779</v>
      </c>
      <c r="B1826" s="15"/>
      <c r="C1826" s="15" t="s">
        <v>40</v>
      </c>
      <c r="D1826" s="15" t="s">
        <v>41</v>
      </c>
      <c r="E1826" s="15" t="s">
        <v>8780</v>
      </c>
      <c r="F1826" s="15" t="s">
        <v>8781</v>
      </c>
      <c r="G1826" s="15" t="s">
        <v>2112</v>
      </c>
      <c r="H1826" s="15" t="s">
        <v>8782</v>
      </c>
      <c r="I1826" s="15" t="s">
        <v>2074</v>
      </c>
    </row>
    <row r="1827" spans="1:9" x14ac:dyDescent="0.15">
      <c r="A1827" s="15" t="s">
        <v>8783</v>
      </c>
      <c r="B1827" s="15"/>
      <c r="C1827" s="15" t="s">
        <v>40</v>
      </c>
      <c r="D1827" s="15" t="s">
        <v>41</v>
      </c>
      <c r="E1827" s="15" t="s">
        <v>8784</v>
      </c>
      <c r="F1827" s="15" t="s">
        <v>8656</v>
      </c>
      <c r="G1827" s="15" t="s">
        <v>8655</v>
      </c>
      <c r="H1827" s="15" t="s">
        <v>8785</v>
      </c>
      <c r="I1827" s="15" t="s">
        <v>2074</v>
      </c>
    </row>
    <row r="1828" spans="1:9" x14ac:dyDescent="0.15">
      <c r="A1828" s="15" t="s">
        <v>8786</v>
      </c>
      <c r="B1828" s="15"/>
      <c r="C1828" s="15" t="s">
        <v>40</v>
      </c>
      <c r="D1828" s="15" t="s">
        <v>41</v>
      </c>
      <c r="E1828" s="15" t="s">
        <v>8787</v>
      </c>
      <c r="F1828" s="15" t="s">
        <v>8789</v>
      </c>
      <c r="G1828" s="15" t="s">
        <v>8788</v>
      </c>
      <c r="H1828" s="15" t="s">
        <v>8790</v>
      </c>
      <c r="I1828" s="15" t="s">
        <v>2074</v>
      </c>
    </row>
    <row r="1829" spans="1:9" x14ac:dyDescent="0.15">
      <c r="A1829" s="15" t="s">
        <v>8791</v>
      </c>
      <c r="B1829" s="15"/>
      <c r="C1829" s="15" t="s">
        <v>40</v>
      </c>
      <c r="D1829" s="15" t="s">
        <v>41</v>
      </c>
      <c r="E1829" s="15" t="s">
        <v>8792</v>
      </c>
      <c r="F1829" s="15" t="s">
        <v>8794</v>
      </c>
      <c r="G1829" s="15" t="s">
        <v>8793</v>
      </c>
      <c r="H1829" s="15" t="s">
        <v>8795</v>
      </c>
      <c r="I1829" s="15" t="s">
        <v>2074</v>
      </c>
    </row>
    <row r="1830" spans="1:9" x14ac:dyDescent="0.15">
      <c r="A1830" s="15" t="s">
        <v>8796</v>
      </c>
      <c r="B1830" s="15"/>
      <c r="C1830" s="15" t="s">
        <v>40</v>
      </c>
      <c r="D1830" s="15" t="s">
        <v>41</v>
      </c>
      <c r="E1830" s="15" t="s">
        <v>8797</v>
      </c>
      <c r="F1830" s="15" t="s">
        <v>8799</v>
      </c>
      <c r="G1830" s="15" t="s">
        <v>8798</v>
      </c>
      <c r="H1830" s="15" t="s">
        <v>8800</v>
      </c>
      <c r="I1830" s="15" t="s">
        <v>2074</v>
      </c>
    </row>
    <row r="1831" spans="1:9" x14ac:dyDescent="0.15">
      <c r="A1831" s="15" t="s">
        <v>8801</v>
      </c>
      <c r="B1831" s="15"/>
      <c r="C1831" s="15" t="s">
        <v>40</v>
      </c>
      <c r="D1831" s="15" t="s">
        <v>41</v>
      </c>
      <c r="E1831" s="15" t="s">
        <v>8802</v>
      </c>
      <c r="F1831" s="15" t="s">
        <v>8804</v>
      </c>
      <c r="G1831" s="15" t="s">
        <v>8803</v>
      </c>
      <c r="H1831" s="15" t="s">
        <v>8805</v>
      </c>
      <c r="I1831" s="15" t="s">
        <v>2074</v>
      </c>
    </row>
    <row r="1832" spans="1:9" x14ac:dyDescent="0.15">
      <c r="A1832" s="15" t="s">
        <v>8806</v>
      </c>
      <c r="B1832" s="15"/>
      <c r="C1832" s="15" t="s">
        <v>40</v>
      </c>
      <c r="D1832" s="15" t="s">
        <v>41</v>
      </c>
      <c r="E1832" s="15" t="s">
        <v>8807</v>
      </c>
      <c r="F1832" s="15" t="s">
        <v>8809</v>
      </c>
      <c r="G1832" s="15" t="s">
        <v>8808</v>
      </c>
      <c r="H1832" s="15" t="s">
        <v>8810</v>
      </c>
      <c r="I1832" s="15" t="s">
        <v>2074</v>
      </c>
    </row>
    <row r="1833" spans="1:9" x14ac:dyDescent="0.15">
      <c r="A1833" s="15" t="s">
        <v>8811</v>
      </c>
      <c r="B1833" s="15"/>
      <c r="C1833" s="15" t="s">
        <v>40</v>
      </c>
      <c r="D1833" s="15" t="s">
        <v>41</v>
      </c>
      <c r="E1833" s="15" t="s">
        <v>8812</v>
      </c>
      <c r="F1833" s="15" t="s">
        <v>8813</v>
      </c>
      <c r="G1833" s="15" t="s">
        <v>8808</v>
      </c>
      <c r="H1833" s="15" t="s">
        <v>8814</v>
      </c>
      <c r="I1833" s="15" t="s">
        <v>2074</v>
      </c>
    </row>
    <row r="1834" spans="1:9" x14ac:dyDescent="0.15">
      <c r="A1834" s="15" t="s">
        <v>8815</v>
      </c>
      <c r="B1834" s="15"/>
      <c r="C1834" s="15" t="s">
        <v>40</v>
      </c>
      <c r="D1834" s="15" t="s">
        <v>41</v>
      </c>
      <c r="E1834" s="15" t="s">
        <v>8816</v>
      </c>
      <c r="F1834" s="15" t="s">
        <v>8818</v>
      </c>
      <c r="G1834" s="15" t="s">
        <v>8817</v>
      </c>
      <c r="H1834" s="15" t="s">
        <v>8819</v>
      </c>
      <c r="I1834" s="15" t="s">
        <v>2074</v>
      </c>
    </row>
    <row r="1835" spans="1:9" x14ac:dyDescent="0.15">
      <c r="A1835" s="15" t="s">
        <v>8820</v>
      </c>
      <c r="B1835" s="15"/>
      <c r="C1835" s="15" t="s">
        <v>40</v>
      </c>
      <c r="D1835" s="15" t="s">
        <v>41</v>
      </c>
      <c r="E1835" s="15" t="s">
        <v>8821</v>
      </c>
      <c r="F1835" s="15" t="s">
        <v>8823</v>
      </c>
      <c r="G1835" s="15" t="s">
        <v>8822</v>
      </c>
      <c r="H1835" s="15" t="s">
        <v>8824</v>
      </c>
      <c r="I1835" s="15" t="s">
        <v>2074</v>
      </c>
    </row>
    <row r="1836" spans="1:9" x14ac:dyDescent="0.15">
      <c r="A1836" s="15" t="s">
        <v>8825</v>
      </c>
      <c r="B1836" s="15"/>
      <c r="C1836" s="15" t="s">
        <v>40</v>
      </c>
      <c r="D1836" s="15" t="s">
        <v>41</v>
      </c>
      <c r="E1836" s="15" t="s">
        <v>8826</v>
      </c>
      <c r="F1836" s="15" t="s">
        <v>8828</v>
      </c>
      <c r="G1836" s="15" t="s">
        <v>8827</v>
      </c>
      <c r="H1836" s="15" t="s">
        <v>8829</v>
      </c>
      <c r="I1836" s="15" t="s">
        <v>2074</v>
      </c>
    </row>
    <row r="1837" spans="1:9" x14ac:dyDescent="0.15">
      <c r="A1837" s="15" t="s">
        <v>8830</v>
      </c>
      <c r="B1837" s="15"/>
      <c r="C1837" s="15" t="s">
        <v>40</v>
      </c>
      <c r="D1837" s="15" t="s">
        <v>41</v>
      </c>
      <c r="E1837" s="15" t="s">
        <v>8831</v>
      </c>
      <c r="F1837" s="15" t="s">
        <v>8832</v>
      </c>
      <c r="G1837" s="15" t="s">
        <v>8640</v>
      </c>
      <c r="H1837" s="15" t="s">
        <v>8833</v>
      </c>
      <c r="I1837" s="15" t="s">
        <v>2074</v>
      </c>
    </row>
    <row r="1838" spans="1:9" x14ac:dyDescent="0.15">
      <c r="A1838" s="15" t="s">
        <v>8834</v>
      </c>
      <c r="B1838" s="15"/>
      <c r="C1838" s="15" t="s">
        <v>40</v>
      </c>
      <c r="D1838" s="15" t="s">
        <v>41</v>
      </c>
      <c r="E1838" s="15" t="s">
        <v>8835</v>
      </c>
      <c r="F1838" s="15" t="s">
        <v>52</v>
      </c>
      <c r="G1838" s="15" t="s">
        <v>8836</v>
      </c>
      <c r="H1838" s="15" t="s">
        <v>8837</v>
      </c>
      <c r="I1838" s="15" t="s">
        <v>2074</v>
      </c>
    </row>
    <row r="1839" spans="1:9" x14ac:dyDescent="0.15">
      <c r="A1839" s="15" t="s">
        <v>8838</v>
      </c>
      <c r="B1839" s="15"/>
      <c r="C1839" s="15" t="s">
        <v>40</v>
      </c>
      <c r="D1839" s="15" t="s">
        <v>41</v>
      </c>
      <c r="E1839" s="15" t="s">
        <v>8839</v>
      </c>
      <c r="F1839" s="15" t="s">
        <v>8841</v>
      </c>
      <c r="G1839" s="15" t="s">
        <v>8840</v>
      </c>
      <c r="H1839" s="15" t="s">
        <v>8842</v>
      </c>
      <c r="I1839" s="15" t="s">
        <v>2074</v>
      </c>
    </row>
    <row r="1840" spans="1:9" x14ac:dyDescent="0.15">
      <c r="A1840" s="15" t="s">
        <v>8843</v>
      </c>
      <c r="B1840" s="15"/>
      <c r="C1840" s="15" t="s">
        <v>40</v>
      </c>
      <c r="D1840" s="15" t="s">
        <v>41</v>
      </c>
      <c r="E1840" s="15" t="s">
        <v>8844</v>
      </c>
      <c r="F1840" s="15" t="s">
        <v>8846</v>
      </c>
      <c r="G1840" s="15" t="s">
        <v>8845</v>
      </c>
      <c r="H1840" s="15" t="s">
        <v>8847</v>
      </c>
      <c r="I1840" s="15" t="s">
        <v>2074</v>
      </c>
    </row>
    <row r="1841" spans="1:9" x14ac:dyDescent="0.15">
      <c r="A1841" s="15" t="s">
        <v>8848</v>
      </c>
      <c r="B1841" s="15"/>
      <c r="C1841" s="15" t="s">
        <v>40</v>
      </c>
      <c r="D1841" s="15" t="s">
        <v>41</v>
      </c>
      <c r="E1841" s="15" t="s">
        <v>8849</v>
      </c>
      <c r="F1841" s="15" t="s">
        <v>8851</v>
      </c>
      <c r="G1841" s="15" t="s">
        <v>8850</v>
      </c>
      <c r="H1841" s="15" t="s">
        <v>8852</v>
      </c>
      <c r="I1841" s="15" t="s">
        <v>2074</v>
      </c>
    </row>
    <row r="1842" spans="1:9" x14ac:dyDescent="0.15">
      <c r="A1842" s="15" t="s">
        <v>8853</v>
      </c>
      <c r="B1842" s="15"/>
      <c r="C1842" s="15" t="s">
        <v>40</v>
      </c>
      <c r="D1842" s="15" t="s">
        <v>41</v>
      </c>
      <c r="E1842" s="15" t="s">
        <v>8854</v>
      </c>
      <c r="F1842" s="15" t="s">
        <v>8856</v>
      </c>
      <c r="G1842" s="15" t="s">
        <v>8855</v>
      </c>
      <c r="H1842" s="15" t="s">
        <v>8857</v>
      </c>
      <c r="I1842" s="15" t="s">
        <v>2074</v>
      </c>
    </row>
    <row r="1843" spans="1:9" x14ac:dyDescent="0.15">
      <c r="A1843" s="15" t="s">
        <v>8858</v>
      </c>
      <c r="B1843" s="15"/>
      <c r="C1843" s="15" t="s">
        <v>40</v>
      </c>
      <c r="D1843" s="15" t="s">
        <v>41</v>
      </c>
      <c r="E1843" s="15" t="s">
        <v>8859</v>
      </c>
      <c r="F1843" s="15" t="s">
        <v>8861</v>
      </c>
      <c r="G1843" s="15" t="s">
        <v>8860</v>
      </c>
      <c r="H1843" s="15" t="s">
        <v>8862</v>
      </c>
      <c r="I1843" s="15" t="s">
        <v>2074</v>
      </c>
    </row>
    <row r="1844" spans="1:9" x14ac:dyDescent="0.15">
      <c r="A1844" s="15" t="s">
        <v>8863</v>
      </c>
      <c r="B1844" s="15"/>
      <c r="C1844" s="15" t="s">
        <v>40</v>
      </c>
      <c r="D1844" s="15" t="s">
        <v>41</v>
      </c>
      <c r="E1844" s="15" t="s">
        <v>8864</v>
      </c>
      <c r="F1844" s="15" t="s">
        <v>8866</v>
      </c>
      <c r="G1844" s="15" t="s">
        <v>8865</v>
      </c>
      <c r="H1844" s="15" t="s">
        <v>8867</v>
      </c>
      <c r="I1844" s="15" t="s">
        <v>2074</v>
      </c>
    </row>
    <row r="1845" spans="1:9" x14ac:dyDescent="0.15">
      <c r="A1845" s="15" t="s">
        <v>8868</v>
      </c>
      <c r="B1845" s="15"/>
      <c r="C1845" s="15" t="s">
        <v>40</v>
      </c>
      <c r="D1845" s="15" t="s">
        <v>41</v>
      </c>
      <c r="E1845" s="15" t="s">
        <v>8869</v>
      </c>
      <c r="F1845" s="15" t="s">
        <v>8870</v>
      </c>
      <c r="G1845" s="15" t="s">
        <v>2097</v>
      </c>
      <c r="H1845" s="15" t="s">
        <v>8871</v>
      </c>
      <c r="I1845" s="15" t="s">
        <v>2074</v>
      </c>
    </row>
    <row r="1846" spans="1:9" x14ac:dyDescent="0.15">
      <c r="A1846" s="15" t="s">
        <v>8872</v>
      </c>
      <c r="B1846" s="15"/>
      <c r="C1846" s="15" t="s">
        <v>40</v>
      </c>
      <c r="D1846" s="15" t="s">
        <v>41</v>
      </c>
      <c r="E1846" s="15" t="s">
        <v>8873</v>
      </c>
      <c r="F1846" s="15" t="s">
        <v>8875</v>
      </c>
      <c r="G1846" s="15" t="s">
        <v>8874</v>
      </c>
      <c r="H1846" s="15" t="s">
        <v>8876</v>
      </c>
      <c r="I1846" s="15" t="s">
        <v>2074</v>
      </c>
    </row>
    <row r="1847" spans="1:9" x14ac:dyDescent="0.15">
      <c r="A1847" s="15" t="s">
        <v>8877</v>
      </c>
      <c r="B1847" s="15"/>
      <c r="C1847" s="15" t="s">
        <v>40</v>
      </c>
      <c r="D1847" s="15" t="s">
        <v>41</v>
      </c>
      <c r="E1847" s="15" t="s">
        <v>8878</v>
      </c>
      <c r="F1847" s="15" t="s">
        <v>8880</v>
      </c>
      <c r="G1847" s="15" t="s">
        <v>8879</v>
      </c>
      <c r="H1847" s="15" t="s">
        <v>8881</v>
      </c>
      <c r="I1847" s="15" t="s">
        <v>2074</v>
      </c>
    </row>
    <row r="1848" spans="1:9" x14ac:dyDescent="0.15">
      <c r="A1848" s="15" t="s">
        <v>8882</v>
      </c>
      <c r="B1848" s="15"/>
      <c r="C1848" s="15" t="s">
        <v>40</v>
      </c>
      <c r="D1848" s="15" t="s">
        <v>41</v>
      </c>
      <c r="E1848" s="15" t="s">
        <v>8883</v>
      </c>
      <c r="F1848" s="15" t="s">
        <v>52</v>
      </c>
      <c r="G1848" s="15" t="s">
        <v>8884</v>
      </c>
      <c r="H1848" s="15" t="s">
        <v>8885</v>
      </c>
      <c r="I1848" s="15" t="s">
        <v>2074</v>
      </c>
    </row>
    <row r="1849" spans="1:9" x14ac:dyDescent="0.15">
      <c r="A1849" s="15" t="s">
        <v>8886</v>
      </c>
      <c r="B1849" s="15"/>
      <c r="C1849" s="15" t="s">
        <v>40</v>
      </c>
      <c r="D1849" s="15" t="s">
        <v>41</v>
      </c>
      <c r="E1849" s="15" t="s">
        <v>8887</v>
      </c>
      <c r="F1849" s="15" t="s">
        <v>8889</v>
      </c>
      <c r="G1849" s="15" t="s">
        <v>8888</v>
      </c>
      <c r="H1849" s="15" t="s">
        <v>8890</v>
      </c>
      <c r="I1849" s="15" t="s">
        <v>2074</v>
      </c>
    </row>
    <row r="1850" spans="1:9" x14ac:dyDescent="0.15">
      <c r="A1850" s="15" t="s">
        <v>8891</v>
      </c>
      <c r="B1850" s="15"/>
      <c r="C1850" s="15" t="s">
        <v>40</v>
      </c>
      <c r="D1850" s="15" t="s">
        <v>41</v>
      </c>
      <c r="E1850" s="15" t="s">
        <v>8892</v>
      </c>
      <c r="F1850" s="15" t="s">
        <v>8894</v>
      </c>
      <c r="G1850" s="15" t="s">
        <v>8893</v>
      </c>
      <c r="H1850" s="15" t="s">
        <v>8895</v>
      </c>
      <c r="I1850" s="15" t="s">
        <v>2074</v>
      </c>
    </row>
    <row r="1851" spans="1:9" x14ac:dyDescent="0.15">
      <c r="A1851" s="15" t="s">
        <v>8896</v>
      </c>
      <c r="B1851" s="15"/>
      <c r="C1851" s="15" t="s">
        <v>40</v>
      </c>
      <c r="D1851" s="15" t="s">
        <v>41</v>
      </c>
      <c r="E1851" s="15" t="s">
        <v>8897</v>
      </c>
      <c r="F1851" s="15" t="s">
        <v>8899</v>
      </c>
      <c r="G1851" s="15" t="s">
        <v>8898</v>
      </c>
      <c r="H1851" s="15" t="s">
        <v>8900</v>
      </c>
      <c r="I1851" s="15" t="s">
        <v>2074</v>
      </c>
    </row>
    <row r="1852" spans="1:9" x14ac:dyDescent="0.15">
      <c r="A1852" s="15" t="s">
        <v>8901</v>
      </c>
      <c r="B1852" s="15"/>
      <c r="C1852" s="15" t="s">
        <v>40</v>
      </c>
      <c r="D1852" s="15" t="s">
        <v>41</v>
      </c>
      <c r="E1852" s="15" t="s">
        <v>8902</v>
      </c>
      <c r="F1852" s="15" t="s">
        <v>8904</v>
      </c>
      <c r="G1852" s="15" t="s">
        <v>8903</v>
      </c>
      <c r="H1852" s="15" t="s">
        <v>8905</v>
      </c>
      <c r="I1852" s="15" t="s">
        <v>2074</v>
      </c>
    </row>
    <row r="1853" spans="1:9" x14ac:dyDescent="0.15">
      <c r="A1853" s="15" t="s">
        <v>8906</v>
      </c>
      <c r="B1853" s="15"/>
      <c r="C1853" s="15" t="s">
        <v>40</v>
      </c>
      <c r="D1853" s="15" t="s">
        <v>41</v>
      </c>
      <c r="E1853" s="15" t="s">
        <v>8907</v>
      </c>
      <c r="F1853" s="15" t="s">
        <v>8909</v>
      </c>
      <c r="G1853" s="15" t="s">
        <v>8908</v>
      </c>
      <c r="H1853" s="15" t="s">
        <v>8910</v>
      </c>
      <c r="I1853" s="15" t="s">
        <v>2074</v>
      </c>
    </row>
    <row r="1854" spans="1:9" x14ac:dyDescent="0.15">
      <c r="A1854" s="15" t="s">
        <v>8911</v>
      </c>
      <c r="B1854" s="15"/>
      <c r="C1854" s="15" t="s">
        <v>40</v>
      </c>
      <c r="D1854" s="15" t="s">
        <v>41</v>
      </c>
      <c r="E1854" s="15" t="s">
        <v>8912</v>
      </c>
      <c r="F1854" s="15" t="s">
        <v>8913</v>
      </c>
      <c r="G1854" s="15" t="s">
        <v>2112</v>
      </c>
      <c r="H1854" s="15" t="s">
        <v>8914</v>
      </c>
      <c r="I1854" s="15" t="s">
        <v>2074</v>
      </c>
    </row>
    <row r="1855" spans="1:9" x14ac:dyDescent="0.15">
      <c r="A1855" s="15" t="s">
        <v>8915</v>
      </c>
      <c r="B1855" s="15"/>
      <c r="C1855" s="15" t="s">
        <v>40</v>
      </c>
      <c r="D1855" s="15" t="s">
        <v>41</v>
      </c>
      <c r="E1855" s="15" t="s">
        <v>8916</v>
      </c>
      <c r="F1855" s="15" t="s">
        <v>8918</v>
      </c>
      <c r="G1855" s="15" t="s">
        <v>8917</v>
      </c>
      <c r="H1855" s="15" t="s">
        <v>8919</v>
      </c>
      <c r="I1855" s="15" t="s">
        <v>2074</v>
      </c>
    </row>
    <row r="1856" spans="1:9" x14ac:dyDescent="0.15">
      <c r="A1856" s="15" t="s">
        <v>8920</v>
      </c>
      <c r="B1856" s="15"/>
      <c r="C1856" s="15" t="s">
        <v>40</v>
      </c>
      <c r="D1856" s="15" t="s">
        <v>41</v>
      </c>
      <c r="E1856" s="15" t="s">
        <v>8921</v>
      </c>
      <c r="F1856" s="15" t="s">
        <v>8922</v>
      </c>
      <c r="G1856" s="15" t="s">
        <v>8630</v>
      </c>
      <c r="H1856" s="15" t="s">
        <v>8923</v>
      </c>
      <c r="I1856" s="15" t="s">
        <v>2074</v>
      </c>
    </row>
    <row r="1857" spans="1:9" x14ac:dyDescent="0.15">
      <c r="A1857" s="15" t="s">
        <v>8924</v>
      </c>
      <c r="B1857" s="15"/>
      <c r="C1857" s="15" t="s">
        <v>40</v>
      </c>
      <c r="D1857" s="15" t="s">
        <v>41</v>
      </c>
      <c r="E1857" s="15" t="s">
        <v>8925</v>
      </c>
      <c r="F1857" s="15" t="s">
        <v>8927</v>
      </c>
      <c r="G1857" s="15" t="s">
        <v>8926</v>
      </c>
      <c r="H1857" s="15" t="s">
        <v>8928</v>
      </c>
      <c r="I1857" s="15" t="s">
        <v>6614</v>
      </c>
    </row>
    <row r="1858" spans="1:9" x14ac:dyDescent="0.15">
      <c r="A1858" s="15" t="s">
        <v>8929</v>
      </c>
      <c r="B1858" s="15"/>
      <c r="C1858" s="15" t="s">
        <v>40</v>
      </c>
      <c r="D1858" s="15" t="s">
        <v>41</v>
      </c>
      <c r="E1858" s="15" t="s">
        <v>8930</v>
      </c>
      <c r="F1858" s="15" t="s">
        <v>8932</v>
      </c>
      <c r="G1858" s="15" t="s">
        <v>8931</v>
      </c>
      <c r="H1858" s="15" t="s">
        <v>8933</v>
      </c>
      <c r="I1858" s="15" t="s">
        <v>6614</v>
      </c>
    </row>
    <row r="1859" spans="1:9" x14ac:dyDescent="0.15">
      <c r="A1859" s="15" t="s">
        <v>8934</v>
      </c>
      <c r="B1859" s="15"/>
      <c r="C1859" s="15" t="s">
        <v>40</v>
      </c>
      <c r="D1859" s="15" t="s">
        <v>41</v>
      </c>
      <c r="E1859" s="15" t="s">
        <v>8935</v>
      </c>
      <c r="F1859" s="15" t="s">
        <v>8937</v>
      </c>
      <c r="G1859" s="15" t="s">
        <v>8936</v>
      </c>
      <c r="H1859" s="15" t="s">
        <v>8938</v>
      </c>
      <c r="I1859" s="15" t="s">
        <v>6614</v>
      </c>
    </row>
    <row r="1860" spans="1:9" x14ac:dyDescent="0.15">
      <c r="A1860" s="15" t="s">
        <v>8939</v>
      </c>
      <c r="B1860" s="15"/>
      <c r="C1860" s="15" t="s">
        <v>40</v>
      </c>
      <c r="D1860" s="15" t="s">
        <v>41</v>
      </c>
      <c r="E1860" s="15" t="s">
        <v>8940</v>
      </c>
      <c r="F1860" s="15" t="s">
        <v>8941</v>
      </c>
      <c r="G1860" s="15" t="s">
        <v>6647</v>
      </c>
      <c r="H1860" s="15" t="s">
        <v>8942</v>
      </c>
      <c r="I1860" s="15" t="s">
        <v>6614</v>
      </c>
    </row>
    <row r="1861" spans="1:9" x14ac:dyDescent="0.15">
      <c r="A1861" s="15" t="s">
        <v>8943</v>
      </c>
      <c r="B1861" s="15"/>
      <c r="C1861" s="15" t="s">
        <v>40</v>
      </c>
      <c r="D1861" s="15" t="s">
        <v>41</v>
      </c>
      <c r="E1861" s="15" t="s">
        <v>8944</v>
      </c>
      <c r="F1861" s="15" t="s">
        <v>8946</v>
      </c>
      <c r="G1861" s="15" t="s">
        <v>8945</v>
      </c>
      <c r="H1861" s="15" t="s">
        <v>8947</v>
      </c>
      <c r="I1861" s="15" t="s">
        <v>6614</v>
      </c>
    </row>
    <row r="1862" spans="1:9" x14ac:dyDescent="0.15">
      <c r="A1862" s="15" t="s">
        <v>8948</v>
      </c>
      <c r="B1862" s="15"/>
      <c r="C1862" s="15" t="s">
        <v>40</v>
      </c>
      <c r="D1862" s="15" t="s">
        <v>41</v>
      </c>
      <c r="E1862" s="15" t="s">
        <v>8949</v>
      </c>
      <c r="F1862" s="15" t="s">
        <v>8950</v>
      </c>
      <c r="G1862" s="15" t="s">
        <v>6666</v>
      </c>
      <c r="H1862" s="15" t="s">
        <v>8951</v>
      </c>
      <c r="I1862" s="15" t="s">
        <v>6614</v>
      </c>
    </row>
    <row r="1863" spans="1:9" x14ac:dyDescent="0.15">
      <c r="A1863" s="15" t="s">
        <v>8952</v>
      </c>
      <c r="B1863" s="15"/>
      <c r="C1863" s="15" t="s">
        <v>40</v>
      </c>
      <c r="D1863" s="15" t="s">
        <v>41</v>
      </c>
      <c r="E1863" s="15" t="s">
        <v>8953</v>
      </c>
      <c r="F1863" s="15" t="s">
        <v>8954</v>
      </c>
      <c r="G1863" s="15" t="s">
        <v>29</v>
      </c>
      <c r="H1863" s="15" t="s">
        <v>8955</v>
      </c>
      <c r="I1863" s="15" t="s">
        <v>6614</v>
      </c>
    </row>
    <row r="1864" spans="1:9" x14ac:dyDescent="0.15">
      <c r="A1864" s="15" t="s">
        <v>8956</v>
      </c>
      <c r="B1864" s="15"/>
      <c r="C1864" s="15" t="s">
        <v>40</v>
      </c>
      <c r="D1864" s="15" t="s">
        <v>41</v>
      </c>
      <c r="E1864" s="15" t="s">
        <v>8957</v>
      </c>
      <c r="F1864" s="15" t="s">
        <v>8959</v>
      </c>
      <c r="G1864" s="15" t="s">
        <v>8958</v>
      </c>
      <c r="H1864" s="15" t="s">
        <v>8960</v>
      </c>
      <c r="I1864" s="15" t="s">
        <v>6614</v>
      </c>
    </row>
    <row r="1865" spans="1:9" x14ac:dyDescent="0.15">
      <c r="A1865" s="15" t="s">
        <v>8961</v>
      </c>
      <c r="B1865" s="15"/>
      <c r="C1865" s="15" t="s">
        <v>40</v>
      </c>
      <c r="D1865" s="15" t="s">
        <v>41</v>
      </c>
      <c r="E1865" s="15" t="s">
        <v>8962</v>
      </c>
      <c r="F1865" s="15" t="s">
        <v>8964</v>
      </c>
      <c r="G1865" s="15" t="s">
        <v>8963</v>
      </c>
      <c r="H1865" s="15" t="s">
        <v>8965</v>
      </c>
      <c r="I1865" s="15" t="s">
        <v>6614</v>
      </c>
    </row>
    <row r="1866" spans="1:9" x14ac:dyDescent="0.15">
      <c r="A1866" s="15" t="s">
        <v>8966</v>
      </c>
      <c r="B1866" s="15"/>
      <c r="C1866" s="15" t="s">
        <v>40</v>
      </c>
      <c r="D1866" s="15" t="s">
        <v>41</v>
      </c>
      <c r="E1866" s="15" t="s">
        <v>8967</v>
      </c>
      <c r="F1866" s="15" t="s">
        <v>52</v>
      </c>
      <c r="G1866" s="15" t="s">
        <v>8968</v>
      </c>
      <c r="H1866" s="15" t="s">
        <v>8969</v>
      </c>
      <c r="I1866" s="15" t="s">
        <v>6614</v>
      </c>
    </row>
    <row r="1867" spans="1:9" x14ac:dyDescent="0.15">
      <c r="A1867" s="15" t="s">
        <v>8970</v>
      </c>
      <c r="B1867" s="15"/>
      <c r="C1867" s="15" t="s">
        <v>40</v>
      </c>
      <c r="D1867" s="15" t="s">
        <v>41</v>
      </c>
      <c r="E1867" s="15" t="s">
        <v>8971</v>
      </c>
      <c r="F1867" s="15" t="s">
        <v>8973</v>
      </c>
      <c r="G1867" s="15" t="s">
        <v>8972</v>
      </c>
      <c r="H1867" s="15" t="s">
        <v>8974</v>
      </c>
      <c r="I1867" s="15" t="s">
        <v>6614</v>
      </c>
    </row>
    <row r="1868" spans="1:9" x14ac:dyDescent="0.15">
      <c r="A1868" s="15" t="s">
        <v>8975</v>
      </c>
      <c r="B1868" s="15"/>
      <c r="C1868" s="15" t="s">
        <v>40</v>
      </c>
      <c r="D1868" s="15" t="s">
        <v>41</v>
      </c>
      <c r="E1868" s="15" t="s">
        <v>8976</v>
      </c>
      <c r="F1868" s="15" t="s">
        <v>8977</v>
      </c>
      <c r="G1868" s="15" t="s">
        <v>6661</v>
      </c>
      <c r="H1868" s="15" t="s">
        <v>8978</v>
      </c>
      <c r="I1868" s="15" t="s">
        <v>6614</v>
      </c>
    </row>
    <row r="1869" spans="1:9" x14ac:dyDescent="0.15">
      <c r="A1869" s="15" t="s">
        <v>8979</v>
      </c>
      <c r="B1869" s="15"/>
      <c r="C1869" s="15" t="s">
        <v>40</v>
      </c>
      <c r="D1869" s="15" t="s">
        <v>41</v>
      </c>
      <c r="E1869" s="15" t="s">
        <v>8980</v>
      </c>
      <c r="F1869" s="15" t="s">
        <v>8982</v>
      </c>
      <c r="G1869" s="15" t="s">
        <v>8981</v>
      </c>
      <c r="H1869" s="15" t="s">
        <v>8983</v>
      </c>
      <c r="I1869" s="15" t="s">
        <v>6614</v>
      </c>
    </row>
    <row r="1870" spans="1:9" x14ac:dyDescent="0.15">
      <c r="A1870" s="15" t="s">
        <v>8984</v>
      </c>
      <c r="B1870" s="15"/>
      <c r="C1870" s="15" t="s">
        <v>40</v>
      </c>
      <c r="D1870" s="15" t="s">
        <v>41</v>
      </c>
      <c r="E1870" s="15" t="s">
        <v>8985</v>
      </c>
      <c r="F1870" s="15" t="s">
        <v>6703</v>
      </c>
      <c r="G1870" s="15" t="s">
        <v>5317</v>
      </c>
      <c r="H1870" s="15" t="s">
        <v>8986</v>
      </c>
      <c r="I1870" s="15" t="s">
        <v>6614</v>
      </c>
    </row>
    <row r="1871" spans="1:9" x14ac:dyDescent="0.15">
      <c r="A1871" s="15" t="s">
        <v>8987</v>
      </c>
      <c r="B1871" s="15"/>
      <c r="C1871" s="15" t="s">
        <v>40</v>
      </c>
      <c r="D1871" s="15" t="s">
        <v>41</v>
      </c>
      <c r="E1871" s="15" t="s">
        <v>8988</v>
      </c>
      <c r="F1871" s="15" t="s">
        <v>8990</v>
      </c>
      <c r="G1871" s="15" t="s">
        <v>8989</v>
      </c>
      <c r="H1871" s="15" t="s">
        <v>8991</v>
      </c>
      <c r="I1871" s="15" t="s">
        <v>8992</v>
      </c>
    </row>
    <row r="1872" spans="1:9" x14ac:dyDescent="0.15">
      <c r="A1872" s="15" t="s">
        <v>8993</v>
      </c>
      <c r="B1872" s="15"/>
      <c r="C1872" s="15" t="s">
        <v>40</v>
      </c>
      <c r="D1872" s="15" t="s">
        <v>41</v>
      </c>
      <c r="E1872" s="15" t="s">
        <v>8994</v>
      </c>
      <c r="F1872" s="15" t="s">
        <v>8996</v>
      </c>
      <c r="G1872" s="15" t="s">
        <v>8995</v>
      </c>
      <c r="H1872" s="15" t="s">
        <v>8997</v>
      </c>
      <c r="I1872" s="15" t="s">
        <v>8992</v>
      </c>
    </row>
    <row r="1873" spans="1:9" x14ac:dyDescent="0.15">
      <c r="A1873" s="15" t="s">
        <v>8998</v>
      </c>
      <c r="B1873" s="15"/>
      <c r="C1873" s="15" t="s">
        <v>40</v>
      </c>
      <c r="D1873" s="15" t="s">
        <v>41</v>
      </c>
      <c r="E1873" s="15" t="s">
        <v>8999</v>
      </c>
      <c r="F1873" s="15" t="s">
        <v>9001</v>
      </c>
      <c r="G1873" s="15" t="s">
        <v>9000</v>
      </c>
      <c r="H1873" s="15" t="s">
        <v>9002</v>
      </c>
      <c r="I1873" s="15" t="s">
        <v>8992</v>
      </c>
    </row>
    <row r="1874" spans="1:9" x14ac:dyDescent="0.15">
      <c r="A1874" s="15" t="s">
        <v>9003</v>
      </c>
      <c r="B1874" s="15"/>
      <c r="C1874" s="15" t="s">
        <v>40</v>
      </c>
      <c r="D1874" s="15" t="s">
        <v>41</v>
      </c>
      <c r="E1874" s="15" t="s">
        <v>9004</v>
      </c>
      <c r="F1874" s="15" t="s">
        <v>9006</v>
      </c>
      <c r="G1874" s="15" t="s">
        <v>9005</v>
      </c>
      <c r="H1874" s="15" t="s">
        <v>9007</v>
      </c>
      <c r="I1874" s="15" t="s">
        <v>9008</v>
      </c>
    </row>
    <row r="1875" spans="1:9" x14ac:dyDescent="0.15">
      <c r="A1875" s="15" t="s">
        <v>9009</v>
      </c>
      <c r="B1875" s="15"/>
      <c r="C1875" s="15" t="s">
        <v>40</v>
      </c>
      <c r="D1875" s="15" t="s">
        <v>41</v>
      </c>
      <c r="E1875" s="15" t="s">
        <v>9010</v>
      </c>
      <c r="F1875" s="15" t="s">
        <v>9012</v>
      </c>
      <c r="G1875" s="15" t="s">
        <v>9011</v>
      </c>
      <c r="H1875" s="15" t="s">
        <v>9013</v>
      </c>
      <c r="I1875" s="15" t="s">
        <v>9008</v>
      </c>
    </row>
    <row r="1876" spans="1:9" x14ac:dyDescent="0.15">
      <c r="A1876" s="15" t="s">
        <v>9014</v>
      </c>
      <c r="B1876" s="15"/>
      <c r="C1876" s="15" t="s">
        <v>40</v>
      </c>
      <c r="D1876" s="15" t="s">
        <v>41</v>
      </c>
      <c r="E1876" s="15" t="s">
        <v>9015</v>
      </c>
      <c r="F1876" s="15" t="s">
        <v>9017</v>
      </c>
      <c r="G1876" s="15" t="s">
        <v>9016</v>
      </c>
      <c r="H1876" s="15" t="s">
        <v>9018</v>
      </c>
      <c r="I1876" s="15" t="s">
        <v>9008</v>
      </c>
    </row>
    <row r="1877" spans="1:9" x14ac:dyDescent="0.15">
      <c r="A1877" s="15" t="s">
        <v>9019</v>
      </c>
      <c r="B1877" s="15"/>
      <c r="C1877" s="15" t="s">
        <v>40</v>
      </c>
      <c r="D1877" s="15" t="s">
        <v>41</v>
      </c>
      <c r="E1877" s="15" t="s">
        <v>9020</v>
      </c>
      <c r="F1877" s="15" t="s">
        <v>52</v>
      </c>
      <c r="G1877" s="15" t="s">
        <v>9021</v>
      </c>
      <c r="H1877" s="15" t="s">
        <v>9022</v>
      </c>
      <c r="I1877" s="15" t="s">
        <v>9008</v>
      </c>
    </row>
    <row r="1878" spans="1:9" x14ac:dyDescent="0.15">
      <c r="A1878" s="15" t="s">
        <v>9023</v>
      </c>
      <c r="B1878" s="15"/>
      <c r="C1878" s="15" t="s">
        <v>40</v>
      </c>
      <c r="D1878" s="15" t="s">
        <v>41</v>
      </c>
      <c r="E1878" s="15" t="s">
        <v>9024</v>
      </c>
      <c r="F1878" s="15" t="s">
        <v>9026</v>
      </c>
      <c r="G1878" s="15" t="s">
        <v>9025</v>
      </c>
      <c r="H1878" s="15" t="s">
        <v>9027</v>
      </c>
      <c r="I1878" s="15" t="s">
        <v>9008</v>
      </c>
    </row>
    <row r="1879" spans="1:9" x14ac:dyDescent="0.15">
      <c r="A1879" s="15" t="s">
        <v>9028</v>
      </c>
      <c r="B1879" s="15"/>
      <c r="C1879" s="15" t="s">
        <v>40</v>
      </c>
      <c r="D1879" s="15" t="s">
        <v>41</v>
      </c>
      <c r="E1879" s="15" t="s">
        <v>9029</v>
      </c>
      <c r="F1879" s="15" t="s">
        <v>9031</v>
      </c>
      <c r="G1879" s="15" t="s">
        <v>9030</v>
      </c>
      <c r="H1879" s="15" t="s">
        <v>9032</v>
      </c>
      <c r="I1879" s="15" t="s">
        <v>9008</v>
      </c>
    </row>
    <row r="1880" spans="1:9" x14ac:dyDescent="0.15">
      <c r="A1880" s="15" t="s">
        <v>9033</v>
      </c>
      <c r="B1880" s="15"/>
      <c r="C1880" s="15" t="s">
        <v>40</v>
      </c>
      <c r="D1880" s="15" t="s">
        <v>41</v>
      </c>
      <c r="E1880" s="15" t="s">
        <v>9034</v>
      </c>
      <c r="F1880" s="15" t="s">
        <v>9036</v>
      </c>
      <c r="G1880" s="15" t="s">
        <v>9035</v>
      </c>
      <c r="H1880" s="15" t="s">
        <v>9037</v>
      </c>
      <c r="I1880" s="15" t="s">
        <v>9008</v>
      </c>
    </row>
    <row r="1881" spans="1:9" x14ac:dyDescent="0.15">
      <c r="A1881" s="15" t="s">
        <v>9038</v>
      </c>
      <c r="B1881" s="15"/>
      <c r="C1881" s="15" t="s">
        <v>40</v>
      </c>
      <c r="D1881" s="15" t="s">
        <v>41</v>
      </c>
      <c r="E1881" s="15" t="s">
        <v>9039</v>
      </c>
      <c r="F1881" s="15" t="s">
        <v>9040</v>
      </c>
      <c r="G1881" s="15" t="s">
        <v>9021</v>
      </c>
      <c r="H1881" s="15" t="s">
        <v>9041</v>
      </c>
      <c r="I1881" s="15" t="s">
        <v>9008</v>
      </c>
    </row>
    <row r="1882" spans="1:9" x14ac:dyDescent="0.15">
      <c r="A1882" s="15" t="s">
        <v>9042</v>
      </c>
      <c r="B1882" s="15"/>
      <c r="C1882" s="15" t="s">
        <v>40</v>
      </c>
      <c r="D1882" s="15" t="s">
        <v>41</v>
      </c>
      <c r="E1882" s="15" t="s">
        <v>9043</v>
      </c>
      <c r="F1882" s="15" t="s">
        <v>9044</v>
      </c>
      <c r="G1882" s="15" t="s">
        <v>9021</v>
      </c>
      <c r="H1882" s="15" t="s">
        <v>9045</v>
      </c>
      <c r="I1882" s="15" t="s">
        <v>9008</v>
      </c>
    </row>
    <row r="1883" spans="1:9" x14ac:dyDescent="0.15">
      <c r="A1883" s="15" t="s">
        <v>9046</v>
      </c>
      <c r="B1883" s="15"/>
      <c r="C1883" s="15" t="s">
        <v>40</v>
      </c>
      <c r="D1883" s="15" t="s">
        <v>41</v>
      </c>
      <c r="E1883" s="15" t="s">
        <v>9047</v>
      </c>
      <c r="F1883" s="15" t="s">
        <v>9049</v>
      </c>
      <c r="G1883" s="15" t="s">
        <v>9048</v>
      </c>
      <c r="H1883" s="15" t="s">
        <v>9050</v>
      </c>
      <c r="I1883" s="15" t="s">
        <v>9008</v>
      </c>
    </row>
    <row r="1884" spans="1:9" x14ac:dyDescent="0.15">
      <c r="A1884" s="15" t="s">
        <v>9051</v>
      </c>
      <c r="B1884" s="15"/>
      <c r="C1884" s="15" t="s">
        <v>40</v>
      </c>
      <c r="D1884" s="15" t="s">
        <v>41</v>
      </c>
      <c r="E1884" s="15" t="s">
        <v>9052</v>
      </c>
      <c r="F1884" s="15" t="s">
        <v>9054</v>
      </c>
      <c r="G1884" s="15" t="s">
        <v>9053</v>
      </c>
      <c r="H1884" s="15" t="s">
        <v>9055</v>
      </c>
      <c r="I1884" s="15" t="s">
        <v>9008</v>
      </c>
    </row>
    <row r="1885" spans="1:9" x14ac:dyDescent="0.15">
      <c r="A1885" s="15" t="s">
        <v>9056</v>
      </c>
      <c r="B1885" s="15"/>
      <c r="C1885" s="15" t="s">
        <v>40</v>
      </c>
      <c r="D1885" s="15" t="s">
        <v>41</v>
      </c>
      <c r="E1885" s="15" t="s">
        <v>9057</v>
      </c>
      <c r="F1885" s="15" t="s">
        <v>9059</v>
      </c>
      <c r="G1885" s="15" t="s">
        <v>9058</v>
      </c>
      <c r="H1885" s="15" t="s">
        <v>9060</v>
      </c>
      <c r="I1885" s="15" t="s">
        <v>9008</v>
      </c>
    </row>
    <row r="1886" spans="1:9" x14ac:dyDescent="0.15">
      <c r="A1886" s="15" t="s">
        <v>9061</v>
      </c>
      <c r="B1886" s="15"/>
      <c r="C1886" s="15" t="s">
        <v>40</v>
      </c>
      <c r="D1886" s="15" t="s">
        <v>41</v>
      </c>
      <c r="E1886" s="15" t="s">
        <v>9062</v>
      </c>
      <c r="F1886" s="15" t="s">
        <v>9063</v>
      </c>
      <c r="G1886" s="15" t="s">
        <v>9016</v>
      </c>
      <c r="H1886" s="15" t="s">
        <v>9064</v>
      </c>
      <c r="I1886" s="15" t="s">
        <v>9008</v>
      </c>
    </row>
    <row r="1887" spans="1:9" x14ac:dyDescent="0.15">
      <c r="A1887" s="15" t="s">
        <v>9065</v>
      </c>
      <c r="B1887" s="15"/>
      <c r="C1887" s="15" t="s">
        <v>40</v>
      </c>
      <c r="D1887" s="15" t="s">
        <v>41</v>
      </c>
      <c r="E1887" s="15" t="s">
        <v>9066</v>
      </c>
      <c r="F1887" s="15" t="s">
        <v>9068</v>
      </c>
      <c r="G1887" s="15" t="s">
        <v>9067</v>
      </c>
      <c r="H1887" s="15" t="s">
        <v>9069</v>
      </c>
      <c r="I1887" s="15" t="s">
        <v>9008</v>
      </c>
    </row>
    <row r="1888" spans="1:9" x14ac:dyDescent="0.15">
      <c r="A1888" s="15" t="s">
        <v>9070</v>
      </c>
      <c r="B1888" s="15"/>
      <c r="C1888" s="15" t="s">
        <v>40</v>
      </c>
      <c r="D1888" s="15" t="s">
        <v>41</v>
      </c>
      <c r="E1888" s="15" t="s">
        <v>9071</v>
      </c>
      <c r="F1888" s="15" t="s">
        <v>9072</v>
      </c>
      <c r="G1888" s="15" t="s">
        <v>9035</v>
      </c>
      <c r="H1888" s="15" t="s">
        <v>9073</v>
      </c>
      <c r="I1888" s="15" t="s">
        <v>9008</v>
      </c>
    </row>
    <row r="1889" spans="1:9" x14ac:dyDescent="0.15">
      <c r="A1889" s="15" t="s">
        <v>9074</v>
      </c>
      <c r="B1889" s="15"/>
      <c r="C1889" s="15" t="s">
        <v>40</v>
      </c>
      <c r="D1889" s="15" t="s">
        <v>41</v>
      </c>
      <c r="E1889" s="15" t="s">
        <v>9075</v>
      </c>
      <c r="F1889" s="15" t="s">
        <v>9077</v>
      </c>
      <c r="G1889" s="15" t="s">
        <v>9076</v>
      </c>
      <c r="H1889" s="15" t="s">
        <v>9078</v>
      </c>
      <c r="I1889" s="15" t="s">
        <v>9008</v>
      </c>
    </row>
    <row r="1890" spans="1:9" x14ac:dyDescent="0.15">
      <c r="A1890" s="15" t="s">
        <v>9079</v>
      </c>
      <c r="B1890" s="15"/>
      <c r="C1890" s="15" t="s">
        <v>40</v>
      </c>
      <c r="D1890" s="15" t="s">
        <v>41</v>
      </c>
      <c r="E1890" s="15" t="s">
        <v>9080</v>
      </c>
      <c r="F1890" s="15" t="s">
        <v>9082</v>
      </c>
      <c r="G1890" s="15" t="s">
        <v>9081</v>
      </c>
      <c r="H1890" s="15" t="s">
        <v>9083</v>
      </c>
      <c r="I1890" s="15" t="s">
        <v>9008</v>
      </c>
    </row>
    <row r="1891" spans="1:9" x14ac:dyDescent="0.15">
      <c r="A1891" s="15" t="s">
        <v>9084</v>
      </c>
      <c r="B1891" s="15"/>
      <c r="C1891" s="15" t="s">
        <v>40</v>
      </c>
      <c r="D1891" s="15" t="s">
        <v>41</v>
      </c>
      <c r="E1891" s="15" t="s">
        <v>9085</v>
      </c>
      <c r="F1891" s="15" t="s">
        <v>9087</v>
      </c>
      <c r="G1891" s="15" t="s">
        <v>9086</v>
      </c>
      <c r="H1891" s="15" t="s">
        <v>9088</v>
      </c>
      <c r="I1891" s="15" t="s">
        <v>9008</v>
      </c>
    </row>
    <row r="1892" spans="1:9" x14ac:dyDescent="0.15">
      <c r="A1892" s="15" t="s">
        <v>9089</v>
      </c>
      <c r="B1892" s="15"/>
      <c r="C1892" s="15" t="s">
        <v>40</v>
      </c>
      <c r="D1892" s="15" t="s">
        <v>41</v>
      </c>
      <c r="E1892" s="15" t="s">
        <v>9090</v>
      </c>
      <c r="F1892" s="15" t="s">
        <v>9092</v>
      </c>
      <c r="G1892" s="15" t="s">
        <v>9091</v>
      </c>
      <c r="H1892" s="15" t="s">
        <v>9093</v>
      </c>
      <c r="I1892" s="15" t="s">
        <v>9008</v>
      </c>
    </row>
    <row r="1893" spans="1:9" x14ac:dyDescent="0.15">
      <c r="A1893" s="15" t="s">
        <v>9094</v>
      </c>
      <c r="B1893" s="15"/>
      <c r="C1893" s="15" t="s">
        <v>40</v>
      </c>
      <c r="D1893" s="15" t="s">
        <v>41</v>
      </c>
      <c r="E1893" s="15" t="s">
        <v>9095</v>
      </c>
      <c r="F1893" s="15" t="s">
        <v>9096</v>
      </c>
      <c r="G1893" s="15" t="s">
        <v>2790</v>
      </c>
      <c r="H1893" s="15" t="s">
        <v>9097</v>
      </c>
      <c r="I1893" s="15" t="s">
        <v>9008</v>
      </c>
    </row>
    <row r="1894" spans="1:9" x14ac:dyDescent="0.15">
      <c r="A1894" s="15" t="s">
        <v>9098</v>
      </c>
      <c r="B1894" s="15"/>
      <c r="C1894" s="15" t="s">
        <v>40</v>
      </c>
      <c r="D1894" s="15" t="s">
        <v>41</v>
      </c>
      <c r="E1894" s="15" t="s">
        <v>9099</v>
      </c>
      <c r="F1894" s="15" t="s">
        <v>9100</v>
      </c>
      <c r="G1894" s="15" t="s">
        <v>9021</v>
      </c>
      <c r="H1894" s="15" t="s">
        <v>9101</v>
      </c>
      <c r="I1894" s="15" t="s">
        <v>9008</v>
      </c>
    </row>
    <row r="1895" spans="1:9" x14ac:dyDescent="0.15">
      <c r="A1895" s="15" t="s">
        <v>9102</v>
      </c>
      <c r="B1895" s="15"/>
      <c r="C1895" s="15" t="s">
        <v>40</v>
      </c>
      <c r="D1895" s="15" t="s">
        <v>41</v>
      </c>
      <c r="E1895" s="15" t="s">
        <v>9103</v>
      </c>
      <c r="F1895" s="15" t="s">
        <v>9105</v>
      </c>
      <c r="G1895" s="15" t="s">
        <v>9104</v>
      </c>
      <c r="H1895" s="15" t="s">
        <v>9106</v>
      </c>
      <c r="I1895" s="15" t="s">
        <v>9008</v>
      </c>
    </row>
    <row r="1896" spans="1:9" x14ac:dyDescent="0.15">
      <c r="A1896" s="15" t="s">
        <v>9107</v>
      </c>
      <c r="B1896" s="15"/>
      <c r="C1896" s="15" t="s">
        <v>40</v>
      </c>
      <c r="D1896" s="15" t="s">
        <v>41</v>
      </c>
      <c r="E1896" s="15" t="s">
        <v>9108</v>
      </c>
      <c r="F1896" s="15" t="s">
        <v>9110</v>
      </c>
      <c r="G1896" s="15" t="s">
        <v>9109</v>
      </c>
      <c r="H1896" s="15" t="s">
        <v>9111</v>
      </c>
      <c r="I1896" s="15" t="s">
        <v>9008</v>
      </c>
    </row>
    <row r="1897" spans="1:9" x14ac:dyDescent="0.15">
      <c r="A1897" s="15" t="s">
        <v>9112</v>
      </c>
      <c r="B1897" s="15"/>
      <c r="C1897" s="15" t="s">
        <v>40</v>
      </c>
      <c r="D1897" s="15" t="s">
        <v>41</v>
      </c>
      <c r="E1897" s="15" t="s">
        <v>9113</v>
      </c>
      <c r="F1897" s="15" t="s">
        <v>9115</v>
      </c>
      <c r="G1897" s="15" t="s">
        <v>9114</v>
      </c>
      <c r="H1897" s="15" t="s">
        <v>9116</v>
      </c>
      <c r="I1897" s="15" t="s">
        <v>9008</v>
      </c>
    </row>
    <row r="1898" spans="1:9" x14ac:dyDescent="0.15">
      <c r="A1898" s="15" t="s">
        <v>9117</v>
      </c>
      <c r="B1898" s="15"/>
      <c r="C1898" s="15" t="s">
        <v>40</v>
      </c>
      <c r="D1898" s="15" t="s">
        <v>41</v>
      </c>
      <c r="E1898" s="15" t="s">
        <v>9118</v>
      </c>
      <c r="F1898" s="15" t="s">
        <v>9120</v>
      </c>
      <c r="G1898" s="15" t="s">
        <v>9119</v>
      </c>
      <c r="H1898" s="15" t="s">
        <v>9121</v>
      </c>
      <c r="I1898" s="15" t="s">
        <v>9008</v>
      </c>
    </row>
    <row r="1899" spans="1:9" x14ac:dyDescent="0.15">
      <c r="A1899" s="15" t="s">
        <v>9122</v>
      </c>
      <c r="B1899" s="15"/>
      <c r="C1899" s="15" t="s">
        <v>40</v>
      </c>
      <c r="D1899" s="15" t="s">
        <v>41</v>
      </c>
      <c r="E1899" s="15" t="s">
        <v>9123</v>
      </c>
      <c r="F1899" s="15" t="s">
        <v>9124</v>
      </c>
      <c r="G1899" s="15" t="s">
        <v>23</v>
      </c>
      <c r="H1899" s="15" t="s">
        <v>9125</v>
      </c>
      <c r="I1899" s="15" t="s">
        <v>9008</v>
      </c>
    </row>
    <row r="1900" spans="1:9" x14ac:dyDescent="0.15">
      <c r="A1900" s="15" t="s">
        <v>9126</v>
      </c>
      <c r="B1900" s="15"/>
      <c r="C1900" s="15" t="s">
        <v>40</v>
      </c>
      <c r="D1900" s="15" t="s">
        <v>41</v>
      </c>
      <c r="E1900" s="15" t="s">
        <v>9127</v>
      </c>
      <c r="F1900" s="15" t="s">
        <v>9129</v>
      </c>
      <c r="G1900" s="15" t="s">
        <v>9128</v>
      </c>
      <c r="H1900" s="15" t="s">
        <v>9130</v>
      </c>
      <c r="I1900" s="15" t="s">
        <v>9008</v>
      </c>
    </row>
    <row r="1901" spans="1:9" x14ac:dyDescent="0.15">
      <c r="A1901" s="15" t="s">
        <v>9131</v>
      </c>
      <c r="B1901" s="15"/>
      <c r="C1901" s="15" t="s">
        <v>40</v>
      </c>
      <c r="D1901" s="15" t="s">
        <v>41</v>
      </c>
      <c r="E1901" s="15" t="s">
        <v>9132</v>
      </c>
      <c r="F1901" s="15" t="s">
        <v>9134</v>
      </c>
      <c r="G1901" s="15" t="s">
        <v>9133</v>
      </c>
      <c r="H1901" s="15" t="s">
        <v>9135</v>
      </c>
      <c r="I1901" s="15" t="s">
        <v>9008</v>
      </c>
    </row>
    <row r="1902" spans="1:9" x14ac:dyDescent="0.15">
      <c r="A1902" s="15" t="s">
        <v>9136</v>
      </c>
      <c r="B1902" s="15"/>
      <c r="C1902" s="15" t="s">
        <v>40</v>
      </c>
      <c r="D1902" s="15" t="s">
        <v>41</v>
      </c>
      <c r="E1902" s="15" t="s">
        <v>9137</v>
      </c>
      <c r="F1902" s="15" t="s">
        <v>9139</v>
      </c>
      <c r="G1902" s="15" t="s">
        <v>9138</v>
      </c>
      <c r="H1902" s="15" t="s">
        <v>9140</v>
      </c>
      <c r="I1902" s="15" t="s">
        <v>9008</v>
      </c>
    </row>
    <row r="1903" spans="1:9" x14ac:dyDescent="0.15">
      <c r="A1903" s="15" t="s">
        <v>9141</v>
      </c>
      <c r="B1903" s="15"/>
      <c r="C1903" s="15" t="s">
        <v>40</v>
      </c>
      <c r="D1903" s="15" t="s">
        <v>41</v>
      </c>
      <c r="E1903" s="15" t="s">
        <v>9142</v>
      </c>
      <c r="F1903" s="15" t="s">
        <v>9144</v>
      </c>
      <c r="G1903" s="15" t="s">
        <v>9143</v>
      </c>
      <c r="H1903" s="15" t="s">
        <v>9145</v>
      </c>
      <c r="I1903" s="15" t="s">
        <v>9008</v>
      </c>
    </row>
    <row r="1904" spans="1:9" x14ac:dyDescent="0.15">
      <c r="A1904" s="15" t="s">
        <v>9146</v>
      </c>
      <c r="B1904" s="15"/>
      <c r="C1904" s="15" t="s">
        <v>40</v>
      </c>
      <c r="D1904" s="15" t="s">
        <v>41</v>
      </c>
      <c r="E1904" s="15" t="s">
        <v>9147</v>
      </c>
      <c r="F1904" s="15" t="s">
        <v>9149</v>
      </c>
      <c r="G1904" s="15" t="s">
        <v>9148</v>
      </c>
      <c r="H1904" s="15" t="s">
        <v>9150</v>
      </c>
      <c r="I1904" s="15" t="s">
        <v>9008</v>
      </c>
    </row>
    <row r="1905" spans="1:9" x14ac:dyDescent="0.15">
      <c r="A1905" s="15" t="s">
        <v>9151</v>
      </c>
      <c r="B1905" s="15"/>
      <c r="C1905" s="15" t="s">
        <v>40</v>
      </c>
      <c r="D1905" s="15" t="s">
        <v>41</v>
      </c>
      <c r="E1905" s="15" t="s">
        <v>9152</v>
      </c>
      <c r="F1905" s="15" t="s">
        <v>9154</v>
      </c>
      <c r="G1905" s="15" t="s">
        <v>9153</v>
      </c>
      <c r="H1905" s="15" t="s">
        <v>9155</v>
      </c>
      <c r="I1905" s="15" t="s">
        <v>9008</v>
      </c>
    </row>
    <row r="1906" spans="1:9" x14ac:dyDescent="0.15">
      <c r="A1906" s="15" t="s">
        <v>9156</v>
      </c>
      <c r="B1906" s="15"/>
      <c r="C1906" s="15" t="s">
        <v>40</v>
      </c>
      <c r="D1906" s="15" t="s">
        <v>41</v>
      </c>
      <c r="E1906" s="15" t="s">
        <v>9157</v>
      </c>
      <c r="F1906" s="15" t="s">
        <v>9159</v>
      </c>
      <c r="G1906" s="15" t="s">
        <v>9158</v>
      </c>
      <c r="H1906" s="15" t="s">
        <v>9160</v>
      </c>
      <c r="I1906" s="15" t="s">
        <v>9008</v>
      </c>
    </row>
    <row r="1907" spans="1:9" x14ac:dyDescent="0.15">
      <c r="A1907" s="15" t="s">
        <v>9161</v>
      </c>
      <c r="B1907" s="15"/>
      <c r="C1907" s="15" t="s">
        <v>40</v>
      </c>
      <c r="D1907" s="15" t="s">
        <v>41</v>
      </c>
      <c r="E1907" s="15" t="s">
        <v>9162</v>
      </c>
      <c r="F1907" s="15" t="s">
        <v>9164</v>
      </c>
      <c r="G1907" s="15" t="s">
        <v>9163</v>
      </c>
      <c r="H1907" s="15" t="s">
        <v>9165</v>
      </c>
      <c r="I1907" s="15" t="s">
        <v>9008</v>
      </c>
    </row>
    <row r="1908" spans="1:9" x14ac:dyDescent="0.15">
      <c r="A1908" s="15" t="s">
        <v>9166</v>
      </c>
      <c r="B1908" s="15"/>
      <c r="C1908" s="15" t="s">
        <v>40</v>
      </c>
      <c r="D1908" s="15" t="s">
        <v>41</v>
      </c>
      <c r="E1908" s="15" t="s">
        <v>9167</v>
      </c>
      <c r="F1908" s="15" t="s">
        <v>9169</v>
      </c>
      <c r="G1908" s="15" t="s">
        <v>9168</v>
      </c>
      <c r="H1908" s="15" t="s">
        <v>9170</v>
      </c>
      <c r="I1908" s="15" t="s">
        <v>9008</v>
      </c>
    </row>
    <row r="1909" spans="1:9" x14ac:dyDescent="0.15">
      <c r="A1909" s="15" t="s">
        <v>9171</v>
      </c>
      <c r="B1909" s="15"/>
      <c r="C1909" s="15" t="s">
        <v>40</v>
      </c>
      <c r="D1909" s="15" t="s">
        <v>41</v>
      </c>
      <c r="E1909" s="15" t="s">
        <v>9172</v>
      </c>
      <c r="F1909" s="15" t="s">
        <v>52</v>
      </c>
      <c r="G1909" s="15" t="s">
        <v>9173</v>
      </c>
      <c r="H1909" s="15" t="s">
        <v>9174</v>
      </c>
      <c r="I1909" s="15" t="s">
        <v>9008</v>
      </c>
    </row>
    <row r="1910" spans="1:9" x14ac:dyDescent="0.15">
      <c r="A1910" s="15" t="s">
        <v>9175</v>
      </c>
      <c r="B1910" s="15"/>
      <c r="C1910" s="15" t="s">
        <v>40</v>
      </c>
      <c r="D1910" s="15" t="s">
        <v>41</v>
      </c>
      <c r="E1910" s="15" t="s">
        <v>9176</v>
      </c>
      <c r="F1910" s="15" t="s">
        <v>9178</v>
      </c>
      <c r="G1910" s="15" t="s">
        <v>9177</v>
      </c>
      <c r="H1910" s="15" t="s">
        <v>9179</v>
      </c>
      <c r="I1910" s="15" t="s">
        <v>9008</v>
      </c>
    </row>
    <row r="1911" spans="1:9" x14ac:dyDescent="0.15">
      <c r="A1911" s="15" t="s">
        <v>9180</v>
      </c>
      <c r="B1911" s="15"/>
      <c r="C1911" s="15" t="s">
        <v>40</v>
      </c>
      <c r="D1911" s="15" t="s">
        <v>41</v>
      </c>
      <c r="E1911" s="15" t="s">
        <v>9181</v>
      </c>
      <c r="F1911" s="15" t="s">
        <v>9182</v>
      </c>
      <c r="G1911" s="15" t="s">
        <v>9133</v>
      </c>
      <c r="H1911" s="15" t="s">
        <v>9183</v>
      </c>
      <c r="I1911" s="15" t="s">
        <v>9008</v>
      </c>
    </row>
    <row r="1912" spans="1:9" x14ac:dyDescent="0.15">
      <c r="A1912" s="15" t="s">
        <v>9184</v>
      </c>
      <c r="B1912" s="15"/>
      <c r="C1912" s="15" t="s">
        <v>40</v>
      </c>
      <c r="D1912" s="15" t="s">
        <v>41</v>
      </c>
      <c r="E1912" s="15" t="s">
        <v>9185</v>
      </c>
      <c r="F1912" s="15" t="s">
        <v>9187</v>
      </c>
      <c r="G1912" s="15" t="s">
        <v>9186</v>
      </c>
      <c r="H1912" s="15" t="s">
        <v>9188</v>
      </c>
      <c r="I1912" s="15" t="s">
        <v>9008</v>
      </c>
    </row>
    <row r="1913" spans="1:9" x14ac:dyDescent="0.15">
      <c r="A1913" s="15" t="s">
        <v>9189</v>
      </c>
      <c r="B1913" s="15"/>
      <c r="C1913" s="15" t="s">
        <v>40</v>
      </c>
      <c r="D1913" s="15" t="s">
        <v>41</v>
      </c>
      <c r="E1913" s="15" t="s">
        <v>9190</v>
      </c>
      <c r="F1913" s="15" t="s">
        <v>9191</v>
      </c>
      <c r="G1913" s="15" t="s">
        <v>9053</v>
      </c>
      <c r="H1913" s="15" t="s">
        <v>9192</v>
      </c>
      <c r="I1913" s="15" t="s">
        <v>9008</v>
      </c>
    </row>
    <row r="1914" spans="1:9" x14ac:dyDescent="0.15">
      <c r="A1914" s="15" t="s">
        <v>9193</v>
      </c>
      <c r="B1914" s="15"/>
      <c r="C1914" s="15" t="s">
        <v>40</v>
      </c>
      <c r="D1914" s="15" t="s">
        <v>41</v>
      </c>
      <c r="E1914" s="15" t="s">
        <v>9194</v>
      </c>
      <c r="F1914" s="15" t="s">
        <v>9195</v>
      </c>
      <c r="G1914" s="15" t="s">
        <v>9053</v>
      </c>
      <c r="H1914" s="15" t="s">
        <v>9196</v>
      </c>
      <c r="I1914" s="15" t="s">
        <v>9008</v>
      </c>
    </row>
    <row r="1915" spans="1:9" x14ac:dyDescent="0.15">
      <c r="A1915" s="15" t="s">
        <v>9197</v>
      </c>
      <c r="B1915" s="15"/>
      <c r="C1915" s="15" t="s">
        <v>40</v>
      </c>
      <c r="D1915" s="15" t="s">
        <v>41</v>
      </c>
      <c r="E1915" s="15" t="s">
        <v>9198</v>
      </c>
      <c r="F1915" s="15" t="s">
        <v>9199</v>
      </c>
      <c r="G1915" s="15" t="s">
        <v>9053</v>
      </c>
      <c r="H1915" s="15" t="s">
        <v>9200</v>
      </c>
      <c r="I1915" s="15" t="s">
        <v>9008</v>
      </c>
    </row>
    <row r="1916" spans="1:9" x14ac:dyDescent="0.15">
      <c r="A1916" s="15" t="s">
        <v>9201</v>
      </c>
      <c r="B1916" s="15"/>
      <c r="C1916" s="15" t="s">
        <v>40</v>
      </c>
      <c r="D1916" s="15" t="s">
        <v>41</v>
      </c>
      <c r="E1916" s="15" t="s">
        <v>9202</v>
      </c>
      <c r="F1916" s="15" t="s">
        <v>9204</v>
      </c>
      <c r="G1916" s="15" t="s">
        <v>9203</v>
      </c>
      <c r="H1916" s="15" t="s">
        <v>9205</v>
      </c>
      <c r="I1916" s="15" t="s">
        <v>9008</v>
      </c>
    </row>
    <row r="1917" spans="1:9" x14ac:dyDescent="0.15">
      <c r="A1917" s="15" t="s">
        <v>9206</v>
      </c>
      <c r="B1917" s="15"/>
      <c r="C1917" s="15" t="s">
        <v>40</v>
      </c>
      <c r="D1917" s="15" t="s">
        <v>41</v>
      </c>
      <c r="E1917" s="15" t="s">
        <v>9207</v>
      </c>
      <c r="F1917" s="15" t="s">
        <v>9209</v>
      </c>
      <c r="G1917" s="15" t="s">
        <v>9208</v>
      </c>
      <c r="H1917" s="15" t="s">
        <v>9210</v>
      </c>
      <c r="I1917" s="15" t="s">
        <v>9008</v>
      </c>
    </row>
    <row r="1918" spans="1:9" x14ac:dyDescent="0.15">
      <c r="A1918" s="15" t="s">
        <v>9211</v>
      </c>
      <c r="B1918" s="15"/>
      <c r="C1918" s="15" t="s">
        <v>40</v>
      </c>
      <c r="D1918" s="15" t="s">
        <v>41</v>
      </c>
      <c r="E1918" s="15" t="s">
        <v>9212</v>
      </c>
      <c r="F1918" s="15" t="s">
        <v>9214</v>
      </c>
      <c r="G1918" s="15" t="s">
        <v>9213</v>
      </c>
      <c r="H1918" s="15" t="s">
        <v>9215</v>
      </c>
      <c r="I1918" s="15" t="s">
        <v>9008</v>
      </c>
    </row>
    <row r="1919" spans="1:9" x14ac:dyDescent="0.15">
      <c r="A1919" s="15" t="s">
        <v>9216</v>
      </c>
      <c r="B1919" s="15"/>
      <c r="C1919" s="15" t="s">
        <v>40</v>
      </c>
      <c r="D1919" s="15" t="s">
        <v>41</v>
      </c>
      <c r="E1919" s="15" t="s">
        <v>9217</v>
      </c>
      <c r="F1919" s="15" t="s">
        <v>52</v>
      </c>
      <c r="G1919" s="15" t="s">
        <v>9058</v>
      </c>
      <c r="H1919" s="15" t="s">
        <v>9218</v>
      </c>
      <c r="I1919" s="15" t="s">
        <v>9008</v>
      </c>
    </row>
    <row r="1920" spans="1:9" x14ac:dyDescent="0.15">
      <c r="A1920" s="15" t="s">
        <v>9219</v>
      </c>
      <c r="B1920" s="15"/>
      <c r="C1920" s="15" t="s">
        <v>40</v>
      </c>
      <c r="D1920" s="15" t="s">
        <v>41</v>
      </c>
      <c r="E1920" s="15" t="s">
        <v>9220</v>
      </c>
      <c r="F1920" s="15" t="s">
        <v>9221</v>
      </c>
      <c r="G1920" s="15" t="s">
        <v>9021</v>
      </c>
      <c r="H1920" s="15" t="s">
        <v>9222</v>
      </c>
      <c r="I1920" s="15" t="s">
        <v>9008</v>
      </c>
    </row>
    <row r="1921" spans="1:9" x14ac:dyDescent="0.15">
      <c r="A1921" s="15" t="s">
        <v>9223</v>
      </c>
      <c r="B1921" s="15"/>
      <c r="C1921" s="15" t="s">
        <v>40</v>
      </c>
      <c r="D1921" s="15" t="s">
        <v>41</v>
      </c>
      <c r="E1921" s="15" t="s">
        <v>9224</v>
      </c>
      <c r="F1921" s="15" t="s">
        <v>9226</v>
      </c>
      <c r="G1921" s="15" t="s">
        <v>9225</v>
      </c>
      <c r="H1921" s="15" t="s">
        <v>9227</v>
      </c>
      <c r="I1921" s="15" t="s">
        <v>9008</v>
      </c>
    </row>
    <row r="1922" spans="1:9" x14ac:dyDescent="0.15">
      <c r="A1922" s="15" t="s">
        <v>9228</v>
      </c>
      <c r="B1922" s="15"/>
      <c r="C1922" s="15" t="s">
        <v>40</v>
      </c>
      <c r="D1922" s="15" t="s">
        <v>41</v>
      </c>
      <c r="E1922" s="15" t="s">
        <v>9229</v>
      </c>
      <c r="F1922" s="15" t="s">
        <v>9230</v>
      </c>
      <c r="G1922" s="15" t="s">
        <v>9016</v>
      </c>
      <c r="H1922" s="15" t="s">
        <v>9231</v>
      </c>
      <c r="I1922" s="15" t="s">
        <v>9008</v>
      </c>
    </row>
    <row r="1923" spans="1:9" x14ac:dyDescent="0.15">
      <c r="A1923" s="15" t="s">
        <v>9232</v>
      </c>
      <c r="B1923" s="15"/>
      <c r="C1923" s="15" t="s">
        <v>40</v>
      </c>
      <c r="D1923" s="15" t="s">
        <v>41</v>
      </c>
      <c r="E1923" s="15" t="s">
        <v>9233</v>
      </c>
      <c r="F1923" s="15" t="s">
        <v>9235</v>
      </c>
      <c r="G1923" s="15" t="s">
        <v>9234</v>
      </c>
      <c r="H1923" s="15" t="s">
        <v>9236</v>
      </c>
      <c r="I1923" s="15" t="s">
        <v>9008</v>
      </c>
    </row>
    <row r="1924" spans="1:9" x14ac:dyDescent="0.15">
      <c r="A1924" s="15" t="s">
        <v>9237</v>
      </c>
      <c r="B1924" s="15"/>
      <c r="C1924" s="15" t="s">
        <v>40</v>
      </c>
      <c r="D1924" s="15" t="s">
        <v>41</v>
      </c>
      <c r="E1924" s="15" t="s">
        <v>9238</v>
      </c>
      <c r="F1924" s="15" t="s">
        <v>9240</v>
      </c>
      <c r="G1924" s="15" t="s">
        <v>9239</v>
      </c>
      <c r="H1924" s="15" t="s">
        <v>9241</v>
      </c>
      <c r="I1924" s="15" t="s">
        <v>9008</v>
      </c>
    </row>
    <row r="1925" spans="1:9" x14ac:dyDescent="0.15">
      <c r="A1925" s="15" t="s">
        <v>9242</v>
      </c>
      <c r="B1925" s="15"/>
      <c r="C1925" s="15" t="s">
        <v>40</v>
      </c>
      <c r="D1925" s="15" t="s">
        <v>41</v>
      </c>
      <c r="E1925" s="15" t="s">
        <v>9243</v>
      </c>
      <c r="F1925" s="15" t="s">
        <v>9245</v>
      </c>
      <c r="G1925" s="15" t="s">
        <v>9244</v>
      </c>
      <c r="H1925" s="15" t="s">
        <v>9246</v>
      </c>
      <c r="I1925" s="15" t="s">
        <v>9008</v>
      </c>
    </row>
    <row r="1926" spans="1:9" x14ac:dyDescent="0.15">
      <c r="A1926" s="15" t="s">
        <v>9247</v>
      </c>
      <c r="B1926" s="15"/>
      <c r="C1926" s="15" t="s">
        <v>40</v>
      </c>
      <c r="D1926" s="15" t="s">
        <v>41</v>
      </c>
      <c r="E1926" s="15" t="s">
        <v>9248</v>
      </c>
      <c r="F1926" s="15" t="s">
        <v>9250</v>
      </c>
      <c r="G1926" s="15" t="s">
        <v>9249</v>
      </c>
      <c r="H1926" s="15" t="s">
        <v>9251</v>
      </c>
      <c r="I1926" s="15" t="s">
        <v>9008</v>
      </c>
    </row>
    <row r="1927" spans="1:9" x14ac:dyDescent="0.15">
      <c r="A1927" s="15" t="s">
        <v>9252</v>
      </c>
      <c r="B1927" s="15"/>
      <c r="C1927" s="15" t="s">
        <v>40</v>
      </c>
      <c r="D1927" s="15" t="s">
        <v>41</v>
      </c>
      <c r="E1927" s="15" t="s">
        <v>9253</v>
      </c>
      <c r="F1927" s="15" t="s">
        <v>9255</v>
      </c>
      <c r="G1927" s="15" t="s">
        <v>9254</v>
      </c>
      <c r="H1927" s="15" t="s">
        <v>9256</v>
      </c>
      <c r="I1927" s="15" t="s">
        <v>9008</v>
      </c>
    </row>
    <row r="1928" spans="1:9" x14ac:dyDescent="0.15">
      <c r="A1928" s="15" t="s">
        <v>9257</v>
      </c>
      <c r="B1928" s="15"/>
      <c r="C1928" s="15" t="s">
        <v>40</v>
      </c>
      <c r="D1928" s="15" t="s">
        <v>41</v>
      </c>
      <c r="E1928" s="15" t="s">
        <v>9258</v>
      </c>
      <c r="F1928" s="15" t="s">
        <v>9259</v>
      </c>
      <c r="G1928" s="15" t="s">
        <v>9128</v>
      </c>
      <c r="H1928" s="15" t="s">
        <v>9260</v>
      </c>
      <c r="I1928" s="15" t="s">
        <v>9008</v>
      </c>
    </row>
    <row r="1929" spans="1:9" x14ac:dyDescent="0.15">
      <c r="A1929" s="15" t="s">
        <v>9261</v>
      </c>
      <c r="B1929" s="15"/>
      <c r="C1929" s="15" t="s">
        <v>40</v>
      </c>
      <c r="D1929" s="15" t="s">
        <v>41</v>
      </c>
      <c r="E1929" s="15" t="s">
        <v>9262</v>
      </c>
      <c r="F1929" s="15" t="s">
        <v>9263</v>
      </c>
      <c r="G1929" s="15" t="s">
        <v>9225</v>
      </c>
      <c r="H1929" s="15" t="s">
        <v>9264</v>
      </c>
      <c r="I1929" s="15" t="s">
        <v>9008</v>
      </c>
    </row>
    <row r="1930" spans="1:9" x14ac:dyDescent="0.15">
      <c r="A1930" s="15" t="s">
        <v>9265</v>
      </c>
      <c r="B1930" s="15"/>
      <c r="C1930" s="15" t="s">
        <v>40</v>
      </c>
      <c r="D1930" s="15" t="s">
        <v>41</v>
      </c>
      <c r="E1930" s="15" t="s">
        <v>9266</v>
      </c>
      <c r="F1930" s="15" t="s">
        <v>9268</v>
      </c>
      <c r="G1930" s="15" t="s">
        <v>9267</v>
      </c>
      <c r="H1930" s="15" t="s">
        <v>9269</v>
      </c>
      <c r="I1930" s="15" t="s">
        <v>9008</v>
      </c>
    </row>
    <row r="1931" spans="1:9" x14ac:dyDescent="0.15">
      <c r="A1931" s="15" t="s">
        <v>9270</v>
      </c>
      <c r="B1931" s="15"/>
      <c r="C1931" s="15" t="s">
        <v>40</v>
      </c>
      <c r="D1931" s="15" t="s">
        <v>41</v>
      </c>
      <c r="E1931" s="15" t="s">
        <v>9271</v>
      </c>
      <c r="F1931" s="15" t="s">
        <v>9273</v>
      </c>
      <c r="G1931" s="15" t="s">
        <v>9272</v>
      </c>
      <c r="H1931" s="15" t="s">
        <v>9274</v>
      </c>
      <c r="I1931" s="15" t="s">
        <v>9008</v>
      </c>
    </row>
    <row r="1932" spans="1:9" x14ac:dyDescent="0.15">
      <c r="A1932" s="15" t="s">
        <v>9275</v>
      </c>
      <c r="B1932" s="15"/>
      <c r="C1932" s="15" t="s">
        <v>40</v>
      </c>
      <c r="D1932" s="15" t="s">
        <v>41</v>
      </c>
      <c r="E1932" s="15" t="s">
        <v>9276</v>
      </c>
      <c r="F1932" s="15" t="s">
        <v>9278</v>
      </c>
      <c r="G1932" s="15" t="s">
        <v>9277</v>
      </c>
      <c r="H1932" s="15" t="s">
        <v>9279</v>
      </c>
      <c r="I1932" s="15" t="s">
        <v>9008</v>
      </c>
    </row>
    <row r="1933" spans="1:9" x14ac:dyDescent="0.15">
      <c r="A1933" s="15" t="s">
        <v>9280</v>
      </c>
      <c r="B1933" s="15"/>
      <c r="C1933" s="15" t="s">
        <v>40</v>
      </c>
      <c r="D1933" s="15" t="s">
        <v>41</v>
      </c>
      <c r="E1933" s="15" t="s">
        <v>9281</v>
      </c>
      <c r="F1933" s="15" t="s">
        <v>9282</v>
      </c>
      <c r="G1933" s="15" t="s">
        <v>14</v>
      </c>
      <c r="H1933" s="15" t="s">
        <v>9283</v>
      </c>
      <c r="I1933" s="15" t="s">
        <v>9008</v>
      </c>
    </row>
    <row r="1934" spans="1:9" x14ac:dyDescent="0.15">
      <c r="A1934" s="15" t="s">
        <v>9284</v>
      </c>
      <c r="B1934" s="15"/>
      <c r="C1934" s="15" t="s">
        <v>40</v>
      </c>
      <c r="D1934" s="15" t="s">
        <v>41</v>
      </c>
      <c r="E1934" s="15" t="s">
        <v>9285</v>
      </c>
      <c r="F1934" s="15" t="s">
        <v>9286</v>
      </c>
      <c r="G1934" s="15" t="s">
        <v>9053</v>
      </c>
      <c r="H1934" s="15" t="s">
        <v>9287</v>
      </c>
      <c r="I1934" s="15" t="s">
        <v>9008</v>
      </c>
    </row>
    <row r="1935" spans="1:9" x14ac:dyDescent="0.15">
      <c r="A1935" s="15" t="s">
        <v>9288</v>
      </c>
      <c r="B1935" s="15"/>
      <c r="C1935" s="15" t="s">
        <v>40</v>
      </c>
      <c r="D1935" s="15" t="s">
        <v>41</v>
      </c>
      <c r="E1935" s="15" t="s">
        <v>9289</v>
      </c>
      <c r="F1935" s="15" t="s">
        <v>9291</v>
      </c>
      <c r="G1935" s="15" t="s">
        <v>9290</v>
      </c>
      <c r="H1935" s="15" t="s">
        <v>9292</v>
      </c>
      <c r="I1935" s="15" t="s">
        <v>9008</v>
      </c>
    </row>
    <row r="1936" spans="1:9" x14ac:dyDescent="0.15">
      <c r="A1936" s="15" t="s">
        <v>9293</v>
      </c>
      <c r="B1936" s="15"/>
      <c r="C1936" s="15" t="s">
        <v>40</v>
      </c>
      <c r="D1936" s="15" t="s">
        <v>41</v>
      </c>
      <c r="E1936" s="15" t="s">
        <v>9294</v>
      </c>
      <c r="F1936" s="15" t="s">
        <v>9296</v>
      </c>
      <c r="G1936" s="15" t="s">
        <v>9295</v>
      </c>
      <c r="H1936" s="15" t="s">
        <v>9297</v>
      </c>
      <c r="I1936" s="15" t="s">
        <v>9008</v>
      </c>
    </row>
    <row r="1937" spans="1:9" x14ac:dyDescent="0.15">
      <c r="A1937" s="15" t="s">
        <v>9298</v>
      </c>
      <c r="B1937" s="15"/>
      <c r="C1937" s="15" t="s">
        <v>40</v>
      </c>
      <c r="D1937" s="15" t="s">
        <v>41</v>
      </c>
      <c r="E1937" s="15" t="s">
        <v>9299</v>
      </c>
      <c r="F1937" s="15" t="s">
        <v>9301</v>
      </c>
      <c r="G1937" s="15" t="s">
        <v>9300</v>
      </c>
      <c r="H1937" s="15" t="s">
        <v>9302</v>
      </c>
      <c r="I1937" s="15" t="s">
        <v>9008</v>
      </c>
    </row>
    <row r="1938" spans="1:9" x14ac:dyDescent="0.15">
      <c r="A1938" s="15" t="s">
        <v>9303</v>
      </c>
      <c r="B1938" s="15"/>
      <c r="C1938" s="15" t="s">
        <v>40</v>
      </c>
      <c r="D1938" s="15" t="s">
        <v>41</v>
      </c>
      <c r="E1938" s="15" t="s">
        <v>9304</v>
      </c>
      <c r="F1938" s="15" t="s">
        <v>9306</v>
      </c>
      <c r="G1938" s="15" t="s">
        <v>9305</v>
      </c>
      <c r="H1938" s="15" t="s">
        <v>9307</v>
      </c>
      <c r="I1938" s="15" t="s">
        <v>9008</v>
      </c>
    </row>
    <row r="1939" spans="1:9" x14ac:dyDescent="0.15">
      <c r="A1939" s="15" t="s">
        <v>9308</v>
      </c>
      <c r="B1939" s="15"/>
      <c r="C1939" s="15" t="s">
        <v>40</v>
      </c>
      <c r="D1939" s="15" t="s">
        <v>41</v>
      </c>
      <c r="E1939" s="15" t="s">
        <v>9309</v>
      </c>
      <c r="F1939" s="15" t="s">
        <v>9311</v>
      </c>
      <c r="G1939" s="15" t="s">
        <v>9310</v>
      </c>
      <c r="H1939" s="15" t="s">
        <v>9312</v>
      </c>
      <c r="I1939" s="15" t="s">
        <v>9008</v>
      </c>
    </row>
    <row r="1940" spans="1:9" x14ac:dyDescent="0.15">
      <c r="A1940" s="15" t="s">
        <v>9313</v>
      </c>
      <c r="B1940" s="15"/>
      <c r="C1940" s="15" t="s">
        <v>40</v>
      </c>
      <c r="D1940" s="15" t="s">
        <v>41</v>
      </c>
      <c r="E1940" s="15" t="s">
        <v>9314</v>
      </c>
      <c r="F1940" s="15" t="s">
        <v>9316</v>
      </c>
      <c r="G1940" s="15" t="s">
        <v>9315</v>
      </c>
      <c r="H1940" s="15" t="s">
        <v>9317</v>
      </c>
      <c r="I1940" s="15" t="s">
        <v>9008</v>
      </c>
    </row>
    <row r="1941" spans="1:9" x14ac:dyDescent="0.15">
      <c r="A1941" s="15" t="s">
        <v>9318</v>
      </c>
      <c r="B1941" s="15"/>
      <c r="C1941" s="15" t="s">
        <v>40</v>
      </c>
      <c r="D1941" s="15" t="s">
        <v>41</v>
      </c>
      <c r="E1941" s="15" t="s">
        <v>9319</v>
      </c>
      <c r="F1941" s="15" t="s">
        <v>9321</v>
      </c>
      <c r="G1941" s="15" t="s">
        <v>9320</v>
      </c>
      <c r="H1941" s="15" t="s">
        <v>9322</v>
      </c>
      <c r="I1941" s="15" t="s">
        <v>9008</v>
      </c>
    </row>
    <row r="1942" spans="1:9" x14ac:dyDescent="0.15">
      <c r="A1942" s="15" t="s">
        <v>9323</v>
      </c>
      <c r="B1942" s="15"/>
      <c r="C1942" s="15" t="s">
        <v>40</v>
      </c>
      <c r="D1942" s="15" t="s">
        <v>41</v>
      </c>
      <c r="E1942" s="15" t="s">
        <v>9324</v>
      </c>
      <c r="F1942" s="15" t="s">
        <v>9326</v>
      </c>
      <c r="G1942" s="15" t="s">
        <v>9325</v>
      </c>
      <c r="H1942" s="15" t="s">
        <v>9327</v>
      </c>
      <c r="I1942" s="15" t="s">
        <v>9008</v>
      </c>
    </row>
    <row r="1943" spans="1:9" x14ac:dyDescent="0.15">
      <c r="A1943" s="15" t="s">
        <v>9328</v>
      </c>
      <c r="B1943" s="15"/>
      <c r="C1943" s="15" t="s">
        <v>40</v>
      </c>
      <c r="D1943" s="15" t="s">
        <v>41</v>
      </c>
      <c r="E1943" s="15" t="s">
        <v>9329</v>
      </c>
      <c r="F1943" s="15" t="s">
        <v>52</v>
      </c>
      <c r="G1943" s="15" t="s">
        <v>9330</v>
      </c>
      <c r="H1943" s="15" t="s">
        <v>9331</v>
      </c>
      <c r="I1943" s="15" t="s">
        <v>9008</v>
      </c>
    </row>
    <row r="1944" spans="1:9" x14ac:dyDescent="0.15">
      <c r="A1944" s="15" t="s">
        <v>9332</v>
      </c>
      <c r="B1944" s="15"/>
      <c r="C1944" s="15" t="s">
        <v>40</v>
      </c>
      <c r="D1944" s="15" t="s">
        <v>41</v>
      </c>
      <c r="E1944" s="15" t="s">
        <v>9333</v>
      </c>
      <c r="F1944" s="15" t="s">
        <v>9335</v>
      </c>
      <c r="G1944" s="15" t="s">
        <v>9334</v>
      </c>
      <c r="H1944" s="15" t="s">
        <v>9336</v>
      </c>
      <c r="I1944" s="15" t="s">
        <v>9008</v>
      </c>
    </row>
    <row r="1945" spans="1:9" x14ac:dyDescent="0.15">
      <c r="A1945" s="15" t="s">
        <v>9337</v>
      </c>
      <c r="B1945" s="15"/>
      <c r="C1945" s="15" t="s">
        <v>40</v>
      </c>
      <c r="D1945" s="15" t="s">
        <v>41</v>
      </c>
      <c r="E1945" s="15" t="s">
        <v>9338</v>
      </c>
      <c r="F1945" s="15" t="s">
        <v>9340</v>
      </c>
      <c r="G1945" s="15" t="s">
        <v>9339</v>
      </c>
      <c r="H1945" s="15" t="s">
        <v>9341</v>
      </c>
      <c r="I1945" s="15" t="s">
        <v>9008</v>
      </c>
    </row>
    <row r="1946" spans="1:9" x14ac:dyDescent="0.15">
      <c r="A1946" s="15" t="s">
        <v>9342</v>
      </c>
      <c r="B1946" s="15"/>
      <c r="C1946" s="15" t="s">
        <v>40</v>
      </c>
      <c r="D1946" s="15" t="s">
        <v>41</v>
      </c>
      <c r="E1946" s="15" t="s">
        <v>9343</v>
      </c>
      <c r="F1946" s="15" t="s">
        <v>9344</v>
      </c>
      <c r="G1946" s="15" t="s">
        <v>9239</v>
      </c>
      <c r="H1946" s="15" t="s">
        <v>9345</v>
      </c>
      <c r="I1946" s="15" t="s">
        <v>9008</v>
      </c>
    </row>
    <row r="1947" spans="1:9" x14ac:dyDescent="0.15">
      <c r="A1947" s="15" t="s">
        <v>9346</v>
      </c>
      <c r="B1947" s="15"/>
      <c r="C1947" s="15" t="s">
        <v>40</v>
      </c>
      <c r="D1947" s="15" t="s">
        <v>41</v>
      </c>
      <c r="E1947" s="15" t="s">
        <v>9347</v>
      </c>
      <c r="F1947" s="15" t="s">
        <v>9349</v>
      </c>
      <c r="G1947" s="15" t="s">
        <v>9348</v>
      </c>
      <c r="H1947" s="15" t="s">
        <v>9350</v>
      </c>
      <c r="I1947" s="15" t="s">
        <v>9008</v>
      </c>
    </row>
    <row r="1948" spans="1:9" x14ac:dyDescent="0.15">
      <c r="A1948" s="15" t="s">
        <v>9351</v>
      </c>
      <c r="B1948" s="15"/>
      <c r="C1948" s="15" t="s">
        <v>40</v>
      </c>
      <c r="D1948" s="15" t="s">
        <v>41</v>
      </c>
      <c r="E1948" s="15" t="s">
        <v>9352</v>
      </c>
      <c r="F1948" s="15" t="s">
        <v>9354</v>
      </c>
      <c r="G1948" s="15" t="s">
        <v>9353</v>
      </c>
      <c r="H1948" s="15" t="s">
        <v>9355</v>
      </c>
      <c r="I1948" s="15" t="s">
        <v>9008</v>
      </c>
    </row>
    <row r="1949" spans="1:9" x14ac:dyDescent="0.15">
      <c r="A1949" s="15" t="s">
        <v>9356</v>
      </c>
      <c r="B1949" s="15"/>
      <c r="C1949" s="15" t="s">
        <v>40</v>
      </c>
      <c r="D1949" s="15" t="s">
        <v>41</v>
      </c>
      <c r="E1949" s="15" t="s">
        <v>9357</v>
      </c>
      <c r="F1949" s="15" t="s">
        <v>9358</v>
      </c>
      <c r="G1949" s="15" t="s">
        <v>9053</v>
      </c>
      <c r="H1949" s="15" t="s">
        <v>9359</v>
      </c>
      <c r="I1949" s="15" t="s">
        <v>9008</v>
      </c>
    </row>
    <row r="1950" spans="1:9" x14ac:dyDescent="0.15">
      <c r="A1950" s="15" t="s">
        <v>9360</v>
      </c>
      <c r="B1950" s="15"/>
      <c r="C1950" s="15" t="s">
        <v>40</v>
      </c>
      <c r="D1950" s="15" t="s">
        <v>41</v>
      </c>
      <c r="E1950" s="15" t="s">
        <v>9361</v>
      </c>
      <c r="F1950" s="15" t="s">
        <v>52</v>
      </c>
      <c r="G1950" s="15" t="s">
        <v>9362</v>
      </c>
      <c r="H1950" s="15" t="s">
        <v>9363</v>
      </c>
      <c r="I1950" s="15" t="s">
        <v>9008</v>
      </c>
    </row>
    <row r="1951" spans="1:9" x14ac:dyDescent="0.15">
      <c r="A1951" s="15" t="s">
        <v>9364</v>
      </c>
      <c r="B1951" s="15"/>
      <c r="C1951" s="15" t="s">
        <v>40</v>
      </c>
      <c r="D1951" s="15" t="s">
        <v>41</v>
      </c>
      <c r="E1951" s="15" t="s">
        <v>9365</v>
      </c>
      <c r="F1951" s="15" t="s">
        <v>9366</v>
      </c>
      <c r="G1951" s="15" t="s">
        <v>9177</v>
      </c>
      <c r="H1951" s="15" t="s">
        <v>9367</v>
      </c>
      <c r="I1951" s="15" t="s">
        <v>9008</v>
      </c>
    </row>
    <row r="1952" spans="1:9" x14ac:dyDescent="0.15">
      <c r="A1952" s="15" t="s">
        <v>9368</v>
      </c>
      <c r="B1952" s="15"/>
      <c r="C1952" s="15" t="s">
        <v>40</v>
      </c>
      <c r="D1952" s="15" t="s">
        <v>41</v>
      </c>
      <c r="E1952" s="15" t="s">
        <v>9369</v>
      </c>
      <c r="F1952" s="15" t="s">
        <v>52</v>
      </c>
      <c r="G1952" s="15" t="s">
        <v>9370</v>
      </c>
      <c r="H1952" s="15" t="s">
        <v>9371</v>
      </c>
      <c r="I1952" s="15" t="s">
        <v>9008</v>
      </c>
    </row>
    <row r="1953" spans="1:9" x14ac:dyDescent="0.15">
      <c r="A1953" s="15" t="s">
        <v>9372</v>
      </c>
      <c r="B1953" s="15"/>
      <c r="C1953" s="15" t="s">
        <v>40</v>
      </c>
      <c r="D1953" s="15" t="s">
        <v>41</v>
      </c>
      <c r="E1953" s="15" t="s">
        <v>9373</v>
      </c>
      <c r="F1953" s="15" t="s">
        <v>52</v>
      </c>
      <c r="G1953" s="15" t="s">
        <v>9374</v>
      </c>
      <c r="H1953" s="15" t="s">
        <v>9375</v>
      </c>
      <c r="I1953" s="15" t="s">
        <v>9008</v>
      </c>
    </row>
    <row r="1954" spans="1:9" x14ac:dyDescent="0.15">
      <c r="A1954" s="15" t="s">
        <v>9376</v>
      </c>
      <c r="B1954" s="15"/>
      <c r="C1954" s="15" t="s">
        <v>40</v>
      </c>
      <c r="D1954" s="15" t="s">
        <v>41</v>
      </c>
      <c r="E1954" s="15" t="s">
        <v>9377</v>
      </c>
      <c r="F1954" s="15" t="s">
        <v>9379</v>
      </c>
      <c r="G1954" s="15" t="s">
        <v>9378</v>
      </c>
      <c r="H1954" s="15" t="s">
        <v>9380</v>
      </c>
      <c r="I1954" s="15" t="s">
        <v>9008</v>
      </c>
    </row>
    <row r="1955" spans="1:9" x14ac:dyDescent="0.15">
      <c r="A1955" s="15" t="s">
        <v>9381</v>
      </c>
      <c r="B1955" s="15"/>
      <c r="C1955" s="15" t="s">
        <v>40</v>
      </c>
      <c r="D1955" s="15" t="s">
        <v>41</v>
      </c>
      <c r="E1955" s="15" t="s">
        <v>9382</v>
      </c>
      <c r="F1955" s="15" t="s">
        <v>9384</v>
      </c>
      <c r="G1955" s="15" t="s">
        <v>9383</v>
      </c>
      <c r="H1955" s="15" t="s">
        <v>9385</v>
      </c>
      <c r="I1955" s="15" t="s">
        <v>9008</v>
      </c>
    </row>
    <row r="1956" spans="1:9" x14ac:dyDescent="0.15">
      <c r="A1956" s="15" t="s">
        <v>9386</v>
      </c>
      <c r="B1956" s="15"/>
      <c r="C1956" s="15" t="s">
        <v>40</v>
      </c>
      <c r="D1956" s="15" t="s">
        <v>41</v>
      </c>
      <c r="E1956" s="15" t="s">
        <v>9387</v>
      </c>
      <c r="F1956" s="15" t="s">
        <v>52</v>
      </c>
      <c r="G1956" s="15" t="s">
        <v>9370</v>
      </c>
      <c r="H1956" s="15" t="s">
        <v>9388</v>
      </c>
      <c r="I1956" s="15" t="s">
        <v>9008</v>
      </c>
    </row>
    <row r="1957" spans="1:9" x14ac:dyDescent="0.15">
      <c r="A1957" s="15" t="s">
        <v>9389</v>
      </c>
      <c r="B1957" s="15"/>
      <c r="C1957" s="15" t="s">
        <v>40</v>
      </c>
      <c r="D1957" s="15" t="s">
        <v>41</v>
      </c>
      <c r="E1957" s="15" t="s">
        <v>9390</v>
      </c>
      <c r="F1957" s="15" t="s">
        <v>9392</v>
      </c>
      <c r="G1957" s="15" t="s">
        <v>9391</v>
      </c>
      <c r="H1957" s="15" t="s">
        <v>9393</v>
      </c>
      <c r="I1957" s="15" t="s">
        <v>9008</v>
      </c>
    </row>
    <row r="1958" spans="1:9" x14ac:dyDescent="0.15">
      <c r="A1958" s="15" t="s">
        <v>9394</v>
      </c>
      <c r="B1958" s="15"/>
      <c r="C1958" s="15" t="s">
        <v>40</v>
      </c>
      <c r="D1958" s="15" t="s">
        <v>41</v>
      </c>
      <c r="E1958" s="15" t="s">
        <v>9395</v>
      </c>
      <c r="F1958" s="15" t="s">
        <v>9397</v>
      </c>
      <c r="G1958" s="15" t="s">
        <v>9396</v>
      </c>
      <c r="H1958" s="15" t="s">
        <v>9398</v>
      </c>
      <c r="I1958" s="15" t="s">
        <v>9008</v>
      </c>
    </row>
    <row r="1959" spans="1:9" x14ac:dyDescent="0.15">
      <c r="A1959" s="15" t="s">
        <v>9399</v>
      </c>
      <c r="B1959" s="15"/>
      <c r="C1959" s="15" t="s">
        <v>40</v>
      </c>
      <c r="D1959" s="15" t="s">
        <v>41</v>
      </c>
      <c r="E1959" s="15" t="s">
        <v>9400</v>
      </c>
      <c r="F1959" s="15" t="s">
        <v>9402</v>
      </c>
      <c r="G1959" s="15" t="s">
        <v>9401</v>
      </c>
      <c r="H1959" s="15" t="s">
        <v>9403</v>
      </c>
      <c r="I1959" s="15" t="s">
        <v>9404</v>
      </c>
    </row>
    <row r="1960" spans="1:9" x14ac:dyDescent="0.15">
      <c r="A1960" s="15" t="s">
        <v>9405</v>
      </c>
      <c r="B1960" s="15"/>
      <c r="C1960" s="15" t="s">
        <v>40</v>
      </c>
      <c r="D1960" s="15" t="s">
        <v>41</v>
      </c>
      <c r="E1960" s="15" t="s">
        <v>9406</v>
      </c>
      <c r="F1960" s="15" t="s">
        <v>9408</v>
      </c>
      <c r="G1960" s="15" t="s">
        <v>9407</v>
      </c>
      <c r="H1960" s="15" t="s">
        <v>9409</v>
      </c>
      <c r="I1960" s="15" t="s">
        <v>9404</v>
      </c>
    </row>
    <row r="1961" spans="1:9" x14ac:dyDescent="0.15">
      <c r="A1961" s="15" t="s">
        <v>9410</v>
      </c>
      <c r="B1961" s="15"/>
      <c r="C1961" s="15" t="s">
        <v>40</v>
      </c>
      <c r="D1961" s="15" t="s">
        <v>41</v>
      </c>
      <c r="E1961" s="15" t="s">
        <v>9411</v>
      </c>
      <c r="F1961" s="15" t="s">
        <v>9413</v>
      </c>
      <c r="G1961" s="15" t="s">
        <v>9412</v>
      </c>
      <c r="H1961" s="15" t="s">
        <v>9414</v>
      </c>
      <c r="I1961" s="15" t="s">
        <v>9404</v>
      </c>
    </row>
    <row r="1962" spans="1:9" x14ac:dyDescent="0.15">
      <c r="A1962" s="15" t="s">
        <v>9415</v>
      </c>
      <c r="B1962" s="15"/>
      <c r="C1962" s="15" t="s">
        <v>40</v>
      </c>
      <c r="D1962" s="15" t="s">
        <v>41</v>
      </c>
      <c r="E1962" s="15" t="s">
        <v>9416</v>
      </c>
      <c r="F1962" s="15" t="s">
        <v>9418</v>
      </c>
      <c r="G1962" s="15" t="s">
        <v>9417</v>
      </c>
      <c r="H1962" s="15" t="s">
        <v>9419</v>
      </c>
      <c r="I1962" s="15" t="s">
        <v>9404</v>
      </c>
    </row>
    <row r="1963" spans="1:9" x14ac:dyDescent="0.15">
      <c r="A1963" s="15" t="s">
        <v>9420</v>
      </c>
      <c r="B1963" s="15"/>
      <c r="C1963" s="15" t="s">
        <v>40</v>
      </c>
      <c r="D1963" s="15" t="s">
        <v>41</v>
      </c>
      <c r="E1963" s="15" t="s">
        <v>9421</v>
      </c>
      <c r="F1963" s="15" t="s">
        <v>9423</v>
      </c>
      <c r="G1963" s="15" t="s">
        <v>9422</v>
      </c>
      <c r="H1963" s="15" t="s">
        <v>9424</v>
      </c>
      <c r="I1963" s="15" t="s">
        <v>9404</v>
      </c>
    </row>
    <row r="1964" spans="1:9" x14ac:dyDescent="0.15">
      <c r="A1964" s="15" t="s">
        <v>9425</v>
      </c>
      <c r="B1964" s="15"/>
      <c r="C1964" s="15" t="s">
        <v>40</v>
      </c>
      <c r="D1964" s="15" t="s">
        <v>41</v>
      </c>
      <c r="E1964" s="15" t="s">
        <v>9426</v>
      </c>
      <c r="F1964" s="15" t="s">
        <v>9428</v>
      </c>
      <c r="G1964" s="15" t="s">
        <v>9427</v>
      </c>
      <c r="H1964" s="15" t="s">
        <v>9429</v>
      </c>
      <c r="I1964" s="15" t="s">
        <v>9404</v>
      </c>
    </row>
    <row r="1965" spans="1:9" x14ac:dyDescent="0.15">
      <c r="A1965" s="15" t="s">
        <v>9430</v>
      </c>
      <c r="B1965" s="15"/>
      <c r="C1965" s="15" t="s">
        <v>40</v>
      </c>
      <c r="D1965" s="15" t="s">
        <v>41</v>
      </c>
      <c r="E1965" s="15" t="s">
        <v>9431</v>
      </c>
      <c r="F1965" s="15" t="s">
        <v>9432</v>
      </c>
      <c r="G1965" s="15" t="s">
        <v>9427</v>
      </c>
      <c r="H1965" s="15" t="s">
        <v>9433</v>
      </c>
      <c r="I1965" s="15" t="s">
        <v>9404</v>
      </c>
    </row>
    <row r="1966" spans="1:9" x14ac:dyDescent="0.15">
      <c r="A1966" s="15" t="s">
        <v>9434</v>
      </c>
      <c r="B1966" s="15"/>
      <c r="C1966" s="15" t="s">
        <v>40</v>
      </c>
      <c r="D1966" s="15" t="s">
        <v>41</v>
      </c>
      <c r="E1966" s="15" t="s">
        <v>9435</v>
      </c>
      <c r="F1966" s="15" t="s">
        <v>9437</v>
      </c>
      <c r="G1966" s="15" t="s">
        <v>9436</v>
      </c>
      <c r="H1966" s="15" t="s">
        <v>9438</v>
      </c>
      <c r="I1966" s="15" t="s">
        <v>9404</v>
      </c>
    </row>
    <row r="1967" spans="1:9" x14ac:dyDescent="0.15">
      <c r="A1967" s="15" t="s">
        <v>9439</v>
      </c>
      <c r="B1967" s="15"/>
      <c r="C1967" s="15" t="s">
        <v>40</v>
      </c>
      <c r="D1967" s="15" t="s">
        <v>41</v>
      </c>
      <c r="E1967" s="15" t="s">
        <v>9440</v>
      </c>
      <c r="F1967" s="15" t="s">
        <v>9442</v>
      </c>
      <c r="G1967" s="15" t="s">
        <v>9441</v>
      </c>
      <c r="H1967" s="15" t="s">
        <v>9443</v>
      </c>
      <c r="I1967" s="15" t="s">
        <v>9404</v>
      </c>
    </row>
    <row r="1968" spans="1:9" x14ac:dyDescent="0.15">
      <c r="A1968" s="15" t="s">
        <v>9444</v>
      </c>
      <c r="B1968" s="15"/>
      <c r="C1968" s="15" t="s">
        <v>40</v>
      </c>
      <c r="D1968" s="15" t="s">
        <v>41</v>
      </c>
      <c r="E1968" s="15" t="s">
        <v>9445</v>
      </c>
      <c r="F1968" s="15" t="s">
        <v>9447</v>
      </c>
      <c r="G1968" s="15" t="s">
        <v>9446</v>
      </c>
      <c r="H1968" s="15" t="s">
        <v>9448</v>
      </c>
      <c r="I1968" s="15" t="s">
        <v>9404</v>
      </c>
    </row>
    <row r="1969" spans="1:9" x14ac:dyDescent="0.15">
      <c r="A1969" s="15" t="s">
        <v>9449</v>
      </c>
      <c r="B1969" s="15"/>
      <c r="C1969" s="15" t="s">
        <v>40</v>
      </c>
      <c r="D1969" s="15" t="s">
        <v>41</v>
      </c>
      <c r="E1969" s="15" t="s">
        <v>9450</v>
      </c>
      <c r="F1969" s="15" t="s">
        <v>9452</v>
      </c>
      <c r="G1969" s="15" t="s">
        <v>9451</v>
      </c>
      <c r="H1969" s="15" t="s">
        <v>9453</v>
      </c>
      <c r="I1969" s="15" t="s">
        <v>9404</v>
      </c>
    </row>
    <row r="1970" spans="1:9" x14ac:dyDescent="0.15">
      <c r="A1970" s="15" t="s">
        <v>9454</v>
      </c>
      <c r="B1970" s="15"/>
      <c r="C1970" s="15" t="s">
        <v>40</v>
      </c>
      <c r="D1970" s="15" t="s">
        <v>41</v>
      </c>
      <c r="E1970" s="15" t="s">
        <v>9455</v>
      </c>
      <c r="F1970" s="15" t="s">
        <v>9457</v>
      </c>
      <c r="G1970" s="15" t="s">
        <v>9456</v>
      </c>
      <c r="H1970" s="15" t="s">
        <v>9458</v>
      </c>
      <c r="I1970" s="15" t="s">
        <v>9404</v>
      </c>
    </row>
    <row r="1971" spans="1:9" x14ac:dyDescent="0.15">
      <c r="A1971" s="15" t="s">
        <v>9459</v>
      </c>
      <c r="B1971" s="15"/>
      <c r="C1971" s="15" t="s">
        <v>40</v>
      </c>
      <c r="D1971" s="15" t="s">
        <v>41</v>
      </c>
      <c r="E1971" s="15" t="s">
        <v>9460</v>
      </c>
      <c r="F1971" s="15" t="s">
        <v>9461</v>
      </c>
      <c r="G1971" s="15" t="s">
        <v>9401</v>
      </c>
      <c r="H1971" s="15" t="s">
        <v>9462</v>
      </c>
      <c r="I1971" s="15" t="s">
        <v>9404</v>
      </c>
    </row>
    <row r="1972" spans="1:9" x14ac:dyDescent="0.15">
      <c r="A1972" s="15" t="s">
        <v>9463</v>
      </c>
      <c r="B1972" s="15"/>
      <c r="C1972" s="15" t="s">
        <v>40</v>
      </c>
      <c r="D1972" s="15" t="s">
        <v>41</v>
      </c>
      <c r="E1972" s="15" t="s">
        <v>9464</v>
      </c>
      <c r="F1972" s="15" t="s">
        <v>9466</v>
      </c>
      <c r="G1972" s="15" t="s">
        <v>9465</v>
      </c>
      <c r="H1972" s="15" t="s">
        <v>9467</v>
      </c>
      <c r="I1972" s="15" t="s">
        <v>9404</v>
      </c>
    </row>
    <row r="1973" spans="1:9" x14ac:dyDescent="0.15">
      <c r="A1973" s="15" t="s">
        <v>9468</v>
      </c>
      <c r="B1973" s="15"/>
      <c r="C1973" s="15" t="s">
        <v>40</v>
      </c>
      <c r="D1973" s="15" t="s">
        <v>41</v>
      </c>
      <c r="E1973" s="15" t="s">
        <v>9469</v>
      </c>
      <c r="F1973" s="15" t="s">
        <v>9470</v>
      </c>
      <c r="G1973" s="15" t="s">
        <v>9465</v>
      </c>
      <c r="H1973" s="15" t="s">
        <v>9471</v>
      </c>
      <c r="I1973" s="15" t="s">
        <v>9404</v>
      </c>
    </row>
    <row r="1974" spans="1:9" x14ac:dyDescent="0.15">
      <c r="A1974" s="15" t="s">
        <v>9472</v>
      </c>
      <c r="B1974" s="15"/>
      <c r="C1974" s="15" t="s">
        <v>40</v>
      </c>
      <c r="D1974" s="15" t="s">
        <v>41</v>
      </c>
      <c r="E1974" s="15" t="s">
        <v>9473</v>
      </c>
      <c r="F1974" s="15" t="s">
        <v>9475</v>
      </c>
      <c r="G1974" s="15" t="s">
        <v>9474</v>
      </c>
      <c r="H1974" s="15" t="s">
        <v>9476</v>
      </c>
      <c r="I1974" s="15" t="s">
        <v>9404</v>
      </c>
    </row>
    <row r="1975" spans="1:9" x14ac:dyDescent="0.15">
      <c r="A1975" s="15" t="s">
        <v>9477</v>
      </c>
      <c r="B1975" s="15"/>
      <c r="C1975" s="15" t="s">
        <v>40</v>
      </c>
      <c r="D1975" s="15" t="s">
        <v>41</v>
      </c>
      <c r="E1975" s="15" t="s">
        <v>9478</v>
      </c>
      <c r="F1975" s="15" t="s">
        <v>9480</v>
      </c>
      <c r="G1975" s="15" t="s">
        <v>9479</v>
      </c>
      <c r="H1975" s="15" t="s">
        <v>9481</v>
      </c>
      <c r="I1975" s="15" t="s">
        <v>9404</v>
      </c>
    </row>
    <row r="1976" spans="1:9" x14ac:dyDescent="0.15">
      <c r="A1976" s="15" t="s">
        <v>9482</v>
      </c>
      <c r="B1976" s="15"/>
      <c r="C1976" s="15" t="s">
        <v>40</v>
      </c>
      <c r="D1976" s="15" t="s">
        <v>41</v>
      </c>
      <c r="E1976" s="15" t="s">
        <v>9483</v>
      </c>
      <c r="F1976" s="15" t="s">
        <v>9485</v>
      </c>
      <c r="G1976" s="15" t="s">
        <v>9484</v>
      </c>
      <c r="H1976" s="15" t="s">
        <v>9486</v>
      </c>
      <c r="I1976" s="15" t="s">
        <v>9404</v>
      </c>
    </row>
    <row r="1977" spans="1:9" x14ac:dyDescent="0.15">
      <c r="A1977" s="15" t="s">
        <v>9487</v>
      </c>
      <c r="B1977" s="15"/>
      <c r="C1977" s="15" t="s">
        <v>40</v>
      </c>
      <c r="D1977" s="15" t="s">
        <v>41</v>
      </c>
      <c r="E1977" s="15" t="s">
        <v>9488</v>
      </c>
      <c r="F1977" s="15" t="s">
        <v>9490</v>
      </c>
      <c r="G1977" s="15" t="s">
        <v>9489</v>
      </c>
      <c r="H1977" s="15" t="s">
        <v>9491</v>
      </c>
      <c r="I1977" s="15" t="s">
        <v>9404</v>
      </c>
    </row>
    <row r="1978" spans="1:9" x14ac:dyDescent="0.15">
      <c r="A1978" s="15" t="s">
        <v>9492</v>
      </c>
      <c r="B1978" s="15"/>
      <c r="C1978" s="15" t="s">
        <v>40</v>
      </c>
      <c r="D1978" s="15" t="s">
        <v>41</v>
      </c>
      <c r="E1978" s="15" t="s">
        <v>9493</v>
      </c>
      <c r="F1978" s="15" t="s">
        <v>9495</v>
      </c>
      <c r="G1978" s="15" t="s">
        <v>9494</v>
      </c>
      <c r="H1978" s="15" t="s">
        <v>9496</v>
      </c>
      <c r="I1978" s="15" t="s">
        <v>9404</v>
      </c>
    </row>
    <row r="1979" spans="1:9" x14ac:dyDescent="0.15">
      <c r="A1979" s="15" t="s">
        <v>9497</v>
      </c>
      <c r="B1979" s="15"/>
      <c r="C1979" s="15" t="s">
        <v>40</v>
      </c>
      <c r="D1979" s="15" t="s">
        <v>41</v>
      </c>
      <c r="E1979" s="15" t="s">
        <v>9498</v>
      </c>
      <c r="F1979" s="15" t="s">
        <v>9500</v>
      </c>
      <c r="G1979" s="15" t="s">
        <v>9499</v>
      </c>
      <c r="H1979" s="15" t="s">
        <v>9501</v>
      </c>
      <c r="I1979" s="15" t="s">
        <v>9404</v>
      </c>
    </row>
    <row r="1980" spans="1:9" x14ac:dyDescent="0.15">
      <c r="A1980" s="15" t="s">
        <v>9502</v>
      </c>
      <c r="B1980" s="15"/>
      <c r="C1980" s="15" t="s">
        <v>40</v>
      </c>
      <c r="D1980" s="15" t="s">
        <v>41</v>
      </c>
      <c r="E1980" s="15" t="s">
        <v>9503</v>
      </c>
      <c r="F1980" s="15" t="s">
        <v>9505</v>
      </c>
      <c r="G1980" s="15" t="s">
        <v>9504</v>
      </c>
      <c r="H1980" s="15" t="s">
        <v>9506</v>
      </c>
      <c r="I1980" s="15" t="s">
        <v>9404</v>
      </c>
    </row>
    <row r="1981" spans="1:9" x14ac:dyDescent="0.15">
      <c r="A1981" s="15" t="s">
        <v>9507</v>
      </c>
      <c r="B1981" s="15"/>
      <c r="C1981" s="15" t="s">
        <v>40</v>
      </c>
      <c r="D1981" s="15" t="s">
        <v>41</v>
      </c>
      <c r="E1981" s="15" t="s">
        <v>9508</v>
      </c>
      <c r="F1981" s="15" t="s">
        <v>9510</v>
      </c>
      <c r="G1981" s="15" t="s">
        <v>9509</v>
      </c>
      <c r="H1981" s="15" t="s">
        <v>9511</v>
      </c>
      <c r="I1981" s="15" t="s">
        <v>9404</v>
      </c>
    </row>
    <row r="1982" spans="1:9" x14ac:dyDescent="0.15">
      <c r="A1982" s="15" t="s">
        <v>9512</v>
      </c>
      <c r="B1982" s="15"/>
      <c r="C1982" s="15" t="s">
        <v>40</v>
      </c>
      <c r="D1982" s="15" t="s">
        <v>41</v>
      </c>
      <c r="E1982" s="15" t="s">
        <v>9513</v>
      </c>
      <c r="F1982" s="15" t="s">
        <v>9515</v>
      </c>
      <c r="G1982" s="15" t="s">
        <v>9514</v>
      </c>
      <c r="H1982" s="15" t="s">
        <v>9516</v>
      </c>
      <c r="I1982" s="15" t="s">
        <v>9404</v>
      </c>
    </row>
    <row r="1983" spans="1:9" x14ac:dyDescent="0.15">
      <c r="A1983" s="15" t="s">
        <v>9517</v>
      </c>
      <c r="B1983" s="15"/>
      <c r="C1983" s="15" t="s">
        <v>40</v>
      </c>
      <c r="D1983" s="15" t="s">
        <v>41</v>
      </c>
      <c r="E1983" s="15" t="s">
        <v>9518</v>
      </c>
      <c r="F1983" s="15" t="s">
        <v>9520</v>
      </c>
      <c r="G1983" s="15" t="s">
        <v>9519</v>
      </c>
      <c r="H1983" s="15" t="s">
        <v>9521</v>
      </c>
      <c r="I1983" s="15" t="s">
        <v>9404</v>
      </c>
    </row>
    <row r="1984" spans="1:9" x14ac:dyDescent="0.15">
      <c r="A1984" s="15" t="s">
        <v>9522</v>
      </c>
      <c r="B1984" s="15"/>
      <c r="C1984" s="15" t="s">
        <v>40</v>
      </c>
      <c r="D1984" s="15" t="s">
        <v>41</v>
      </c>
      <c r="E1984" s="15" t="s">
        <v>9523</v>
      </c>
      <c r="F1984" s="15" t="s">
        <v>9525</v>
      </c>
      <c r="G1984" s="15" t="s">
        <v>9524</v>
      </c>
      <c r="H1984" s="15" t="s">
        <v>9526</v>
      </c>
      <c r="I1984" s="15" t="s">
        <v>9404</v>
      </c>
    </row>
    <row r="1985" spans="1:9" x14ac:dyDescent="0.15">
      <c r="A1985" s="15" t="s">
        <v>9527</v>
      </c>
      <c r="B1985" s="15"/>
      <c r="C1985" s="15" t="s">
        <v>40</v>
      </c>
      <c r="D1985" s="15" t="s">
        <v>41</v>
      </c>
      <c r="E1985" s="15" t="s">
        <v>9528</v>
      </c>
      <c r="F1985" s="15" t="s">
        <v>9529</v>
      </c>
      <c r="G1985" s="15" t="s">
        <v>22</v>
      </c>
      <c r="H1985" s="15" t="s">
        <v>9530</v>
      </c>
      <c r="I1985" s="15" t="s">
        <v>9404</v>
      </c>
    </row>
    <row r="1986" spans="1:9" x14ac:dyDescent="0.15">
      <c r="A1986" s="15" t="s">
        <v>9531</v>
      </c>
      <c r="B1986" s="15"/>
      <c r="C1986" s="15" t="s">
        <v>40</v>
      </c>
      <c r="D1986" s="15" t="s">
        <v>41</v>
      </c>
      <c r="E1986" s="15" t="s">
        <v>9532</v>
      </c>
      <c r="F1986" s="15" t="s">
        <v>52</v>
      </c>
      <c r="G1986" s="15" t="s">
        <v>9533</v>
      </c>
      <c r="H1986" s="15" t="s">
        <v>9534</v>
      </c>
      <c r="I1986" s="15" t="s">
        <v>9404</v>
      </c>
    </row>
    <row r="1987" spans="1:9" x14ac:dyDescent="0.15">
      <c r="A1987" s="15" t="s">
        <v>9535</v>
      </c>
      <c r="B1987" s="15"/>
      <c r="C1987" s="15" t="s">
        <v>40</v>
      </c>
      <c r="D1987" s="15" t="s">
        <v>41</v>
      </c>
      <c r="E1987" s="15" t="s">
        <v>9536</v>
      </c>
      <c r="F1987" s="15" t="s">
        <v>9538</v>
      </c>
      <c r="G1987" s="15" t="s">
        <v>9537</v>
      </c>
      <c r="H1987" s="15" t="s">
        <v>9539</v>
      </c>
      <c r="I1987" s="15" t="s">
        <v>9404</v>
      </c>
    </row>
    <row r="1988" spans="1:9" x14ac:dyDescent="0.15">
      <c r="A1988" s="15" t="s">
        <v>9540</v>
      </c>
      <c r="B1988" s="15"/>
      <c r="C1988" s="15" t="s">
        <v>40</v>
      </c>
      <c r="D1988" s="15" t="s">
        <v>41</v>
      </c>
      <c r="E1988" s="15" t="s">
        <v>9541</v>
      </c>
      <c r="F1988" s="15" t="s">
        <v>9543</v>
      </c>
      <c r="G1988" s="15" t="s">
        <v>9542</v>
      </c>
      <c r="H1988" s="15" t="s">
        <v>9544</v>
      </c>
      <c r="I1988" s="15" t="s">
        <v>9404</v>
      </c>
    </row>
    <row r="1989" spans="1:9" x14ac:dyDescent="0.15">
      <c r="A1989" s="15" t="s">
        <v>9545</v>
      </c>
      <c r="B1989" s="15"/>
      <c r="C1989" s="15" t="s">
        <v>40</v>
      </c>
      <c r="D1989" s="15" t="s">
        <v>41</v>
      </c>
      <c r="E1989" s="15" t="s">
        <v>9546</v>
      </c>
      <c r="F1989" s="15" t="s">
        <v>52</v>
      </c>
      <c r="G1989" s="15" t="s">
        <v>9547</v>
      </c>
      <c r="H1989" s="15" t="s">
        <v>9548</v>
      </c>
      <c r="I1989" s="15" t="s">
        <v>9404</v>
      </c>
    </row>
    <row r="1990" spans="1:9" x14ac:dyDescent="0.15">
      <c r="A1990" s="15" t="s">
        <v>9549</v>
      </c>
      <c r="B1990" s="15"/>
      <c r="C1990" s="15" t="s">
        <v>40</v>
      </c>
      <c r="D1990" s="15" t="s">
        <v>41</v>
      </c>
      <c r="E1990" s="15" t="s">
        <v>9550</v>
      </c>
      <c r="F1990" s="15" t="s">
        <v>9551</v>
      </c>
      <c r="G1990" s="15" t="s">
        <v>9417</v>
      </c>
      <c r="H1990" s="15" t="s">
        <v>9552</v>
      </c>
      <c r="I1990" s="15" t="s">
        <v>9404</v>
      </c>
    </row>
    <row r="1991" spans="1:9" x14ac:dyDescent="0.15">
      <c r="A1991" s="15" t="s">
        <v>9553</v>
      </c>
      <c r="B1991" s="15"/>
      <c r="C1991" s="15" t="s">
        <v>40</v>
      </c>
      <c r="D1991" s="15" t="s">
        <v>41</v>
      </c>
      <c r="E1991" s="15" t="s">
        <v>9554</v>
      </c>
      <c r="F1991" s="15" t="s">
        <v>9555</v>
      </c>
      <c r="G1991" s="15" t="s">
        <v>9417</v>
      </c>
      <c r="H1991" s="15" t="s">
        <v>9556</v>
      </c>
      <c r="I1991" s="15" t="s">
        <v>9404</v>
      </c>
    </row>
    <row r="1992" spans="1:9" x14ac:dyDescent="0.15">
      <c r="A1992" s="15" t="s">
        <v>9557</v>
      </c>
      <c r="B1992" s="15"/>
      <c r="C1992" s="15" t="s">
        <v>40</v>
      </c>
      <c r="D1992" s="15" t="s">
        <v>41</v>
      </c>
      <c r="E1992" s="15" t="s">
        <v>9558</v>
      </c>
      <c r="F1992" s="15" t="s">
        <v>9559</v>
      </c>
      <c r="G1992" s="15" t="s">
        <v>9417</v>
      </c>
      <c r="H1992" s="15" t="s">
        <v>9560</v>
      </c>
      <c r="I1992" s="15" t="s">
        <v>9404</v>
      </c>
    </row>
    <row r="1993" spans="1:9" x14ac:dyDescent="0.15">
      <c r="A1993" s="15" t="s">
        <v>9561</v>
      </c>
      <c r="B1993" s="15"/>
      <c r="C1993" s="15" t="s">
        <v>40</v>
      </c>
      <c r="D1993" s="15" t="s">
        <v>41</v>
      </c>
      <c r="E1993" s="15" t="s">
        <v>9562</v>
      </c>
      <c r="F1993" s="15" t="s">
        <v>9563</v>
      </c>
      <c r="G1993" s="15" t="s">
        <v>9417</v>
      </c>
      <c r="H1993" s="15" t="s">
        <v>9564</v>
      </c>
      <c r="I1993" s="15" t="s">
        <v>9404</v>
      </c>
    </row>
    <row r="1994" spans="1:9" x14ac:dyDescent="0.15">
      <c r="A1994" s="15" t="s">
        <v>9565</v>
      </c>
      <c r="B1994" s="15"/>
      <c r="C1994" s="15" t="s">
        <v>40</v>
      </c>
      <c r="D1994" s="15" t="s">
        <v>41</v>
      </c>
      <c r="E1994" s="15" t="s">
        <v>9566</v>
      </c>
      <c r="F1994" s="15" t="s">
        <v>9568</v>
      </c>
      <c r="G1994" s="15" t="s">
        <v>9567</v>
      </c>
      <c r="H1994" s="15" t="s">
        <v>9569</v>
      </c>
      <c r="I1994" s="15" t="s">
        <v>9404</v>
      </c>
    </row>
    <row r="1995" spans="1:9" x14ac:dyDescent="0.15">
      <c r="A1995" s="15" t="s">
        <v>9570</v>
      </c>
      <c r="B1995" s="15"/>
      <c r="C1995" s="15" t="s">
        <v>40</v>
      </c>
      <c r="D1995" s="15" t="s">
        <v>41</v>
      </c>
      <c r="E1995" s="15" t="s">
        <v>9571</v>
      </c>
      <c r="F1995" s="15" t="s">
        <v>9572</v>
      </c>
      <c r="G1995" s="15" t="s">
        <v>9417</v>
      </c>
      <c r="H1995" s="15" t="s">
        <v>9573</v>
      </c>
      <c r="I1995" s="15" t="s">
        <v>9404</v>
      </c>
    </row>
    <row r="1996" spans="1:9" x14ac:dyDescent="0.15">
      <c r="A1996" s="15" t="s">
        <v>9574</v>
      </c>
      <c r="B1996" s="15"/>
      <c r="C1996" s="15" t="s">
        <v>40</v>
      </c>
      <c r="D1996" s="15" t="s">
        <v>41</v>
      </c>
      <c r="E1996" s="15" t="s">
        <v>9575</v>
      </c>
      <c r="F1996" s="15" t="s">
        <v>9576</v>
      </c>
      <c r="G1996" s="15" t="s">
        <v>9407</v>
      </c>
      <c r="H1996" s="15" t="s">
        <v>9577</v>
      </c>
      <c r="I1996" s="15" t="s">
        <v>9404</v>
      </c>
    </row>
    <row r="1997" spans="1:9" x14ac:dyDescent="0.15">
      <c r="A1997" s="15" t="s">
        <v>9578</v>
      </c>
      <c r="B1997" s="15"/>
      <c r="C1997" s="15" t="s">
        <v>40</v>
      </c>
      <c r="D1997" s="15" t="s">
        <v>41</v>
      </c>
      <c r="E1997" s="15" t="s">
        <v>9579</v>
      </c>
      <c r="F1997" s="15" t="s">
        <v>9580</v>
      </c>
      <c r="G1997" s="15" t="s">
        <v>9465</v>
      </c>
      <c r="H1997" s="15" t="s">
        <v>9581</v>
      </c>
      <c r="I1997" s="15" t="s">
        <v>9404</v>
      </c>
    </row>
    <row r="1998" spans="1:9" x14ac:dyDescent="0.15">
      <c r="A1998" s="15" t="s">
        <v>9582</v>
      </c>
      <c r="B1998" s="15"/>
      <c r="C1998" s="15" t="s">
        <v>40</v>
      </c>
      <c r="D1998" s="15" t="s">
        <v>41</v>
      </c>
      <c r="E1998" s="15" t="s">
        <v>9583</v>
      </c>
      <c r="F1998" s="15" t="s">
        <v>9584</v>
      </c>
      <c r="G1998" s="15" t="s">
        <v>4514</v>
      </c>
      <c r="H1998" s="15" t="s">
        <v>9585</v>
      </c>
      <c r="I1998" s="15" t="s">
        <v>9404</v>
      </c>
    </row>
    <row r="1999" spans="1:9" x14ac:dyDescent="0.15">
      <c r="A1999" s="15" t="s">
        <v>9586</v>
      </c>
      <c r="B1999" s="15"/>
      <c r="C1999" s="15" t="s">
        <v>40</v>
      </c>
      <c r="D1999" s="15" t="s">
        <v>41</v>
      </c>
      <c r="E1999" s="15" t="s">
        <v>9587</v>
      </c>
      <c r="F1999" s="15" t="s">
        <v>9589</v>
      </c>
      <c r="G1999" s="15" t="s">
        <v>9588</v>
      </c>
      <c r="H1999" s="15" t="s">
        <v>9590</v>
      </c>
      <c r="I1999" s="15" t="s">
        <v>9404</v>
      </c>
    </row>
    <row r="2000" spans="1:9" x14ac:dyDescent="0.15">
      <c r="A2000" s="15" t="s">
        <v>9591</v>
      </c>
      <c r="B2000" s="15"/>
      <c r="C2000" s="15" t="s">
        <v>40</v>
      </c>
      <c r="D2000" s="15" t="s">
        <v>41</v>
      </c>
      <c r="E2000" s="15" t="s">
        <v>9592</v>
      </c>
      <c r="F2000" s="15" t="s">
        <v>9594</v>
      </c>
      <c r="G2000" s="15" t="s">
        <v>9593</v>
      </c>
      <c r="H2000" s="15" t="s">
        <v>9595</v>
      </c>
      <c r="I2000" s="15" t="s">
        <v>9404</v>
      </c>
    </row>
    <row r="2001" spans="1:9" x14ac:dyDescent="0.15">
      <c r="A2001" s="15" t="s">
        <v>9596</v>
      </c>
      <c r="B2001" s="15"/>
      <c r="C2001" s="15" t="s">
        <v>40</v>
      </c>
      <c r="D2001" s="15" t="s">
        <v>41</v>
      </c>
      <c r="E2001" s="15" t="s">
        <v>9597</v>
      </c>
      <c r="F2001" s="15" t="s">
        <v>9599</v>
      </c>
      <c r="G2001" s="15" t="s">
        <v>9598</v>
      </c>
      <c r="H2001" s="15" t="s">
        <v>9600</v>
      </c>
      <c r="I2001" s="15" t="s">
        <v>9404</v>
      </c>
    </row>
    <row r="2002" spans="1:9" x14ac:dyDescent="0.15">
      <c r="A2002" s="15" t="s">
        <v>9601</v>
      </c>
      <c r="B2002" s="15"/>
      <c r="C2002" s="15" t="s">
        <v>40</v>
      </c>
      <c r="D2002" s="15" t="s">
        <v>41</v>
      </c>
      <c r="E2002" s="15" t="s">
        <v>9602</v>
      </c>
      <c r="F2002" s="15" t="s">
        <v>9604</v>
      </c>
      <c r="G2002" s="15" t="s">
        <v>9603</v>
      </c>
      <c r="H2002" s="15" t="s">
        <v>9605</v>
      </c>
      <c r="I2002" s="15" t="s">
        <v>9404</v>
      </c>
    </row>
    <row r="2003" spans="1:9" x14ac:dyDescent="0.15">
      <c r="A2003" s="15" t="s">
        <v>9606</v>
      </c>
      <c r="B2003" s="15"/>
      <c r="C2003" s="15" t="s">
        <v>40</v>
      </c>
      <c r="D2003" s="15" t="s">
        <v>41</v>
      </c>
      <c r="E2003" s="15" t="s">
        <v>9607</v>
      </c>
      <c r="F2003" s="15" t="s">
        <v>9609</v>
      </c>
      <c r="G2003" s="15" t="s">
        <v>9608</v>
      </c>
      <c r="H2003" s="15" t="s">
        <v>9610</v>
      </c>
      <c r="I2003" s="15" t="s">
        <v>9404</v>
      </c>
    </row>
    <row r="2004" spans="1:9" x14ac:dyDescent="0.15">
      <c r="A2004" s="15" t="s">
        <v>9611</v>
      </c>
      <c r="B2004" s="15"/>
      <c r="C2004" s="15" t="s">
        <v>40</v>
      </c>
      <c r="D2004" s="15" t="s">
        <v>41</v>
      </c>
      <c r="E2004" s="15" t="s">
        <v>9612</v>
      </c>
      <c r="F2004" s="15" t="s">
        <v>9614</v>
      </c>
      <c r="G2004" s="15" t="s">
        <v>9613</v>
      </c>
      <c r="H2004" s="15" t="s">
        <v>9615</v>
      </c>
      <c r="I2004" s="15" t="s">
        <v>9404</v>
      </c>
    </row>
    <row r="2005" spans="1:9" x14ac:dyDescent="0.15">
      <c r="A2005" s="15" t="s">
        <v>9616</v>
      </c>
      <c r="B2005" s="15"/>
      <c r="C2005" s="15" t="s">
        <v>40</v>
      </c>
      <c r="D2005" s="15" t="s">
        <v>41</v>
      </c>
      <c r="E2005" s="15" t="s">
        <v>9617</v>
      </c>
      <c r="F2005" s="15" t="s">
        <v>9619</v>
      </c>
      <c r="G2005" s="15" t="s">
        <v>9618</v>
      </c>
      <c r="H2005" s="15" t="s">
        <v>9620</v>
      </c>
      <c r="I2005" s="15" t="s">
        <v>9404</v>
      </c>
    </row>
    <row r="2006" spans="1:9" x14ac:dyDescent="0.15">
      <c r="A2006" s="15" t="s">
        <v>9621</v>
      </c>
      <c r="B2006" s="15"/>
      <c r="C2006" s="15" t="s">
        <v>40</v>
      </c>
      <c r="D2006" s="15" t="s">
        <v>41</v>
      </c>
      <c r="E2006" s="15" t="s">
        <v>9622</v>
      </c>
      <c r="F2006" s="15" t="s">
        <v>9624</v>
      </c>
      <c r="G2006" s="15" t="s">
        <v>9623</v>
      </c>
      <c r="H2006" s="15" t="s">
        <v>9625</v>
      </c>
      <c r="I2006" s="15" t="s">
        <v>9404</v>
      </c>
    </row>
    <row r="2007" spans="1:9" x14ac:dyDescent="0.15">
      <c r="A2007" s="15" t="s">
        <v>9626</v>
      </c>
      <c r="B2007" s="15"/>
      <c r="C2007" s="15" t="s">
        <v>40</v>
      </c>
      <c r="D2007" s="15" t="s">
        <v>41</v>
      </c>
      <c r="E2007" s="15" t="s">
        <v>9627</v>
      </c>
      <c r="F2007" s="15" t="s">
        <v>9629</v>
      </c>
      <c r="G2007" s="15" t="s">
        <v>9628</v>
      </c>
      <c r="H2007" s="15" t="s">
        <v>9630</v>
      </c>
      <c r="I2007" s="15" t="s">
        <v>9404</v>
      </c>
    </row>
    <row r="2008" spans="1:9" x14ac:dyDescent="0.15">
      <c r="A2008" s="15" t="s">
        <v>9631</v>
      </c>
      <c r="B2008" s="15"/>
      <c r="C2008" s="15" t="s">
        <v>40</v>
      </c>
      <c r="D2008" s="15" t="s">
        <v>41</v>
      </c>
      <c r="E2008" s="15" t="s">
        <v>9632</v>
      </c>
      <c r="F2008" s="15" t="s">
        <v>9634</v>
      </c>
      <c r="G2008" s="15" t="s">
        <v>9633</v>
      </c>
      <c r="H2008" s="15" t="s">
        <v>9635</v>
      </c>
      <c r="I2008" s="15" t="s">
        <v>9404</v>
      </c>
    </row>
    <row r="2009" spans="1:9" x14ac:dyDescent="0.15">
      <c r="A2009" s="15" t="s">
        <v>9636</v>
      </c>
      <c r="B2009" s="15"/>
      <c r="C2009" s="15" t="s">
        <v>40</v>
      </c>
      <c r="D2009" s="15" t="s">
        <v>41</v>
      </c>
      <c r="E2009" s="15" t="s">
        <v>9637</v>
      </c>
      <c r="F2009" s="15" t="s">
        <v>9638</v>
      </c>
      <c r="G2009" s="15" t="s">
        <v>25</v>
      </c>
      <c r="H2009" s="15" t="s">
        <v>9639</v>
      </c>
      <c r="I2009" s="15" t="s">
        <v>9404</v>
      </c>
    </row>
    <row r="2010" spans="1:9" x14ac:dyDescent="0.15">
      <c r="A2010" s="15" t="s">
        <v>9640</v>
      </c>
      <c r="B2010" s="15"/>
      <c r="C2010" s="15" t="s">
        <v>40</v>
      </c>
      <c r="D2010" s="15" t="s">
        <v>41</v>
      </c>
      <c r="E2010" s="15" t="s">
        <v>9641</v>
      </c>
      <c r="F2010" s="15" t="s">
        <v>9643</v>
      </c>
      <c r="G2010" s="15" t="s">
        <v>9642</v>
      </c>
      <c r="H2010" s="15" t="s">
        <v>9644</v>
      </c>
      <c r="I2010" s="15" t="s">
        <v>9404</v>
      </c>
    </row>
    <row r="2011" spans="1:9" x14ac:dyDescent="0.15">
      <c r="A2011" s="15" t="s">
        <v>9645</v>
      </c>
      <c r="B2011" s="15"/>
      <c r="C2011" s="15" t="s">
        <v>40</v>
      </c>
      <c r="D2011" s="15" t="s">
        <v>41</v>
      </c>
      <c r="E2011" s="15" t="s">
        <v>9646</v>
      </c>
      <c r="F2011" s="15" t="s">
        <v>9648</v>
      </c>
      <c r="G2011" s="15" t="s">
        <v>9647</v>
      </c>
      <c r="H2011" s="15" t="s">
        <v>9649</v>
      </c>
      <c r="I2011" s="15" t="s">
        <v>9404</v>
      </c>
    </row>
    <row r="2012" spans="1:9" x14ac:dyDescent="0.15">
      <c r="A2012" s="15" t="s">
        <v>9650</v>
      </c>
      <c r="B2012" s="15"/>
      <c r="C2012" s="15" t="s">
        <v>40</v>
      </c>
      <c r="D2012" s="15" t="s">
        <v>41</v>
      </c>
      <c r="E2012" s="15" t="s">
        <v>9651</v>
      </c>
      <c r="F2012" s="15" t="s">
        <v>9653</v>
      </c>
      <c r="G2012" s="15" t="s">
        <v>9652</v>
      </c>
      <c r="H2012" s="15" t="s">
        <v>9654</v>
      </c>
      <c r="I2012" s="15" t="s">
        <v>9404</v>
      </c>
    </row>
    <row r="2013" spans="1:9" x14ac:dyDescent="0.15">
      <c r="A2013" s="15" t="s">
        <v>9655</v>
      </c>
      <c r="B2013" s="15"/>
      <c r="C2013" s="15" t="s">
        <v>40</v>
      </c>
      <c r="D2013" s="15" t="s">
        <v>41</v>
      </c>
      <c r="E2013" s="15" t="s">
        <v>9656</v>
      </c>
      <c r="F2013" s="15" t="s">
        <v>9658</v>
      </c>
      <c r="G2013" s="15" t="s">
        <v>9657</v>
      </c>
      <c r="H2013" s="15" t="s">
        <v>9659</v>
      </c>
      <c r="I2013" s="15" t="s">
        <v>9404</v>
      </c>
    </row>
    <row r="2014" spans="1:9" x14ac:dyDescent="0.15">
      <c r="A2014" s="15" t="s">
        <v>9660</v>
      </c>
      <c r="B2014" s="15"/>
      <c r="C2014" s="15" t="s">
        <v>40</v>
      </c>
      <c r="D2014" s="15" t="s">
        <v>41</v>
      </c>
      <c r="E2014" s="15" t="s">
        <v>9661</v>
      </c>
      <c r="F2014" s="15" t="s">
        <v>9663</v>
      </c>
      <c r="G2014" s="15" t="s">
        <v>9662</v>
      </c>
      <c r="H2014" s="15" t="s">
        <v>9664</v>
      </c>
      <c r="I2014" s="15" t="s">
        <v>9404</v>
      </c>
    </row>
    <row r="2015" spans="1:9" x14ac:dyDescent="0.15">
      <c r="A2015" s="15" t="s">
        <v>9665</v>
      </c>
      <c r="B2015" s="15"/>
      <c r="C2015" s="15" t="s">
        <v>40</v>
      </c>
      <c r="D2015" s="15" t="s">
        <v>41</v>
      </c>
      <c r="E2015" s="15" t="s">
        <v>9666</v>
      </c>
      <c r="F2015" s="15" t="s">
        <v>9667</v>
      </c>
      <c r="G2015" s="15" t="s">
        <v>9407</v>
      </c>
      <c r="H2015" s="15" t="s">
        <v>9668</v>
      </c>
      <c r="I2015" s="15" t="s">
        <v>9404</v>
      </c>
    </row>
    <row r="2016" spans="1:9" x14ac:dyDescent="0.15">
      <c r="A2016" s="15" t="s">
        <v>9669</v>
      </c>
      <c r="B2016" s="15"/>
      <c r="C2016" s="15" t="s">
        <v>40</v>
      </c>
      <c r="D2016" s="15" t="s">
        <v>41</v>
      </c>
      <c r="E2016" s="15" t="s">
        <v>9670</v>
      </c>
      <c r="F2016" s="15" t="s">
        <v>9672</v>
      </c>
      <c r="G2016" s="15" t="s">
        <v>9671</v>
      </c>
      <c r="H2016" s="15" t="s">
        <v>9673</v>
      </c>
      <c r="I2016" s="15" t="s">
        <v>9404</v>
      </c>
    </row>
    <row r="2017" spans="1:9" x14ac:dyDescent="0.15">
      <c r="A2017" s="15" t="s">
        <v>9674</v>
      </c>
      <c r="B2017" s="15"/>
      <c r="C2017" s="15" t="s">
        <v>40</v>
      </c>
      <c r="D2017" s="15" t="s">
        <v>41</v>
      </c>
      <c r="E2017" s="15" t="s">
        <v>9675</v>
      </c>
      <c r="F2017" s="15" t="s">
        <v>9676</v>
      </c>
      <c r="G2017" s="15" t="s">
        <v>22</v>
      </c>
      <c r="H2017" s="15" t="s">
        <v>9677</v>
      </c>
      <c r="I2017" s="15" t="s">
        <v>9404</v>
      </c>
    </row>
    <row r="2018" spans="1:9" x14ac:dyDescent="0.15">
      <c r="A2018" s="15" t="s">
        <v>9678</v>
      </c>
      <c r="B2018" s="15"/>
      <c r="C2018" s="15" t="s">
        <v>40</v>
      </c>
      <c r="D2018" s="15" t="s">
        <v>41</v>
      </c>
      <c r="E2018" s="15" t="s">
        <v>9679</v>
      </c>
      <c r="F2018" s="15" t="s">
        <v>9680</v>
      </c>
      <c r="G2018" s="15" t="s">
        <v>9446</v>
      </c>
      <c r="H2018" s="15" t="s">
        <v>9681</v>
      </c>
      <c r="I2018" s="15" t="s">
        <v>9404</v>
      </c>
    </row>
    <row r="2019" spans="1:9" x14ac:dyDescent="0.15">
      <c r="A2019" s="15" t="s">
        <v>9682</v>
      </c>
      <c r="B2019" s="15"/>
      <c r="C2019" s="15" t="s">
        <v>40</v>
      </c>
      <c r="D2019" s="15" t="s">
        <v>41</v>
      </c>
      <c r="E2019" s="15" t="s">
        <v>9683</v>
      </c>
      <c r="F2019" s="15" t="s">
        <v>9684</v>
      </c>
      <c r="G2019" s="15" t="s">
        <v>9652</v>
      </c>
      <c r="H2019" s="15" t="s">
        <v>9685</v>
      </c>
      <c r="I2019" s="15" t="s">
        <v>9404</v>
      </c>
    </row>
    <row r="2020" spans="1:9" x14ac:dyDescent="0.15">
      <c r="A2020" s="15" t="s">
        <v>9686</v>
      </c>
      <c r="B2020" s="15"/>
      <c r="C2020" s="15" t="s">
        <v>40</v>
      </c>
      <c r="D2020" s="15" t="s">
        <v>41</v>
      </c>
      <c r="E2020" s="15" t="s">
        <v>9687</v>
      </c>
      <c r="F2020" s="15" t="s">
        <v>9689</v>
      </c>
      <c r="G2020" s="15" t="s">
        <v>9688</v>
      </c>
      <c r="H2020" s="15" t="s">
        <v>9690</v>
      </c>
      <c r="I2020" s="15" t="s">
        <v>9404</v>
      </c>
    </row>
    <row r="2021" spans="1:9" x14ac:dyDescent="0.15">
      <c r="A2021" s="15" t="s">
        <v>9691</v>
      </c>
      <c r="B2021" s="15"/>
      <c r="C2021" s="15" t="s">
        <v>40</v>
      </c>
      <c r="D2021" s="15" t="s">
        <v>41</v>
      </c>
      <c r="E2021" s="15" t="s">
        <v>9692</v>
      </c>
      <c r="F2021" s="15" t="s">
        <v>52</v>
      </c>
      <c r="G2021" s="15" t="s">
        <v>9693</v>
      </c>
      <c r="H2021" s="15" t="s">
        <v>9694</v>
      </c>
      <c r="I2021" s="15" t="s">
        <v>9404</v>
      </c>
    </row>
    <row r="2022" spans="1:9" x14ac:dyDescent="0.15">
      <c r="A2022" s="15" t="s">
        <v>9695</v>
      </c>
      <c r="B2022" s="15"/>
      <c r="C2022" s="15" t="s">
        <v>40</v>
      </c>
      <c r="D2022" s="15" t="s">
        <v>41</v>
      </c>
      <c r="E2022" s="15" t="s">
        <v>9696</v>
      </c>
      <c r="F2022" s="15" t="s">
        <v>9697</v>
      </c>
      <c r="G2022" s="15" t="s">
        <v>9652</v>
      </c>
      <c r="H2022" s="15" t="s">
        <v>9698</v>
      </c>
      <c r="I2022" s="15" t="s">
        <v>9404</v>
      </c>
    </row>
    <row r="2023" spans="1:9" x14ac:dyDescent="0.15">
      <c r="A2023" s="15" t="s">
        <v>9699</v>
      </c>
      <c r="B2023" s="15"/>
      <c r="C2023" s="15" t="s">
        <v>40</v>
      </c>
      <c r="D2023" s="15" t="s">
        <v>41</v>
      </c>
      <c r="E2023" s="15" t="s">
        <v>9700</v>
      </c>
      <c r="F2023" s="15" t="s">
        <v>9702</v>
      </c>
      <c r="G2023" s="15" t="s">
        <v>9701</v>
      </c>
      <c r="H2023" s="15" t="s">
        <v>9703</v>
      </c>
      <c r="I2023" s="15" t="s">
        <v>9404</v>
      </c>
    </row>
    <row r="2024" spans="1:9" x14ac:dyDescent="0.15">
      <c r="A2024" s="15" t="s">
        <v>9704</v>
      </c>
      <c r="B2024" s="15"/>
      <c r="C2024" s="15" t="s">
        <v>40</v>
      </c>
      <c r="D2024" s="15" t="s">
        <v>41</v>
      </c>
      <c r="E2024" s="15" t="s">
        <v>9705</v>
      </c>
      <c r="F2024" s="15" t="s">
        <v>9706</v>
      </c>
      <c r="G2024" s="15" t="s">
        <v>9688</v>
      </c>
      <c r="H2024" s="15" t="s">
        <v>9707</v>
      </c>
      <c r="I2024" s="15" t="s">
        <v>9404</v>
      </c>
    </row>
    <row r="2025" spans="1:9" x14ac:dyDescent="0.15">
      <c r="A2025" s="15" t="s">
        <v>9708</v>
      </c>
      <c r="B2025" s="15"/>
      <c r="C2025" s="15" t="s">
        <v>40</v>
      </c>
      <c r="D2025" s="15" t="s">
        <v>41</v>
      </c>
      <c r="E2025" s="15" t="s">
        <v>9709</v>
      </c>
      <c r="F2025" s="15" t="s">
        <v>52</v>
      </c>
      <c r="G2025" s="15" t="s">
        <v>9710</v>
      </c>
      <c r="H2025" s="15" t="s">
        <v>9711</v>
      </c>
      <c r="I2025" s="15" t="s">
        <v>9404</v>
      </c>
    </row>
    <row r="2026" spans="1:9" x14ac:dyDescent="0.15">
      <c r="A2026" s="15" t="s">
        <v>9712</v>
      </c>
      <c r="B2026" s="15"/>
      <c r="C2026" s="15" t="s">
        <v>40</v>
      </c>
      <c r="D2026" s="15" t="s">
        <v>41</v>
      </c>
      <c r="E2026" s="15" t="s">
        <v>9713</v>
      </c>
      <c r="F2026" s="15" t="s">
        <v>9714</v>
      </c>
      <c r="G2026" s="15" t="s">
        <v>9407</v>
      </c>
      <c r="H2026" s="15" t="s">
        <v>9715</v>
      </c>
      <c r="I2026" s="15" t="s">
        <v>9404</v>
      </c>
    </row>
    <row r="2027" spans="1:9" x14ac:dyDescent="0.15">
      <c r="A2027" s="15" t="s">
        <v>9716</v>
      </c>
      <c r="B2027" s="15"/>
      <c r="C2027" s="15" t="s">
        <v>40</v>
      </c>
      <c r="D2027" s="15" t="s">
        <v>41</v>
      </c>
      <c r="E2027" s="15" t="s">
        <v>9717</v>
      </c>
      <c r="F2027" s="15" t="s">
        <v>9718</v>
      </c>
      <c r="G2027" s="15" t="s">
        <v>9412</v>
      </c>
      <c r="H2027" s="15" t="s">
        <v>9719</v>
      </c>
      <c r="I2027" s="15" t="s">
        <v>9404</v>
      </c>
    </row>
    <row r="2028" spans="1:9" x14ac:dyDescent="0.15">
      <c r="A2028" s="15" t="s">
        <v>9720</v>
      </c>
      <c r="B2028" s="15"/>
      <c r="C2028" s="15" t="s">
        <v>40</v>
      </c>
      <c r="D2028" s="15" t="s">
        <v>41</v>
      </c>
      <c r="E2028" s="15" t="s">
        <v>9721</v>
      </c>
      <c r="F2028" s="15" t="s">
        <v>9723</v>
      </c>
      <c r="G2028" s="15" t="s">
        <v>9722</v>
      </c>
      <c r="H2028" s="15" t="s">
        <v>9724</v>
      </c>
      <c r="I2028" s="15" t="s">
        <v>9404</v>
      </c>
    </row>
    <row r="2029" spans="1:9" x14ac:dyDescent="0.15">
      <c r="A2029" s="15" t="s">
        <v>9725</v>
      </c>
      <c r="B2029" s="15"/>
      <c r="C2029" s="15" t="s">
        <v>40</v>
      </c>
      <c r="D2029" s="15" t="s">
        <v>41</v>
      </c>
      <c r="E2029" s="15" t="s">
        <v>9726</v>
      </c>
      <c r="F2029" s="15" t="s">
        <v>9728</v>
      </c>
      <c r="G2029" s="15" t="s">
        <v>9727</v>
      </c>
      <c r="H2029" s="15" t="s">
        <v>9729</v>
      </c>
      <c r="I2029" s="15" t="s">
        <v>9404</v>
      </c>
    </row>
    <row r="2030" spans="1:9" x14ac:dyDescent="0.15">
      <c r="A2030" s="15" t="s">
        <v>9730</v>
      </c>
      <c r="B2030" s="15"/>
      <c r="C2030" s="15" t="s">
        <v>40</v>
      </c>
      <c r="D2030" s="15" t="s">
        <v>41</v>
      </c>
      <c r="E2030" s="15" t="s">
        <v>9731</v>
      </c>
      <c r="F2030" s="15" t="s">
        <v>9732</v>
      </c>
      <c r="G2030" s="15" t="s">
        <v>9407</v>
      </c>
      <c r="H2030" s="15" t="s">
        <v>9733</v>
      </c>
      <c r="I2030" s="15" t="s">
        <v>9404</v>
      </c>
    </row>
    <row r="2031" spans="1:9" x14ac:dyDescent="0.15">
      <c r="A2031" s="15" t="s">
        <v>9734</v>
      </c>
      <c r="B2031" s="15"/>
      <c r="C2031" s="15" t="s">
        <v>40</v>
      </c>
      <c r="D2031" s="15" t="s">
        <v>41</v>
      </c>
      <c r="E2031" s="15" t="s">
        <v>9735</v>
      </c>
      <c r="F2031" s="15" t="s">
        <v>9737</v>
      </c>
      <c r="G2031" s="15" t="s">
        <v>9736</v>
      </c>
      <c r="H2031" s="15" t="s">
        <v>9738</v>
      </c>
      <c r="I2031" s="15" t="s">
        <v>9404</v>
      </c>
    </row>
    <row r="2032" spans="1:9" x14ac:dyDescent="0.15">
      <c r="A2032" s="15" t="s">
        <v>9739</v>
      </c>
      <c r="B2032" s="15"/>
      <c r="C2032" s="15" t="s">
        <v>40</v>
      </c>
      <c r="D2032" s="15" t="s">
        <v>41</v>
      </c>
      <c r="E2032" s="15" t="s">
        <v>9740</v>
      </c>
      <c r="F2032" s="15" t="s">
        <v>9742</v>
      </c>
      <c r="G2032" s="15" t="s">
        <v>9741</v>
      </c>
      <c r="H2032" s="15" t="s">
        <v>9743</v>
      </c>
      <c r="I2032" s="15" t="s">
        <v>9404</v>
      </c>
    </row>
    <row r="2033" spans="1:9" x14ac:dyDescent="0.15">
      <c r="A2033" s="15" t="s">
        <v>9744</v>
      </c>
      <c r="B2033" s="15"/>
      <c r="C2033" s="15" t="s">
        <v>40</v>
      </c>
      <c r="D2033" s="15" t="s">
        <v>41</v>
      </c>
      <c r="E2033" s="15" t="s">
        <v>9745</v>
      </c>
      <c r="F2033" s="15" t="s">
        <v>9747</v>
      </c>
      <c r="G2033" s="15" t="s">
        <v>9746</v>
      </c>
      <c r="H2033" s="15" t="s">
        <v>9748</v>
      </c>
      <c r="I2033" s="15" t="s">
        <v>9404</v>
      </c>
    </row>
    <row r="2034" spans="1:9" x14ac:dyDescent="0.15">
      <c r="A2034" s="15" t="s">
        <v>9749</v>
      </c>
      <c r="B2034" s="15"/>
      <c r="C2034" s="15" t="s">
        <v>40</v>
      </c>
      <c r="D2034" s="15" t="s">
        <v>41</v>
      </c>
      <c r="E2034" s="15" t="s">
        <v>9750</v>
      </c>
      <c r="F2034" s="15" t="s">
        <v>9751</v>
      </c>
      <c r="G2034" s="15" t="s">
        <v>9652</v>
      </c>
      <c r="H2034" s="15" t="s">
        <v>9752</v>
      </c>
      <c r="I2034" s="15" t="s">
        <v>9404</v>
      </c>
    </row>
    <row r="2035" spans="1:9" x14ac:dyDescent="0.15">
      <c r="A2035" s="15" t="s">
        <v>9753</v>
      </c>
      <c r="B2035" s="15"/>
      <c r="C2035" s="15" t="s">
        <v>40</v>
      </c>
      <c r="D2035" s="15" t="s">
        <v>41</v>
      </c>
      <c r="E2035" s="15" t="s">
        <v>9754</v>
      </c>
      <c r="F2035" s="15" t="s">
        <v>9756</v>
      </c>
      <c r="G2035" s="15" t="s">
        <v>9755</v>
      </c>
      <c r="H2035" s="15" t="s">
        <v>9757</v>
      </c>
      <c r="I2035" s="15" t="s">
        <v>9404</v>
      </c>
    </row>
    <row r="2036" spans="1:9" x14ac:dyDescent="0.15">
      <c r="A2036" s="15" t="s">
        <v>9758</v>
      </c>
      <c r="B2036" s="15"/>
      <c r="C2036" s="15" t="s">
        <v>40</v>
      </c>
      <c r="D2036" s="15" t="s">
        <v>41</v>
      </c>
      <c r="E2036" s="15" t="s">
        <v>9759</v>
      </c>
      <c r="F2036" s="15" t="s">
        <v>9760</v>
      </c>
      <c r="G2036" s="15" t="s">
        <v>9755</v>
      </c>
      <c r="H2036" s="15" t="s">
        <v>9761</v>
      </c>
      <c r="I2036" s="15" t="s">
        <v>9404</v>
      </c>
    </row>
    <row r="2037" spans="1:9" x14ac:dyDescent="0.15">
      <c r="A2037" s="15" t="s">
        <v>9762</v>
      </c>
      <c r="B2037" s="15"/>
      <c r="C2037" s="15" t="s">
        <v>40</v>
      </c>
      <c r="D2037" s="15" t="s">
        <v>41</v>
      </c>
      <c r="E2037" s="15" t="s">
        <v>9763</v>
      </c>
      <c r="F2037" s="15" t="s">
        <v>9765</v>
      </c>
      <c r="G2037" s="15" t="s">
        <v>9764</v>
      </c>
      <c r="H2037" s="15" t="s">
        <v>9766</v>
      </c>
      <c r="I2037" s="15" t="s">
        <v>9404</v>
      </c>
    </row>
    <row r="2038" spans="1:9" x14ac:dyDescent="0.15">
      <c r="A2038" s="15" t="s">
        <v>9767</v>
      </c>
      <c r="B2038" s="15"/>
      <c r="C2038" s="15" t="s">
        <v>40</v>
      </c>
      <c r="D2038" s="15" t="s">
        <v>41</v>
      </c>
      <c r="E2038" s="15" t="s">
        <v>9768</v>
      </c>
      <c r="F2038" s="15" t="s">
        <v>9770</v>
      </c>
      <c r="G2038" s="15" t="s">
        <v>9769</v>
      </c>
      <c r="H2038" s="15" t="s">
        <v>9771</v>
      </c>
      <c r="I2038" s="15" t="s">
        <v>9404</v>
      </c>
    </row>
    <row r="2039" spans="1:9" x14ac:dyDescent="0.15">
      <c r="A2039" s="15" t="s">
        <v>9772</v>
      </c>
      <c r="B2039" s="15"/>
      <c r="C2039" s="15" t="s">
        <v>40</v>
      </c>
      <c r="D2039" s="15" t="s">
        <v>41</v>
      </c>
      <c r="E2039" s="15" t="s">
        <v>9773</v>
      </c>
      <c r="F2039" s="15" t="s">
        <v>9775</v>
      </c>
      <c r="G2039" s="15" t="s">
        <v>9774</v>
      </c>
      <c r="H2039" s="15" t="s">
        <v>9776</v>
      </c>
      <c r="I2039" s="15" t="s">
        <v>9404</v>
      </c>
    </row>
    <row r="2040" spans="1:9" x14ac:dyDescent="0.15">
      <c r="A2040" s="15" t="s">
        <v>9777</v>
      </c>
      <c r="B2040" s="15"/>
      <c r="C2040" s="15" t="s">
        <v>40</v>
      </c>
      <c r="D2040" s="15" t="s">
        <v>41</v>
      </c>
      <c r="E2040" s="15" t="s">
        <v>9778</v>
      </c>
      <c r="F2040" s="15" t="s">
        <v>9779</v>
      </c>
      <c r="G2040" s="15" t="s">
        <v>9722</v>
      </c>
      <c r="H2040" s="15" t="s">
        <v>9780</v>
      </c>
      <c r="I2040" s="15" t="s">
        <v>9404</v>
      </c>
    </row>
    <row r="2041" spans="1:9" x14ac:dyDescent="0.15">
      <c r="A2041" s="15" t="s">
        <v>9781</v>
      </c>
      <c r="B2041" s="15"/>
      <c r="C2041" s="15" t="s">
        <v>40</v>
      </c>
      <c r="D2041" s="15" t="s">
        <v>41</v>
      </c>
      <c r="E2041" s="15" t="s">
        <v>9782</v>
      </c>
      <c r="F2041" s="15" t="s">
        <v>52</v>
      </c>
      <c r="G2041" s="15" t="s">
        <v>9783</v>
      </c>
      <c r="H2041" s="15" t="s">
        <v>9784</v>
      </c>
      <c r="I2041" s="15" t="s">
        <v>9404</v>
      </c>
    </row>
    <row r="2042" spans="1:9" x14ac:dyDescent="0.15">
      <c r="A2042" s="15" t="s">
        <v>9785</v>
      </c>
      <c r="B2042" s="15"/>
      <c r="C2042" s="15" t="s">
        <v>40</v>
      </c>
      <c r="D2042" s="15" t="s">
        <v>41</v>
      </c>
      <c r="E2042" s="15" t="s">
        <v>9786</v>
      </c>
      <c r="F2042" s="15" t="s">
        <v>9788</v>
      </c>
      <c r="G2042" s="15" t="s">
        <v>9787</v>
      </c>
      <c r="H2042" s="15" t="s">
        <v>9789</v>
      </c>
      <c r="I2042" s="15" t="s">
        <v>9404</v>
      </c>
    </row>
    <row r="2043" spans="1:9" x14ac:dyDescent="0.15">
      <c r="A2043" s="15" t="s">
        <v>9790</v>
      </c>
      <c r="B2043" s="15"/>
      <c r="C2043" s="15" t="s">
        <v>40</v>
      </c>
      <c r="D2043" s="15" t="s">
        <v>41</v>
      </c>
      <c r="E2043" s="15" t="s">
        <v>9791</v>
      </c>
      <c r="F2043" s="15" t="s">
        <v>9792</v>
      </c>
      <c r="G2043" s="15" t="s">
        <v>9514</v>
      </c>
      <c r="H2043" s="15" t="s">
        <v>9793</v>
      </c>
      <c r="I2043" s="15" t="s">
        <v>9404</v>
      </c>
    </row>
    <row r="2044" spans="1:9" x14ac:dyDescent="0.15">
      <c r="A2044" s="15" t="s">
        <v>9794</v>
      </c>
      <c r="B2044" s="15"/>
      <c r="C2044" s="15" t="s">
        <v>40</v>
      </c>
      <c r="D2044" s="15" t="s">
        <v>41</v>
      </c>
      <c r="E2044" s="15" t="s">
        <v>9795</v>
      </c>
      <c r="F2044" s="15" t="s">
        <v>9796</v>
      </c>
      <c r="G2044" s="15" t="s">
        <v>9446</v>
      </c>
      <c r="H2044" s="15" t="s">
        <v>9797</v>
      </c>
      <c r="I2044" s="15" t="s">
        <v>9404</v>
      </c>
    </row>
    <row r="2045" spans="1:9" x14ac:dyDescent="0.15">
      <c r="A2045" s="15" t="s">
        <v>9798</v>
      </c>
      <c r="B2045" s="15"/>
      <c r="C2045" s="15" t="s">
        <v>40</v>
      </c>
      <c r="D2045" s="15" t="s">
        <v>41</v>
      </c>
      <c r="E2045" s="15" t="s">
        <v>9799</v>
      </c>
      <c r="F2045" s="15" t="s">
        <v>9801</v>
      </c>
      <c r="G2045" s="15" t="s">
        <v>9800</v>
      </c>
      <c r="H2045" s="15" t="s">
        <v>9802</v>
      </c>
      <c r="I2045" s="15" t="s">
        <v>9404</v>
      </c>
    </row>
    <row r="2046" spans="1:9" x14ac:dyDescent="0.15">
      <c r="A2046" s="15" t="s">
        <v>9803</v>
      </c>
      <c r="B2046" s="15"/>
      <c r="C2046" s="15" t="s">
        <v>40</v>
      </c>
      <c r="D2046" s="15" t="s">
        <v>41</v>
      </c>
      <c r="E2046" s="15" t="s">
        <v>9804</v>
      </c>
      <c r="F2046" s="15" t="s">
        <v>9806</v>
      </c>
      <c r="G2046" s="15" t="s">
        <v>9805</v>
      </c>
      <c r="H2046" s="15" t="s">
        <v>223</v>
      </c>
      <c r="I2046" s="15" t="s">
        <v>9404</v>
      </c>
    </row>
    <row r="2047" spans="1:9" x14ac:dyDescent="0.15">
      <c r="A2047" s="15" t="s">
        <v>9807</v>
      </c>
      <c r="B2047" s="15"/>
      <c r="C2047" s="15" t="s">
        <v>40</v>
      </c>
      <c r="D2047" s="15" t="s">
        <v>41</v>
      </c>
      <c r="E2047" s="15" t="s">
        <v>9808</v>
      </c>
      <c r="F2047" s="15" t="s">
        <v>9809</v>
      </c>
      <c r="G2047" s="15" t="s">
        <v>9652</v>
      </c>
      <c r="H2047" s="15" t="s">
        <v>9810</v>
      </c>
      <c r="I2047" s="15" t="s">
        <v>9404</v>
      </c>
    </row>
    <row r="2048" spans="1:9" x14ac:dyDescent="0.15">
      <c r="A2048" s="15" t="s">
        <v>9811</v>
      </c>
      <c r="B2048" s="15"/>
      <c r="C2048" s="15" t="s">
        <v>40</v>
      </c>
      <c r="D2048" s="15" t="s">
        <v>41</v>
      </c>
      <c r="E2048" s="15" t="s">
        <v>9812</v>
      </c>
      <c r="F2048" s="15" t="s">
        <v>9814</v>
      </c>
      <c r="G2048" s="15" t="s">
        <v>9813</v>
      </c>
      <c r="H2048" s="15" t="s">
        <v>9815</v>
      </c>
      <c r="I2048" s="15" t="s">
        <v>9404</v>
      </c>
    </row>
    <row r="2049" spans="1:9" x14ac:dyDescent="0.15">
      <c r="A2049" s="15" t="s">
        <v>9816</v>
      </c>
      <c r="B2049" s="15"/>
      <c r="C2049" s="15" t="s">
        <v>40</v>
      </c>
      <c r="D2049" s="15" t="s">
        <v>41</v>
      </c>
      <c r="E2049" s="15" t="s">
        <v>9817</v>
      </c>
      <c r="F2049" s="15" t="s">
        <v>9819</v>
      </c>
      <c r="G2049" s="15" t="s">
        <v>9818</v>
      </c>
      <c r="H2049" s="15" t="s">
        <v>9820</v>
      </c>
      <c r="I2049" s="15" t="s">
        <v>9404</v>
      </c>
    </row>
    <row r="2050" spans="1:9" x14ac:dyDescent="0.15">
      <c r="A2050" s="15" t="s">
        <v>9821</v>
      </c>
      <c r="B2050" s="15"/>
      <c r="C2050" s="15" t="s">
        <v>40</v>
      </c>
      <c r="D2050" s="15" t="s">
        <v>41</v>
      </c>
      <c r="E2050" s="15" t="s">
        <v>9822</v>
      </c>
      <c r="F2050" s="15" t="s">
        <v>9823</v>
      </c>
      <c r="G2050" s="15" t="s">
        <v>9417</v>
      </c>
      <c r="H2050" s="15" t="s">
        <v>9824</v>
      </c>
      <c r="I2050" s="15" t="s">
        <v>9404</v>
      </c>
    </row>
    <row r="2051" spans="1:9" x14ac:dyDescent="0.15">
      <c r="A2051" s="15" t="s">
        <v>9825</v>
      </c>
      <c r="B2051" s="15"/>
      <c r="C2051" s="15" t="s">
        <v>40</v>
      </c>
      <c r="D2051" s="15" t="s">
        <v>41</v>
      </c>
      <c r="E2051" s="15" t="s">
        <v>9826</v>
      </c>
      <c r="F2051" s="15" t="s">
        <v>9827</v>
      </c>
      <c r="G2051" s="15" t="s">
        <v>9671</v>
      </c>
      <c r="H2051" s="15" t="s">
        <v>9828</v>
      </c>
      <c r="I2051" s="15" t="s">
        <v>9404</v>
      </c>
    </row>
    <row r="2052" spans="1:9" x14ac:dyDescent="0.15">
      <c r="A2052" s="15" t="s">
        <v>9829</v>
      </c>
      <c r="B2052" s="15"/>
      <c r="C2052" s="15" t="s">
        <v>40</v>
      </c>
      <c r="D2052" s="15" t="s">
        <v>41</v>
      </c>
      <c r="E2052" s="15" t="s">
        <v>9830</v>
      </c>
      <c r="F2052" s="15" t="s">
        <v>9831</v>
      </c>
      <c r="G2052" s="15" t="s">
        <v>9671</v>
      </c>
      <c r="H2052" s="15" t="s">
        <v>9832</v>
      </c>
      <c r="I2052" s="15" t="s">
        <v>9404</v>
      </c>
    </row>
    <row r="2053" spans="1:9" x14ac:dyDescent="0.15">
      <c r="A2053" s="15" t="s">
        <v>9833</v>
      </c>
      <c r="B2053" s="15"/>
      <c r="C2053" s="15" t="s">
        <v>40</v>
      </c>
      <c r="D2053" s="15" t="s">
        <v>41</v>
      </c>
      <c r="E2053" s="15" t="s">
        <v>9834</v>
      </c>
      <c r="F2053" s="15" t="s">
        <v>9835</v>
      </c>
      <c r="G2053" s="15" t="s">
        <v>9407</v>
      </c>
      <c r="H2053" s="15" t="s">
        <v>9836</v>
      </c>
      <c r="I2053" s="15" t="s">
        <v>9404</v>
      </c>
    </row>
    <row r="2054" spans="1:9" x14ac:dyDescent="0.15">
      <c r="A2054" s="15" t="s">
        <v>9837</v>
      </c>
      <c r="B2054" s="15"/>
      <c r="C2054" s="15" t="s">
        <v>40</v>
      </c>
      <c r="D2054" s="15" t="s">
        <v>41</v>
      </c>
      <c r="E2054" s="15" t="s">
        <v>9838</v>
      </c>
      <c r="F2054" s="15" t="s">
        <v>9840</v>
      </c>
      <c r="G2054" s="15" t="s">
        <v>9839</v>
      </c>
      <c r="H2054" s="15" t="s">
        <v>9841</v>
      </c>
      <c r="I2054" s="15" t="s">
        <v>9404</v>
      </c>
    </row>
    <row r="2055" spans="1:9" x14ac:dyDescent="0.15">
      <c r="A2055" s="15" t="s">
        <v>9842</v>
      </c>
      <c r="B2055" s="15"/>
      <c r="C2055" s="15" t="s">
        <v>40</v>
      </c>
      <c r="D2055" s="15" t="s">
        <v>41</v>
      </c>
      <c r="E2055" s="15" t="s">
        <v>9843</v>
      </c>
      <c r="F2055" s="15" t="s">
        <v>9845</v>
      </c>
      <c r="G2055" s="15" t="s">
        <v>9844</v>
      </c>
      <c r="H2055" s="15" t="s">
        <v>9846</v>
      </c>
      <c r="I2055" s="15" t="s">
        <v>9404</v>
      </c>
    </row>
    <row r="2056" spans="1:9" x14ac:dyDescent="0.15">
      <c r="A2056" s="15" t="s">
        <v>9847</v>
      </c>
      <c r="B2056" s="15"/>
      <c r="C2056" s="15" t="s">
        <v>40</v>
      </c>
      <c r="D2056" s="15" t="s">
        <v>41</v>
      </c>
      <c r="E2056" s="15" t="s">
        <v>9848</v>
      </c>
      <c r="F2056" s="15" t="s">
        <v>9849</v>
      </c>
      <c r="G2056" s="15" t="s">
        <v>22</v>
      </c>
      <c r="H2056" s="15" t="s">
        <v>9850</v>
      </c>
      <c r="I2056" s="15" t="s">
        <v>9404</v>
      </c>
    </row>
    <row r="2057" spans="1:9" x14ac:dyDescent="0.15">
      <c r="A2057" s="15" t="s">
        <v>9851</v>
      </c>
      <c r="B2057" s="15"/>
      <c r="C2057" s="15" t="s">
        <v>40</v>
      </c>
      <c r="D2057" s="15" t="s">
        <v>41</v>
      </c>
      <c r="E2057" s="15" t="s">
        <v>9852</v>
      </c>
      <c r="F2057" s="15" t="s">
        <v>9854</v>
      </c>
      <c r="G2057" s="15" t="s">
        <v>9853</v>
      </c>
      <c r="H2057" s="15" t="s">
        <v>9855</v>
      </c>
      <c r="I2057" s="15" t="s">
        <v>9404</v>
      </c>
    </row>
    <row r="2058" spans="1:9" x14ac:dyDescent="0.15">
      <c r="A2058" s="15" t="s">
        <v>9856</v>
      </c>
      <c r="B2058" s="15"/>
      <c r="C2058" s="15" t="s">
        <v>40</v>
      </c>
      <c r="D2058" s="15" t="s">
        <v>41</v>
      </c>
      <c r="E2058" s="15" t="s">
        <v>9857</v>
      </c>
      <c r="F2058" s="15" t="s">
        <v>9858</v>
      </c>
      <c r="G2058" s="15" t="s">
        <v>9446</v>
      </c>
      <c r="H2058" s="15" t="s">
        <v>9859</v>
      </c>
      <c r="I2058" s="15" t="s">
        <v>9404</v>
      </c>
    </row>
    <row r="2059" spans="1:9" x14ac:dyDescent="0.15">
      <c r="A2059" s="15" t="s">
        <v>9860</v>
      </c>
      <c r="B2059" s="15"/>
      <c r="C2059" s="15" t="s">
        <v>40</v>
      </c>
      <c r="D2059" s="15" t="s">
        <v>41</v>
      </c>
      <c r="E2059" s="15" t="s">
        <v>9861</v>
      </c>
      <c r="F2059" s="15" t="s">
        <v>9863</v>
      </c>
      <c r="G2059" s="15" t="s">
        <v>9862</v>
      </c>
      <c r="H2059" s="15" t="s">
        <v>9864</v>
      </c>
      <c r="I2059" s="15" t="s">
        <v>9404</v>
      </c>
    </row>
    <row r="2060" spans="1:9" x14ac:dyDescent="0.15">
      <c r="A2060" s="15" t="s">
        <v>9865</v>
      </c>
      <c r="B2060" s="15"/>
      <c r="C2060" s="15" t="s">
        <v>40</v>
      </c>
      <c r="D2060" s="15" t="s">
        <v>41</v>
      </c>
      <c r="E2060" s="15" t="s">
        <v>9866</v>
      </c>
      <c r="F2060" s="15" t="s">
        <v>9867</v>
      </c>
      <c r="G2060" s="15" t="s">
        <v>22</v>
      </c>
      <c r="H2060" s="15" t="s">
        <v>9868</v>
      </c>
      <c r="I2060" s="15" t="s">
        <v>9404</v>
      </c>
    </row>
    <row r="2061" spans="1:9" x14ac:dyDescent="0.15">
      <c r="A2061" s="15" t="s">
        <v>9869</v>
      </c>
      <c r="B2061" s="15"/>
      <c r="C2061" s="15" t="s">
        <v>40</v>
      </c>
      <c r="D2061" s="15" t="s">
        <v>41</v>
      </c>
      <c r="E2061" s="15" t="s">
        <v>9870</v>
      </c>
      <c r="F2061" s="15" t="s">
        <v>9871</v>
      </c>
      <c r="G2061" s="15" t="s">
        <v>9727</v>
      </c>
      <c r="H2061" s="15" t="s">
        <v>9872</v>
      </c>
      <c r="I2061" s="15" t="s">
        <v>9404</v>
      </c>
    </row>
    <row r="2062" spans="1:9" x14ac:dyDescent="0.15">
      <c r="A2062" s="15" t="s">
        <v>9873</v>
      </c>
      <c r="B2062" s="15"/>
      <c r="C2062" s="15" t="s">
        <v>40</v>
      </c>
      <c r="D2062" s="15" t="s">
        <v>41</v>
      </c>
      <c r="E2062" s="15" t="s">
        <v>9874</v>
      </c>
      <c r="F2062" s="15" t="s">
        <v>9875</v>
      </c>
      <c r="G2062" s="15" t="s">
        <v>9514</v>
      </c>
      <c r="H2062" s="15" t="s">
        <v>9876</v>
      </c>
      <c r="I2062" s="15" t="s">
        <v>9404</v>
      </c>
    </row>
    <row r="2063" spans="1:9" x14ac:dyDescent="0.15">
      <c r="A2063" s="15" t="s">
        <v>9877</v>
      </c>
      <c r="B2063" s="15"/>
      <c r="C2063" s="15" t="s">
        <v>40</v>
      </c>
      <c r="D2063" s="15" t="s">
        <v>41</v>
      </c>
      <c r="E2063" s="15" t="s">
        <v>9878</v>
      </c>
      <c r="F2063" s="15" t="s">
        <v>9880</v>
      </c>
      <c r="G2063" s="15" t="s">
        <v>9879</v>
      </c>
      <c r="H2063" s="15" t="s">
        <v>9881</v>
      </c>
      <c r="I2063" s="15" t="s">
        <v>9404</v>
      </c>
    </row>
    <row r="2064" spans="1:9" x14ac:dyDescent="0.15">
      <c r="A2064" s="15" t="s">
        <v>9882</v>
      </c>
      <c r="B2064" s="15"/>
      <c r="C2064" s="15" t="s">
        <v>40</v>
      </c>
      <c r="D2064" s="15" t="s">
        <v>41</v>
      </c>
      <c r="E2064" s="15" t="s">
        <v>9883</v>
      </c>
      <c r="F2064" s="15" t="s">
        <v>9885</v>
      </c>
      <c r="G2064" s="15" t="s">
        <v>9884</v>
      </c>
      <c r="H2064" s="15" t="s">
        <v>9886</v>
      </c>
      <c r="I2064" s="15" t="s">
        <v>9404</v>
      </c>
    </row>
    <row r="2065" spans="1:9" x14ac:dyDescent="0.15">
      <c r="A2065" s="15" t="s">
        <v>9887</v>
      </c>
      <c r="B2065" s="15"/>
      <c r="C2065" s="15" t="s">
        <v>40</v>
      </c>
      <c r="D2065" s="15" t="s">
        <v>41</v>
      </c>
      <c r="E2065" s="15" t="s">
        <v>9888</v>
      </c>
      <c r="F2065" s="15" t="s">
        <v>9889</v>
      </c>
      <c r="G2065" s="15" t="s">
        <v>22</v>
      </c>
      <c r="H2065" s="15" t="s">
        <v>9890</v>
      </c>
      <c r="I2065" s="15" t="s">
        <v>9404</v>
      </c>
    </row>
    <row r="2066" spans="1:9" x14ac:dyDescent="0.15">
      <c r="A2066" s="15" t="s">
        <v>9891</v>
      </c>
      <c r="B2066" s="15"/>
      <c r="C2066" s="15" t="s">
        <v>40</v>
      </c>
      <c r="D2066" s="15" t="s">
        <v>41</v>
      </c>
      <c r="E2066" s="15" t="s">
        <v>9892</v>
      </c>
      <c r="F2066" s="15" t="s">
        <v>9894</v>
      </c>
      <c r="G2066" s="15" t="s">
        <v>9893</v>
      </c>
      <c r="H2066" s="15" t="s">
        <v>9895</v>
      </c>
      <c r="I2066" s="15" t="s">
        <v>9404</v>
      </c>
    </row>
    <row r="2067" spans="1:9" x14ac:dyDescent="0.15">
      <c r="A2067" s="15" t="s">
        <v>9896</v>
      </c>
      <c r="B2067" s="15"/>
      <c r="C2067" s="15" t="s">
        <v>40</v>
      </c>
      <c r="D2067" s="15" t="s">
        <v>41</v>
      </c>
      <c r="E2067" s="15" t="s">
        <v>9897</v>
      </c>
      <c r="F2067" s="15" t="s">
        <v>9898</v>
      </c>
      <c r="G2067" s="15" t="s">
        <v>22</v>
      </c>
      <c r="H2067" s="15" t="s">
        <v>9899</v>
      </c>
      <c r="I2067" s="15" t="s">
        <v>9404</v>
      </c>
    </row>
    <row r="2068" spans="1:9" x14ac:dyDescent="0.15">
      <c r="A2068" s="15" t="s">
        <v>9900</v>
      </c>
      <c r="B2068" s="15"/>
      <c r="C2068" s="15" t="s">
        <v>40</v>
      </c>
      <c r="D2068" s="15" t="s">
        <v>41</v>
      </c>
      <c r="E2068" s="15" t="s">
        <v>9901</v>
      </c>
      <c r="F2068" s="15" t="s">
        <v>9903</v>
      </c>
      <c r="G2068" s="15" t="s">
        <v>9902</v>
      </c>
      <c r="H2068" s="15" t="s">
        <v>9904</v>
      </c>
      <c r="I2068" s="15" t="s">
        <v>9404</v>
      </c>
    </row>
    <row r="2069" spans="1:9" x14ac:dyDescent="0.15">
      <c r="A2069" s="15" t="s">
        <v>9905</v>
      </c>
      <c r="B2069" s="15"/>
      <c r="C2069" s="15" t="s">
        <v>40</v>
      </c>
      <c r="D2069" s="15" t="s">
        <v>41</v>
      </c>
      <c r="E2069" s="15" t="s">
        <v>9906</v>
      </c>
      <c r="F2069" s="15" t="s">
        <v>9908</v>
      </c>
      <c r="G2069" s="15" t="s">
        <v>9907</v>
      </c>
      <c r="H2069" s="15" t="s">
        <v>9909</v>
      </c>
      <c r="I2069" s="15" t="s">
        <v>9404</v>
      </c>
    </row>
    <row r="2070" spans="1:9" x14ac:dyDescent="0.15">
      <c r="A2070" s="15" t="s">
        <v>9910</v>
      </c>
      <c r="B2070" s="15"/>
      <c r="C2070" s="15" t="s">
        <v>40</v>
      </c>
      <c r="D2070" s="15" t="s">
        <v>41</v>
      </c>
      <c r="E2070" s="15" t="s">
        <v>9911</v>
      </c>
      <c r="F2070" s="15" t="s">
        <v>9913</v>
      </c>
      <c r="G2070" s="15" t="s">
        <v>9912</v>
      </c>
      <c r="H2070" s="15" t="s">
        <v>9914</v>
      </c>
      <c r="I2070" s="15" t="s">
        <v>9404</v>
      </c>
    </row>
    <row r="2071" spans="1:9" x14ac:dyDescent="0.15">
      <c r="A2071" s="15" t="s">
        <v>9915</v>
      </c>
      <c r="B2071" s="15"/>
      <c r="C2071" s="15" t="s">
        <v>40</v>
      </c>
      <c r="D2071" s="15" t="s">
        <v>41</v>
      </c>
      <c r="E2071" s="15" t="s">
        <v>9916</v>
      </c>
      <c r="F2071" s="15" t="s">
        <v>9918</v>
      </c>
      <c r="G2071" s="15" t="s">
        <v>9917</v>
      </c>
      <c r="H2071" s="15" t="s">
        <v>9919</v>
      </c>
      <c r="I2071" s="15" t="s">
        <v>9404</v>
      </c>
    </row>
    <row r="2072" spans="1:9" x14ac:dyDescent="0.15">
      <c r="A2072" s="15" t="s">
        <v>9920</v>
      </c>
      <c r="B2072" s="15"/>
      <c r="C2072" s="15" t="s">
        <v>40</v>
      </c>
      <c r="D2072" s="15" t="s">
        <v>41</v>
      </c>
      <c r="E2072" s="15" t="s">
        <v>9921</v>
      </c>
      <c r="F2072" s="15" t="s">
        <v>9923</v>
      </c>
      <c r="G2072" s="15" t="s">
        <v>9922</v>
      </c>
      <c r="H2072" s="15" t="s">
        <v>9924</v>
      </c>
      <c r="I2072" s="15" t="s">
        <v>4944</v>
      </c>
    </row>
    <row r="2073" spans="1:9" x14ac:dyDescent="0.15">
      <c r="A2073" s="15" t="s">
        <v>9925</v>
      </c>
      <c r="B2073" s="15"/>
      <c r="C2073" s="15" t="s">
        <v>40</v>
      </c>
      <c r="D2073" s="15" t="s">
        <v>41</v>
      </c>
      <c r="E2073" s="15" t="s">
        <v>9926</v>
      </c>
      <c r="F2073" s="15" t="s">
        <v>9927</v>
      </c>
      <c r="G2073" s="15" t="s">
        <v>7180</v>
      </c>
      <c r="H2073" s="15" t="s">
        <v>9928</v>
      </c>
      <c r="I2073" s="15" t="s">
        <v>4944</v>
      </c>
    </row>
    <row r="2074" spans="1:9" x14ac:dyDescent="0.15">
      <c r="A2074" s="15" t="s">
        <v>9929</v>
      </c>
      <c r="B2074" s="15"/>
      <c r="C2074" s="15" t="s">
        <v>40</v>
      </c>
      <c r="D2074" s="15" t="s">
        <v>41</v>
      </c>
      <c r="E2074" s="15" t="s">
        <v>9930</v>
      </c>
      <c r="F2074" s="15" t="s">
        <v>9932</v>
      </c>
      <c r="G2074" s="15" t="s">
        <v>9931</v>
      </c>
      <c r="H2074" s="15" t="s">
        <v>9933</v>
      </c>
      <c r="I2074" s="15" t="s">
        <v>4944</v>
      </c>
    </row>
    <row r="2075" spans="1:9" x14ac:dyDescent="0.15">
      <c r="A2075" s="15" t="s">
        <v>9934</v>
      </c>
      <c r="B2075" s="15"/>
      <c r="C2075" s="15" t="s">
        <v>40</v>
      </c>
      <c r="D2075" s="15" t="s">
        <v>41</v>
      </c>
      <c r="E2075" s="15" t="s">
        <v>9935</v>
      </c>
      <c r="F2075" s="15" t="s">
        <v>9937</v>
      </c>
      <c r="G2075" s="15" t="s">
        <v>9936</v>
      </c>
      <c r="H2075" s="15" t="s">
        <v>9938</v>
      </c>
      <c r="I2075" s="15" t="s">
        <v>4944</v>
      </c>
    </row>
    <row r="2076" spans="1:9" x14ac:dyDescent="0.15">
      <c r="A2076" s="15" t="s">
        <v>9939</v>
      </c>
      <c r="B2076" s="15"/>
      <c r="C2076" s="15" t="s">
        <v>40</v>
      </c>
      <c r="D2076" s="15" t="s">
        <v>41</v>
      </c>
      <c r="E2076" s="15" t="s">
        <v>9940</v>
      </c>
      <c r="F2076" s="15" t="s">
        <v>9942</v>
      </c>
      <c r="G2076" s="15" t="s">
        <v>9941</v>
      </c>
      <c r="H2076" s="15" t="s">
        <v>9943</v>
      </c>
      <c r="I2076" s="15" t="s">
        <v>4944</v>
      </c>
    </row>
    <row r="2077" spans="1:9" x14ac:dyDescent="0.15">
      <c r="A2077" s="15" t="s">
        <v>9944</v>
      </c>
      <c r="B2077" s="15"/>
      <c r="C2077" s="15" t="s">
        <v>40</v>
      </c>
      <c r="D2077" s="15" t="s">
        <v>41</v>
      </c>
      <c r="E2077" s="15" t="s">
        <v>9945</v>
      </c>
      <c r="F2077" s="15" t="s">
        <v>9947</v>
      </c>
      <c r="G2077" s="15" t="s">
        <v>9946</v>
      </c>
      <c r="H2077" s="15" t="s">
        <v>9948</v>
      </c>
      <c r="I2077" s="15" t="s">
        <v>4944</v>
      </c>
    </row>
    <row r="2078" spans="1:9" x14ac:dyDescent="0.15">
      <c r="A2078" s="15" t="s">
        <v>9949</v>
      </c>
      <c r="B2078" s="15"/>
      <c r="C2078" s="15" t="s">
        <v>40</v>
      </c>
      <c r="D2078" s="15" t="s">
        <v>41</v>
      </c>
      <c r="E2078" s="15" t="s">
        <v>9950</v>
      </c>
      <c r="F2078" s="15" t="s">
        <v>9952</v>
      </c>
      <c r="G2078" s="15" t="s">
        <v>9951</v>
      </c>
      <c r="H2078" s="15" t="s">
        <v>9953</v>
      </c>
      <c r="I2078" s="15" t="s">
        <v>4944</v>
      </c>
    </row>
    <row r="2079" spans="1:9" x14ac:dyDescent="0.15">
      <c r="A2079" s="15" t="s">
        <v>9954</v>
      </c>
      <c r="B2079" s="15"/>
      <c r="C2079" s="15" t="s">
        <v>40</v>
      </c>
      <c r="D2079" s="15" t="s">
        <v>41</v>
      </c>
      <c r="E2079" s="15" t="s">
        <v>9955</v>
      </c>
      <c r="F2079" s="15" t="s">
        <v>9957</v>
      </c>
      <c r="G2079" s="15" t="s">
        <v>9956</v>
      </c>
      <c r="H2079" s="15" t="s">
        <v>9958</v>
      </c>
      <c r="I2079" s="15" t="s">
        <v>4944</v>
      </c>
    </row>
    <row r="2080" spans="1:9" x14ac:dyDescent="0.15">
      <c r="A2080" s="15" t="s">
        <v>9959</v>
      </c>
      <c r="B2080" s="15"/>
      <c r="C2080" s="15" t="s">
        <v>40</v>
      </c>
      <c r="D2080" s="15" t="s">
        <v>41</v>
      </c>
      <c r="E2080" s="15" t="s">
        <v>9960</v>
      </c>
      <c r="F2080" s="15" t="s">
        <v>9962</v>
      </c>
      <c r="G2080" s="15" t="s">
        <v>9961</v>
      </c>
      <c r="H2080" s="15" t="s">
        <v>9963</v>
      </c>
      <c r="I2080" s="15" t="s">
        <v>4944</v>
      </c>
    </row>
    <row r="2081" spans="1:9" x14ac:dyDescent="0.15">
      <c r="A2081" s="15" t="s">
        <v>9964</v>
      </c>
      <c r="B2081" s="15"/>
      <c r="C2081" s="15" t="s">
        <v>40</v>
      </c>
      <c r="D2081" s="15" t="s">
        <v>41</v>
      </c>
      <c r="E2081" s="15" t="s">
        <v>9965</v>
      </c>
      <c r="F2081" s="15" t="s">
        <v>9967</v>
      </c>
      <c r="G2081" s="15" t="s">
        <v>9966</v>
      </c>
      <c r="H2081" s="15" t="s">
        <v>9968</v>
      </c>
      <c r="I2081" s="15" t="s">
        <v>4944</v>
      </c>
    </row>
    <row r="2082" spans="1:9" x14ac:dyDescent="0.15">
      <c r="A2082" s="15" t="s">
        <v>9969</v>
      </c>
      <c r="B2082" s="15"/>
      <c r="C2082" s="15" t="s">
        <v>40</v>
      </c>
      <c r="D2082" s="15" t="s">
        <v>41</v>
      </c>
      <c r="E2082" s="15" t="s">
        <v>9970</v>
      </c>
      <c r="F2082" s="15" t="s">
        <v>9972</v>
      </c>
      <c r="G2082" s="15" t="s">
        <v>9971</v>
      </c>
      <c r="H2082" s="15" t="s">
        <v>9973</v>
      </c>
      <c r="I2082" s="15" t="s">
        <v>4944</v>
      </c>
    </row>
    <row r="2083" spans="1:9" x14ac:dyDescent="0.15">
      <c r="A2083" s="15" t="s">
        <v>9974</v>
      </c>
      <c r="B2083" s="15"/>
      <c r="C2083" s="15" t="s">
        <v>40</v>
      </c>
      <c r="D2083" s="15" t="s">
        <v>41</v>
      </c>
      <c r="E2083" s="15" t="s">
        <v>9975</v>
      </c>
      <c r="F2083" s="15" t="s">
        <v>9977</v>
      </c>
      <c r="G2083" s="15" t="s">
        <v>9976</v>
      </c>
      <c r="H2083" s="15" t="s">
        <v>9978</v>
      </c>
      <c r="I2083" s="15" t="s">
        <v>4944</v>
      </c>
    </row>
    <row r="2084" spans="1:9" x14ac:dyDescent="0.15">
      <c r="A2084" s="15" t="s">
        <v>9979</v>
      </c>
      <c r="B2084" s="15"/>
      <c r="C2084" s="15" t="s">
        <v>40</v>
      </c>
      <c r="D2084" s="15" t="s">
        <v>41</v>
      </c>
      <c r="E2084" s="15" t="s">
        <v>9980</v>
      </c>
      <c r="F2084" s="15" t="s">
        <v>52</v>
      </c>
      <c r="G2084" s="15" t="s">
        <v>9981</v>
      </c>
      <c r="H2084" s="15" t="s">
        <v>9982</v>
      </c>
      <c r="I2084" s="15" t="s">
        <v>4944</v>
      </c>
    </row>
    <row r="2085" spans="1:9" x14ac:dyDescent="0.15">
      <c r="A2085" s="15" t="s">
        <v>9983</v>
      </c>
      <c r="B2085" s="15"/>
      <c r="C2085" s="15" t="s">
        <v>40</v>
      </c>
      <c r="D2085" s="15" t="s">
        <v>41</v>
      </c>
      <c r="E2085" s="15" t="s">
        <v>9984</v>
      </c>
      <c r="F2085" s="15" t="s">
        <v>9986</v>
      </c>
      <c r="G2085" s="15" t="s">
        <v>9985</v>
      </c>
      <c r="H2085" s="15" t="s">
        <v>9987</v>
      </c>
      <c r="I2085" s="15" t="s">
        <v>4944</v>
      </c>
    </row>
    <row r="2086" spans="1:9" x14ac:dyDescent="0.15">
      <c r="A2086" s="15" t="s">
        <v>9988</v>
      </c>
      <c r="B2086" s="15"/>
      <c r="C2086" s="15" t="s">
        <v>40</v>
      </c>
      <c r="D2086" s="15" t="s">
        <v>41</v>
      </c>
      <c r="E2086" s="15" t="s">
        <v>9989</v>
      </c>
      <c r="F2086" s="15" t="s">
        <v>9991</v>
      </c>
      <c r="G2086" s="15" t="s">
        <v>9990</v>
      </c>
      <c r="H2086" s="15" t="s">
        <v>9992</v>
      </c>
      <c r="I2086" s="15" t="s">
        <v>4944</v>
      </c>
    </row>
    <row r="2087" spans="1:9" x14ac:dyDescent="0.15">
      <c r="A2087" s="15" t="s">
        <v>9993</v>
      </c>
      <c r="B2087" s="15"/>
      <c r="C2087" s="15" t="s">
        <v>40</v>
      </c>
      <c r="D2087" s="15" t="s">
        <v>41</v>
      </c>
      <c r="E2087" s="15" t="s">
        <v>9994</v>
      </c>
      <c r="F2087" s="15" t="s">
        <v>9996</v>
      </c>
      <c r="G2087" s="15" t="s">
        <v>9995</v>
      </c>
      <c r="H2087" s="15" t="s">
        <v>9997</v>
      </c>
      <c r="I2087" s="15" t="s">
        <v>4944</v>
      </c>
    </row>
    <row r="2088" spans="1:9" x14ac:dyDescent="0.15">
      <c r="A2088" s="15" t="s">
        <v>9998</v>
      </c>
      <c r="B2088" s="15"/>
      <c r="C2088" s="15" t="s">
        <v>40</v>
      </c>
      <c r="D2088" s="15" t="s">
        <v>41</v>
      </c>
      <c r="E2088" s="15" t="s">
        <v>9999</v>
      </c>
      <c r="F2088" s="15" t="s">
        <v>10001</v>
      </c>
      <c r="G2088" s="15" t="s">
        <v>10000</v>
      </c>
      <c r="H2088" s="15" t="s">
        <v>10002</v>
      </c>
      <c r="I2088" s="15" t="s">
        <v>4944</v>
      </c>
    </row>
    <row r="2089" spans="1:9" x14ac:dyDescent="0.15">
      <c r="A2089" s="15" t="s">
        <v>10003</v>
      </c>
      <c r="B2089" s="15"/>
      <c r="C2089" s="15" t="s">
        <v>40</v>
      </c>
      <c r="D2089" s="15" t="s">
        <v>41</v>
      </c>
      <c r="E2089" s="15" t="s">
        <v>10004</v>
      </c>
      <c r="F2089" s="15" t="s">
        <v>10005</v>
      </c>
      <c r="G2089" s="15" t="s">
        <v>7180</v>
      </c>
      <c r="H2089" s="15" t="s">
        <v>10006</v>
      </c>
      <c r="I2089" s="15" t="s">
        <v>4944</v>
      </c>
    </row>
    <row r="2090" spans="1:9" x14ac:dyDescent="0.15">
      <c r="A2090" s="15" t="s">
        <v>10007</v>
      </c>
      <c r="B2090" s="15"/>
      <c r="C2090" s="15" t="s">
        <v>40</v>
      </c>
      <c r="D2090" s="15" t="s">
        <v>41</v>
      </c>
      <c r="E2090" s="15" t="s">
        <v>10008</v>
      </c>
      <c r="F2090" s="15" t="s">
        <v>10010</v>
      </c>
      <c r="G2090" s="15" t="s">
        <v>10009</v>
      </c>
      <c r="H2090" s="15" t="s">
        <v>10011</v>
      </c>
      <c r="I2090" s="15" t="s">
        <v>4944</v>
      </c>
    </row>
    <row r="2091" spans="1:9" x14ac:dyDescent="0.15">
      <c r="A2091" s="15" t="s">
        <v>10012</v>
      </c>
      <c r="B2091" s="15"/>
      <c r="C2091" s="15" t="s">
        <v>40</v>
      </c>
      <c r="D2091" s="15" t="s">
        <v>41</v>
      </c>
      <c r="E2091" s="15" t="s">
        <v>10013</v>
      </c>
      <c r="F2091" s="15" t="s">
        <v>10015</v>
      </c>
      <c r="G2091" s="15" t="s">
        <v>10014</v>
      </c>
      <c r="H2091" s="15" t="s">
        <v>10016</v>
      </c>
      <c r="I2091" s="15" t="s">
        <v>4944</v>
      </c>
    </row>
    <row r="2092" spans="1:9" x14ac:dyDescent="0.15">
      <c r="A2092" s="15" t="s">
        <v>10017</v>
      </c>
      <c r="B2092" s="15"/>
      <c r="C2092" s="15" t="s">
        <v>40</v>
      </c>
      <c r="D2092" s="15" t="s">
        <v>41</v>
      </c>
      <c r="E2092" s="15" t="s">
        <v>10018</v>
      </c>
      <c r="F2092" s="15" t="s">
        <v>10020</v>
      </c>
      <c r="G2092" s="15" t="s">
        <v>10019</v>
      </c>
      <c r="H2092" s="15" t="s">
        <v>10021</v>
      </c>
      <c r="I2092" s="15" t="s">
        <v>4944</v>
      </c>
    </row>
    <row r="2093" spans="1:9" x14ac:dyDescent="0.15">
      <c r="A2093" s="15" t="s">
        <v>10022</v>
      </c>
      <c r="B2093" s="15"/>
      <c r="C2093" s="15" t="s">
        <v>40</v>
      </c>
      <c r="D2093" s="15" t="s">
        <v>41</v>
      </c>
      <c r="E2093" s="15" t="s">
        <v>10023</v>
      </c>
      <c r="F2093" s="15" t="s">
        <v>10025</v>
      </c>
      <c r="G2093" s="15" t="s">
        <v>10024</v>
      </c>
      <c r="H2093" s="15" t="s">
        <v>10026</v>
      </c>
      <c r="I2093" s="15" t="s">
        <v>4944</v>
      </c>
    </row>
    <row r="2094" spans="1:9" x14ac:dyDescent="0.15">
      <c r="A2094" s="15" t="s">
        <v>10027</v>
      </c>
      <c r="B2094" s="15"/>
      <c r="C2094" s="15" t="s">
        <v>40</v>
      </c>
      <c r="D2094" s="15" t="s">
        <v>41</v>
      </c>
      <c r="E2094" s="15" t="s">
        <v>10028</v>
      </c>
      <c r="F2094" s="15" t="s">
        <v>10029</v>
      </c>
      <c r="G2094" s="15" t="s">
        <v>4965</v>
      </c>
      <c r="H2094" s="15" t="s">
        <v>10030</v>
      </c>
      <c r="I2094" s="15" t="s">
        <v>4944</v>
      </c>
    </row>
    <row r="2095" spans="1:9" x14ac:dyDescent="0.15">
      <c r="A2095" s="15" t="s">
        <v>10031</v>
      </c>
      <c r="B2095" s="15"/>
      <c r="C2095" s="15" t="s">
        <v>40</v>
      </c>
      <c r="D2095" s="15" t="s">
        <v>41</v>
      </c>
      <c r="E2095" s="15" t="s">
        <v>10032</v>
      </c>
      <c r="F2095" s="15" t="s">
        <v>10034</v>
      </c>
      <c r="G2095" s="15" t="s">
        <v>10033</v>
      </c>
      <c r="H2095" s="15" t="s">
        <v>10035</v>
      </c>
      <c r="I2095" s="15" t="s">
        <v>4944</v>
      </c>
    </row>
    <row r="2096" spans="1:9" x14ac:dyDescent="0.15">
      <c r="A2096" s="15" t="s">
        <v>10036</v>
      </c>
      <c r="B2096" s="15"/>
      <c r="C2096" s="15" t="s">
        <v>40</v>
      </c>
      <c r="D2096" s="15" t="s">
        <v>41</v>
      </c>
      <c r="E2096" s="15" t="s">
        <v>10037</v>
      </c>
      <c r="F2096" s="15" t="s">
        <v>10039</v>
      </c>
      <c r="G2096" s="15" t="s">
        <v>10038</v>
      </c>
      <c r="H2096" s="15" t="s">
        <v>10040</v>
      </c>
      <c r="I2096" s="15" t="s">
        <v>4944</v>
      </c>
    </row>
    <row r="2097" spans="1:9" x14ac:dyDescent="0.15">
      <c r="A2097" s="15" t="s">
        <v>10041</v>
      </c>
      <c r="B2097" s="15"/>
      <c r="C2097" s="15" t="s">
        <v>40</v>
      </c>
      <c r="D2097" s="15" t="s">
        <v>41</v>
      </c>
      <c r="E2097" s="15" t="s">
        <v>10042</v>
      </c>
      <c r="F2097" s="15" t="s">
        <v>10043</v>
      </c>
      <c r="G2097" s="15" t="s">
        <v>7180</v>
      </c>
      <c r="H2097" s="15" t="s">
        <v>10044</v>
      </c>
      <c r="I2097" s="15" t="s">
        <v>4944</v>
      </c>
    </row>
    <row r="2098" spans="1:9" x14ac:dyDescent="0.15">
      <c r="A2098" s="15" t="s">
        <v>10045</v>
      </c>
      <c r="B2098" s="15"/>
      <c r="C2098" s="15" t="s">
        <v>40</v>
      </c>
      <c r="D2098" s="15" t="s">
        <v>41</v>
      </c>
      <c r="E2098" s="15" t="s">
        <v>10046</v>
      </c>
      <c r="F2098" s="15" t="s">
        <v>10047</v>
      </c>
      <c r="G2098" s="15" t="s">
        <v>4985</v>
      </c>
      <c r="H2098" s="15" t="s">
        <v>10048</v>
      </c>
      <c r="I2098" s="15" t="s">
        <v>4944</v>
      </c>
    </row>
    <row r="2099" spans="1:9" x14ac:dyDescent="0.15">
      <c r="A2099" s="15" t="s">
        <v>10049</v>
      </c>
      <c r="B2099" s="15"/>
      <c r="C2099" s="15" t="s">
        <v>40</v>
      </c>
      <c r="D2099" s="15" t="s">
        <v>41</v>
      </c>
      <c r="E2099" s="15" t="s">
        <v>10050</v>
      </c>
      <c r="F2099" s="15" t="s">
        <v>10052</v>
      </c>
      <c r="G2099" s="15" t="s">
        <v>10051</v>
      </c>
      <c r="H2099" s="15" t="s">
        <v>10053</v>
      </c>
      <c r="I2099" s="15" t="s">
        <v>4944</v>
      </c>
    </row>
    <row r="2100" spans="1:9" x14ac:dyDescent="0.15">
      <c r="A2100" s="15" t="s">
        <v>10054</v>
      </c>
      <c r="B2100" s="15"/>
      <c r="C2100" s="15" t="s">
        <v>40</v>
      </c>
      <c r="D2100" s="15" t="s">
        <v>41</v>
      </c>
      <c r="E2100" s="15" t="s">
        <v>10055</v>
      </c>
      <c r="F2100" s="15" t="s">
        <v>10056</v>
      </c>
      <c r="G2100" s="15" t="s">
        <v>9623</v>
      </c>
      <c r="H2100" s="15" t="s">
        <v>10057</v>
      </c>
      <c r="I2100" s="15" t="s">
        <v>4944</v>
      </c>
    </row>
    <row r="2101" spans="1:9" x14ac:dyDescent="0.15">
      <c r="A2101" s="15" t="s">
        <v>10058</v>
      </c>
      <c r="B2101" s="15"/>
      <c r="C2101" s="15" t="s">
        <v>40</v>
      </c>
      <c r="D2101" s="15" t="s">
        <v>41</v>
      </c>
      <c r="E2101" s="15" t="s">
        <v>10059</v>
      </c>
      <c r="F2101" s="15" t="s">
        <v>10061</v>
      </c>
      <c r="G2101" s="15" t="s">
        <v>10060</v>
      </c>
      <c r="H2101" s="15" t="s">
        <v>10062</v>
      </c>
      <c r="I2101" s="15" t="s">
        <v>4944</v>
      </c>
    </row>
    <row r="2102" spans="1:9" x14ac:dyDescent="0.15">
      <c r="A2102" s="15" t="s">
        <v>10063</v>
      </c>
      <c r="B2102" s="15"/>
      <c r="C2102" s="15" t="s">
        <v>40</v>
      </c>
      <c r="D2102" s="15" t="s">
        <v>41</v>
      </c>
      <c r="E2102" s="15" t="s">
        <v>10064</v>
      </c>
      <c r="F2102" s="15" t="s">
        <v>10066</v>
      </c>
      <c r="G2102" s="15" t="s">
        <v>10065</v>
      </c>
      <c r="H2102" s="15" t="s">
        <v>10067</v>
      </c>
      <c r="I2102" s="15" t="s">
        <v>4944</v>
      </c>
    </row>
    <row r="2103" spans="1:9" x14ac:dyDescent="0.15">
      <c r="A2103" s="15" t="s">
        <v>10068</v>
      </c>
      <c r="B2103" s="15"/>
      <c r="C2103" s="15" t="s">
        <v>40</v>
      </c>
      <c r="D2103" s="15" t="s">
        <v>41</v>
      </c>
      <c r="E2103" s="15" t="s">
        <v>10069</v>
      </c>
      <c r="F2103" s="15" t="s">
        <v>10071</v>
      </c>
      <c r="G2103" s="15" t="s">
        <v>10070</v>
      </c>
      <c r="H2103" s="15" t="s">
        <v>10072</v>
      </c>
      <c r="I2103" s="15" t="s">
        <v>4944</v>
      </c>
    </row>
    <row r="2104" spans="1:9" x14ac:dyDescent="0.15">
      <c r="A2104" s="15" t="s">
        <v>10073</v>
      </c>
      <c r="B2104" s="15"/>
      <c r="C2104" s="15" t="s">
        <v>40</v>
      </c>
      <c r="D2104" s="15" t="s">
        <v>41</v>
      </c>
      <c r="E2104" s="15" t="s">
        <v>10074</v>
      </c>
      <c r="F2104" s="15" t="s">
        <v>10075</v>
      </c>
      <c r="G2104" s="15" t="s">
        <v>4956</v>
      </c>
      <c r="H2104" s="15" t="s">
        <v>10076</v>
      </c>
      <c r="I2104" s="15" t="s">
        <v>4944</v>
      </c>
    </row>
    <row r="2105" spans="1:9" x14ac:dyDescent="0.15">
      <c r="A2105" s="15" t="s">
        <v>10077</v>
      </c>
      <c r="B2105" s="15"/>
      <c r="C2105" s="15" t="s">
        <v>40</v>
      </c>
      <c r="D2105" s="15" t="s">
        <v>41</v>
      </c>
      <c r="E2105" s="15" t="s">
        <v>10078</v>
      </c>
      <c r="F2105" s="15" t="s">
        <v>10080</v>
      </c>
      <c r="G2105" s="15" t="s">
        <v>10079</v>
      </c>
      <c r="H2105" s="15" t="s">
        <v>10081</v>
      </c>
      <c r="I2105" s="15" t="s">
        <v>4944</v>
      </c>
    </row>
    <row r="2106" spans="1:9" x14ac:dyDescent="0.15">
      <c r="A2106" s="15" t="s">
        <v>10082</v>
      </c>
      <c r="B2106" s="15"/>
      <c r="C2106" s="15" t="s">
        <v>40</v>
      </c>
      <c r="D2106" s="15" t="s">
        <v>41</v>
      </c>
      <c r="E2106" s="15" t="s">
        <v>10083</v>
      </c>
      <c r="F2106" s="15" t="s">
        <v>10085</v>
      </c>
      <c r="G2106" s="15" t="s">
        <v>10084</v>
      </c>
      <c r="H2106" s="15" t="s">
        <v>10086</v>
      </c>
      <c r="I2106" s="15" t="s">
        <v>4944</v>
      </c>
    </row>
    <row r="2107" spans="1:9" x14ac:dyDescent="0.15">
      <c r="A2107" s="15" t="s">
        <v>10087</v>
      </c>
      <c r="B2107" s="15"/>
      <c r="C2107" s="15" t="s">
        <v>40</v>
      </c>
      <c r="D2107" s="15" t="s">
        <v>41</v>
      </c>
      <c r="E2107" s="15" t="s">
        <v>10088</v>
      </c>
      <c r="F2107" s="15" t="s">
        <v>10090</v>
      </c>
      <c r="G2107" s="15" t="s">
        <v>10089</v>
      </c>
      <c r="H2107" s="15" t="s">
        <v>10091</v>
      </c>
      <c r="I2107" s="15" t="s">
        <v>4944</v>
      </c>
    </row>
    <row r="2108" spans="1:9" x14ac:dyDescent="0.15">
      <c r="A2108" s="15" t="s">
        <v>10092</v>
      </c>
      <c r="B2108" s="15"/>
      <c r="C2108" s="15" t="s">
        <v>40</v>
      </c>
      <c r="D2108" s="15" t="s">
        <v>41</v>
      </c>
      <c r="E2108" s="15" t="s">
        <v>10093</v>
      </c>
      <c r="F2108" s="15" t="s">
        <v>10094</v>
      </c>
      <c r="G2108" s="15" t="s">
        <v>10070</v>
      </c>
      <c r="H2108" s="15" t="s">
        <v>10095</v>
      </c>
      <c r="I2108" s="15" t="s">
        <v>4944</v>
      </c>
    </row>
    <row r="2109" spans="1:9" x14ac:dyDescent="0.15">
      <c r="A2109" s="15" t="s">
        <v>10096</v>
      </c>
      <c r="B2109" s="15"/>
      <c r="C2109" s="15" t="s">
        <v>40</v>
      </c>
      <c r="D2109" s="15" t="s">
        <v>41</v>
      </c>
      <c r="E2109" s="15" t="s">
        <v>10097</v>
      </c>
      <c r="F2109" s="15" t="s">
        <v>10099</v>
      </c>
      <c r="G2109" s="15" t="s">
        <v>10098</v>
      </c>
      <c r="H2109" s="15" t="s">
        <v>10100</v>
      </c>
      <c r="I2109" s="15" t="s">
        <v>4944</v>
      </c>
    </row>
    <row r="2110" spans="1:9" x14ac:dyDescent="0.15">
      <c r="A2110" s="15" t="s">
        <v>10101</v>
      </c>
      <c r="B2110" s="15"/>
      <c r="C2110" s="15" t="s">
        <v>40</v>
      </c>
      <c r="D2110" s="15" t="s">
        <v>41</v>
      </c>
      <c r="E2110" s="15" t="s">
        <v>10102</v>
      </c>
      <c r="F2110" s="15" t="s">
        <v>10104</v>
      </c>
      <c r="G2110" s="15" t="s">
        <v>10103</v>
      </c>
      <c r="H2110" s="15" t="s">
        <v>10105</v>
      </c>
      <c r="I2110" s="15" t="s">
        <v>4944</v>
      </c>
    </row>
    <row r="2111" spans="1:9" x14ac:dyDescent="0.15">
      <c r="A2111" s="15" t="s">
        <v>10106</v>
      </c>
      <c r="B2111" s="15"/>
      <c r="C2111" s="15" t="s">
        <v>40</v>
      </c>
      <c r="D2111" s="15" t="s">
        <v>41</v>
      </c>
      <c r="E2111" s="15" t="s">
        <v>10107</v>
      </c>
      <c r="F2111" s="15" t="s">
        <v>10109</v>
      </c>
      <c r="G2111" s="15" t="s">
        <v>10108</v>
      </c>
      <c r="H2111" s="15" t="s">
        <v>10110</v>
      </c>
      <c r="I2111" s="15" t="s">
        <v>4944</v>
      </c>
    </row>
    <row r="2112" spans="1:9" x14ac:dyDescent="0.15">
      <c r="A2112" s="15" t="s">
        <v>10111</v>
      </c>
      <c r="B2112" s="15"/>
      <c r="C2112" s="15" t="s">
        <v>40</v>
      </c>
      <c r="D2112" s="15" t="s">
        <v>41</v>
      </c>
      <c r="E2112" s="15" t="s">
        <v>10112</v>
      </c>
      <c r="F2112" s="15" t="s">
        <v>10114</v>
      </c>
      <c r="G2112" s="15" t="s">
        <v>10113</v>
      </c>
      <c r="H2112" s="15" t="s">
        <v>10115</v>
      </c>
      <c r="I2112" s="15" t="s">
        <v>4944</v>
      </c>
    </row>
    <row r="2113" spans="1:9" x14ac:dyDescent="0.15">
      <c r="A2113" s="15" t="s">
        <v>10116</v>
      </c>
      <c r="B2113" s="15"/>
      <c r="C2113" s="15" t="s">
        <v>40</v>
      </c>
      <c r="D2113" s="15" t="s">
        <v>41</v>
      </c>
      <c r="E2113" s="15" t="s">
        <v>10117</v>
      </c>
      <c r="F2113" s="15" t="s">
        <v>10119</v>
      </c>
      <c r="G2113" s="15" t="s">
        <v>10118</v>
      </c>
      <c r="H2113" s="15" t="s">
        <v>10120</v>
      </c>
      <c r="I2113" s="15" t="s">
        <v>4944</v>
      </c>
    </row>
    <row r="2114" spans="1:9" x14ac:dyDescent="0.15">
      <c r="A2114" s="15" t="s">
        <v>10121</v>
      </c>
      <c r="B2114" s="15"/>
      <c r="C2114" s="15" t="s">
        <v>40</v>
      </c>
      <c r="D2114" s="15" t="s">
        <v>41</v>
      </c>
      <c r="E2114" s="15" t="s">
        <v>10122</v>
      </c>
      <c r="F2114" s="15" t="s">
        <v>10124</v>
      </c>
      <c r="G2114" s="15" t="s">
        <v>10123</v>
      </c>
      <c r="H2114" s="15" t="s">
        <v>10125</v>
      </c>
      <c r="I2114" s="15" t="s">
        <v>10126</v>
      </c>
    </row>
    <row r="2115" spans="1:9" x14ac:dyDescent="0.15">
      <c r="A2115" s="15" t="s">
        <v>67</v>
      </c>
      <c r="B2115" s="15"/>
      <c r="C2115" s="15" t="s">
        <v>40</v>
      </c>
      <c r="D2115" s="15" t="s">
        <v>41</v>
      </c>
      <c r="E2115" s="15" t="s">
        <v>10127</v>
      </c>
      <c r="F2115" s="15" t="s">
        <v>10129</v>
      </c>
      <c r="G2115" s="15" t="s">
        <v>10128</v>
      </c>
      <c r="H2115" s="15" t="s">
        <v>10130</v>
      </c>
      <c r="I2115" s="15" t="s">
        <v>10131</v>
      </c>
    </row>
    <row r="2116" spans="1:9" x14ac:dyDescent="0.15">
      <c r="A2116" s="15" t="s">
        <v>151</v>
      </c>
      <c r="B2116" s="15"/>
      <c r="C2116" s="15" t="s">
        <v>40</v>
      </c>
      <c r="D2116" s="15" t="s">
        <v>41</v>
      </c>
      <c r="E2116" s="15" t="s">
        <v>10132</v>
      </c>
      <c r="F2116" s="15" t="s">
        <v>10134</v>
      </c>
      <c r="G2116" s="15" t="s">
        <v>10133</v>
      </c>
      <c r="H2116" s="15" t="s">
        <v>10135</v>
      </c>
      <c r="I2116" s="15" t="s">
        <v>10136</v>
      </c>
    </row>
    <row r="2117" spans="1:9" x14ac:dyDescent="0.15">
      <c r="A2117" s="15" t="s">
        <v>157</v>
      </c>
      <c r="B2117" s="15"/>
      <c r="C2117" s="15" t="s">
        <v>40</v>
      </c>
      <c r="D2117" s="15" t="s">
        <v>41</v>
      </c>
      <c r="E2117" s="15" t="s">
        <v>10137</v>
      </c>
      <c r="F2117" s="15" t="s">
        <v>10139</v>
      </c>
      <c r="G2117" s="15" t="s">
        <v>10138</v>
      </c>
      <c r="H2117" s="15" t="s">
        <v>10140</v>
      </c>
      <c r="I2117" s="15" t="s">
        <v>10141</v>
      </c>
    </row>
    <row r="2118" spans="1:9" x14ac:dyDescent="0.15">
      <c r="A2118" s="15" t="s">
        <v>39</v>
      </c>
      <c r="B2118" s="15"/>
      <c r="C2118" s="15" t="s">
        <v>40</v>
      </c>
      <c r="D2118" s="15" t="s">
        <v>41</v>
      </c>
      <c r="E2118" s="15" t="s">
        <v>10142</v>
      </c>
      <c r="F2118" s="15" t="s">
        <v>10144</v>
      </c>
      <c r="G2118" s="15" t="s">
        <v>10143</v>
      </c>
      <c r="H2118" s="15" t="s">
        <v>10145</v>
      </c>
      <c r="I2118" s="15" t="s">
        <v>10146</v>
      </c>
    </row>
    <row r="2119" spans="1:9" x14ac:dyDescent="0.15">
      <c r="A2119" s="15" t="s">
        <v>49</v>
      </c>
      <c r="B2119" s="15"/>
      <c r="C2119" s="15" t="s">
        <v>40</v>
      </c>
      <c r="D2119" s="15" t="s">
        <v>41</v>
      </c>
      <c r="E2119" s="15" t="s">
        <v>10147</v>
      </c>
      <c r="F2119" s="15" t="s">
        <v>10149</v>
      </c>
      <c r="G2119" s="15" t="s">
        <v>10148</v>
      </c>
      <c r="H2119" s="15" t="s">
        <v>10150</v>
      </c>
      <c r="I2119" s="15" t="s">
        <v>10151</v>
      </c>
    </row>
    <row r="2120" spans="1:9" x14ac:dyDescent="0.15">
      <c r="A2120" s="15" t="s">
        <v>56</v>
      </c>
      <c r="B2120" s="15"/>
      <c r="C2120" s="15" t="s">
        <v>40</v>
      </c>
      <c r="D2120" s="15" t="s">
        <v>41</v>
      </c>
      <c r="E2120" s="15" t="s">
        <v>10152</v>
      </c>
      <c r="F2120" s="15" t="s">
        <v>10154</v>
      </c>
      <c r="G2120" s="15" t="s">
        <v>10153</v>
      </c>
      <c r="H2120" s="15" t="s">
        <v>10155</v>
      </c>
      <c r="I2120" s="15" t="s">
        <v>10156</v>
      </c>
    </row>
    <row r="2121" spans="1:9" x14ac:dyDescent="0.15">
      <c r="A2121" s="15" t="s">
        <v>62</v>
      </c>
      <c r="B2121" s="15"/>
      <c r="C2121" s="15" t="s">
        <v>40</v>
      </c>
      <c r="D2121" s="15" t="s">
        <v>41</v>
      </c>
      <c r="E2121" s="15" t="s">
        <v>10157</v>
      </c>
      <c r="F2121" s="15" t="s">
        <v>10159</v>
      </c>
      <c r="G2121" s="15" t="s">
        <v>10158</v>
      </c>
      <c r="H2121" s="15" t="s">
        <v>10160</v>
      </c>
      <c r="I2121" s="15" t="s">
        <v>10161</v>
      </c>
    </row>
    <row r="2122" spans="1:9" x14ac:dyDescent="0.15">
      <c r="A2122" s="15" t="s">
        <v>69</v>
      </c>
      <c r="B2122" s="15"/>
      <c r="C2122" s="15" t="s">
        <v>40</v>
      </c>
      <c r="D2122" s="15" t="s">
        <v>41</v>
      </c>
      <c r="E2122" s="15" t="s">
        <v>10162</v>
      </c>
      <c r="F2122" s="15" t="s">
        <v>10164</v>
      </c>
      <c r="G2122" s="15" t="s">
        <v>10163</v>
      </c>
      <c r="H2122" s="15" t="s">
        <v>10165</v>
      </c>
      <c r="I2122" s="15" t="s">
        <v>10166</v>
      </c>
    </row>
    <row r="2123" spans="1:9" x14ac:dyDescent="0.15">
      <c r="A2123" s="15" t="s">
        <v>74</v>
      </c>
      <c r="B2123" s="15"/>
      <c r="C2123" s="15" t="s">
        <v>40</v>
      </c>
      <c r="D2123" s="15" t="s">
        <v>41</v>
      </c>
      <c r="E2123" s="15" t="s">
        <v>10167</v>
      </c>
      <c r="F2123" s="15" t="s">
        <v>10169</v>
      </c>
      <c r="G2123" s="15" t="s">
        <v>10168</v>
      </c>
      <c r="H2123" s="15" t="s">
        <v>10170</v>
      </c>
      <c r="I2123" s="15" t="s">
        <v>10171</v>
      </c>
    </row>
    <row r="2124" spans="1:9" x14ac:dyDescent="0.15">
      <c r="A2124" s="15" t="s">
        <v>47</v>
      </c>
      <c r="B2124" s="15"/>
      <c r="C2124" s="15" t="s">
        <v>40</v>
      </c>
      <c r="D2124" s="15" t="s">
        <v>41</v>
      </c>
      <c r="E2124" s="15" t="s">
        <v>10172</v>
      </c>
      <c r="F2124" s="15" t="s">
        <v>10169</v>
      </c>
      <c r="G2124" s="15" t="s">
        <v>10168</v>
      </c>
      <c r="H2124" s="15" t="s">
        <v>10173</v>
      </c>
      <c r="I2124" s="15" t="s">
        <v>10171</v>
      </c>
    </row>
    <row r="2125" spans="1:9" x14ac:dyDescent="0.15">
      <c r="A2125" s="15" t="s">
        <v>103</v>
      </c>
      <c r="B2125" s="15"/>
      <c r="C2125" s="15" t="s">
        <v>40</v>
      </c>
      <c r="D2125" s="15" t="s">
        <v>41</v>
      </c>
      <c r="E2125" s="15" t="s">
        <v>10174</v>
      </c>
      <c r="F2125" s="15" t="s">
        <v>10176</v>
      </c>
      <c r="G2125" s="15" t="s">
        <v>10175</v>
      </c>
      <c r="H2125" s="15" t="s">
        <v>10177</v>
      </c>
      <c r="I2125" s="15" t="s">
        <v>10178</v>
      </c>
    </row>
    <row r="2126" spans="1:9" x14ac:dyDescent="0.15">
      <c r="A2126" s="15" t="s">
        <v>109</v>
      </c>
      <c r="B2126" s="15"/>
      <c r="C2126" s="15" t="s">
        <v>40</v>
      </c>
      <c r="D2126" s="15" t="s">
        <v>41</v>
      </c>
      <c r="E2126" s="15" t="s">
        <v>10179</v>
      </c>
      <c r="F2126" s="15" t="s">
        <v>10181</v>
      </c>
      <c r="G2126" s="15" t="s">
        <v>10180</v>
      </c>
      <c r="H2126" s="15" t="s">
        <v>10182</v>
      </c>
      <c r="I2126" s="15" t="s">
        <v>10183</v>
      </c>
    </row>
    <row r="2127" spans="1:9" x14ac:dyDescent="0.15">
      <c r="A2127" s="15" t="s">
        <v>116</v>
      </c>
      <c r="B2127" s="15"/>
      <c r="C2127" s="15" t="s">
        <v>40</v>
      </c>
      <c r="D2127" s="15" t="s">
        <v>41</v>
      </c>
      <c r="E2127" s="15" t="s">
        <v>10184</v>
      </c>
      <c r="F2127" s="15" t="s">
        <v>52</v>
      </c>
      <c r="G2127" s="15" t="s">
        <v>10185</v>
      </c>
      <c r="H2127" s="15" t="s">
        <v>10186</v>
      </c>
      <c r="I2127" s="15" t="s">
        <v>10187</v>
      </c>
    </row>
    <row r="2128" spans="1:9" x14ac:dyDescent="0.15">
      <c r="A2128" s="15" t="s">
        <v>122</v>
      </c>
      <c r="B2128" s="15"/>
      <c r="C2128" s="15" t="s">
        <v>40</v>
      </c>
      <c r="D2128" s="15" t="s">
        <v>41</v>
      </c>
      <c r="E2128" s="15" t="s">
        <v>10188</v>
      </c>
      <c r="F2128" s="15" t="s">
        <v>10190</v>
      </c>
      <c r="G2128" s="15" t="s">
        <v>10189</v>
      </c>
      <c r="H2128" s="15" t="s">
        <v>10191</v>
      </c>
      <c r="I2128" s="15" t="s">
        <v>10192</v>
      </c>
    </row>
    <row r="2129" spans="1:9" x14ac:dyDescent="0.15">
      <c r="A2129" s="15" t="s">
        <v>128</v>
      </c>
      <c r="B2129" s="15"/>
      <c r="C2129" s="15" t="s">
        <v>40</v>
      </c>
      <c r="D2129" s="15" t="s">
        <v>41</v>
      </c>
      <c r="E2129" s="15" t="s">
        <v>10193</v>
      </c>
      <c r="F2129" s="15" t="s">
        <v>10195</v>
      </c>
      <c r="G2129" s="15" t="s">
        <v>10194</v>
      </c>
      <c r="H2129" s="15" t="s">
        <v>10196</v>
      </c>
      <c r="I2129" s="15" t="s">
        <v>10197</v>
      </c>
    </row>
    <row r="2130" spans="1:9" x14ac:dyDescent="0.15">
      <c r="A2130" s="15" t="s">
        <v>134</v>
      </c>
      <c r="B2130" s="15"/>
      <c r="C2130" s="15" t="s">
        <v>40</v>
      </c>
      <c r="D2130" s="15" t="s">
        <v>41</v>
      </c>
      <c r="E2130" s="15" t="s">
        <v>10198</v>
      </c>
      <c r="F2130" s="15" t="s">
        <v>10200</v>
      </c>
      <c r="G2130" s="15" t="s">
        <v>10199</v>
      </c>
      <c r="H2130" s="15" t="s">
        <v>10201</v>
      </c>
      <c r="I2130" s="15" t="s">
        <v>10202</v>
      </c>
    </row>
    <row r="2131" spans="1:9" x14ac:dyDescent="0.15">
      <c r="A2131" s="15" t="s">
        <v>140</v>
      </c>
      <c r="B2131" s="15"/>
      <c r="C2131" s="15" t="s">
        <v>40</v>
      </c>
      <c r="D2131" s="15" t="s">
        <v>41</v>
      </c>
      <c r="E2131" s="15" t="s">
        <v>10203</v>
      </c>
      <c r="F2131" s="15" t="s">
        <v>10205</v>
      </c>
      <c r="G2131" s="15" t="s">
        <v>10204</v>
      </c>
      <c r="H2131" s="15" t="s">
        <v>10206</v>
      </c>
      <c r="I2131" s="15" t="s">
        <v>10207</v>
      </c>
    </row>
    <row r="2132" spans="1:9" x14ac:dyDescent="0.15">
      <c r="A2132" s="15" t="s">
        <v>10208</v>
      </c>
      <c r="B2132" s="15"/>
      <c r="C2132" s="15" t="s">
        <v>40</v>
      </c>
      <c r="D2132" s="15" t="s">
        <v>41</v>
      </c>
      <c r="E2132" s="15" t="s">
        <v>10209</v>
      </c>
      <c r="F2132" s="15" t="s">
        <v>10211</v>
      </c>
      <c r="G2132" s="15" t="s">
        <v>10210</v>
      </c>
      <c r="H2132" s="15" t="s">
        <v>10212</v>
      </c>
      <c r="I2132" s="15" t="s">
        <v>10213</v>
      </c>
    </row>
    <row r="2133" spans="1:9" x14ac:dyDescent="0.15">
      <c r="A2133" s="15" t="s">
        <v>10214</v>
      </c>
      <c r="B2133" s="15"/>
      <c r="C2133" s="15" t="s">
        <v>40</v>
      </c>
      <c r="D2133" s="15" t="s">
        <v>41</v>
      </c>
      <c r="E2133" s="15" t="s">
        <v>10215</v>
      </c>
      <c r="F2133" s="15" t="s">
        <v>10217</v>
      </c>
      <c r="G2133" s="15" t="s">
        <v>10216</v>
      </c>
      <c r="H2133" s="15" t="s">
        <v>10218</v>
      </c>
      <c r="I2133" s="15" t="s">
        <v>10219</v>
      </c>
    </row>
    <row r="2134" spans="1:9" x14ac:dyDescent="0.15">
      <c r="A2134" s="15" t="s">
        <v>10220</v>
      </c>
      <c r="B2134" s="15"/>
      <c r="C2134" s="15" t="s">
        <v>40</v>
      </c>
      <c r="D2134" s="15" t="s">
        <v>41</v>
      </c>
      <c r="E2134" s="15" t="s">
        <v>10221</v>
      </c>
      <c r="F2134" s="15" t="s">
        <v>10222</v>
      </c>
      <c r="G2134" s="15" t="s">
        <v>10216</v>
      </c>
      <c r="H2134" s="15" t="s">
        <v>10223</v>
      </c>
      <c r="I2134" s="15" t="s">
        <v>10224</v>
      </c>
    </row>
    <row r="2135" spans="1:9" x14ac:dyDescent="0.15">
      <c r="A2135" s="15" t="s">
        <v>10225</v>
      </c>
      <c r="B2135" s="15"/>
      <c r="C2135" s="15" t="s">
        <v>40</v>
      </c>
      <c r="D2135" s="15" t="s">
        <v>41</v>
      </c>
      <c r="E2135" s="15" t="s">
        <v>10226</v>
      </c>
      <c r="F2135" s="15" t="s">
        <v>10228</v>
      </c>
      <c r="G2135" s="15" t="s">
        <v>10227</v>
      </c>
      <c r="H2135" s="15" t="s">
        <v>10229</v>
      </c>
      <c r="I2135" s="15" t="s">
        <v>10230</v>
      </c>
    </row>
    <row r="2136" spans="1:9" x14ac:dyDescent="0.15">
      <c r="A2136" s="15" t="s">
        <v>8250</v>
      </c>
      <c r="B2136" s="15"/>
      <c r="C2136" s="15" t="s">
        <v>40</v>
      </c>
      <c r="D2136" s="15" t="s">
        <v>41</v>
      </c>
      <c r="E2136" s="15" t="s">
        <v>10231</v>
      </c>
      <c r="F2136" s="15" t="s">
        <v>10233</v>
      </c>
      <c r="G2136" s="15" t="s">
        <v>10232</v>
      </c>
      <c r="H2136" s="15" t="s">
        <v>10234</v>
      </c>
      <c r="I2136" s="15" t="s">
        <v>10235</v>
      </c>
    </row>
    <row r="2137" spans="1:9" x14ac:dyDescent="0.15">
      <c r="A2137" s="15" t="s">
        <v>5330</v>
      </c>
      <c r="B2137" s="15"/>
      <c r="C2137" s="15" t="s">
        <v>40</v>
      </c>
      <c r="D2137" s="15" t="s">
        <v>41</v>
      </c>
      <c r="E2137" s="15" t="s">
        <v>10236</v>
      </c>
      <c r="F2137" s="15" t="s">
        <v>10238</v>
      </c>
      <c r="G2137" s="15" t="s">
        <v>10237</v>
      </c>
      <c r="H2137" s="15" t="s">
        <v>10239</v>
      </c>
      <c r="I2137" s="15" t="s">
        <v>10240</v>
      </c>
    </row>
    <row r="2138" spans="1:9" x14ac:dyDescent="0.15">
      <c r="A2138" s="15" t="s">
        <v>10241</v>
      </c>
      <c r="B2138" s="15"/>
      <c r="C2138" s="15" t="s">
        <v>40</v>
      </c>
      <c r="D2138" s="15" t="s">
        <v>41</v>
      </c>
      <c r="E2138" s="15" t="s">
        <v>10242</v>
      </c>
      <c r="F2138" s="15" t="s">
        <v>10244</v>
      </c>
      <c r="G2138" s="15" t="s">
        <v>10243</v>
      </c>
      <c r="H2138" s="15" t="s">
        <v>10245</v>
      </c>
      <c r="I2138" s="15" t="s">
        <v>10246</v>
      </c>
    </row>
    <row r="2139" spans="1:9" x14ac:dyDescent="0.15">
      <c r="A2139" s="15" t="s">
        <v>10247</v>
      </c>
      <c r="B2139" s="15"/>
      <c r="C2139" s="15" t="s">
        <v>40</v>
      </c>
      <c r="D2139" s="15" t="s">
        <v>41</v>
      </c>
      <c r="E2139" s="15" t="s">
        <v>10248</v>
      </c>
      <c r="F2139" s="15" t="s">
        <v>10250</v>
      </c>
      <c r="G2139" s="15" t="s">
        <v>10249</v>
      </c>
      <c r="H2139" s="15" t="s">
        <v>10251</v>
      </c>
      <c r="I2139" s="15" t="s">
        <v>10246</v>
      </c>
    </row>
    <row r="2140" spans="1:9" x14ac:dyDescent="0.15">
      <c r="A2140" s="15" t="s">
        <v>10252</v>
      </c>
      <c r="B2140" s="15"/>
      <c r="C2140" s="15" t="s">
        <v>40</v>
      </c>
      <c r="D2140" s="15" t="s">
        <v>41</v>
      </c>
      <c r="E2140" s="15" t="s">
        <v>10253</v>
      </c>
      <c r="F2140" s="15" t="s">
        <v>10254</v>
      </c>
      <c r="G2140" s="15" t="s">
        <v>10249</v>
      </c>
      <c r="H2140" s="15" t="s">
        <v>10255</v>
      </c>
      <c r="I2140" s="15" t="s">
        <v>10246</v>
      </c>
    </row>
    <row r="2141" spans="1:9" x14ac:dyDescent="0.15">
      <c r="A2141" s="15" t="s">
        <v>10256</v>
      </c>
      <c r="B2141" s="15"/>
      <c r="C2141" s="15" t="s">
        <v>40</v>
      </c>
      <c r="D2141" s="15" t="s">
        <v>41</v>
      </c>
      <c r="E2141" s="15" t="s">
        <v>10257</v>
      </c>
      <c r="F2141" s="15" t="s">
        <v>10258</v>
      </c>
      <c r="G2141" s="15" t="s">
        <v>1056</v>
      </c>
      <c r="H2141" s="15" t="s">
        <v>10259</v>
      </c>
      <c r="I2141" s="15" t="s">
        <v>10260</v>
      </c>
    </row>
    <row r="2142" spans="1:9" x14ac:dyDescent="0.15">
      <c r="A2142" s="15" t="s">
        <v>10261</v>
      </c>
      <c r="B2142" s="15"/>
      <c r="C2142" s="15" t="s">
        <v>40</v>
      </c>
      <c r="D2142" s="15" t="s">
        <v>41</v>
      </c>
      <c r="E2142" s="15" t="s">
        <v>10262</v>
      </c>
      <c r="F2142" s="15" t="s">
        <v>10264</v>
      </c>
      <c r="G2142" s="15" t="s">
        <v>10263</v>
      </c>
      <c r="H2142" s="15" t="s">
        <v>10265</v>
      </c>
      <c r="I2142" s="15" t="s">
        <v>10266</v>
      </c>
    </row>
    <row r="2143" spans="1:9" x14ac:dyDescent="0.15">
      <c r="A2143" s="15" t="s">
        <v>10267</v>
      </c>
      <c r="B2143" s="15"/>
      <c r="C2143" s="15" t="s">
        <v>40</v>
      </c>
      <c r="D2143" s="15" t="s">
        <v>41</v>
      </c>
      <c r="E2143" s="15" t="s">
        <v>10268</v>
      </c>
      <c r="F2143" s="15" t="s">
        <v>10270</v>
      </c>
      <c r="G2143" s="15" t="s">
        <v>10269</v>
      </c>
      <c r="H2143" s="15" t="s">
        <v>10271</v>
      </c>
      <c r="I2143" s="15" t="s">
        <v>10272</v>
      </c>
    </row>
    <row r="2144" spans="1:9" x14ac:dyDescent="0.15">
      <c r="A2144" s="15" t="s">
        <v>10273</v>
      </c>
      <c r="B2144" s="15"/>
      <c r="C2144" s="15" t="s">
        <v>40</v>
      </c>
      <c r="D2144" s="15" t="s">
        <v>41</v>
      </c>
      <c r="E2144" s="15" t="s">
        <v>10274</v>
      </c>
      <c r="F2144" s="15" t="s">
        <v>10276</v>
      </c>
      <c r="G2144" s="15" t="s">
        <v>10275</v>
      </c>
      <c r="H2144" s="15" t="s">
        <v>10277</v>
      </c>
      <c r="I2144" s="15" t="s">
        <v>10278</v>
      </c>
    </row>
    <row r="2145" spans="1:9" x14ac:dyDescent="0.15">
      <c r="A2145" s="15" t="s">
        <v>10279</v>
      </c>
      <c r="B2145" s="15"/>
      <c r="C2145" s="15" t="s">
        <v>40</v>
      </c>
      <c r="D2145" s="15" t="s">
        <v>41</v>
      </c>
      <c r="E2145" s="15" t="s">
        <v>10280</v>
      </c>
      <c r="F2145" s="15" t="s">
        <v>10282</v>
      </c>
      <c r="G2145" s="15" t="s">
        <v>10281</v>
      </c>
      <c r="H2145" s="15" t="s">
        <v>10283</v>
      </c>
      <c r="I2145" s="15" t="s">
        <v>10284</v>
      </c>
    </row>
    <row r="2146" spans="1:9" x14ac:dyDescent="0.15">
      <c r="A2146" s="15" t="s">
        <v>10285</v>
      </c>
      <c r="B2146" s="15"/>
      <c r="C2146" s="15" t="s">
        <v>40</v>
      </c>
      <c r="D2146" s="15" t="s">
        <v>41</v>
      </c>
      <c r="E2146" s="15" t="s">
        <v>10286</v>
      </c>
      <c r="F2146" s="15" t="s">
        <v>52</v>
      </c>
      <c r="G2146" s="15" t="s">
        <v>10287</v>
      </c>
      <c r="H2146" s="15" t="s">
        <v>10288</v>
      </c>
      <c r="I2146" s="15" t="s">
        <v>10289</v>
      </c>
    </row>
    <row r="2147" spans="1:9" x14ac:dyDescent="0.15">
      <c r="A2147" s="15" t="s">
        <v>10290</v>
      </c>
      <c r="B2147" s="15"/>
      <c r="C2147" s="15" t="s">
        <v>40</v>
      </c>
      <c r="D2147" s="15" t="s">
        <v>41</v>
      </c>
      <c r="E2147" s="15" t="s">
        <v>10291</v>
      </c>
      <c r="F2147" s="15" t="s">
        <v>10293</v>
      </c>
      <c r="G2147" s="15" t="s">
        <v>10292</v>
      </c>
      <c r="H2147" s="15" t="s">
        <v>10145</v>
      </c>
      <c r="I2147" s="15" t="s">
        <v>10294</v>
      </c>
    </row>
    <row r="2148" spans="1:9" x14ac:dyDescent="0.15">
      <c r="A2148" s="15" t="s">
        <v>10295</v>
      </c>
      <c r="B2148" s="15"/>
      <c r="C2148" s="15" t="s">
        <v>40</v>
      </c>
      <c r="D2148" s="15" t="s">
        <v>41</v>
      </c>
      <c r="E2148" s="15" t="s">
        <v>10296</v>
      </c>
      <c r="F2148" s="15" t="s">
        <v>10298</v>
      </c>
      <c r="G2148" s="15" t="s">
        <v>10297</v>
      </c>
      <c r="H2148" s="15" t="s">
        <v>10299</v>
      </c>
      <c r="I2148" s="15" t="s">
        <v>10300</v>
      </c>
    </row>
    <row r="2149" spans="1:9" x14ac:dyDescent="0.15">
      <c r="A2149" s="15" t="s">
        <v>10301</v>
      </c>
      <c r="B2149" s="15"/>
      <c r="C2149" s="15" t="s">
        <v>40</v>
      </c>
      <c r="D2149" s="15" t="s">
        <v>41</v>
      </c>
      <c r="E2149" s="15" t="s">
        <v>10302</v>
      </c>
      <c r="F2149" s="15" t="s">
        <v>10304</v>
      </c>
      <c r="G2149" s="15" t="s">
        <v>10303</v>
      </c>
      <c r="H2149" s="15" t="s">
        <v>10305</v>
      </c>
      <c r="I2149" s="15" t="s">
        <v>10306</v>
      </c>
    </row>
    <row r="2150" spans="1:9" x14ac:dyDescent="0.15">
      <c r="A2150" s="15" t="s">
        <v>10307</v>
      </c>
      <c r="B2150" s="15"/>
      <c r="C2150" s="15" t="s">
        <v>40</v>
      </c>
      <c r="D2150" s="15" t="s">
        <v>41</v>
      </c>
      <c r="E2150" s="15" t="s">
        <v>10308</v>
      </c>
      <c r="F2150" s="15" t="s">
        <v>10310</v>
      </c>
      <c r="G2150" s="15" t="s">
        <v>10309</v>
      </c>
      <c r="H2150" s="15" t="s">
        <v>10311</v>
      </c>
      <c r="I2150" s="15" t="s">
        <v>10312</v>
      </c>
    </row>
    <row r="2151" spans="1:9" x14ac:dyDescent="0.15">
      <c r="A2151" s="15" t="s">
        <v>10313</v>
      </c>
      <c r="B2151" s="15"/>
      <c r="C2151" s="15" t="s">
        <v>40</v>
      </c>
      <c r="D2151" s="15" t="s">
        <v>41</v>
      </c>
      <c r="E2151" s="15" t="s">
        <v>10314</v>
      </c>
      <c r="F2151" s="15" t="s">
        <v>10316</v>
      </c>
      <c r="G2151" s="15" t="s">
        <v>10315</v>
      </c>
      <c r="H2151" s="15" t="s">
        <v>10317</v>
      </c>
      <c r="I2151" s="15" t="s">
        <v>10312</v>
      </c>
    </row>
    <row r="2152" spans="1:9" x14ac:dyDescent="0.15">
      <c r="A2152" s="15" t="s">
        <v>10318</v>
      </c>
      <c r="B2152" s="15"/>
      <c r="C2152" s="15" t="s">
        <v>40</v>
      </c>
      <c r="D2152" s="15" t="s">
        <v>41</v>
      </c>
      <c r="E2152" s="15" t="s">
        <v>10319</v>
      </c>
      <c r="F2152" s="15" t="s">
        <v>10321</v>
      </c>
      <c r="G2152" s="15" t="s">
        <v>10320</v>
      </c>
      <c r="H2152" s="15" t="s">
        <v>10322</v>
      </c>
      <c r="I2152" s="15" t="s">
        <v>10312</v>
      </c>
    </row>
    <row r="2153" spans="1:9" x14ac:dyDescent="0.15">
      <c r="A2153" s="15" t="s">
        <v>10323</v>
      </c>
      <c r="B2153" s="15"/>
      <c r="C2153" s="15" t="s">
        <v>40</v>
      </c>
      <c r="D2153" s="15" t="s">
        <v>41</v>
      </c>
      <c r="E2153" s="15" t="s">
        <v>10324</v>
      </c>
      <c r="F2153" s="15" t="s">
        <v>10326</v>
      </c>
      <c r="G2153" s="15" t="s">
        <v>10325</v>
      </c>
      <c r="H2153" s="15" t="s">
        <v>10327</v>
      </c>
      <c r="I2153" s="15" t="s">
        <v>10328</v>
      </c>
    </row>
    <row r="2154" spans="1:9" x14ac:dyDescent="0.15">
      <c r="A2154" s="15" t="s">
        <v>10329</v>
      </c>
      <c r="B2154" s="15"/>
      <c r="C2154" s="15" t="s">
        <v>40</v>
      </c>
      <c r="D2154" s="15" t="s">
        <v>41</v>
      </c>
      <c r="E2154" s="15" t="s">
        <v>10330</v>
      </c>
      <c r="F2154" s="15" t="s">
        <v>10332</v>
      </c>
      <c r="G2154" s="15" t="s">
        <v>10331</v>
      </c>
      <c r="H2154" s="15" t="s">
        <v>10333</v>
      </c>
      <c r="I2154" s="15" t="s">
        <v>10334</v>
      </c>
    </row>
    <row r="2155" spans="1:9" x14ac:dyDescent="0.15">
      <c r="A2155" s="15" t="s">
        <v>10335</v>
      </c>
      <c r="B2155" s="15"/>
      <c r="C2155" s="15" t="s">
        <v>40</v>
      </c>
      <c r="D2155" s="15" t="s">
        <v>41</v>
      </c>
      <c r="E2155" s="15" t="s">
        <v>10336</v>
      </c>
      <c r="F2155" s="15" t="s">
        <v>10338</v>
      </c>
      <c r="G2155" s="15" t="s">
        <v>10337</v>
      </c>
      <c r="H2155" s="15" t="s">
        <v>10339</v>
      </c>
      <c r="I2155" s="15" t="s">
        <v>10340</v>
      </c>
    </row>
    <row r="2156" spans="1:9" x14ac:dyDescent="0.15">
      <c r="A2156" s="15" t="s">
        <v>10341</v>
      </c>
      <c r="B2156" s="15"/>
      <c r="C2156" s="15" t="s">
        <v>40</v>
      </c>
      <c r="D2156" s="15" t="s">
        <v>41</v>
      </c>
      <c r="E2156" s="15" t="s">
        <v>10342</v>
      </c>
      <c r="F2156" s="15" t="s">
        <v>10343</v>
      </c>
      <c r="G2156" s="15" t="s">
        <v>10337</v>
      </c>
      <c r="H2156" s="15" t="s">
        <v>10344</v>
      </c>
      <c r="I2156" s="15" t="s">
        <v>10340</v>
      </c>
    </row>
    <row r="2157" spans="1:9" x14ac:dyDescent="0.15">
      <c r="A2157" s="15" t="s">
        <v>10345</v>
      </c>
      <c r="B2157" s="15"/>
      <c r="C2157" s="15" t="s">
        <v>40</v>
      </c>
      <c r="D2157" s="15" t="s">
        <v>41</v>
      </c>
      <c r="E2157" s="15" t="s">
        <v>10346</v>
      </c>
      <c r="F2157" s="15" t="s">
        <v>10348</v>
      </c>
      <c r="G2157" s="15" t="s">
        <v>10347</v>
      </c>
      <c r="H2157" s="15" t="s">
        <v>10349</v>
      </c>
      <c r="I2157" s="15" t="s">
        <v>10350</v>
      </c>
    </row>
    <row r="2158" spans="1:9" x14ac:dyDescent="0.15">
      <c r="A2158" s="15" t="s">
        <v>10351</v>
      </c>
      <c r="B2158" s="15"/>
      <c r="C2158" s="15" t="s">
        <v>40</v>
      </c>
      <c r="D2158" s="15" t="s">
        <v>41</v>
      </c>
      <c r="E2158" s="15" t="s">
        <v>10352</v>
      </c>
      <c r="F2158" s="15" t="s">
        <v>52</v>
      </c>
      <c r="G2158" s="15" t="s">
        <v>10353</v>
      </c>
      <c r="H2158" s="15" t="s">
        <v>10354</v>
      </c>
      <c r="I2158" s="15" t="s">
        <v>10355</v>
      </c>
    </row>
    <row r="2159" spans="1:9" x14ac:dyDescent="0.15">
      <c r="A2159" s="15" t="s">
        <v>10356</v>
      </c>
      <c r="B2159" s="15"/>
      <c r="C2159" s="15" t="s">
        <v>40</v>
      </c>
      <c r="D2159" s="15" t="s">
        <v>41</v>
      </c>
      <c r="E2159" s="15" t="s">
        <v>10357</v>
      </c>
      <c r="F2159" s="15" t="s">
        <v>10358</v>
      </c>
      <c r="G2159" s="15" t="s">
        <v>10227</v>
      </c>
      <c r="H2159" s="15" t="s">
        <v>10359</v>
      </c>
      <c r="I2159" s="15" t="s">
        <v>10360</v>
      </c>
    </row>
    <row r="2160" spans="1:9" x14ac:dyDescent="0.15">
      <c r="A2160" s="15" t="s">
        <v>10361</v>
      </c>
      <c r="B2160" s="15"/>
      <c r="C2160" s="15" t="s">
        <v>40</v>
      </c>
      <c r="D2160" s="15" t="s">
        <v>41</v>
      </c>
      <c r="E2160" s="15" t="s">
        <v>10362</v>
      </c>
      <c r="F2160" s="15" t="s">
        <v>10363</v>
      </c>
      <c r="G2160" s="15" t="s">
        <v>2152</v>
      </c>
      <c r="H2160" s="15" t="s">
        <v>10364</v>
      </c>
      <c r="I2160" s="15" t="s">
        <v>10365</v>
      </c>
    </row>
    <row r="2161" spans="1:9" x14ac:dyDescent="0.15">
      <c r="A2161" s="15" t="s">
        <v>10366</v>
      </c>
      <c r="B2161" s="15"/>
      <c r="C2161" s="15" t="s">
        <v>40</v>
      </c>
      <c r="D2161" s="15" t="s">
        <v>41</v>
      </c>
      <c r="E2161" s="15" t="s">
        <v>10367</v>
      </c>
      <c r="F2161" s="15" t="s">
        <v>10368</v>
      </c>
      <c r="G2161" s="15" t="s">
        <v>27</v>
      </c>
      <c r="H2161" s="15" t="s">
        <v>10369</v>
      </c>
      <c r="I2161" s="15" t="s">
        <v>10365</v>
      </c>
    </row>
    <row r="2162" spans="1:9" x14ac:dyDescent="0.15">
      <c r="A2162" s="15" t="s">
        <v>10370</v>
      </c>
      <c r="B2162" s="15"/>
      <c r="C2162" s="15" t="s">
        <v>40</v>
      </c>
      <c r="D2162" s="15" t="s">
        <v>41</v>
      </c>
      <c r="E2162" s="15" t="s">
        <v>10371</v>
      </c>
      <c r="F2162" s="15" t="s">
        <v>10373</v>
      </c>
      <c r="G2162" s="15" t="s">
        <v>10372</v>
      </c>
      <c r="H2162" s="15" t="s">
        <v>10374</v>
      </c>
      <c r="I2162" s="15" t="s">
        <v>10365</v>
      </c>
    </row>
    <row r="2163" spans="1:9" x14ac:dyDescent="0.15">
      <c r="A2163" s="15" t="s">
        <v>10375</v>
      </c>
      <c r="B2163" s="15"/>
      <c r="C2163" s="15" t="s">
        <v>40</v>
      </c>
      <c r="D2163" s="15" t="s">
        <v>41</v>
      </c>
      <c r="E2163" s="15" t="s">
        <v>10376</v>
      </c>
      <c r="F2163" s="15" t="s">
        <v>10378</v>
      </c>
      <c r="G2163" s="15" t="s">
        <v>10377</v>
      </c>
      <c r="H2163" s="15" t="s">
        <v>10379</v>
      </c>
      <c r="I2163" s="15" t="s">
        <v>10365</v>
      </c>
    </row>
    <row r="2164" spans="1:9" x14ac:dyDescent="0.15">
      <c r="A2164" s="15" t="s">
        <v>10380</v>
      </c>
      <c r="B2164" s="15"/>
      <c r="C2164" s="15" t="s">
        <v>40</v>
      </c>
      <c r="D2164" s="15" t="s">
        <v>41</v>
      </c>
      <c r="E2164" s="15" t="s">
        <v>10381</v>
      </c>
      <c r="F2164" s="15" t="s">
        <v>10383</v>
      </c>
      <c r="G2164" s="15" t="s">
        <v>10382</v>
      </c>
      <c r="H2164" s="15" t="s">
        <v>10384</v>
      </c>
      <c r="I2164" s="15" t="s">
        <v>10365</v>
      </c>
    </row>
    <row r="2165" spans="1:9" x14ac:dyDescent="0.15">
      <c r="A2165" s="15" t="s">
        <v>10385</v>
      </c>
      <c r="B2165" s="15"/>
      <c r="C2165" s="15" t="s">
        <v>40</v>
      </c>
      <c r="D2165" s="15" t="s">
        <v>41</v>
      </c>
      <c r="E2165" s="15" t="s">
        <v>10386</v>
      </c>
      <c r="F2165" s="15" t="s">
        <v>10388</v>
      </c>
      <c r="G2165" s="15" t="s">
        <v>10387</v>
      </c>
      <c r="H2165" s="15" t="s">
        <v>10389</v>
      </c>
      <c r="I2165" s="15" t="s">
        <v>10365</v>
      </c>
    </row>
    <row r="2166" spans="1:9" x14ac:dyDescent="0.15">
      <c r="A2166" s="15" t="s">
        <v>10390</v>
      </c>
      <c r="B2166" s="15"/>
      <c r="C2166" s="15" t="s">
        <v>40</v>
      </c>
      <c r="D2166" s="15" t="s">
        <v>41</v>
      </c>
      <c r="E2166" s="15" t="s">
        <v>10391</v>
      </c>
      <c r="F2166" s="15" t="s">
        <v>10393</v>
      </c>
      <c r="G2166" s="15" t="s">
        <v>10392</v>
      </c>
      <c r="H2166" s="15" t="s">
        <v>10394</v>
      </c>
      <c r="I2166" s="15" t="s">
        <v>10365</v>
      </c>
    </row>
    <row r="2167" spans="1:9" x14ac:dyDescent="0.15">
      <c r="A2167" s="15" t="s">
        <v>10395</v>
      </c>
      <c r="B2167" s="15"/>
      <c r="C2167" s="15" t="s">
        <v>40</v>
      </c>
      <c r="D2167" s="15" t="s">
        <v>41</v>
      </c>
      <c r="E2167" s="15" t="s">
        <v>10396</v>
      </c>
      <c r="F2167" s="15" t="s">
        <v>10398</v>
      </c>
      <c r="G2167" s="15" t="s">
        <v>10397</v>
      </c>
      <c r="H2167" s="15" t="s">
        <v>10399</v>
      </c>
      <c r="I2167" s="15" t="s">
        <v>10365</v>
      </c>
    </row>
    <row r="2168" spans="1:9" x14ac:dyDescent="0.15">
      <c r="A2168" s="15" t="s">
        <v>10400</v>
      </c>
      <c r="B2168" s="15"/>
      <c r="C2168" s="15" t="s">
        <v>40</v>
      </c>
      <c r="D2168" s="15" t="s">
        <v>41</v>
      </c>
      <c r="E2168" s="15" t="s">
        <v>10401</v>
      </c>
      <c r="F2168" s="15" t="s">
        <v>10403</v>
      </c>
      <c r="G2168" s="15" t="s">
        <v>10402</v>
      </c>
      <c r="H2168" s="15" t="s">
        <v>10404</v>
      </c>
      <c r="I2168" s="15" t="s">
        <v>10365</v>
      </c>
    </row>
    <row r="2169" spans="1:9" x14ac:dyDescent="0.15">
      <c r="A2169" s="15" t="s">
        <v>10405</v>
      </c>
      <c r="B2169" s="15"/>
      <c r="C2169" s="15" t="s">
        <v>40</v>
      </c>
      <c r="D2169" s="15" t="s">
        <v>41</v>
      </c>
      <c r="E2169" s="15" t="s">
        <v>10406</v>
      </c>
      <c r="F2169" s="15" t="s">
        <v>10407</v>
      </c>
      <c r="G2169" s="15" t="s">
        <v>28</v>
      </c>
      <c r="H2169" s="15" t="s">
        <v>10408</v>
      </c>
      <c r="I2169" s="15" t="s">
        <v>10365</v>
      </c>
    </row>
    <row r="2170" spans="1:9" x14ac:dyDescent="0.15">
      <c r="A2170" s="15" t="s">
        <v>10409</v>
      </c>
      <c r="B2170" s="15"/>
      <c r="C2170" s="15" t="s">
        <v>40</v>
      </c>
      <c r="D2170" s="15" t="s">
        <v>41</v>
      </c>
      <c r="E2170" s="15" t="s">
        <v>10410</v>
      </c>
      <c r="F2170" s="15" t="s">
        <v>10411</v>
      </c>
      <c r="G2170" s="15" t="s">
        <v>5577</v>
      </c>
      <c r="H2170" s="15" t="s">
        <v>10412</v>
      </c>
      <c r="I2170" s="15" t="s">
        <v>10365</v>
      </c>
    </row>
    <row r="2171" spans="1:9" x14ac:dyDescent="0.15">
      <c r="A2171" s="15" t="s">
        <v>10413</v>
      </c>
      <c r="B2171" s="15"/>
      <c r="C2171" s="15" t="s">
        <v>40</v>
      </c>
      <c r="D2171" s="15" t="s">
        <v>41</v>
      </c>
      <c r="E2171" s="15" t="s">
        <v>10414</v>
      </c>
      <c r="F2171" s="15" t="s">
        <v>10416</v>
      </c>
      <c r="G2171" s="15" t="s">
        <v>10415</v>
      </c>
      <c r="H2171" s="15" t="s">
        <v>10417</v>
      </c>
      <c r="I2171" s="15" t="s">
        <v>10365</v>
      </c>
    </row>
    <row r="2172" spans="1:9" x14ac:dyDescent="0.15">
      <c r="A2172" s="15" t="s">
        <v>10418</v>
      </c>
      <c r="B2172" s="15"/>
      <c r="C2172" s="15" t="s">
        <v>40</v>
      </c>
      <c r="D2172" s="15" t="s">
        <v>41</v>
      </c>
      <c r="E2172" s="15" t="s">
        <v>10419</v>
      </c>
      <c r="F2172" s="15" t="s">
        <v>10421</v>
      </c>
      <c r="G2172" s="15" t="s">
        <v>10420</v>
      </c>
      <c r="H2172" s="15" t="s">
        <v>10422</v>
      </c>
      <c r="I2172" s="15" t="s">
        <v>10365</v>
      </c>
    </row>
    <row r="2173" spans="1:9" x14ac:dyDescent="0.15">
      <c r="A2173" s="15" t="s">
        <v>10423</v>
      </c>
      <c r="B2173" s="15"/>
      <c r="C2173" s="15" t="s">
        <v>40</v>
      </c>
      <c r="D2173" s="15" t="s">
        <v>41</v>
      </c>
      <c r="E2173" s="15" t="s">
        <v>10424</v>
      </c>
      <c r="F2173" s="15" t="s">
        <v>10426</v>
      </c>
      <c r="G2173" s="15" t="s">
        <v>10425</v>
      </c>
      <c r="H2173" s="15" t="s">
        <v>10427</v>
      </c>
      <c r="I2173" s="15" t="s">
        <v>10365</v>
      </c>
    </row>
    <row r="2174" spans="1:9" x14ac:dyDescent="0.15">
      <c r="A2174" s="15" t="s">
        <v>10428</v>
      </c>
      <c r="B2174" s="15"/>
      <c r="C2174" s="15" t="s">
        <v>40</v>
      </c>
      <c r="D2174" s="15" t="s">
        <v>41</v>
      </c>
      <c r="E2174" s="15" t="s">
        <v>10429</v>
      </c>
      <c r="F2174" s="15" t="s">
        <v>10431</v>
      </c>
      <c r="G2174" s="15" t="s">
        <v>10430</v>
      </c>
      <c r="H2174" s="15" t="s">
        <v>10432</v>
      </c>
      <c r="I2174" s="15" t="s">
        <v>10365</v>
      </c>
    </row>
    <row r="2175" spans="1:9" x14ac:dyDescent="0.15">
      <c r="A2175" s="15" t="s">
        <v>10433</v>
      </c>
      <c r="B2175" s="15"/>
      <c r="C2175" s="15" t="s">
        <v>40</v>
      </c>
      <c r="D2175" s="15" t="s">
        <v>41</v>
      </c>
      <c r="E2175" s="15" t="s">
        <v>10434</v>
      </c>
      <c r="F2175" s="15" t="s">
        <v>10436</v>
      </c>
      <c r="G2175" s="15" t="s">
        <v>10435</v>
      </c>
      <c r="H2175" s="15" t="s">
        <v>10437</v>
      </c>
      <c r="I2175" s="15" t="s">
        <v>10365</v>
      </c>
    </row>
    <row r="2176" spans="1:9" x14ac:dyDescent="0.15">
      <c r="A2176" s="15" t="s">
        <v>10438</v>
      </c>
      <c r="B2176" s="15"/>
      <c r="C2176" s="15" t="s">
        <v>40</v>
      </c>
      <c r="D2176" s="15" t="s">
        <v>41</v>
      </c>
      <c r="E2176" s="15" t="s">
        <v>10439</v>
      </c>
      <c r="F2176" s="15" t="s">
        <v>10440</v>
      </c>
      <c r="G2176" s="15" t="s">
        <v>10415</v>
      </c>
      <c r="H2176" s="15" t="s">
        <v>10441</v>
      </c>
      <c r="I2176" s="15" t="s">
        <v>10365</v>
      </c>
    </row>
    <row r="2177" spans="1:9" x14ac:dyDescent="0.15">
      <c r="A2177" s="15" t="s">
        <v>10442</v>
      </c>
      <c r="B2177" s="15"/>
      <c r="C2177" s="15" t="s">
        <v>40</v>
      </c>
      <c r="D2177" s="15" t="s">
        <v>41</v>
      </c>
      <c r="E2177" s="15" t="s">
        <v>10443</v>
      </c>
      <c r="F2177" s="15" t="s">
        <v>10445</v>
      </c>
      <c r="G2177" s="15" t="s">
        <v>10444</v>
      </c>
      <c r="H2177" s="15" t="s">
        <v>10446</v>
      </c>
      <c r="I2177" s="15" t="s">
        <v>10365</v>
      </c>
    </row>
    <row r="2178" spans="1:9" x14ac:dyDescent="0.15">
      <c r="A2178" s="15" t="s">
        <v>10447</v>
      </c>
      <c r="B2178" s="15"/>
      <c r="C2178" s="15" t="s">
        <v>40</v>
      </c>
      <c r="D2178" s="15" t="s">
        <v>41</v>
      </c>
      <c r="E2178" s="15" t="s">
        <v>10448</v>
      </c>
      <c r="F2178" s="15" t="s">
        <v>10449</v>
      </c>
      <c r="G2178" s="15" t="s">
        <v>10402</v>
      </c>
      <c r="H2178" s="15" t="s">
        <v>10450</v>
      </c>
      <c r="I2178" s="15" t="s">
        <v>10365</v>
      </c>
    </row>
    <row r="2179" spans="1:9" x14ac:dyDescent="0.15">
      <c r="A2179" s="15" t="s">
        <v>10451</v>
      </c>
      <c r="B2179" s="15"/>
      <c r="C2179" s="15" t="s">
        <v>40</v>
      </c>
      <c r="D2179" s="15" t="s">
        <v>41</v>
      </c>
      <c r="E2179" s="15" t="s">
        <v>10452</v>
      </c>
      <c r="F2179" s="15" t="s">
        <v>10453</v>
      </c>
      <c r="G2179" s="15" t="s">
        <v>10415</v>
      </c>
      <c r="H2179" s="15" t="s">
        <v>10454</v>
      </c>
      <c r="I2179" s="15" t="s">
        <v>10365</v>
      </c>
    </row>
    <row r="2180" spans="1:9" x14ac:dyDescent="0.15">
      <c r="A2180" s="15" t="s">
        <v>10455</v>
      </c>
      <c r="B2180" s="15"/>
      <c r="C2180" s="15" t="s">
        <v>40</v>
      </c>
      <c r="D2180" s="15" t="s">
        <v>41</v>
      </c>
      <c r="E2180" s="15" t="s">
        <v>10456</v>
      </c>
      <c r="F2180" s="15" t="s">
        <v>10457</v>
      </c>
      <c r="G2180" s="15" t="s">
        <v>10415</v>
      </c>
      <c r="H2180" s="15" t="s">
        <v>10458</v>
      </c>
      <c r="I2180" s="15" t="s">
        <v>10365</v>
      </c>
    </row>
    <row r="2181" spans="1:9" x14ac:dyDescent="0.15">
      <c r="A2181" s="15" t="s">
        <v>10459</v>
      </c>
      <c r="B2181" s="15"/>
      <c r="C2181" s="15" t="s">
        <v>40</v>
      </c>
      <c r="D2181" s="15" t="s">
        <v>41</v>
      </c>
      <c r="E2181" s="15" t="s">
        <v>10460</v>
      </c>
      <c r="F2181" s="15" t="s">
        <v>10462</v>
      </c>
      <c r="G2181" s="15" t="s">
        <v>10461</v>
      </c>
      <c r="H2181" s="15" t="s">
        <v>10463</v>
      </c>
      <c r="I2181" s="15" t="s">
        <v>10365</v>
      </c>
    </row>
    <row r="2182" spans="1:9" x14ac:dyDescent="0.15">
      <c r="A2182" s="15" t="s">
        <v>10464</v>
      </c>
      <c r="B2182" s="15"/>
      <c r="C2182" s="15" t="s">
        <v>40</v>
      </c>
      <c r="D2182" s="15" t="s">
        <v>41</v>
      </c>
      <c r="E2182" s="15" t="s">
        <v>10465</v>
      </c>
      <c r="F2182" s="15" t="s">
        <v>10467</v>
      </c>
      <c r="G2182" s="15" t="s">
        <v>10466</v>
      </c>
      <c r="H2182" s="15" t="s">
        <v>10468</v>
      </c>
      <c r="I2182" s="15" t="s">
        <v>10365</v>
      </c>
    </row>
    <row r="2183" spans="1:9" x14ac:dyDescent="0.15">
      <c r="A2183" s="15" t="s">
        <v>10469</v>
      </c>
      <c r="B2183" s="15"/>
      <c r="C2183" s="15" t="s">
        <v>40</v>
      </c>
      <c r="D2183" s="15" t="s">
        <v>41</v>
      </c>
      <c r="E2183" s="15" t="s">
        <v>10470</v>
      </c>
      <c r="F2183" s="15" t="s">
        <v>10472</v>
      </c>
      <c r="G2183" s="15" t="s">
        <v>10471</v>
      </c>
      <c r="H2183" s="15" t="s">
        <v>10473</v>
      </c>
      <c r="I2183" s="15" t="s">
        <v>10365</v>
      </c>
    </row>
    <row r="2184" spans="1:9" x14ac:dyDescent="0.15">
      <c r="A2184" s="15" t="s">
        <v>10474</v>
      </c>
      <c r="B2184" s="15"/>
      <c r="C2184" s="15" t="s">
        <v>40</v>
      </c>
      <c r="D2184" s="15" t="s">
        <v>41</v>
      </c>
      <c r="E2184" s="15" t="s">
        <v>10475</v>
      </c>
      <c r="F2184" s="15" t="s">
        <v>10477</v>
      </c>
      <c r="G2184" s="15" t="s">
        <v>10476</v>
      </c>
      <c r="H2184" s="15" t="s">
        <v>10478</v>
      </c>
      <c r="I2184" s="15" t="s">
        <v>10365</v>
      </c>
    </row>
    <row r="2185" spans="1:9" x14ac:dyDescent="0.15">
      <c r="A2185" s="15" t="s">
        <v>10479</v>
      </c>
      <c r="B2185" s="15"/>
      <c r="C2185" s="15" t="s">
        <v>40</v>
      </c>
      <c r="D2185" s="15" t="s">
        <v>41</v>
      </c>
      <c r="E2185" s="15" t="s">
        <v>10480</v>
      </c>
      <c r="F2185" s="15" t="s">
        <v>10482</v>
      </c>
      <c r="G2185" s="15" t="s">
        <v>10481</v>
      </c>
      <c r="H2185" s="15" t="s">
        <v>10483</v>
      </c>
      <c r="I2185" s="15" t="s">
        <v>10365</v>
      </c>
    </row>
    <row r="2186" spans="1:9" x14ac:dyDescent="0.15">
      <c r="A2186" s="15" t="s">
        <v>10484</v>
      </c>
      <c r="B2186" s="15"/>
      <c r="C2186" s="15" t="s">
        <v>40</v>
      </c>
      <c r="D2186" s="15" t="s">
        <v>41</v>
      </c>
      <c r="E2186" s="15" t="s">
        <v>10485</v>
      </c>
      <c r="F2186" s="15" t="s">
        <v>10487</v>
      </c>
      <c r="G2186" s="15" t="s">
        <v>10486</v>
      </c>
      <c r="H2186" s="15" t="s">
        <v>10488</v>
      </c>
      <c r="I2186" s="15" t="s">
        <v>10365</v>
      </c>
    </row>
    <row r="2187" spans="1:9" x14ac:dyDescent="0.15">
      <c r="A2187" s="15" t="s">
        <v>10489</v>
      </c>
      <c r="B2187" s="15"/>
      <c r="C2187" s="15" t="s">
        <v>40</v>
      </c>
      <c r="D2187" s="15" t="s">
        <v>41</v>
      </c>
      <c r="E2187" s="15" t="s">
        <v>10490</v>
      </c>
      <c r="F2187" s="15" t="s">
        <v>10492</v>
      </c>
      <c r="G2187" s="15" t="s">
        <v>10491</v>
      </c>
      <c r="H2187" s="15" t="s">
        <v>10493</v>
      </c>
      <c r="I2187" s="15" t="s">
        <v>10365</v>
      </c>
    </row>
    <row r="2188" spans="1:9" x14ac:dyDescent="0.15">
      <c r="A2188" s="15" t="s">
        <v>10494</v>
      </c>
      <c r="B2188" s="15"/>
      <c r="C2188" s="15" t="s">
        <v>40</v>
      </c>
      <c r="D2188" s="15" t="s">
        <v>41</v>
      </c>
      <c r="E2188" s="15" t="s">
        <v>10495</v>
      </c>
      <c r="F2188" s="15" t="s">
        <v>10497</v>
      </c>
      <c r="G2188" s="15" t="s">
        <v>10496</v>
      </c>
      <c r="H2188" s="15" t="s">
        <v>10498</v>
      </c>
      <c r="I2188" s="15" t="s">
        <v>10365</v>
      </c>
    </row>
    <row r="2189" spans="1:9" x14ac:dyDescent="0.15">
      <c r="A2189" s="15" t="s">
        <v>10499</v>
      </c>
      <c r="B2189" s="15"/>
      <c r="C2189" s="15" t="s">
        <v>40</v>
      </c>
      <c r="D2189" s="15" t="s">
        <v>41</v>
      </c>
      <c r="E2189" s="15" t="s">
        <v>10500</v>
      </c>
      <c r="F2189" s="15" t="s">
        <v>10502</v>
      </c>
      <c r="G2189" s="15" t="s">
        <v>10501</v>
      </c>
      <c r="H2189" s="15" t="s">
        <v>10503</v>
      </c>
      <c r="I2189" s="15" t="s">
        <v>10365</v>
      </c>
    </row>
    <row r="2190" spans="1:9" x14ac:dyDescent="0.15">
      <c r="A2190" s="15" t="s">
        <v>10504</v>
      </c>
      <c r="B2190" s="15"/>
      <c r="C2190" s="15" t="s">
        <v>40</v>
      </c>
      <c r="D2190" s="15" t="s">
        <v>41</v>
      </c>
      <c r="E2190" s="15" t="s">
        <v>10505</v>
      </c>
      <c r="F2190" s="15" t="s">
        <v>10507</v>
      </c>
      <c r="G2190" s="15" t="s">
        <v>10506</v>
      </c>
      <c r="H2190" s="15" t="s">
        <v>10508</v>
      </c>
      <c r="I2190" s="15" t="s">
        <v>10365</v>
      </c>
    </row>
    <row r="2191" spans="1:9" x14ac:dyDescent="0.15">
      <c r="A2191" s="15" t="s">
        <v>10509</v>
      </c>
      <c r="B2191" s="15"/>
      <c r="C2191" s="15" t="s">
        <v>40</v>
      </c>
      <c r="D2191" s="15" t="s">
        <v>41</v>
      </c>
      <c r="E2191" s="15" t="s">
        <v>10510</v>
      </c>
      <c r="F2191" s="15" t="s">
        <v>10512</v>
      </c>
      <c r="G2191" s="15" t="s">
        <v>10511</v>
      </c>
      <c r="H2191" s="15" t="s">
        <v>10513</v>
      </c>
      <c r="I2191" s="15" t="s">
        <v>10365</v>
      </c>
    </row>
    <row r="2192" spans="1:9" x14ac:dyDescent="0.15">
      <c r="A2192" s="15" t="s">
        <v>10514</v>
      </c>
      <c r="B2192" s="15"/>
      <c r="C2192" s="15" t="s">
        <v>40</v>
      </c>
      <c r="D2192" s="15" t="s">
        <v>41</v>
      </c>
      <c r="E2192" s="15" t="s">
        <v>10515</v>
      </c>
      <c r="F2192" s="15" t="s">
        <v>10516</v>
      </c>
      <c r="G2192" s="15" t="s">
        <v>10415</v>
      </c>
      <c r="H2192" s="15" t="s">
        <v>10517</v>
      </c>
      <c r="I2192" s="15" t="s">
        <v>10365</v>
      </c>
    </row>
    <row r="2193" spans="1:9" x14ac:dyDescent="0.15">
      <c r="A2193" s="15" t="s">
        <v>10518</v>
      </c>
      <c r="B2193" s="15"/>
      <c r="C2193" s="15" t="s">
        <v>40</v>
      </c>
      <c r="D2193" s="15" t="s">
        <v>41</v>
      </c>
      <c r="E2193" s="15" t="s">
        <v>10519</v>
      </c>
      <c r="F2193" s="15" t="s">
        <v>10521</v>
      </c>
      <c r="G2193" s="15" t="s">
        <v>10520</v>
      </c>
      <c r="H2193" s="15" t="s">
        <v>10522</v>
      </c>
      <c r="I2193" s="15" t="s">
        <v>10365</v>
      </c>
    </row>
    <row r="2194" spans="1:9" x14ac:dyDescent="0.15">
      <c r="A2194" s="15" t="s">
        <v>10523</v>
      </c>
      <c r="B2194" s="15"/>
      <c r="C2194" s="15" t="s">
        <v>40</v>
      </c>
      <c r="D2194" s="15" t="s">
        <v>41</v>
      </c>
      <c r="E2194" s="15" t="s">
        <v>10524</v>
      </c>
      <c r="F2194" s="15" t="s">
        <v>10526</v>
      </c>
      <c r="G2194" s="15" t="s">
        <v>10525</v>
      </c>
      <c r="H2194" s="15" t="s">
        <v>10527</v>
      </c>
      <c r="I2194" s="15" t="s">
        <v>10365</v>
      </c>
    </row>
    <row r="2195" spans="1:9" x14ac:dyDescent="0.15">
      <c r="A2195" s="15" t="s">
        <v>10528</v>
      </c>
      <c r="B2195" s="15"/>
      <c r="C2195" s="15" t="s">
        <v>40</v>
      </c>
      <c r="D2195" s="15" t="s">
        <v>41</v>
      </c>
      <c r="E2195" s="15" t="s">
        <v>10529</v>
      </c>
      <c r="F2195" s="15" t="s">
        <v>10531</v>
      </c>
      <c r="G2195" s="15" t="s">
        <v>10530</v>
      </c>
      <c r="H2195" s="15" t="s">
        <v>10532</v>
      </c>
      <c r="I2195" s="15" t="s">
        <v>10365</v>
      </c>
    </row>
    <row r="2196" spans="1:9" x14ac:dyDescent="0.15">
      <c r="A2196" s="15" t="s">
        <v>10533</v>
      </c>
      <c r="B2196" s="15"/>
      <c r="C2196" s="15" t="s">
        <v>40</v>
      </c>
      <c r="D2196" s="15" t="s">
        <v>41</v>
      </c>
      <c r="E2196" s="15" t="s">
        <v>10534</v>
      </c>
      <c r="F2196" s="15" t="s">
        <v>10536</v>
      </c>
      <c r="G2196" s="15" t="s">
        <v>10535</v>
      </c>
      <c r="H2196" s="15" t="s">
        <v>10537</v>
      </c>
      <c r="I2196" s="15" t="s">
        <v>10365</v>
      </c>
    </row>
    <row r="2197" spans="1:9" x14ac:dyDescent="0.15">
      <c r="A2197" s="15" t="s">
        <v>10538</v>
      </c>
      <c r="B2197" s="15"/>
      <c r="C2197" s="15" t="s">
        <v>40</v>
      </c>
      <c r="D2197" s="15" t="s">
        <v>41</v>
      </c>
      <c r="E2197" s="15" t="s">
        <v>10539</v>
      </c>
      <c r="F2197" s="15" t="s">
        <v>3767</v>
      </c>
      <c r="G2197" s="15" t="s">
        <v>3766</v>
      </c>
      <c r="H2197" s="15" t="s">
        <v>10540</v>
      </c>
      <c r="I2197" s="15" t="s">
        <v>10541</v>
      </c>
    </row>
    <row r="2198" spans="1:9" x14ac:dyDescent="0.15">
      <c r="A2198" s="15" t="s">
        <v>10542</v>
      </c>
      <c r="B2198" s="15"/>
      <c r="C2198" s="15" t="s">
        <v>40</v>
      </c>
      <c r="D2198" s="15" t="s">
        <v>41</v>
      </c>
      <c r="E2198" s="15" t="s">
        <v>10543</v>
      </c>
      <c r="F2198" s="15" t="s">
        <v>10545</v>
      </c>
      <c r="G2198" s="15" t="s">
        <v>10544</v>
      </c>
      <c r="H2198" s="15" t="s">
        <v>10546</v>
      </c>
      <c r="I2198" s="15" t="s">
        <v>10541</v>
      </c>
    </row>
    <row r="2199" spans="1:9" x14ac:dyDescent="0.15">
      <c r="A2199" s="15" t="s">
        <v>10547</v>
      </c>
      <c r="B2199" s="15"/>
      <c r="C2199" s="15" t="s">
        <v>40</v>
      </c>
      <c r="D2199" s="15" t="s">
        <v>41</v>
      </c>
      <c r="E2199" s="15" t="s">
        <v>10548</v>
      </c>
      <c r="F2199" s="15" t="s">
        <v>10550</v>
      </c>
      <c r="G2199" s="15" t="s">
        <v>10549</v>
      </c>
      <c r="H2199" s="15" t="s">
        <v>10551</v>
      </c>
      <c r="I2199" s="15" t="s">
        <v>10541</v>
      </c>
    </row>
    <row r="2200" spans="1:9" x14ac:dyDescent="0.15">
      <c r="A2200" s="15" t="s">
        <v>10552</v>
      </c>
      <c r="B2200" s="15"/>
      <c r="C2200" s="15" t="s">
        <v>40</v>
      </c>
      <c r="D2200" s="15" t="s">
        <v>41</v>
      </c>
      <c r="E2200" s="15" t="s">
        <v>10553</v>
      </c>
      <c r="F2200" s="15" t="s">
        <v>10555</v>
      </c>
      <c r="G2200" s="15" t="s">
        <v>10554</v>
      </c>
      <c r="H2200" s="15" t="s">
        <v>10556</v>
      </c>
      <c r="I2200" s="15" t="s">
        <v>10541</v>
      </c>
    </row>
    <row r="2201" spans="1:9" x14ac:dyDescent="0.15">
      <c r="A2201" s="15" t="s">
        <v>10557</v>
      </c>
      <c r="B2201" s="15"/>
      <c r="C2201" s="15" t="s">
        <v>40</v>
      </c>
      <c r="D2201" s="15" t="s">
        <v>41</v>
      </c>
      <c r="E2201" s="15" t="s">
        <v>10558</v>
      </c>
      <c r="F2201" s="15" t="s">
        <v>10560</v>
      </c>
      <c r="G2201" s="15" t="s">
        <v>10559</v>
      </c>
      <c r="H2201" s="15" t="s">
        <v>10561</v>
      </c>
      <c r="I2201" s="15" t="s">
        <v>10541</v>
      </c>
    </row>
    <row r="2202" spans="1:9" x14ac:dyDescent="0.15">
      <c r="A2202" s="15" t="s">
        <v>10562</v>
      </c>
      <c r="B2202" s="15"/>
      <c r="C2202" s="15" t="s">
        <v>40</v>
      </c>
      <c r="D2202" s="15" t="s">
        <v>41</v>
      </c>
      <c r="E2202" s="15" t="s">
        <v>10563</v>
      </c>
      <c r="F2202" s="15" t="s">
        <v>10565</v>
      </c>
      <c r="G2202" s="15" t="s">
        <v>10564</v>
      </c>
      <c r="H2202" s="15" t="s">
        <v>10566</v>
      </c>
      <c r="I2202" s="15" t="s">
        <v>10541</v>
      </c>
    </row>
    <row r="2203" spans="1:9" x14ac:dyDescent="0.15">
      <c r="A2203" s="15" t="s">
        <v>10567</v>
      </c>
      <c r="B2203" s="15"/>
      <c r="C2203" s="15" t="s">
        <v>40</v>
      </c>
      <c r="D2203" s="15" t="s">
        <v>41</v>
      </c>
      <c r="E2203" s="15" t="s">
        <v>10568</v>
      </c>
      <c r="F2203" s="15" t="s">
        <v>10570</v>
      </c>
      <c r="G2203" s="15" t="s">
        <v>10569</v>
      </c>
      <c r="H2203" s="15" t="s">
        <v>10571</v>
      </c>
      <c r="I2203" s="15" t="s">
        <v>10541</v>
      </c>
    </row>
    <row r="2204" spans="1:9" x14ac:dyDescent="0.15">
      <c r="A2204" s="15" t="s">
        <v>10572</v>
      </c>
      <c r="B2204" s="15"/>
      <c r="C2204" s="15" t="s">
        <v>40</v>
      </c>
      <c r="D2204" s="15" t="s">
        <v>41</v>
      </c>
      <c r="E2204" s="15" t="s">
        <v>10573</v>
      </c>
      <c r="F2204" s="15" t="s">
        <v>10575</v>
      </c>
      <c r="G2204" s="15" t="s">
        <v>10574</v>
      </c>
      <c r="H2204" s="15" t="s">
        <v>10576</v>
      </c>
      <c r="I2204" s="15" t="s">
        <v>10541</v>
      </c>
    </row>
    <row r="2205" spans="1:9" x14ac:dyDescent="0.15">
      <c r="A2205" s="15" t="s">
        <v>10577</v>
      </c>
      <c r="B2205" s="15"/>
      <c r="C2205" s="15" t="s">
        <v>40</v>
      </c>
      <c r="D2205" s="15" t="s">
        <v>41</v>
      </c>
      <c r="E2205" s="15" t="s">
        <v>10578</v>
      </c>
      <c r="F2205" s="15" t="s">
        <v>10580</v>
      </c>
      <c r="G2205" s="15" t="s">
        <v>10579</v>
      </c>
      <c r="H2205" s="15" t="s">
        <v>10581</v>
      </c>
      <c r="I2205" s="15" t="s">
        <v>10541</v>
      </c>
    </row>
    <row r="2206" spans="1:9" x14ac:dyDescent="0.15">
      <c r="A2206" s="15" t="s">
        <v>10582</v>
      </c>
      <c r="B2206" s="15"/>
      <c r="C2206" s="15" t="s">
        <v>40</v>
      </c>
      <c r="D2206" s="15" t="s">
        <v>41</v>
      </c>
      <c r="E2206" s="15" t="s">
        <v>10583</v>
      </c>
      <c r="F2206" s="15" t="s">
        <v>10584</v>
      </c>
      <c r="G2206" s="15" t="s">
        <v>3640</v>
      </c>
      <c r="H2206" s="15" t="s">
        <v>10585</v>
      </c>
      <c r="I2206" s="15" t="s">
        <v>10541</v>
      </c>
    </row>
    <row r="2207" spans="1:9" x14ac:dyDescent="0.15">
      <c r="A2207" s="15" t="s">
        <v>10586</v>
      </c>
      <c r="B2207" s="15"/>
      <c r="C2207" s="15" t="s">
        <v>40</v>
      </c>
      <c r="D2207" s="15" t="s">
        <v>41</v>
      </c>
      <c r="E2207" s="15" t="s">
        <v>10587</v>
      </c>
      <c r="F2207" s="15" t="s">
        <v>10589</v>
      </c>
      <c r="G2207" s="15" t="s">
        <v>10588</v>
      </c>
      <c r="H2207" s="15" t="s">
        <v>10590</v>
      </c>
      <c r="I2207" s="15" t="s">
        <v>10541</v>
      </c>
    </row>
    <row r="2208" spans="1:9" x14ac:dyDescent="0.15">
      <c r="A2208" s="15" t="s">
        <v>10591</v>
      </c>
      <c r="B2208" s="15"/>
      <c r="C2208" s="15" t="s">
        <v>40</v>
      </c>
      <c r="D2208" s="15" t="s">
        <v>41</v>
      </c>
      <c r="E2208" s="15" t="s">
        <v>10592</v>
      </c>
      <c r="F2208" s="15" t="s">
        <v>10594</v>
      </c>
      <c r="G2208" s="15" t="s">
        <v>10593</v>
      </c>
      <c r="H2208" s="15" t="s">
        <v>10595</v>
      </c>
      <c r="I2208" s="15" t="s">
        <v>10541</v>
      </c>
    </row>
    <row r="2209" spans="1:9" x14ac:dyDescent="0.15">
      <c r="A2209" s="15" t="s">
        <v>10596</v>
      </c>
      <c r="B2209" s="15"/>
      <c r="C2209" s="15" t="s">
        <v>40</v>
      </c>
      <c r="D2209" s="15" t="s">
        <v>41</v>
      </c>
      <c r="E2209" s="15" t="s">
        <v>10597</v>
      </c>
      <c r="F2209" s="15" t="s">
        <v>10599</v>
      </c>
      <c r="G2209" s="15" t="s">
        <v>10598</v>
      </c>
      <c r="H2209" s="15" t="s">
        <v>10600</v>
      </c>
      <c r="I2209" s="15" t="s">
        <v>10541</v>
      </c>
    </row>
    <row r="2210" spans="1:9" x14ac:dyDescent="0.15">
      <c r="A2210" s="15" t="s">
        <v>10601</v>
      </c>
      <c r="B2210" s="15"/>
      <c r="C2210" s="15" t="s">
        <v>40</v>
      </c>
      <c r="D2210" s="15" t="s">
        <v>41</v>
      </c>
      <c r="E2210" s="15" t="s">
        <v>10602</v>
      </c>
      <c r="F2210" s="15" t="s">
        <v>52</v>
      </c>
      <c r="G2210" s="15" t="s">
        <v>10603</v>
      </c>
      <c r="H2210" s="15" t="s">
        <v>10604</v>
      </c>
      <c r="I2210" s="15" t="s">
        <v>10541</v>
      </c>
    </row>
    <row r="2211" spans="1:9" x14ac:dyDescent="0.15">
      <c r="A2211" s="15" t="s">
        <v>10605</v>
      </c>
      <c r="B2211" s="15"/>
      <c r="C2211" s="15" t="s">
        <v>40</v>
      </c>
      <c r="D2211" s="15" t="s">
        <v>41</v>
      </c>
      <c r="E2211" s="15" t="s">
        <v>10606</v>
      </c>
      <c r="F2211" s="15" t="s">
        <v>10608</v>
      </c>
      <c r="G2211" s="15" t="s">
        <v>10607</v>
      </c>
      <c r="H2211" s="15" t="s">
        <v>10609</v>
      </c>
      <c r="I2211" s="15" t="s">
        <v>10541</v>
      </c>
    </row>
    <row r="2212" spans="1:9" x14ac:dyDescent="0.15">
      <c r="A2212" s="15" t="s">
        <v>10610</v>
      </c>
      <c r="B2212" s="15"/>
      <c r="C2212" s="15" t="s">
        <v>40</v>
      </c>
      <c r="D2212" s="15" t="s">
        <v>41</v>
      </c>
      <c r="E2212" s="15" t="s">
        <v>10611</v>
      </c>
      <c r="F2212" s="15" t="s">
        <v>10612</v>
      </c>
      <c r="G2212" s="15" t="s">
        <v>10158</v>
      </c>
      <c r="H2212" s="15" t="s">
        <v>10613</v>
      </c>
      <c r="I2212" s="15" t="s">
        <v>10541</v>
      </c>
    </row>
    <row r="2213" spans="1:9" x14ac:dyDescent="0.15">
      <c r="A2213" s="15" t="s">
        <v>10614</v>
      </c>
      <c r="B2213" s="15"/>
      <c r="C2213" s="15" t="s">
        <v>40</v>
      </c>
      <c r="D2213" s="15" t="s">
        <v>41</v>
      </c>
      <c r="E2213" s="15" t="s">
        <v>10615</v>
      </c>
      <c r="F2213" s="15" t="s">
        <v>10617</v>
      </c>
      <c r="G2213" s="15" t="s">
        <v>10616</v>
      </c>
      <c r="H2213" s="15" t="s">
        <v>10618</v>
      </c>
      <c r="I2213" s="15" t="s">
        <v>10541</v>
      </c>
    </row>
    <row r="2214" spans="1:9" x14ac:dyDescent="0.15">
      <c r="A2214" s="15" t="s">
        <v>10619</v>
      </c>
      <c r="B2214" s="15"/>
      <c r="C2214" s="15" t="s">
        <v>40</v>
      </c>
      <c r="D2214" s="15" t="s">
        <v>41</v>
      </c>
      <c r="E2214" s="15" t="s">
        <v>10620</v>
      </c>
      <c r="F2214" s="15" t="s">
        <v>10622</v>
      </c>
      <c r="G2214" s="15" t="s">
        <v>10621</v>
      </c>
      <c r="H2214" s="15" t="s">
        <v>10623</v>
      </c>
      <c r="I2214" s="15" t="s">
        <v>10541</v>
      </c>
    </row>
    <row r="2215" spans="1:9" x14ac:dyDescent="0.15">
      <c r="A2215" s="15" t="s">
        <v>10624</v>
      </c>
      <c r="B2215" s="15"/>
      <c r="C2215" s="15" t="s">
        <v>40</v>
      </c>
      <c r="D2215" s="15" t="s">
        <v>41</v>
      </c>
      <c r="E2215" s="15" t="s">
        <v>10625</v>
      </c>
      <c r="F2215" s="15" t="s">
        <v>10627</v>
      </c>
      <c r="G2215" s="15" t="s">
        <v>10626</v>
      </c>
      <c r="H2215" s="15" t="s">
        <v>10628</v>
      </c>
      <c r="I2215" s="15" t="s">
        <v>10541</v>
      </c>
    </row>
    <row r="2216" spans="1:9" x14ac:dyDescent="0.15">
      <c r="A2216" s="15" t="s">
        <v>10629</v>
      </c>
      <c r="B2216" s="15"/>
      <c r="C2216" s="15" t="s">
        <v>40</v>
      </c>
      <c r="D2216" s="15" t="s">
        <v>41</v>
      </c>
      <c r="E2216" s="15" t="s">
        <v>10630</v>
      </c>
      <c r="F2216" s="15" t="s">
        <v>10631</v>
      </c>
      <c r="G2216" s="15" t="s">
        <v>10544</v>
      </c>
      <c r="H2216" s="15" t="s">
        <v>10632</v>
      </c>
      <c r="I2216" s="15" t="s">
        <v>10541</v>
      </c>
    </row>
    <row r="2217" spans="1:9" x14ac:dyDescent="0.15">
      <c r="A2217" s="15" t="s">
        <v>10633</v>
      </c>
      <c r="B2217" s="15"/>
      <c r="C2217" s="15" t="s">
        <v>40</v>
      </c>
      <c r="D2217" s="15" t="s">
        <v>41</v>
      </c>
      <c r="E2217" s="15" t="s">
        <v>10634</v>
      </c>
      <c r="F2217" s="15" t="s">
        <v>10636</v>
      </c>
      <c r="G2217" s="15" t="s">
        <v>10635</v>
      </c>
      <c r="H2217" s="15" t="s">
        <v>10637</v>
      </c>
      <c r="I2217" s="15" t="s">
        <v>10541</v>
      </c>
    </row>
    <row r="2218" spans="1:9" x14ac:dyDescent="0.15">
      <c r="A2218" s="15" t="s">
        <v>10638</v>
      </c>
      <c r="B2218" s="15"/>
      <c r="C2218" s="15" t="s">
        <v>40</v>
      </c>
      <c r="D2218" s="15" t="s">
        <v>41</v>
      </c>
      <c r="E2218" s="15" t="s">
        <v>10639</v>
      </c>
      <c r="F2218" s="15" t="s">
        <v>10641</v>
      </c>
      <c r="G2218" s="15" t="s">
        <v>10640</v>
      </c>
      <c r="H2218" s="15" t="s">
        <v>10642</v>
      </c>
      <c r="I2218" s="15" t="s">
        <v>10541</v>
      </c>
    </row>
    <row r="2219" spans="1:9" x14ac:dyDescent="0.15">
      <c r="A2219" s="15" t="s">
        <v>10643</v>
      </c>
      <c r="B2219" s="15"/>
      <c r="C2219" s="15" t="s">
        <v>40</v>
      </c>
      <c r="D2219" s="15" t="s">
        <v>41</v>
      </c>
      <c r="E2219" s="15" t="s">
        <v>10644</v>
      </c>
      <c r="F2219" s="15" t="s">
        <v>10646</v>
      </c>
      <c r="G2219" s="15" t="s">
        <v>10645</v>
      </c>
      <c r="H2219" s="15" t="s">
        <v>10647</v>
      </c>
      <c r="I2219" s="15" t="s">
        <v>10541</v>
      </c>
    </row>
    <row r="2220" spans="1:9" x14ac:dyDescent="0.15">
      <c r="A2220" s="15" t="s">
        <v>10648</v>
      </c>
      <c r="B2220" s="15"/>
      <c r="C2220" s="15" t="s">
        <v>40</v>
      </c>
      <c r="D2220" s="15" t="s">
        <v>41</v>
      </c>
      <c r="E2220" s="15" t="s">
        <v>10649</v>
      </c>
      <c r="F2220" s="15" t="s">
        <v>10651</v>
      </c>
      <c r="G2220" s="15" t="s">
        <v>10650</v>
      </c>
      <c r="H2220" s="15" t="s">
        <v>10652</v>
      </c>
      <c r="I2220" s="15" t="s">
        <v>10541</v>
      </c>
    </row>
    <row r="2221" spans="1:9" x14ac:dyDescent="0.15">
      <c r="A2221" s="15" t="s">
        <v>10653</v>
      </c>
      <c r="B2221" s="15"/>
      <c r="C2221" s="15" t="s">
        <v>40</v>
      </c>
      <c r="D2221" s="15" t="s">
        <v>41</v>
      </c>
      <c r="E2221" s="15" t="s">
        <v>10654</v>
      </c>
      <c r="F2221" s="15" t="s">
        <v>10655</v>
      </c>
      <c r="G2221" s="15" t="s">
        <v>10593</v>
      </c>
      <c r="H2221" s="15" t="s">
        <v>10656</v>
      </c>
      <c r="I2221" s="15" t="s">
        <v>10541</v>
      </c>
    </row>
    <row r="2222" spans="1:9" x14ac:dyDescent="0.15">
      <c r="A2222" s="15" t="s">
        <v>10657</v>
      </c>
      <c r="B2222" s="15"/>
      <c r="C2222" s="15" t="s">
        <v>40</v>
      </c>
      <c r="D2222" s="15" t="s">
        <v>41</v>
      </c>
      <c r="E2222" s="15" t="s">
        <v>10658</v>
      </c>
      <c r="F2222" s="15" t="s">
        <v>10660</v>
      </c>
      <c r="G2222" s="15" t="s">
        <v>10659</v>
      </c>
      <c r="H2222" s="15" t="s">
        <v>10661</v>
      </c>
      <c r="I2222" s="15" t="s">
        <v>10541</v>
      </c>
    </row>
    <row r="2223" spans="1:9" x14ac:dyDescent="0.15">
      <c r="A2223" s="15" t="s">
        <v>10662</v>
      </c>
      <c r="B2223" s="15"/>
      <c r="C2223" s="15" t="s">
        <v>40</v>
      </c>
      <c r="D2223" s="15" t="s">
        <v>41</v>
      </c>
      <c r="E2223" s="15" t="s">
        <v>10663</v>
      </c>
      <c r="F2223" s="15" t="s">
        <v>10665</v>
      </c>
      <c r="G2223" s="15" t="s">
        <v>10664</v>
      </c>
      <c r="H2223" s="15" t="s">
        <v>10666</v>
      </c>
      <c r="I2223" s="15" t="s">
        <v>10541</v>
      </c>
    </row>
    <row r="2224" spans="1:9" x14ac:dyDescent="0.15">
      <c r="A2224" s="15" t="s">
        <v>10667</v>
      </c>
      <c r="B2224" s="15"/>
      <c r="C2224" s="15" t="s">
        <v>40</v>
      </c>
      <c r="D2224" s="15" t="s">
        <v>41</v>
      </c>
      <c r="E2224" s="15" t="s">
        <v>10668</v>
      </c>
      <c r="F2224" s="15" t="s">
        <v>10669</v>
      </c>
      <c r="G2224" s="15" t="s">
        <v>10554</v>
      </c>
      <c r="H2224" s="15" t="s">
        <v>10670</v>
      </c>
      <c r="I2224" s="15" t="s">
        <v>10541</v>
      </c>
    </row>
    <row r="2225" spans="1:9" x14ac:dyDescent="0.15">
      <c r="A2225" s="15" t="s">
        <v>10671</v>
      </c>
      <c r="B2225" s="15"/>
      <c r="C2225" s="15" t="s">
        <v>40</v>
      </c>
      <c r="D2225" s="15" t="s">
        <v>41</v>
      </c>
      <c r="E2225" s="15" t="s">
        <v>10672</v>
      </c>
      <c r="F2225" s="15" t="s">
        <v>10674</v>
      </c>
      <c r="G2225" s="15" t="s">
        <v>10673</v>
      </c>
      <c r="H2225" s="15" t="s">
        <v>10675</v>
      </c>
      <c r="I2225" s="15" t="s">
        <v>10541</v>
      </c>
    </row>
    <row r="2226" spans="1:9" x14ac:dyDescent="0.15">
      <c r="A2226" s="15" t="s">
        <v>10676</v>
      </c>
      <c r="B2226" s="15"/>
      <c r="C2226" s="15" t="s">
        <v>40</v>
      </c>
      <c r="D2226" s="15" t="s">
        <v>41</v>
      </c>
      <c r="E2226" s="15" t="s">
        <v>10677</v>
      </c>
      <c r="F2226" s="15" t="s">
        <v>10679</v>
      </c>
      <c r="G2226" s="15" t="s">
        <v>10678</v>
      </c>
      <c r="H2226" s="15" t="s">
        <v>10680</v>
      </c>
      <c r="I2226" s="15" t="s">
        <v>10541</v>
      </c>
    </row>
    <row r="2227" spans="1:9" x14ac:dyDescent="0.15">
      <c r="A2227" s="15" t="s">
        <v>10681</v>
      </c>
      <c r="B2227" s="15"/>
      <c r="C2227" s="15" t="s">
        <v>40</v>
      </c>
      <c r="D2227" s="15" t="s">
        <v>41</v>
      </c>
      <c r="E2227" s="15" t="s">
        <v>10682</v>
      </c>
      <c r="F2227" s="15" t="s">
        <v>10684</v>
      </c>
      <c r="G2227" s="15" t="s">
        <v>10683</v>
      </c>
      <c r="H2227" s="15" t="s">
        <v>10685</v>
      </c>
      <c r="I2227" s="15" t="s">
        <v>10541</v>
      </c>
    </row>
    <row r="2228" spans="1:9" x14ac:dyDescent="0.15">
      <c r="A2228" s="15" t="s">
        <v>10686</v>
      </c>
      <c r="B2228" s="15"/>
      <c r="C2228" s="15" t="s">
        <v>40</v>
      </c>
      <c r="D2228" s="15" t="s">
        <v>41</v>
      </c>
      <c r="E2228" s="15" t="s">
        <v>10687</v>
      </c>
      <c r="F2228" s="15" t="s">
        <v>10689</v>
      </c>
      <c r="G2228" s="15" t="s">
        <v>10688</v>
      </c>
      <c r="H2228" s="15" t="s">
        <v>10690</v>
      </c>
      <c r="I2228" s="15" t="s">
        <v>10691</v>
      </c>
    </row>
    <row r="2229" spans="1:9" x14ac:dyDescent="0.15">
      <c r="A2229" s="15" t="s">
        <v>10692</v>
      </c>
      <c r="B2229" s="15"/>
      <c r="C2229" s="15" t="s">
        <v>40</v>
      </c>
      <c r="D2229" s="15" t="s">
        <v>41</v>
      </c>
      <c r="E2229" s="15" t="s">
        <v>10693</v>
      </c>
      <c r="F2229" s="15" t="s">
        <v>52</v>
      </c>
      <c r="G2229" s="15" t="s">
        <v>10694</v>
      </c>
      <c r="H2229" s="15" t="s">
        <v>10695</v>
      </c>
      <c r="I2229" s="15" t="s">
        <v>10691</v>
      </c>
    </row>
    <row r="2230" spans="1:9" x14ac:dyDescent="0.15">
      <c r="A2230" s="15" t="s">
        <v>10696</v>
      </c>
      <c r="B2230" s="15"/>
      <c r="C2230" s="15" t="s">
        <v>40</v>
      </c>
      <c r="D2230" s="15" t="s">
        <v>41</v>
      </c>
      <c r="E2230" s="15" t="s">
        <v>10697</v>
      </c>
      <c r="F2230" s="15" t="s">
        <v>10699</v>
      </c>
      <c r="G2230" s="15" t="s">
        <v>10698</v>
      </c>
      <c r="H2230" s="15" t="s">
        <v>10700</v>
      </c>
      <c r="I2230" s="15" t="s">
        <v>10691</v>
      </c>
    </row>
    <row r="2231" spans="1:9" x14ac:dyDescent="0.15">
      <c r="A2231" s="15" t="s">
        <v>10701</v>
      </c>
      <c r="B2231" s="15"/>
      <c r="C2231" s="15" t="s">
        <v>40</v>
      </c>
      <c r="D2231" s="15" t="s">
        <v>41</v>
      </c>
      <c r="E2231" s="15" t="s">
        <v>10702</v>
      </c>
      <c r="F2231" s="15" t="s">
        <v>10704</v>
      </c>
      <c r="G2231" s="15" t="s">
        <v>10703</v>
      </c>
      <c r="H2231" s="15" t="s">
        <v>10705</v>
      </c>
      <c r="I2231" s="15" t="s">
        <v>10691</v>
      </c>
    </row>
    <row r="2232" spans="1:9" x14ac:dyDescent="0.15">
      <c r="A2232" s="15" t="s">
        <v>10706</v>
      </c>
      <c r="B2232" s="15"/>
      <c r="C2232" s="15" t="s">
        <v>40</v>
      </c>
      <c r="D2232" s="15" t="s">
        <v>41</v>
      </c>
      <c r="E2232" s="15" t="s">
        <v>10707</v>
      </c>
      <c r="F2232" s="15" t="s">
        <v>10709</v>
      </c>
      <c r="G2232" s="15" t="s">
        <v>10708</v>
      </c>
      <c r="H2232" s="15" t="s">
        <v>10710</v>
      </c>
      <c r="I2232" s="15" t="s">
        <v>10691</v>
      </c>
    </row>
    <row r="2233" spans="1:9" x14ac:dyDescent="0.15">
      <c r="A2233" s="15" t="s">
        <v>10711</v>
      </c>
      <c r="B2233" s="15"/>
      <c r="C2233" s="15" t="s">
        <v>40</v>
      </c>
      <c r="D2233" s="15" t="s">
        <v>41</v>
      </c>
      <c r="E2233" s="15" t="s">
        <v>10712</v>
      </c>
      <c r="F2233" s="15" t="s">
        <v>10714</v>
      </c>
      <c r="G2233" s="15" t="s">
        <v>10713</v>
      </c>
      <c r="H2233" s="15" t="s">
        <v>10715</v>
      </c>
      <c r="I2233" s="15" t="s">
        <v>10691</v>
      </c>
    </row>
    <row r="2234" spans="1:9" x14ac:dyDescent="0.15">
      <c r="A2234" s="15" t="s">
        <v>10716</v>
      </c>
      <c r="B2234" s="15"/>
      <c r="C2234" s="15" t="s">
        <v>40</v>
      </c>
      <c r="D2234" s="15" t="s">
        <v>41</v>
      </c>
      <c r="E2234" s="15" t="s">
        <v>10717</v>
      </c>
      <c r="F2234" s="15" t="s">
        <v>10719</v>
      </c>
      <c r="G2234" s="15" t="s">
        <v>10718</v>
      </c>
      <c r="H2234" s="15" t="s">
        <v>10720</v>
      </c>
      <c r="I2234" s="15" t="s">
        <v>10691</v>
      </c>
    </row>
    <row r="2235" spans="1:9" x14ac:dyDescent="0.15">
      <c r="A2235" s="15" t="s">
        <v>10721</v>
      </c>
      <c r="B2235" s="15"/>
      <c r="C2235" s="15" t="s">
        <v>40</v>
      </c>
      <c r="D2235" s="15" t="s">
        <v>41</v>
      </c>
      <c r="E2235" s="15" t="s">
        <v>10722</v>
      </c>
      <c r="F2235" s="15" t="s">
        <v>10724</v>
      </c>
      <c r="G2235" s="15" t="s">
        <v>10723</v>
      </c>
      <c r="H2235" s="15" t="s">
        <v>10725</v>
      </c>
      <c r="I2235" s="15" t="s">
        <v>10691</v>
      </c>
    </row>
    <row r="2236" spans="1:9" x14ac:dyDescent="0.15">
      <c r="A2236" s="15" t="s">
        <v>10726</v>
      </c>
      <c r="B2236" s="15"/>
      <c r="C2236" s="15" t="s">
        <v>40</v>
      </c>
      <c r="D2236" s="15" t="s">
        <v>41</v>
      </c>
      <c r="E2236" s="15" t="s">
        <v>10727</v>
      </c>
      <c r="F2236" s="15" t="s">
        <v>10729</v>
      </c>
      <c r="G2236" s="15" t="s">
        <v>10728</v>
      </c>
      <c r="H2236" s="15" t="s">
        <v>10730</v>
      </c>
      <c r="I2236" s="15" t="s">
        <v>10691</v>
      </c>
    </row>
    <row r="2237" spans="1:9" x14ac:dyDescent="0.15">
      <c r="A2237" s="15" t="s">
        <v>10731</v>
      </c>
      <c r="B2237" s="15"/>
      <c r="C2237" s="15" t="s">
        <v>40</v>
      </c>
      <c r="D2237" s="15" t="s">
        <v>41</v>
      </c>
      <c r="E2237" s="15" t="s">
        <v>10732</v>
      </c>
      <c r="F2237" s="15" t="s">
        <v>10734</v>
      </c>
      <c r="G2237" s="15" t="s">
        <v>10733</v>
      </c>
      <c r="H2237" s="15" t="s">
        <v>10735</v>
      </c>
      <c r="I2237" s="15" t="s">
        <v>10691</v>
      </c>
    </row>
    <row r="2238" spans="1:9" x14ac:dyDescent="0.15">
      <c r="A2238" s="15" t="s">
        <v>10736</v>
      </c>
      <c r="B2238" s="15"/>
      <c r="C2238" s="15" t="s">
        <v>40</v>
      </c>
      <c r="D2238" s="15" t="s">
        <v>41</v>
      </c>
      <c r="E2238" s="15" t="s">
        <v>10737</v>
      </c>
      <c r="F2238" s="15" t="s">
        <v>10739</v>
      </c>
      <c r="G2238" s="15" t="s">
        <v>10738</v>
      </c>
      <c r="H2238" s="15" t="s">
        <v>10740</v>
      </c>
      <c r="I2238" s="15" t="s">
        <v>10691</v>
      </c>
    </row>
    <row r="2239" spans="1:9" x14ac:dyDescent="0.15">
      <c r="A2239" s="15" t="s">
        <v>10741</v>
      </c>
      <c r="B2239" s="15"/>
      <c r="C2239" s="15" t="s">
        <v>40</v>
      </c>
      <c r="D2239" s="15" t="s">
        <v>41</v>
      </c>
      <c r="E2239" s="15" t="s">
        <v>10742</v>
      </c>
      <c r="F2239" s="15" t="s">
        <v>10744</v>
      </c>
      <c r="G2239" s="15" t="s">
        <v>10743</v>
      </c>
      <c r="H2239" s="15" t="s">
        <v>10745</v>
      </c>
      <c r="I2239" s="15" t="s">
        <v>10691</v>
      </c>
    </row>
    <row r="2240" spans="1:9" x14ac:dyDescent="0.15">
      <c r="A2240" s="15" t="s">
        <v>10746</v>
      </c>
      <c r="B2240" s="15"/>
      <c r="C2240" s="15" t="s">
        <v>40</v>
      </c>
      <c r="D2240" s="15" t="s">
        <v>41</v>
      </c>
      <c r="E2240" s="15" t="s">
        <v>10747</v>
      </c>
      <c r="F2240" s="15" t="s">
        <v>10748</v>
      </c>
      <c r="G2240" s="15" t="s">
        <v>9305</v>
      </c>
      <c r="H2240" s="15" t="s">
        <v>10749</v>
      </c>
      <c r="I2240" s="15" t="s">
        <v>10691</v>
      </c>
    </row>
    <row r="2241" spans="1:9" x14ac:dyDescent="0.15">
      <c r="A2241" s="15" t="s">
        <v>10750</v>
      </c>
      <c r="B2241" s="15"/>
      <c r="C2241" s="15" t="s">
        <v>40</v>
      </c>
      <c r="D2241" s="15" t="s">
        <v>41</v>
      </c>
      <c r="E2241" s="15" t="s">
        <v>10751</v>
      </c>
      <c r="F2241" s="15" t="s">
        <v>10753</v>
      </c>
      <c r="G2241" s="15" t="s">
        <v>10752</v>
      </c>
      <c r="H2241" s="15" t="s">
        <v>10754</v>
      </c>
      <c r="I2241" s="15" t="s">
        <v>10691</v>
      </c>
    </row>
    <row r="2242" spans="1:9" x14ac:dyDescent="0.15">
      <c r="A2242" s="15" t="s">
        <v>10755</v>
      </c>
      <c r="B2242" s="15"/>
      <c r="C2242" s="15" t="s">
        <v>40</v>
      </c>
      <c r="D2242" s="15" t="s">
        <v>41</v>
      </c>
      <c r="E2242" s="15" t="s">
        <v>10756</v>
      </c>
      <c r="F2242" s="15" t="s">
        <v>10757</v>
      </c>
      <c r="G2242" s="15" t="s">
        <v>10752</v>
      </c>
      <c r="H2242" s="15" t="s">
        <v>10758</v>
      </c>
      <c r="I2242" s="15" t="s">
        <v>10691</v>
      </c>
    </row>
    <row r="2243" spans="1:9" x14ac:dyDescent="0.15">
      <c r="A2243" s="15" t="s">
        <v>10759</v>
      </c>
      <c r="B2243" s="15"/>
      <c r="C2243" s="15" t="s">
        <v>40</v>
      </c>
      <c r="D2243" s="15" t="s">
        <v>41</v>
      </c>
      <c r="E2243" s="15" t="s">
        <v>10760</v>
      </c>
      <c r="F2243" s="15" t="s">
        <v>10762</v>
      </c>
      <c r="G2243" s="15" t="s">
        <v>10761</v>
      </c>
      <c r="H2243" s="15" t="s">
        <v>10763</v>
      </c>
      <c r="I2243" s="15" t="s">
        <v>10691</v>
      </c>
    </row>
    <row r="2244" spans="1:9" x14ac:dyDescent="0.15">
      <c r="A2244" s="15" t="s">
        <v>10764</v>
      </c>
      <c r="B2244" s="15"/>
      <c r="C2244" s="15" t="s">
        <v>40</v>
      </c>
      <c r="D2244" s="15" t="s">
        <v>41</v>
      </c>
      <c r="E2244" s="15" t="s">
        <v>10765</v>
      </c>
      <c r="F2244" s="15" t="s">
        <v>10767</v>
      </c>
      <c r="G2244" s="15" t="s">
        <v>10766</v>
      </c>
      <c r="H2244" s="15" t="s">
        <v>10768</v>
      </c>
      <c r="I2244" s="15" t="s">
        <v>10691</v>
      </c>
    </row>
    <row r="2245" spans="1:9" x14ac:dyDescent="0.15">
      <c r="A2245" s="15" t="s">
        <v>10769</v>
      </c>
      <c r="B2245" s="15"/>
      <c r="C2245" s="15" t="s">
        <v>40</v>
      </c>
      <c r="D2245" s="15" t="s">
        <v>41</v>
      </c>
      <c r="E2245" s="15" t="s">
        <v>10770</v>
      </c>
      <c r="F2245" s="15" t="s">
        <v>10772</v>
      </c>
      <c r="G2245" s="15" t="s">
        <v>10771</v>
      </c>
      <c r="H2245" s="15" t="s">
        <v>10773</v>
      </c>
      <c r="I2245" s="15" t="s">
        <v>10691</v>
      </c>
    </row>
    <row r="2246" spans="1:9" x14ac:dyDescent="0.15">
      <c r="A2246" s="15" t="s">
        <v>10774</v>
      </c>
      <c r="B2246" s="15"/>
      <c r="C2246" s="15" t="s">
        <v>40</v>
      </c>
      <c r="D2246" s="15" t="s">
        <v>41</v>
      </c>
      <c r="E2246" s="15" t="s">
        <v>10775</v>
      </c>
      <c r="F2246" s="15" t="s">
        <v>10777</v>
      </c>
      <c r="G2246" s="15" t="s">
        <v>10776</v>
      </c>
      <c r="H2246" s="15" t="s">
        <v>10778</v>
      </c>
      <c r="I2246" s="15" t="s">
        <v>10691</v>
      </c>
    </row>
    <row r="2247" spans="1:9" x14ac:dyDescent="0.15">
      <c r="A2247" s="15" t="s">
        <v>10779</v>
      </c>
      <c r="B2247" s="15"/>
      <c r="C2247" s="15" t="s">
        <v>40</v>
      </c>
      <c r="D2247" s="15" t="s">
        <v>41</v>
      </c>
      <c r="E2247" s="15" t="s">
        <v>10780</v>
      </c>
      <c r="F2247" s="15" t="s">
        <v>10781</v>
      </c>
      <c r="G2247" s="15" t="s">
        <v>2597</v>
      </c>
      <c r="H2247" s="15" t="s">
        <v>10782</v>
      </c>
      <c r="I2247" s="15" t="s">
        <v>2579</v>
      </c>
    </row>
    <row r="2248" spans="1:9" x14ac:dyDescent="0.15">
      <c r="A2248" s="15" t="s">
        <v>10783</v>
      </c>
      <c r="B2248" s="15"/>
      <c r="C2248" s="15" t="s">
        <v>40</v>
      </c>
      <c r="D2248" s="15" t="s">
        <v>41</v>
      </c>
      <c r="E2248" s="15" t="s">
        <v>10784</v>
      </c>
      <c r="F2248" s="15" t="s">
        <v>10785</v>
      </c>
      <c r="G2248" s="15" t="s">
        <v>2597</v>
      </c>
      <c r="H2248" s="15" t="s">
        <v>10786</v>
      </c>
      <c r="I2248" s="15" t="s">
        <v>2579</v>
      </c>
    </row>
    <row r="2249" spans="1:9" x14ac:dyDescent="0.15">
      <c r="A2249" s="15" t="s">
        <v>85</v>
      </c>
      <c r="B2249" s="15"/>
      <c r="C2249" s="15" t="s">
        <v>40</v>
      </c>
      <c r="D2249" s="15" t="s">
        <v>41</v>
      </c>
      <c r="E2249" s="15" t="s">
        <v>10787</v>
      </c>
      <c r="F2249" s="15" t="s">
        <v>52</v>
      </c>
      <c r="G2249" s="15" t="s">
        <v>10788</v>
      </c>
      <c r="H2249" s="15" t="s">
        <v>10789</v>
      </c>
      <c r="I2249" s="15" t="s">
        <v>10790</v>
      </c>
    </row>
    <row r="2250" spans="1:9" x14ac:dyDescent="0.15">
      <c r="A2250" s="15" t="s">
        <v>10791</v>
      </c>
      <c r="B2250" s="15"/>
      <c r="C2250" s="15" t="s">
        <v>40</v>
      </c>
      <c r="D2250" s="15" t="s">
        <v>41</v>
      </c>
      <c r="E2250" s="15" t="s">
        <v>10792</v>
      </c>
      <c r="F2250" s="15" t="s">
        <v>10794</v>
      </c>
      <c r="G2250" s="15" t="s">
        <v>10793</v>
      </c>
      <c r="H2250" s="15" t="s">
        <v>10795</v>
      </c>
      <c r="I2250" s="15" t="s">
        <v>4944</v>
      </c>
    </row>
    <row r="2251" spans="1:9" x14ac:dyDescent="0.15">
      <c r="A2251" s="15" t="s">
        <v>10796</v>
      </c>
      <c r="B2251" s="15"/>
      <c r="C2251" s="15" t="s">
        <v>40</v>
      </c>
      <c r="D2251" s="15" t="s">
        <v>41</v>
      </c>
      <c r="E2251" s="15" t="s">
        <v>10797</v>
      </c>
      <c r="F2251" s="15" t="s">
        <v>10799</v>
      </c>
      <c r="G2251" s="15" t="s">
        <v>10798</v>
      </c>
      <c r="H2251" s="15" t="s">
        <v>10800</v>
      </c>
      <c r="I2251" s="15" t="s">
        <v>4944</v>
      </c>
    </row>
    <row r="2252" spans="1:9" x14ac:dyDescent="0.15">
      <c r="A2252" s="15" t="s">
        <v>10801</v>
      </c>
      <c r="B2252" s="15"/>
      <c r="C2252" s="15" t="s">
        <v>40</v>
      </c>
      <c r="D2252" s="15" t="s">
        <v>41</v>
      </c>
      <c r="E2252" s="15" t="s">
        <v>10802</v>
      </c>
      <c r="F2252" s="15" t="s">
        <v>10804</v>
      </c>
      <c r="G2252" s="15" t="s">
        <v>10803</v>
      </c>
      <c r="H2252" s="15" t="s">
        <v>10805</v>
      </c>
      <c r="I2252" s="15" t="s">
        <v>4944</v>
      </c>
    </row>
    <row r="2253" spans="1:9" x14ac:dyDescent="0.15">
      <c r="A2253" s="15" t="s">
        <v>10806</v>
      </c>
      <c r="B2253" s="15"/>
      <c r="C2253" s="15" t="s">
        <v>40</v>
      </c>
      <c r="D2253" s="15" t="s">
        <v>41</v>
      </c>
      <c r="E2253" s="15" t="s">
        <v>10807</v>
      </c>
      <c r="F2253" s="15" t="s">
        <v>10809</v>
      </c>
      <c r="G2253" s="15" t="s">
        <v>10808</v>
      </c>
      <c r="H2253" s="15" t="s">
        <v>10810</v>
      </c>
      <c r="I2253" s="15" t="s">
        <v>4944</v>
      </c>
    </row>
    <row r="2254" spans="1:9" x14ac:dyDescent="0.15">
      <c r="A2254" s="15" t="s">
        <v>10811</v>
      </c>
      <c r="B2254" s="15"/>
      <c r="C2254" s="15" t="s">
        <v>40</v>
      </c>
      <c r="D2254" s="15" t="s">
        <v>41</v>
      </c>
      <c r="E2254" s="15" t="s">
        <v>10812</v>
      </c>
      <c r="F2254" s="15" t="s">
        <v>10813</v>
      </c>
      <c r="G2254" s="15" t="s">
        <v>4985</v>
      </c>
      <c r="H2254" s="15" t="s">
        <v>10814</v>
      </c>
      <c r="I2254" s="15" t="s">
        <v>4944</v>
      </c>
    </row>
    <row r="2255" spans="1:9" x14ac:dyDescent="0.15">
      <c r="A2255" s="15" t="s">
        <v>10815</v>
      </c>
      <c r="B2255" s="15"/>
      <c r="C2255" s="15" t="s">
        <v>40</v>
      </c>
      <c r="D2255" s="15" t="s">
        <v>41</v>
      </c>
      <c r="E2255" s="15" t="s">
        <v>10816</v>
      </c>
      <c r="F2255" s="15" t="s">
        <v>10817</v>
      </c>
      <c r="G2255" s="15" t="s">
        <v>4985</v>
      </c>
      <c r="H2255" s="15" t="s">
        <v>10818</v>
      </c>
      <c r="I2255" s="15" t="s">
        <v>4944</v>
      </c>
    </row>
    <row r="2256" spans="1:9" x14ac:dyDescent="0.15">
      <c r="A2256" s="15" t="s">
        <v>10819</v>
      </c>
      <c r="B2256" s="15"/>
      <c r="C2256" s="15" t="s">
        <v>40</v>
      </c>
      <c r="D2256" s="15" t="s">
        <v>41</v>
      </c>
      <c r="E2256" s="15" t="s">
        <v>10820</v>
      </c>
      <c r="F2256" s="15" t="s">
        <v>10821</v>
      </c>
      <c r="G2256" s="15" t="s">
        <v>10019</v>
      </c>
      <c r="H2256" s="15" t="s">
        <v>10822</v>
      </c>
      <c r="I2256" s="15" t="s">
        <v>4944</v>
      </c>
    </row>
    <row r="2257" spans="1:9" x14ac:dyDescent="0.15">
      <c r="A2257" s="15" t="s">
        <v>10823</v>
      </c>
      <c r="B2257" s="15"/>
      <c r="C2257" s="15" t="s">
        <v>40</v>
      </c>
      <c r="D2257" s="15" t="s">
        <v>41</v>
      </c>
      <c r="E2257" s="15" t="s">
        <v>10824</v>
      </c>
      <c r="F2257" s="15" t="s">
        <v>10826</v>
      </c>
      <c r="G2257" s="15" t="s">
        <v>10825</v>
      </c>
      <c r="H2257" s="15" t="s">
        <v>10827</v>
      </c>
      <c r="I2257" s="15" t="s">
        <v>4944</v>
      </c>
    </row>
    <row r="2258" spans="1:9" x14ac:dyDescent="0.15">
      <c r="A2258" s="15" t="s">
        <v>10828</v>
      </c>
      <c r="B2258" s="15"/>
      <c r="C2258" s="15" t="s">
        <v>40</v>
      </c>
      <c r="D2258" s="15" t="s">
        <v>41</v>
      </c>
      <c r="E2258" s="15" t="s">
        <v>10829</v>
      </c>
      <c r="F2258" s="15" t="s">
        <v>10831</v>
      </c>
      <c r="G2258" s="15" t="s">
        <v>10830</v>
      </c>
      <c r="H2258" s="15" t="s">
        <v>10832</v>
      </c>
      <c r="I2258" s="15" t="s">
        <v>4944</v>
      </c>
    </row>
    <row r="2259" spans="1:9" x14ac:dyDescent="0.15">
      <c r="A2259" s="15" t="s">
        <v>10833</v>
      </c>
      <c r="B2259" s="15"/>
      <c r="C2259" s="15" t="s">
        <v>40</v>
      </c>
      <c r="D2259" s="15" t="s">
        <v>41</v>
      </c>
      <c r="E2259" s="15" t="s">
        <v>10834</v>
      </c>
      <c r="F2259" s="15" t="s">
        <v>10836</v>
      </c>
      <c r="G2259" s="15" t="s">
        <v>10835</v>
      </c>
      <c r="H2259" s="15" t="s">
        <v>10837</v>
      </c>
      <c r="I2259" s="15" t="s">
        <v>4944</v>
      </c>
    </row>
    <row r="2260" spans="1:9" x14ac:dyDescent="0.15">
      <c r="A2260" s="15" t="s">
        <v>10838</v>
      </c>
      <c r="B2260" s="15"/>
      <c r="C2260" s="15" t="s">
        <v>40</v>
      </c>
      <c r="D2260" s="15" t="s">
        <v>41</v>
      </c>
      <c r="E2260" s="15" t="s">
        <v>10839</v>
      </c>
      <c r="F2260" s="15" t="s">
        <v>10841</v>
      </c>
      <c r="G2260" s="15" t="s">
        <v>10840</v>
      </c>
      <c r="H2260" s="15" t="s">
        <v>10842</v>
      </c>
      <c r="I2260" s="15" t="s">
        <v>4944</v>
      </c>
    </row>
    <row r="2261" spans="1:9" x14ac:dyDescent="0.15">
      <c r="A2261" s="15" t="s">
        <v>10843</v>
      </c>
      <c r="B2261" s="15"/>
      <c r="C2261" s="15" t="s">
        <v>40</v>
      </c>
      <c r="D2261" s="15" t="s">
        <v>41</v>
      </c>
      <c r="E2261" s="15" t="s">
        <v>10844</v>
      </c>
      <c r="F2261" s="15" t="s">
        <v>10845</v>
      </c>
      <c r="G2261" s="15" t="s">
        <v>10118</v>
      </c>
      <c r="H2261" s="15" t="s">
        <v>10846</v>
      </c>
      <c r="I2261" s="15" t="s">
        <v>4944</v>
      </c>
    </row>
    <row r="2262" spans="1:9" x14ac:dyDescent="0.15">
      <c r="A2262" s="15" t="s">
        <v>10847</v>
      </c>
      <c r="B2262" s="15"/>
      <c r="C2262" s="15" t="s">
        <v>40</v>
      </c>
      <c r="D2262" s="15" t="s">
        <v>41</v>
      </c>
      <c r="E2262" s="15" t="s">
        <v>10848</v>
      </c>
      <c r="F2262" s="15" t="s">
        <v>10850</v>
      </c>
      <c r="G2262" s="15" t="s">
        <v>10849</v>
      </c>
      <c r="H2262" s="15" t="s">
        <v>10851</v>
      </c>
      <c r="I2262" s="15" t="s">
        <v>4944</v>
      </c>
    </row>
    <row r="2263" spans="1:9" x14ac:dyDescent="0.15">
      <c r="A2263" s="15" t="s">
        <v>10852</v>
      </c>
      <c r="B2263" s="15"/>
      <c r="C2263" s="15" t="s">
        <v>40</v>
      </c>
      <c r="D2263" s="15" t="s">
        <v>41</v>
      </c>
      <c r="E2263" s="15" t="s">
        <v>10853</v>
      </c>
      <c r="F2263" s="15" t="s">
        <v>52</v>
      </c>
      <c r="G2263" s="15" t="s">
        <v>10019</v>
      </c>
      <c r="H2263" s="15" t="s">
        <v>10854</v>
      </c>
      <c r="I2263" s="15" t="s">
        <v>4944</v>
      </c>
    </row>
    <row r="2264" spans="1:9" x14ac:dyDescent="0.15">
      <c r="A2264" s="15" t="s">
        <v>10855</v>
      </c>
      <c r="B2264" s="15"/>
      <c r="C2264" s="15" t="s">
        <v>40</v>
      </c>
      <c r="D2264" s="15" t="s">
        <v>41</v>
      </c>
      <c r="E2264" s="15" t="s">
        <v>10856</v>
      </c>
      <c r="F2264" s="15" t="s">
        <v>10858</v>
      </c>
      <c r="G2264" s="15" t="s">
        <v>10857</v>
      </c>
      <c r="H2264" s="15" t="s">
        <v>10859</v>
      </c>
      <c r="I2264" s="15" t="s">
        <v>4944</v>
      </c>
    </row>
    <row r="2265" spans="1:9" x14ac:dyDescent="0.15">
      <c r="A2265" s="15" t="s">
        <v>10860</v>
      </c>
      <c r="B2265" s="15"/>
      <c r="C2265" s="15" t="s">
        <v>40</v>
      </c>
      <c r="D2265" s="15" t="s">
        <v>41</v>
      </c>
      <c r="E2265" s="15" t="s">
        <v>10861</v>
      </c>
      <c r="F2265" s="15" t="s">
        <v>10863</v>
      </c>
      <c r="G2265" s="15" t="s">
        <v>10862</v>
      </c>
      <c r="H2265" s="15" t="s">
        <v>10864</v>
      </c>
      <c r="I2265" s="15" t="s">
        <v>4944</v>
      </c>
    </row>
    <row r="2266" spans="1:9" x14ac:dyDescent="0.15">
      <c r="A2266" s="15" t="s">
        <v>10865</v>
      </c>
      <c r="B2266" s="15"/>
      <c r="C2266" s="15" t="s">
        <v>40</v>
      </c>
      <c r="D2266" s="15" t="s">
        <v>41</v>
      </c>
      <c r="E2266" s="15" t="s">
        <v>10866</v>
      </c>
      <c r="F2266" s="15" t="s">
        <v>10868</v>
      </c>
      <c r="G2266" s="15" t="s">
        <v>10867</v>
      </c>
      <c r="H2266" s="15" t="s">
        <v>10869</v>
      </c>
      <c r="I2266" s="15" t="s">
        <v>4944</v>
      </c>
    </row>
    <row r="2267" spans="1:9" x14ac:dyDescent="0.15">
      <c r="A2267" s="15" t="s">
        <v>10870</v>
      </c>
      <c r="B2267" s="15"/>
      <c r="C2267" s="15" t="s">
        <v>40</v>
      </c>
      <c r="D2267" s="15" t="s">
        <v>41</v>
      </c>
      <c r="E2267" s="15" t="s">
        <v>10871</v>
      </c>
      <c r="F2267" s="15" t="s">
        <v>10873</v>
      </c>
      <c r="G2267" s="15" t="s">
        <v>10872</v>
      </c>
      <c r="H2267" s="15" t="s">
        <v>10874</v>
      </c>
      <c r="I2267" s="15" t="s">
        <v>4944</v>
      </c>
    </row>
    <row r="2268" spans="1:9" x14ac:dyDescent="0.15">
      <c r="A2268" s="15" t="s">
        <v>10875</v>
      </c>
      <c r="B2268" s="15"/>
      <c r="C2268" s="15" t="s">
        <v>40</v>
      </c>
      <c r="D2268" s="15" t="s">
        <v>41</v>
      </c>
      <c r="E2268" s="15" t="s">
        <v>10876</v>
      </c>
      <c r="F2268" s="15" t="s">
        <v>10878</v>
      </c>
      <c r="G2268" s="15" t="s">
        <v>10877</v>
      </c>
      <c r="H2268" s="15" t="s">
        <v>10879</v>
      </c>
      <c r="I2268" s="15" t="s">
        <v>4944</v>
      </c>
    </row>
    <row r="2269" spans="1:9" x14ac:dyDescent="0.15">
      <c r="A2269" s="15" t="s">
        <v>10880</v>
      </c>
      <c r="B2269" s="15"/>
      <c r="C2269" s="15" t="s">
        <v>40</v>
      </c>
      <c r="D2269" s="15" t="s">
        <v>41</v>
      </c>
      <c r="E2269" s="15" t="s">
        <v>10881</v>
      </c>
      <c r="F2269" s="15" t="s">
        <v>10883</v>
      </c>
      <c r="G2269" s="15" t="s">
        <v>10882</v>
      </c>
      <c r="H2269" s="15" t="s">
        <v>10884</v>
      </c>
      <c r="I2269" s="15" t="s">
        <v>4944</v>
      </c>
    </row>
    <row r="2270" spans="1:9" x14ac:dyDescent="0.15">
      <c r="A2270" s="15" t="s">
        <v>10885</v>
      </c>
      <c r="B2270" s="15"/>
      <c r="C2270" s="15" t="s">
        <v>40</v>
      </c>
      <c r="D2270" s="15" t="s">
        <v>41</v>
      </c>
      <c r="E2270" s="15" t="s">
        <v>10886</v>
      </c>
      <c r="F2270" s="15" t="s">
        <v>10887</v>
      </c>
      <c r="G2270" s="15" t="s">
        <v>10019</v>
      </c>
      <c r="H2270" s="15" t="s">
        <v>10888</v>
      </c>
      <c r="I2270" s="15" t="s">
        <v>4944</v>
      </c>
    </row>
    <row r="2271" spans="1:9" x14ac:dyDescent="0.15">
      <c r="A2271" s="15" t="s">
        <v>10889</v>
      </c>
      <c r="B2271" s="15"/>
      <c r="C2271" s="15" t="s">
        <v>40</v>
      </c>
      <c r="D2271" s="15" t="s">
        <v>41</v>
      </c>
      <c r="E2271" s="15" t="s">
        <v>10890</v>
      </c>
      <c r="F2271" s="15" t="s">
        <v>10892</v>
      </c>
      <c r="G2271" s="15" t="s">
        <v>10891</v>
      </c>
      <c r="H2271" s="15" t="s">
        <v>10893</v>
      </c>
      <c r="I2271" s="15" t="s">
        <v>4944</v>
      </c>
    </row>
    <row r="2272" spans="1:9" x14ac:dyDescent="0.15">
      <c r="A2272" s="15" t="s">
        <v>10894</v>
      </c>
      <c r="B2272" s="15"/>
      <c r="C2272" s="15" t="s">
        <v>40</v>
      </c>
      <c r="D2272" s="15" t="s">
        <v>41</v>
      </c>
      <c r="E2272" s="15" t="s">
        <v>10895</v>
      </c>
      <c r="F2272" s="15" t="s">
        <v>10896</v>
      </c>
      <c r="G2272" s="15" t="s">
        <v>4956</v>
      </c>
      <c r="H2272" s="15" t="s">
        <v>10897</v>
      </c>
      <c r="I2272" s="15" t="s">
        <v>4944</v>
      </c>
    </row>
    <row r="2273" spans="1:9" x14ac:dyDescent="0.15">
      <c r="A2273" s="15" t="s">
        <v>10898</v>
      </c>
      <c r="B2273" s="15"/>
      <c r="C2273" s="15" t="s">
        <v>40</v>
      </c>
      <c r="D2273" s="15" t="s">
        <v>41</v>
      </c>
      <c r="E2273" s="15" t="s">
        <v>10899</v>
      </c>
      <c r="F2273" s="15" t="s">
        <v>10901</v>
      </c>
      <c r="G2273" s="15" t="s">
        <v>10900</v>
      </c>
      <c r="H2273" s="15" t="s">
        <v>10902</v>
      </c>
      <c r="I2273" s="15" t="s">
        <v>4944</v>
      </c>
    </row>
    <row r="2274" spans="1:9" x14ac:dyDescent="0.15">
      <c r="A2274" s="15" t="s">
        <v>10903</v>
      </c>
      <c r="B2274" s="15"/>
      <c r="C2274" s="15" t="s">
        <v>40</v>
      </c>
      <c r="D2274" s="15" t="s">
        <v>41</v>
      </c>
      <c r="E2274" s="15" t="s">
        <v>10904</v>
      </c>
      <c r="F2274" s="15" t="s">
        <v>10906</v>
      </c>
      <c r="G2274" s="15" t="s">
        <v>10905</v>
      </c>
      <c r="H2274" s="15" t="s">
        <v>10907</v>
      </c>
      <c r="I2274" s="15" t="s">
        <v>4944</v>
      </c>
    </row>
    <row r="2275" spans="1:9" x14ac:dyDescent="0.15">
      <c r="A2275" s="15" t="s">
        <v>10908</v>
      </c>
      <c r="B2275" s="15"/>
      <c r="C2275" s="15" t="s">
        <v>40</v>
      </c>
      <c r="D2275" s="15" t="s">
        <v>41</v>
      </c>
      <c r="E2275" s="15" t="s">
        <v>10909</v>
      </c>
      <c r="F2275" s="15" t="s">
        <v>10911</v>
      </c>
      <c r="G2275" s="15" t="s">
        <v>10910</v>
      </c>
      <c r="H2275" s="15" t="s">
        <v>10912</v>
      </c>
      <c r="I2275" s="15" t="s">
        <v>4944</v>
      </c>
    </row>
    <row r="2276" spans="1:9" x14ac:dyDescent="0.15">
      <c r="A2276" s="15" t="s">
        <v>10913</v>
      </c>
      <c r="B2276" s="15"/>
      <c r="C2276" s="15" t="s">
        <v>40</v>
      </c>
      <c r="D2276" s="15" t="s">
        <v>41</v>
      </c>
      <c r="E2276" s="15" t="s">
        <v>10914</v>
      </c>
      <c r="F2276" s="15" t="s">
        <v>10915</v>
      </c>
      <c r="G2276" s="15" t="s">
        <v>10070</v>
      </c>
      <c r="H2276" s="15" t="s">
        <v>10916</v>
      </c>
      <c r="I2276" s="15" t="s">
        <v>4944</v>
      </c>
    </row>
    <row r="2277" spans="1:9" x14ac:dyDescent="0.15">
      <c r="A2277" s="15" t="s">
        <v>10917</v>
      </c>
      <c r="B2277" s="15"/>
      <c r="C2277" s="15" t="s">
        <v>40</v>
      </c>
      <c r="D2277" s="15" t="s">
        <v>41</v>
      </c>
      <c r="E2277" s="15" t="s">
        <v>10918</v>
      </c>
      <c r="F2277" s="15" t="s">
        <v>10919</v>
      </c>
      <c r="G2277" s="15" t="s">
        <v>10019</v>
      </c>
      <c r="H2277" s="15" t="s">
        <v>10920</v>
      </c>
      <c r="I2277" s="15" t="s">
        <v>4944</v>
      </c>
    </row>
    <row r="2278" spans="1:9" x14ac:dyDescent="0.15">
      <c r="A2278" s="15" t="s">
        <v>10921</v>
      </c>
      <c r="B2278" s="15"/>
      <c r="C2278" s="15" t="s">
        <v>40</v>
      </c>
      <c r="D2278" s="15" t="s">
        <v>41</v>
      </c>
      <c r="E2278" s="15" t="s">
        <v>10922</v>
      </c>
      <c r="F2278" s="15" t="s">
        <v>10924</v>
      </c>
      <c r="G2278" s="15" t="s">
        <v>10923</v>
      </c>
      <c r="H2278" s="15" t="s">
        <v>10925</v>
      </c>
      <c r="I2278" s="15" t="s">
        <v>4944</v>
      </c>
    </row>
    <row r="2279" spans="1:9" x14ac:dyDescent="0.15">
      <c r="A2279" s="15" t="s">
        <v>10926</v>
      </c>
      <c r="B2279" s="15"/>
      <c r="C2279" s="15" t="s">
        <v>40</v>
      </c>
      <c r="D2279" s="15" t="s">
        <v>41</v>
      </c>
      <c r="E2279" s="15" t="s">
        <v>10927</v>
      </c>
      <c r="F2279" s="15" t="s">
        <v>10929</v>
      </c>
      <c r="G2279" s="15" t="s">
        <v>10928</v>
      </c>
      <c r="H2279" s="15" t="s">
        <v>10930</v>
      </c>
      <c r="I2279" s="15" t="s">
        <v>4944</v>
      </c>
    </row>
    <row r="2280" spans="1:9" x14ac:dyDescent="0.15">
      <c r="A2280" s="15" t="s">
        <v>10931</v>
      </c>
      <c r="B2280" s="15"/>
      <c r="C2280" s="15" t="s">
        <v>40</v>
      </c>
      <c r="D2280" s="15" t="s">
        <v>41</v>
      </c>
      <c r="E2280" s="15" t="s">
        <v>10932</v>
      </c>
      <c r="F2280" s="15" t="s">
        <v>10933</v>
      </c>
      <c r="G2280" s="15" t="s">
        <v>9623</v>
      </c>
      <c r="H2280" s="15" t="s">
        <v>10934</v>
      </c>
      <c r="I2280" s="15" t="s">
        <v>4944</v>
      </c>
    </row>
    <row r="2281" spans="1:9" x14ac:dyDescent="0.15">
      <c r="A2281" s="15" t="s">
        <v>10935</v>
      </c>
      <c r="B2281" s="15"/>
      <c r="C2281" s="15" t="s">
        <v>40</v>
      </c>
      <c r="D2281" s="15" t="s">
        <v>41</v>
      </c>
      <c r="E2281" s="15" t="s">
        <v>10936</v>
      </c>
      <c r="F2281" s="15" t="s">
        <v>52</v>
      </c>
      <c r="G2281" s="15" t="s">
        <v>4947</v>
      </c>
      <c r="H2281" s="15" t="s">
        <v>10937</v>
      </c>
      <c r="I2281" s="15" t="s">
        <v>4944</v>
      </c>
    </row>
    <row r="2282" spans="1:9" x14ac:dyDescent="0.15">
      <c r="A2282" s="15" t="s">
        <v>10938</v>
      </c>
      <c r="B2282" s="15"/>
      <c r="C2282" s="15" t="s">
        <v>40</v>
      </c>
      <c r="D2282" s="15" t="s">
        <v>41</v>
      </c>
      <c r="E2282" s="15" t="s">
        <v>10939</v>
      </c>
      <c r="F2282" s="15" t="s">
        <v>10941</v>
      </c>
      <c r="G2282" s="15" t="s">
        <v>10940</v>
      </c>
      <c r="H2282" s="15" t="s">
        <v>10942</v>
      </c>
      <c r="I2282" s="15" t="s">
        <v>4944</v>
      </c>
    </row>
    <row r="2283" spans="1:9" x14ac:dyDescent="0.15">
      <c r="A2283" s="15" t="s">
        <v>10943</v>
      </c>
      <c r="B2283" s="15"/>
      <c r="C2283" s="15" t="s">
        <v>40</v>
      </c>
      <c r="D2283" s="15" t="s">
        <v>41</v>
      </c>
      <c r="E2283" s="15" t="s">
        <v>10944</v>
      </c>
      <c r="F2283" s="15" t="s">
        <v>10945</v>
      </c>
      <c r="G2283" s="15" t="s">
        <v>10019</v>
      </c>
      <c r="H2283" s="15" t="s">
        <v>10946</v>
      </c>
      <c r="I2283" s="15" t="s">
        <v>4944</v>
      </c>
    </row>
    <row r="2284" spans="1:9" x14ac:dyDescent="0.15">
      <c r="A2284" s="15" t="s">
        <v>10947</v>
      </c>
      <c r="B2284" s="15"/>
      <c r="C2284" s="15" t="s">
        <v>40</v>
      </c>
      <c r="D2284" s="15" t="s">
        <v>41</v>
      </c>
      <c r="E2284" s="15" t="s">
        <v>10948</v>
      </c>
      <c r="F2284" s="15" t="s">
        <v>10950</v>
      </c>
      <c r="G2284" s="15" t="s">
        <v>10949</v>
      </c>
      <c r="H2284" s="15" t="s">
        <v>10951</v>
      </c>
      <c r="I2284" s="15" t="s">
        <v>4944</v>
      </c>
    </row>
    <row r="2285" spans="1:9" x14ac:dyDescent="0.15">
      <c r="A2285" s="15" t="s">
        <v>10952</v>
      </c>
      <c r="B2285" s="15"/>
      <c r="C2285" s="15" t="s">
        <v>40</v>
      </c>
      <c r="D2285" s="15" t="s">
        <v>41</v>
      </c>
      <c r="E2285" s="15" t="s">
        <v>10953</v>
      </c>
      <c r="F2285" s="15" t="s">
        <v>10954</v>
      </c>
      <c r="G2285" s="15" t="s">
        <v>10019</v>
      </c>
      <c r="H2285" s="15" t="s">
        <v>10955</v>
      </c>
      <c r="I2285" s="15" t="s">
        <v>4944</v>
      </c>
    </row>
    <row r="2286" spans="1:9" x14ac:dyDescent="0.15">
      <c r="A2286" s="15" t="s">
        <v>10956</v>
      </c>
      <c r="B2286" s="15"/>
      <c r="C2286" s="15" t="s">
        <v>40</v>
      </c>
      <c r="D2286" s="15" t="s">
        <v>41</v>
      </c>
      <c r="E2286" s="15" t="s">
        <v>10957</v>
      </c>
      <c r="F2286" s="15" t="s">
        <v>10958</v>
      </c>
      <c r="G2286" s="15" t="s">
        <v>4965</v>
      </c>
      <c r="H2286" s="15" t="s">
        <v>10959</v>
      </c>
      <c r="I2286" s="15" t="s">
        <v>4944</v>
      </c>
    </row>
    <row r="2287" spans="1:9" x14ac:dyDescent="0.15">
      <c r="A2287" s="15" t="s">
        <v>10960</v>
      </c>
      <c r="B2287" s="15"/>
      <c r="C2287" s="15" t="s">
        <v>40</v>
      </c>
      <c r="D2287" s="15" t="s">
        <v>41</v>
      </c>
      <c r="E2287" s="15" t="s">
        <v>10961</v>
      </c>
      <c r="F2287" s="15" t="s">
        <v>10963</v>
      </c>
      <c r="G2287" s="15" t="s">
        <v>10962</v>
      </c>
      <c r="H2287" s="15" t="s">
        <v>10964</v>
      </c>
      <c r="I2287" s="15" t="s">
        <v>4944</v>
      </c>
    </row>
    <row r="2288" spans="1:9" x14ac:dyDescent="0.15">
      <c r="A2288" s="15" t="s">
        <v>10965</v>
      </c>
      <c r="B2288" s="15"/>
      <c r="C2288" s="15" t="s">
        <v>40</v>
      </c>
      <c r="D2288" s="15" t="s">
        <v>41</v>
      </c>
      <c r="E2288" s="15" t="s">
        <v>10966</v>
      </c>
      <c r="F2288" s="15" t="s">
        <v>10968</v>
      </c>
      <c r="G2288" s="15" t="s">
        <v>10967</v>
      </c>
      <c r="H2288" s="15" t="s">
        <v>10969</v>
      </c>
      <c r="I2288" s="15" t="s">
        <v>4944</v>
      </c>
    </row>
    <row r="2289" spans="1:9" x14ac:dyDescent="0.15">
      <c r="A2289" s="15" t="s">
        <v>10970</v>
      </c>
      <c r="B2289" s="15"/>
      <c r="C2289" s="15" t="s">
        <v>40</v>
      </c>
      <c r="D2289" s="15" t="s">
        <v>41</v>
      </c>
      <c r="E2289" s="15" t="s">
        <v>10971</v>
      </c>
      <c r="F2289" s="15" t="s">
        <v>10973</v>
      </c>
      <c r="G2289" s="15" t="s">
        <v>10972</v>
      </c>
      <c r="H2289" s="15" t="s">
        <v>10974</v>
      </c>
      <c r="I2289" s="15" t="s">
        <v>4944</v>
      </c>
    </row>
    <row r="2290" spans="1:9" x14ac:dyDescent="0.15">
      <c r="A2290" s="15" t="s">
        <v>10975</v>
      </c>
      <c r="B2290" s="15"/>
      <c r="C2290" s="15" t="s">
        <v>40</v>
      </c>
      <c r="D2290" s="15" t="s">
        <v>41</v>
      </c>
      <c r="E2290" s="15" t="s">
        <v>10976</v>
      </c>
      <c r="F2290" s="15" t="s">
        <v>52</v>
      </c>
      <c r="G2290" s="15" t="s">
        <v>10977</v>
      </c>
      <c r="H2290" s="15" t="s">
        <v>10978</v>
      </c>
      <c r="I2290" s="15" t="s">
        <v>4944</v>
      </c>
    </row>
    <row r="2291" spans="1:9" x14ac:dyDescent="0.15">
      <c r="A2291" s="15" t="s">
        <v>10979</v>
      </c>
      <c r="B2291" s="15"/>
      <c r="C2291" s="15" t="s">
        <v>40</v>
      </c>
      <c r="D2291" s="15" t="s">
        <v>41</v>
      </c>
      <c r="E2291" s="15" t="s">
        <v>10980</v>
      </c>
      <c r="F2291" s="15" t="s">
        <v>10982</v>
      </c>
      <c r="G2291" s="15" t="s">
        <v>10981</v>
      </c>
      <c r="H2291" s="15" t="s">
        <v>10983</v>
      </c>
      <c r="I2291" s="15" t="s">
        <v>4944</v>
      </c>
    </row>
    <row r="2292" spans="1:9" x14ac:dyDescent="0.15">
      <c r="A2292" s="15" t="s">
        <v>10984</v>
      </c>
      <c r="B2292" s="15"/>
      <c r="C2292" s="15" t="s">
        <v>40</v>
      </c>
      <c r="D2292" s="15" t="s">
        <v>41</v>
      </c>
      <c r="E2292" s="15" t="s">
        <v>10985</v>
      </c>
      <c r="F2292" s="15" t="s">
        <v>10987</v>
      </c>
      <c r="G2292" s="15" t="s">
        <v>10986</v>
      </c>
      <c r="H2292" s="15" t="s">
        <v>10988</v>
      </c>
      <c r="I2292" s="15" t="s">
        <v>4944</v>
      </c>
    </row>
    <row r="2293" spans="1:9" x14ac:dyDescent="0.15">
      <c r="A2293" s="15" t="s">
        <v>10989</v>
      </c>
      <c r="B2293" s="15"/>
      <c r="C2293" s="15" t="s">
        <v>40</v>
      </c>
      <c r="D2293" s="15" t="s">
        <v>41</v>
      </c>
      <c r="E2293" s="15" t="s">
        <v>10990</v>
      </c>
      <c r="F2293" s="15" t="s">
        <v>10992</v>
      </c>
      <c r="G2293" s="15" t="s">
        <v>10991</v>
      </c>
      <c r="H2293" s="15" t="s">
        <v>10993</v>
      </c>
      <c r="I2293" s="15" t="s">
        <v>10994</v>
      </c>
    </row>
    <row r="2294" spans="1:9" x14ac:dyDescent="0.15">
      <c r="A2294" s="15" t="s">
        <v>10995</v>
      </c>
      <c r="B2294" s="15"/>
      <c r="C2294" s="15" t="s">
        <v>40</v>
      </c>
      <c r="D2294" s="15" t="s">
        <v>41</v>
      </c>
      <c r="E2294" s="15" t="s">
        <v>10996</v>
      </c>
      <c r="F2294" s="15" t="s">
        <v>10998</v>
      </c>
      <c r="G2294" s="15" t="s">
        <v>10997</v>
      </c>
      <c r="H2294" s="15" t="s">
        <v>10999</v>
      </c>
      <c r="I2294" s="15" t="s">
        <v>10994</v>
      </c>
    </row>
    <row r="2295" spans="1:9" x14ac:dyDescent="0.15">
      <c r="A2295" s="15" t="s">
        <v>11000</v>
      </c>
      <c r="B2295" s="15"/>
      <c r="C2295" s="15" t="s">
        <v>40</v>
      </c>
      <c r="D2295" s="15" t="s">
        <v>41</v>
      </c>
      <c r="E2295" s="15" t="s">
        <v>11001</v>
      </c>
      <c r="F2295" s="15" t="s">
        <v>11002</v>
      </c>
      <c r="G2295" s="15" t="s">
        <v>10991</v>
      </c>
      <c r="H2295" s="15" t="s">
        <v>11003</v>
      </c>
      <c r="I2295" s="15" t="s">
        <v>10994</v>
      </c>
    </row>
    <row r="2296" spans="1:9" x14ac:dyDescent="0.15">
      <c r="A2296" s="15" t="s">
        <v>11004</v>
      </c>
      <c r="B2296" s="15"/>
      <c r="C2296" s="15" t="s">
        <v>40</v>
      </c>
      <c r="D2296" s="15" t="s">
        <v>41</v>
      </c>
      <c r="E2296" s="15" t="s">
        <v>11005</v>
      </c>
      <c r="F2296" s="15" t="s">
        <v>11006</v>
      </c>
      <c r="G2296" s="15" t="s">
        <v>10991</v>
      </c>
      <c r="H2296" s="15" t="s">
        <v>11007</v>
      </c>
      <c r="I2296" s="15" t="s">
        <v>10994</v>
      </c>
    </row>
    <row r="2297" spans="1:9" x14ac:dyDescent="0.15">
      <c r="A2297" s="15" t="s">
        <v>11008</v>
      </c>
      <c r="B2297" s="15"/>
      <c r="C2297" s="15" t="s">
        <v>40</v>
      </c>
      <c r="D2297" s="15" t="s">
        <v>41</v>
      </c>
      <c r="E2297" s="15" t="s">
        <v>11009</v>
      </c>
      <c r="F2297" s="15" t="s">
        <v>11011</v>
      </c>
      <c r="G2297" s="15" t="s">
        <v>11010</v>
      </c>
      <c r="H2297" s="15" t="s">
        <v>11012</v>
      </c>
      <c r="I2297" s="15" t="s">
        <v>11013</v>
      </c>
    </row>
    <row r="2298" spans="1:9" x14ac:dyDescent="0.15">
      <c r="A2298" s="15" t="s">
        <v>11014</v>
      </c>
      <c r="B2298" s="15"/>
      <c r="C2298" s="15" t="s">
        <v>40</v>
      </c>
      <c r="D2298" s="15" t="s">
        <v>41</v>
      </c>
      <c r="E2298" s="15" t="s">
        <v>11015</v>
      </c>
      <c r="F2298" s="15" t="s">
        <v>11017</v>
      </c>
      <c r="G2298" s="15" t="s">
        <v>11016</v>
      </c>
      <c r="H2298" s="15" t="s">
        <v>11018</v>
      </c>
      <c r="I2298" s="15" t="s">
        <v>11013</v>
      </c>
    </row>
    <row r="2299" spans="1:9" x14ac:dyDescent="0.15">
      <c r="A2299" s="15" t="s">
        <v>11019</v>
      </c>
      <c r="B2299" s="15"/>
      <c r="C2299" s="15" t="s">
        <v>40</v>
      </c>
      <c r="D2299" s="15" t="s">
        <v>41</v>
      </c>
      <c r="E2299" s="15" t="s">
        <v>11020</v>
      </c>
      <c r="F2299" s="15" t="s">
        <v>11022</v>
      </c>
      <c r="G2299" s="15" t="s">
        <v>11021</v>
      </c>
      <c r="H2299" s="15" t="s">
        <v>11023</v>
      </c>
      <c r="I2299" s="15" t="s">
        <v>11013</v>
      </c>
    </row>
    <row r="2300" spans="1:9" x14ac:dyDescent="0.15">
      <c r="A2300" s="15" t="s">
        <v>11024</v>
      </c>
      <c r="B2300" s="15"/>
      <c r="C2300" s="15" t="s">
        <v>40</v>
      </c>
      <c r="D2300" s="15" t="s">
        <v>41</v>
      </c>
      <c r="E2300" s="15" t="s">
        <v>11025</v>
      </c>
      <c r="F2300" s="15" t="s">
        <v>11027</v>
      </c>
      <c r="G2300" s="15" t="s">
        <v>11026</v>
      </c>
      <c r="H2300" s="15" t="s">
        <v>11028</v>
      </c>
      <c r="I2300" s="15" t="s">
        <v>11013</v>
      </c>
    </row>
    <row r="2301" spans="1:9" x14ac:dyDescent="0.15">
      <c r="A2301" s="15" t="s">
        <v>11029</v>
      </c>
      <c r="B2301" s="15"/>
      <c r="C2301" s="15" t="s">
        <v>40</v>
      </c>
      <c r="D2301" s="15" t="s">
        <v>41</v>
      </c>
      <c r="E2301" s="15" t="s">
        <v>11030</v>
      </c>
      <c r="F2301" s="15" t="s">
        <v>11031</v>
      </c>
      <c r="G2301" s="15" t="s">
        <v>11016</v>
      </c>
      <c r="H2301" s="15" t="s">
        <v>11032</v>
      </c>
      <c r="I2301" s="15" t="s">
        <v>11013</v>
      </c>
    </row>
    <row r="2302" spans="1:9" x14ac:dyDescent="0.15">
      <c r="A2302" s="15" t="s">
        <v>11033</v>
      </c>
      <c r="B2302" s="15"/>
      <c r="C2302" s="15" t="s">
        <v>40</v>
      </c>
      <c r="D2302" s="15" t="s">
        <v>41</v>
      </c>
      <c r="E2302" s="15" t="s">
        <v>11034</v>
      </c>
      <c r="F2302" s="15" t="s">
        <v>11036</v>
      </c>
      <c r="G2302" s="15" t="s">
        <v>11035</v>
      </c>
      <c r="H2302" s="15" t="s">
        <v>11037</v>
      </c>
      <c r="I2302" s="15" t="s">
        <v>11013</v>
      </c>
    </row>
    <row r="2303" spans="1:9" x14ac:dyDescent="0.15">
      <c r="A2303" s="15" t="s">
        <v>11038</v>
      </c>
      <c r="B2303" s="15"/>
      <c r="C2303" s="15" t="s">
        <v>40</v>
      </c>
      <c r="D2303" s="15" t="s">
        <v>41</v>
      </c>
      <c r="E2303" s="15" t="s">
        <v>11039</v>
      </c>
      <c r="F2303" s="15" t="s">
        <v>11041</v>
      </c>
      <c r="G2303" s="15" t="s">
        <v>11040</v>
      </c>
      <c r="H2303" s="15" t="s">
        <v>11042</v>
      </c>
      <c r="I2303" s="15" t="s">
        <v>11043</v>
      </c>
    </row>
    <row r="2304" spans="1:9" x14ac:dyDescent="0.15">
      <c r="A2304" s="15" t="s">
        <v>11044</v>
      </c>
      <c r="B2304" s="15"/>
      <c r="C2304" s="15" t="s">
        <v>40</v>
      </c>
      <c r="D2304" s="15" t="s">
        <v>41</v>
      </c>
      <c r="E2304" s="15" t="s">
        <v>11045</v>
      </c>
      <c r="F2304" s="15" t="s">
        <v>11047</v>
      </c>
      <c r="G2304" s="15" t="s">
        <v>11046</v>
      </c>
      <c r="H2304" s="15" t="s">
        <v>11048</v>
      </c>
      <c r="I2304" s="15" t="s">
        <v>11043</v>
      </c>
    </row>
    <row r="2305" spans="1:9" x14ac:dyDescent="0.15">
      <c r="A2305" s="15" t="s">
        <v>11049</v>
      </c>
      <c r="B2305" s="15"/>
      <c r="C2305" s="15" t="s">
        <v>40</v>
      </c>
      <c r="D2305" s="15" t="s">
        <v>41</v>
      </c>
      <c r="E2305" s="15" t="s">
        <v>11050</v>
      </c>
      <c r="F2305" s="15" t="s">
        <v>11052</v>
      </c>
      <c r="G2305" s="15" t="s">
        <v>11051</v>
      </c>
      <c r="H2305" s="15" t="s">
        <v>11053</v>
      </c>
      <c r="I2305" s="15" t="s">
        <v>11043</v>
      </c>
    </row>
    <row r="2306" spans="1:9" x14ac:dyDescent="0.15">
      <c r="A2306" s="15" t="s">
        <v>11054</v>
      </c>
      <c r="B2306" s="15"/>
      <c r="C2306" s="15" t="s">
        <v>40</v>
      </c>
      <c r="D2306" s="15" t="s">
        <v>41</v>
      </c>
      <c r="E2306" s="15" t="s">
        <v>11055</v>
      </c>
      <c r="F2306" s="15" t="s">
        <v>11057</v>
      </c>
      <c r="G2306" s="15" t="s">
        <v>11056</v>
      </c>
      <c r="H2306" s="15" t="s">
        <v>11058</v>
      </c>
      <c r="I2306" s="15" t="s">
        <v>11043</v>
      </c>
    </row>
    <row r="2307" spans="1:9" x14ac:dyDescent="0.15">
      <c r="A2307" s="15" t="s">
        <v>11059</v>
      </c>
      <c r="B2307" s="15"/>
      <c r="C2307" s="15" t="s">
        <v>40</v>
      </c>
      <c r="D2307" s="15" t="s">
        <v>41</v>
      </c>
      <c r="E2307" s="15" t="s">
        <v>11060</v>
      </c>
      <c r="F2307" s="15" t="s">
        <v>11061</v>
      </c>
      <c r="G2307" s="15" t="s">
        <v>10471</v>
      </c>
      <c r="H2307" s="15" t="s">
        <v>11062</v>
      </c>
      <c r="I2307" s="15" t="s">
        <v>11043</v>
      </c>
    </row>
    <row r="2308" spans="1:9" x14ac:dyDescent="0.15">
      <c r="A2308" s="15" t="s">
        <v>11063</v>
      </c>
      <c r="B2308" s="15"/>
      <c r="C2308" s="15" t="s">
        <v>40</v>
      </c>
      <c r="D2308" s="15" t="s">
        <v>41</v>
      </c>
      <c r="E2308" s="15" t="s">
        <v>11064</v>
      </c>
      <c r="F2308" s="15" t="s">
        <v>11065</v>
      </c>
      <c r="G2308" s="15" t="s">
        <v>10862</v>
      </c>
      <c r="H2308" s="15" t="s">
        <v>11066</v>
      </c>
      <c r="I2308" s="15" t="s">
        <v>11043</v>
      </c>
    </row>
    <row r="2309" spans="1:9" x14ac:dyDescent="0.15">
      <c r="A2309" s="15" t="s">
        <v>11067</v>
      </c>
      <c r="B2309" s="15"/>
      <c r="C2309" s="15" t="s">
        <v>40</v>
      </c>
      <c r="D2309" s="15" t="s">
        <v>41</v>
      </c>
      <c r="E2309" s="15" t="s">
        <v>11068</v>
      </c>
      <c r="F2309" s="15" t="s">
        <v>11061</v>
      </c>
      <c r="G2309" s="15" t="s">
        <v>10471</v>
      </c>
      <c r="H2309" s="15" t="s">
        <v>11069</v>
      </c>
      <c r="I2309" s="15" t="s">
        <v>11043</v>
      </c>
    </row>
    <row r="2310" spans="1:9" x14ac:dyDescent="0.15">
      <c r="A2310" s="15" t="s">
        <v>11070</v>
      </c>
      <c r="B2310" s="15"/>
      <c r="C2310" s="15" t="s">
        <v>40</v>
      </c>
      <c r="D2310" s="15" t="s">
        <v>41</v>
      </c>
      <c r="E2310" s="15" t="s">
        <v>11071</v>
      </c>
      <c r="F2310" s="15" t="s">
        <v>11073</v>
      </c>
      <c r="G2310" s="15" t="s">
        <v>11072</v>
      </c>
      <c r="H2310" s="15" t="s">
        <v>11074</v>
      </c>
      <c r="I2310" s="15" t="s">
        <v>11043</v>
      </c>
    </row>
    <row r="2311" spans="1:9" x14ac:dyDescent="0.15">
      <c r="A2311" s="15" t="s">
        <v>11075</v>
      </c>
      <c r="B2311" s="15"/>
      <c r="C2311" s="15" t="s">
        <v>40</v>
      </c>
      <c r="D2311" s="15" t="s">
        <v>41</v>
      </c>
      <c r="E2311" s="15" t="s">
        <v>11076</v>
      </c>
      <c r="F2311" s="15" t="s">
        <v>11078</v>
      </c>
      <c r="G2311" s="15" t="s">
        <v>11077</v>
      </c>
      <c r="H2311" s="15" t="s">
        <v>11079</v>
      </c>
      <c r="I2311" s="15" t="s">
        <v>11043</v>
      </c>
    </row>
    <row r="2312" spans="1:9" x14ac:dyDescent="0.15">
      <c r="A2312" s="15" t="s">
        <v>91</v>
      </c>
      <c r="B2312" s="15"/>
      <c r="C2312" s="15" t="s">
        <v>40</v>
      </c>
      <c r="D2312" s="15" t="s">
        <v>41</v>
      </c>
      <c r="E2312" s="15" t="s">
        <v>11080</v>
      </c>
      <c r="F2312" s="15" t="s">
        <v>11082</v>
      </c>
      <c r="G2312" s="15" t="s">
        <v>11081</v>
      </c>
      <c r="H2312" s="15" t="s">
        <v>11083</v>
      </c>
      <c r="I2312" s="15" t="s">
        <v>11084</v>
      </c>
    </row>
    <row r="2313" spans="1:9" x14ac:dyDescent="0.15">
      <c r="A2313" s="15" t="s">
        <v>97</v>
      </c>
      <c r="B2313" s="15"/>
      <c r="C2313" s="15" t="s">
        <v>40</v>
      </c>
      <c r="D2313" s="15" t="s">
        <v>41</v>
      </c>
      <c r="E2313" s="15" t="s">
        <v>11085</v>
      </c>
      <c r="F2313" s="15" t="s">
        <v>11087</v>
      </c>
      <c r="G2313" s="15" t="s">
        <v>11086</v>
      </c>
      <c r="H2313" s="15" t="s">
        <v>11088</v>
      </c>
      <c r="I2313" s="15" t="s">
        <v>11089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F4B9-B693-4E9E-9C66-8F916867F303}">
  <dimension ref="A1:I2309"/>
  <sheetViews>
    <sheetView tabSelected="1" workbookViewId="0">
      <selection activeCell="E1" sqref="E1"/>
    </sheetView>
  </sheetViews>
  <sheetFormatPr defaultRowHeight="13.5" x14ac:dyDescent="0.15"/>
  <cols>
    <col min="1" max="1" width="9" style="5"/>
    <col min="2" max="2" width="9" style="10"/>
    <col min="3" max="3" width="9" style="11"/>
    <col min="4" max="4" width="11.625" style="12" customWidth="1"/>
    <col min="5" max="5" width="10.625" style="11" bestFit="1" customWidth="1"/>
    <col min="6" max="6" width="28.375" style="10" customWidth="1"/>
    <col min="7" max="7" width="31.375" style="10" customWidth="1"/>
    <col min="8" max="8" width="100.625" style="10" customWidth="1"/>
    <col min="9" max="9" width="11.625" style="12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11126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11145</v>
      </c>
    </row>
    <row r="2" spans="1:9" x14ac:dyDescent="0.15">
      <c r="A2" s="16" t="s">
        <v>67</v>
      </c>
      <c r="B2" s="7" t="s">
        <v>9</v>
      </c>
      <c r="C2" s="16" t="s">
        <v>40</v>
      </c>
      <c r="D2" s="16" t="s">
        <v>41</v>
      </c>
      <c r="E2" s="13" t="str">
        <f>+HYPERLINK("http://trademark.i-assist.jp/data/china/image_1891th/56076714.pdf","56076714")</f>
        <v>56076714</v>
      </c>
      <c r="F2" s="16" t="s">
        <v>10124</v>
      </c>
      <c r="G2" s="16" t="s">
        <v>10123</v>
      </c>
      <c r="H2" s="16" t="s">
        <v>10125</v>
      </c>
      <c r="I2" s="17">
        <v>44330</v>
      </c>
    </row>
    <row r="3" spans="1:9" x14ac:dyDescent="0.15">
      <c r="A3" s="16" t="s">
        <v>151</v>
      </c>
      <c r="B3" s="7" t="s">
        <v>9</v>
      </c>
      <c r="C3" s="16" t="s">
        <v>40</v>
      </c>
      <c r="D3" s="16" t="s">
        <v>41</v>
      </c>
      <c r="E3" s="13" t="str">
        <f>+HYPERLINK("http://trademark.i-assist.jp/data/china/image_1891th/56304158.pdf","56304158")</f>
        <v>56304158</v>
      </c>
      <c r="F3" s="16" t="s">
        <v>10129</v>
      </c>
      <c r="G3" s="16" t="s">
        <v>10128</v>
      </c>
      <c r="H3" s="16" t="s">
        <v>10130</v>
      </c>
      <c r="I3" s="17">
        <v>44340</v>
      </c>
    </row>
    <row r="4" spans="1:9" x14ac:dyDescent="0.15">
      <c r="A4" s="16" t="s">
        <v>157</v>
      </c>
      <c r="B4" s="7" t="s">
        <v>9</v>
      </c>
      <c r="C4" s="16" t="s">
        <v>40</v>
      </c>
      <c r="D4" s="16" t="s">
        <v>41</v>
      </c>
      <c r="E4" s="13" t="str">
        <f>+HYPERLINK("http://trademark.i-assist.jp/data/china/image_1891th/58898677.pdf","58898677")</f>
        <v>58898677</v>
      </c>
      <c r="F4" s="16" t="s">
        <v>10134</v>
      </c>
      <c r="G4" s="16" t="s">
        <v>10133</v>
      </c>
      <c r="H4" s="16" t="s">
        <v>10135</v>
      </c>
      <c r="I4" s="17">
        <v>44439</v>
      </c>
    </row>
    <row r="5" spans="1:9" x14ac:dyDescent="0.15">
      <c r="A5" s="16" t="s">
        <v>39</v>
      </c>
      <c r="B5" s="7" t="s">
        <v>9</v>
      </c>
      <c r="C5" s="16" t="s">
        <v>40</v>
      </c>
      <c r="D5" s="16" t="s">
        <v>41</v>
      </c>
      <c r="E5" s="13" t="str">
        <f>+HYPERLINK("http://trademark.i-assist.jp/data/china/image_1891th/61500071.pdf","61500071")</f>
        <v>61500071</v>
      </c>
      <c r="F5" s="16" t="s">
        <v>10139</v>
      </c>
      <c r="G5" s="16" t="s">
        <v>10138</v>
      </c>
      <c r="H5" s="16" t="s">
        <v>10140</v>
      </c>
      <c r="I5" s="17">
        <v>44547</v>
      </c>
    </row>
    <row r="6" spans="1:9" x14ac:dyDescent="0.15">
      <c r="A6" s="16" t="s">
        <v>49</v>
      </c>
      <c r="B6" s="7" t="s">
        <v>9</v>
      </c>
      <c r="C6" s="16" t="s">
        <v>40</v>
      </c>
      <c r="D6" s="16" t="s">
        <v>41</v>
      </c>
      <c r="E6" s="13" t="str">
        <f>+HYPERLINK("http://trademark.i-assist.jp/data/china/image_1891th/63211016.pdf","63211016")</f>
        <v>63211016</v>
      </c>
      <c r="F6" s="16" t="s">
        <v>10144</v>
      </c>
      <c r="G6" s="16" t="s">
        <v>10143</v>
      </c>
      <c r="H6" s="16" t="s">
        <v>10145</v>
      </c>
      <c r="I6" s="17">
        <v>44631</v>
      </c>
    </row>
    <row r="7" spans="1:9" x14ac:dyDescent="0.15">
      <c r="A7" s="16" t="s">
        <v>56</v>
      </c>
      <c r="B7" s="7" t="s">
        <v>9</v>
      </c>
      <c r="C7" s="16" t="s">
        <v>40</v>
      </c>
      <c r="D7" s="16" t="s">
        <v>41</v>
      </c>
      <c r="E7" s="13" t="str">
        <f>+HYPERLINK("http://trademark.i-assist.jp/data/china/image_1891th/65643218.pdf","65643218")</f>
        <v>65643218</v>
      </c>
      <c r="F7" s="16" t="s">
        <v>10149</v>
      </c>
      <c r="G7" s="16" t="s">
        <v>10148</v>
      </c>
      <c r="H7" s="16" t="s">
        <v>10150</v>
      </c>
      <c r="I7" s="17">
        <v>44741</v>
      </c>
    </row>
    <row r="8" spans="1:9" x14ac:dyDescent="0.15">
      <c r="A8" s="16" t="s">
        <v>62</v>
      </c>
      <c r="B8" s="7" t="s">
        <v>9</v>
      </c>
      <c r="C8" s="16" t="s">
        <v>40</v>
      </c>
      <c r="D8" s="16" t="s">
        <v>41</v>
      </c>
      <c r="E8" s="13" t="str">
        <f>+HYPERLINK("http://trademark.i-assist.jp/data/china/image_1891th/65770539.pdf","65770539")</f>
        <v>65770539</v>
      </c>
      <c r="F8" s="16" t="s">
        <v>10154</v>
      </c>
      <c r="G8" s="16" t="s">
        <v>10153</v>
      </c>
      <c r="H8" s="16" t="s">
        <v>10155</v>
      </c>
      <c r="I8" s="17">
        <v>44748</v>
      </c>
    </row>
    <row r="9" spans="1:9" x14ac:dyDescent="0.15">
      <c r="A9" s="16" t="s">
        <v>69</v>
      </c>
      <c r="B9" s="7" t="s">
        <v>9</v>
      </c>
      <c r="C9" s="16" t="s">
        <v>40</v>
      </c>
      <c r="D9" s="16" t="s">
        <v>41</v>
      </c>
      <c r="E9" s="13" t="str">
        <f>+HYPERLINK("http://trademark.i-assist.jp/data/china/image_1891th/65850405.pdf","65850405")</f>
        <v>65850405</v>
      </c>
      <c r="F9" s="16" t="s">
        <v>10159</v>
      </c>
      <c r="G9" s="16" t="s">
        <v>10158</v>
      </c>
      <c r="H9" s="16" t="s">
        <v>10160</v>
      </c>
      <c r="I9" s="17">
        <v>44750</v>
      </c>
    </row>
    <row r="10" spans="1:9" x14ac:dyDescent="0.15">
      <c r="A10" s="16" t="s">
        <v>74</v>
      </c>
      <c r="B10" s="7" t="s">
        <v>9</v>
      </c>
      <c r="C10" s="16" t="s">
        <v>40</v>
      </c>
      <c r="D10" s="16" t="s">
        <v>41</v>
      </c>
      <c r="E10" s="13" t="str">
        <f>+HYPERLINK("http://trademark.i-assist.jp/data/china/image_1891th/67123577.pdf","67123577")</f>
        <v>67123577</v>
      </c>
      <c r="F10" s="16" t="s">
        <v>10164</v>
      </c>
      <c r="G10" s="16" t="s">
        <v>10163</v>
      </c>
      <c r="H10" s="16" t="s">
        <v>10165</v>
      </c>
      <c r="I10" s="17">
        <v>44813</v>
      </c>
    </row>
    <row r="11" spans="1:9" x14ac:dyDescent="0.15">
      <c r="A11" s="16" t="s">
        <v>47</v>
      </c>
      <c r="B11" s="7" t="s">
        <v>9</v>
      </c>
      <c r="C11" s="16" t="s">
        <v>40</v>
      </c>
      <c r="D11" s="16" t="s">
        <v>41</v>
      </c>
      <c r="E11" s="13" t="str">
        <f>+HYPERLINK("http://trademark.i-assist.jp/data/china/image_1891th/67908687.pdf","67908687")</f>
        <v>67908687</v>
      </c>
      <c r="F11" s="16" t="s">
        <v>10169</v>
      </c>
      <c r="G11" s="16" t="s">
        <v>10168</v>
      </c>
      <c r="H11" s="16" t="s">
        <v>10170</v>
      </c>
      <c r="I11" s="17">
        <v>44858</v>
      </c>
    </row>
    <row r="12" spans="1:9" x14ac:dyDescent="0.15">
      <c r="A12" s="16" t="s">
        <v>85</v>
      </c>
      <c r="B12" s="7" t="s">
        <v>9</v>
      </c>
      <c r="C12" s="16" t="s">
        <v>40</v>
      </c>
      <c r="D12" s="16" t="s">
        <v>41</v>
      </c>
      <c r="E12" s="13" t="str">
        <f>+HYPERLINK("http://trademark.i-assist.jp/data/china/image_1891th/67910874.pdf","67910874")</f>
        <v>67910874</v>
      </c>
      <c r="F12" s="16" t="s">
        <v>10169</v>
      </c>
      <c r="G12" s="16" t="s">
        <v>10168</v>
      </c>
      <c r="H12" s="16" t="s">
        <v>10173</v>
      </c>
      <c r="I12" s="17">
        <v>44858</v>
      </c>
    </row>
    <row r="13" spans="1:9" x14ac:dyDescent="0.15">
      <c r="A13" s="16" t="s">
        <v>91</v>
      </c>
      <c r="B13" s="7" t="s">
        <v>9</v>
      </c>
      <c r="C13" s="16" t="s">
        <v>40</v>
      </c>
      <c r="D13" s="16" t="s">
        <v>41</v>
      </c>
      <c r="E13" s="13" t="str">
        <f>+HYPERLINK("http://trademark.i-assist.jp/data/china/image_1891th/68453266.pdf","68453266")</f>
        <v>68453266</v>
      </c>
      <c r="F13" s="16" t="s">
        <v>52</v>
      </c>
      <c r="G13" s="16" t="s">
        <v>10788</v>
      </c>
      <c r="H13" s="16" t="s">
        <v>10789</v>
      </c>
      <c r="I13" s="17">
        <v>44886</v>
      </c>
    </row>
    <row r="14" spans="1:9" x14ac:dyDescent="0.15">
      <c r="A14" s="16" t="s">
        <v>97</v>
      </c>
      <c r="B14" s="7" t="s">
        <v>9</v>
      </c>
      <c r="C14" s="16" t="s">
        <v>40</v>
      </c>
      <c r="D14" s="16" t="s">
        <v>41</v>
      </c>
      <c r="E14" s="13" t="str">
        <f>+HYPERLINK("http://trademark.i-assist.jp/data/china/image_1891th/68758082.pdf","68758082")</f>
        <v>68758082</v>
      </c>
      <c r="F14" s="16" t="s">
        <v>11082</v>
      </c>
      <c r="G14" s="16" t="s">
        <v>11081</v>
      </c>
      <c r="H14" s="16" t="s">
        <v>11083</v>
      </c>
      <c r="I14" s="17">
        <v>44902</v>
      </c>
    </row>
    <row r="15" spans="1:9" x14ac:dyDescent="0.15">
      <c r="A15" s="16" t="s">
        <v>103</v>
      </c>
      <c r="B15" s="7" t="s">
        <v>9</v>
      </c>
      <c r="C15" s="16" t="s">
        <v>40</v>
      </c>
      <c r="D15" s="16" t="s">
        <v>41</v>
      </c>
      <c r="E15" s="13" t="str">
        <f>+HYPERLINK("http://trademark.i-assist.jp/data/china/image_1891th/69389238.pdf","69389238")</f>
        <v>69389238</v>
      </c>
      <c r="F15" s="16" t="s">
        <v>11087</v>
      </c>
      <c r="G15" s="16" t="s">
        <v>11086</v>
      </c>
      <c r="H15" s="16" t="s">
        <v>11088</v>
      </c>
      <c r="I15" s="17">
        <v>44960</v>
      </c>
    </row>
    <row r="16" spans="1:9" x14ac:dyDescent="0.15">
      <c r="A16" s="16" t="s">
        <v>109</v>
      </c>
      <c r="B16" s="7" t="s">
        <v>9</v>
      </c>
      <c r="C16" s="16" t="s">
        <v>40</v>
      </c>
      <c r="D16" s="16" t="s">
        <v>41</v>
      </c>
      <c r="E16" s="13" t="str">
        <f>+HYPERLINK("http://trademark.i-assist.jp/data/china/image_1891th/69517119.pdf","69517119")</f>
        <v>69517119</v>
      </c>
      <c r="F16" s="16" t="s">
        <v>10176</v>
      </c>
      <c r="G16" s="16" t="s">
        <v>10175</v>
      </c>
      <c r="H16" s="16" t="s">
        <v>10177</v>
      </c>
      <c r="I16" s="17">
        <v>44968</v>
      </c>
    </row>
    <row r="17" spans="1:9" x14ac:dyDescent="0.15">
      <c r="A17" s="16" t="s">
        <v>116</v>
      </c>
      <c r="B17" s="7" t="s">
        <v>9</v>
      </c>
      <c r="C17" s="16" t="s">
        <v>40</v>
      </c>
      <c r="D17" s="16" t="s">
        <v>41</v>
      </c>
      <c r="E17" s="13" t="str">
        <f>+HYPERLINK("http://trademark.i-assist.jp/data/china/image_1891th/69560903.pdf","69560903")</f>
        <v>69560903</v>
      </c>
      <c r="F17" s="16" t="s">
        <v>10181</v>
      </c>
      <c r="G17" s="16" t="s">
        <v>10180</v>
      </c>
      <c r="H17" s="16" t="s">
        <v>10182</v>
      </c>
      <c r="I17" s="17">
        <v>44971</v>
      </c>
    </row>
    <row r="18" spans="1:9" x14ac:dyDescent="0.15">
      <c r="A18" s="16" t="s">
        <v>122</v>
      </c>
      <c r="B18" s="7" t="s">
        <v>9</v>
      </c>
      <c r="C18" s="16" t="s">
        <v>40</v>
      </c>
      <c r="D18" s="16" t="s">
        <v>41</v>
      </c>
      <c r="E18" s="13" t="str">
        <f>+HYPERLINK("http://trademark.i-assist.jp/data/china/image_1891th/69641694.pdf","69641694")</f>
        <v>69641694</v>
      </c>
      <c r="F18" s="16" t="s">
        <v>52</v>
      </c>
      <c r="G18" s="16" t="s">
        <v>10185</v>
      </c>
      <c r="H18" s="16" t="s">
        <v>10186</v>
      </c>
      <c r="I18" s="17">
        <v>44974</v>
      </c>
    </row>
    <row r="19" spans="1:9" x14ac:dyDescent="0.15">
      <c r="A19" s="16" t="s">
        <v>128</v>
      </c>
      <c r="B19" s="7" t="s">
        <v>9</v>
      </c>
      <c r="C19" s="16" t="s">
        <v>40</v>
      </c>
      <c r="D19" s="16" t="s">
        <v>41</v>
      </c>
      <c r="E19" s="13" t="str">
        <f>+HYPERLINK("http://trademark.i-assist.jp/data/china/image_1891th/69661164.pdf","69661164")</f>
        <v>69661164</v>
      </c>
      <c r="F19" s="16" t="s">
        <v>10190</v>
      </c>
      <c r="G19" s="16" t="s">
        <v>10189</v>
      </c>
      <c r="H19" s="16" t="s">
        <v>10191</v>
      </c>
      <c r="I19" s="17">
        <v>44976</v>
      </c>
    </row>
    <row r="20" spans="1:9" x14ac:dyDescent="0.15">
      <c r="A20" s="16" t="s">
        <v>134</v>
      </c>
      <c r="B20" s="7" t="s">
        <v>9</v>
      </c>
      <c r="C20" s="16" t="s">
        <v>40</v>
      </c>
      <c r="D20" s="16" t="s">
        <v>41</v>
      </c>
      <c r="E20" s="13" t="str">
        <f>+HYPERLINK("http://trademark.i-assist.jp/data/china/image_1891th/69872801.pdf","69872801")</f>
        <v>69872801</v>
      </c>
      <c r="F20" s="16" t="s">
        <v>10195</v>
      </c>
      <c r="G20" s="16" t="s">
        <v>10194</v>
      </c>
      <c r="H20" s="16" t="s">
        <v>10196</v>
      </c>
      <c r="I20" s="17">
        <v>44986</v>
      </c>
    </row>
    <row r="21" spans="1:9" x14ac:dyDescent="0.15">
      <c r="A21" s="16" t="s">
        <v>140</v>
      </c>
      <c r="B21" s="7" t="s">
        <v>9</v>
      </c>
      <c r="C21" s="16" t="s">
        <v>40</v>
      </c>
      <c r="D21" s="16" t="s">
        <v>41</v>
      </c>
      <c r="E21" s="13" t="str">
        <f>+HYPERLINK("http://trademark.i-assist.jp/data/china/image_1891th/70132324.pdf","70132324")</f>
        <v>70132324</v>
      </c>
      <c r="F21" s="16" t="s">
        <v>10200</v>
      </c>
      <c r="G21" s="16" t="s">
        <v>10199</v>
      </c>
      <c r="H21" s="16" t="s">
        <v>10201</v>
      </c>
      <c r="I21" s="17">
        <v>44998</v>
      </c>
    </row>
    <row r="22" spans="1:9" x14ac:dyDescent="0.15">
      <c r="A22" s="16" t="s">
        <v>10208</v>
      </c>
      <c r="B22" s="7" t="s">
        <v>9</v>
      </c>
      <c r="C22" s="16" t="s">
        <v>40</v>
      </c>
      <c r="D22" s="16" t="s">
        <v>41</v>
      </c>
      <c r="E22" s="13" t="str">
        <f>+HYPERLINK("http://trademark.i-assist.jp/data/china/image_1891th/70191496.pdf","70191496")</f>
        <v>70191496</v>
      </c>
      <c r="F22" s="16" t="s">
        <v>10205</v>
      </c>
      <c r="G22" s="16" t="s">
        <v>10204</v>
      </c>
      <c r="H22" s="16" t="s">
        <v>10206</v>
      </c>
      <c r="I22" s="17">
        <v>44999</v>
      </c>
    </row>
    <row r="23" spans="1:9" x14ac:dyDescent="0.15">
      <c r="A23" s="16" t="s">
        <v>10214</v>
      </c>
      <c r="B23" s="7" t="s">
        <v>9</v>
      </c>
      <c r="C23" s="16" t="s">
        <v>40</v>
      </c>
      <c r="D23" s="16" t="s">
        <v>41</v>
      </c>
      <c r="E23" s="13" t="str">
        <f>+HYPERLINK("http://trademark.i-assist.jp/data/china/image_1891th/70272563.pdf","70272563")</f>
        <v>70272563</v>
      </c>
      <c r="F23" s="16" t="s">
        <v>10211</v>
      </c>
      <c r="G23" s="16" t="s">
        <v>10210</v>
      </c>
      <c r="H23" s="16" t="s">
        <v>10212</v>
      </c>
      <c r="I23" s="17">
        <v>45002</v>
      </c>
    </row>
    <row r="24" spans="1:9" x14ac:dyDescent="0.15">
      <c r="A24" s="16" t="s">
        <v>10220</v>
      </c>
      <c r="B24" s="7" t="s">
        <v>9</v>
      </c>
      <c r="C24" s="16" t="s">
        <v>40</v>
      </c>
      <c r="D24" s="16" t="s">
        <v>41</v>
      </c>
      <c r="E24" s="13" t="str">
        <f>+HYPERLINK("http://trademark.i-assist.jp/data/china/image_1891th/70286060.pdf","70286060")</f>
        <v>70286060</v>
      </c>
      <c r="F24" s="16" t="s">
        <v>10217</v>
      </c>
      <c r="G24" s="16" t="s">
        <v>10216</v>
      </c>
      <c r="H24" s="16" t="s">
        <v>10218</v>
      </c>
      <c r="I24" s="17">
        <v>45003</v>
      </c>
    </row>
    <row r="25" spans="1:9" x14ac:dyDescent="0.15">
      <c r="A25" s="16" t="s">
        <v>10225</v>
      </c>
      <c r="B25" s="7" t="s">
        <v>9</v>
      </c>
      <c r="C25" s="16" t="s">
        <v>40</v>
      </c>
      <c r="D25" s="16" t="s">
        <v>41</v>
      </c>
      <c r="E25" s="13" t="str">
        <f>+HYPERLINK("http://trademark.i-assist.jp/data/china/image_1891th/70320199.pdf","70320199")</f>
        <v>70320199</v>
      </c>
      <c r="F25" s="16" t="s">
        <v>10222</v>
      </c>
      <c r="G25" s="16" t="s">
        <v>10216</v>
      </c>
      <c r="H25" s="16" t="s">
        <v>10223</v>
      </c>
      <c r="I25" s="17">
        <v>45005</v>
      </c>
    </row>
    <row r="26" spans="1:9" x14ac:dyDescent="0.15">
      <c r="A26" s="16" t="s">
        <v>8250</v>
      </c>
      <c r="B26" s="7" t="s">
        <v>9</v>
      </c>
      <c r="C26" s="16" t="s">
        <v>40</v>
      </c>
      <c r="D26" s="16" t="s">
        <v>41</v>
      </c>
      <c r="E26" s="13" t="str">
        <f>+HYPERLINK("http://trademark.i-assist.jp/data/china/image_1891th/70717849.pdf","70717849")</f>
        <v>70717849</v>
      </c>
      <c r="F26" s="16" t="s">
        <v>11091</v>
      </c>
      <c r="G26" s="16" t="s">
        <v>10227</v>
      </c>
      <c r="H26" s="16" t="s">
        <v>10229</v>
      </c>
      <c r="I26" s="17">
        <v>45022</v>
      </c>
    </row>
    <row r="27" spans="1:9" x14ac:dyDescent="0.15">
      <c r="A27" s="16" t="s">
        <v>5330</v>
      </c>
      <c r="B27" s="7" t="s">
        <v>9</v>
      </c>
      <c r="C27" s="16" t="s">
        <v>40</v>
      </c>
      <c r="D27" s="16" t="s">
        <v>41</v>
      </c>
      <c r="E27" s="13" t="str">
        <f>+HYPERLINK("http://trademark.i-assist.jp/data/china/image_1891th/70938136.pdf","70938136")</f>
        <v>70938136</v>
      </c>
      <c r="F27" s="16" t="s">
        <v>10233</v>
      </c>
      <c r="G27" s="16" t="s">
        <v>10232</v>
      </c>
      <c r="H27" s="16" t="s">
        <v>10234</v>
      </c>
      <c r="I27" s="17">
        <v>45033</v>
      </c>
    </row>
    <row r="28" spans="1:9" x14ac:dyDescent="0.15">
      <c r="A28" s="16" t="s">
        <v>10241</v>
      </c>
      <c r="B28" s="7" t="s">
        <v>9</v>
      </c>
      <c r="C28" s="16" t="s">
        <v>40</v>
      </c>
      <c r="D28" s="16" t="s">
        <v>41</v>
      </c>
      <c r="E28" s="13" t="str">
        <f>+HYPERLINK("http://trademark.i-assist.jp/data/china/image_1891th/71015025.pdf","71015025")</f>
        <v>71015025</v>
      </c>
      <c r="F28" s="16" t="s">
        <v>10238</v>
      </c>
      <c r="G28" s="16" t="s">
        <v>10237</v>
      </c>
      <c r="H28" s="16" t="s">
        <v>10239</v>
      </c>
      <c r="I28" s="17">
        <v>45035</v>
      </c>
    </row>
    <row r="29" spans="1:9" x14ac:dyDescent="0.15">
      <c r="A29" s="16" t="s">
        <v>10247</v>
      </c>
      <c r="B29" s="7" t="s">
        <v>9</v>
      </c>
      <c r="C29" s="16" t="s">
        <v>40</v>
      </c>
      <c r="D29" s="16" t="s">
        <v>41</v>
      </c>
      <c r="E29" s="13" t="str">
        <f>+HYPERLINK("http://trademark.i-assist.jp/data/china/image_1891th/71047891.pdf","71047891")</f>
        <v>71047891</v>
      </c>
      <c r="F29" s="16" t="s">
        <v>10244</v>
      </c>
      <c r="G29" s="16" t="s">
        <v>10243</v>
      </c>
      <c r="H29" s="16" t="s">
        <v>10245</v>
      </c>
      <c r="I29" s="17">
        <v>45036</v>
      </c>
    </row>
    <row r="30" spans="1:9" x14ac:dyDescent="0.15">
      <c r="A30" s="16" t="s">
        <v>10252</v>
      </c>
      <c r="B30" s="7" t="s">
        <v>9</v>
      </c>
      <c r="C30" s="16" t="s">
        <v>40</v>
      </c>
      <c r="D30" s="16" t="s">
        <v>41</v>
      </c>
      <c r="E30" s="13" t="str">
        <f>+HYPERLINK("http://trademark.i-assist.jp/data/china/image_1891th/71057531.pdf","71057531")</f>
        <v>71057531</v>
      </c>
      <c r="F30" s="16" t="s">
        <v>10250</v>
      </c>
      <c r="G30" s="16" t="s">
        <v>10249</v>
      </c>
      <c r="H30" s="16" t="s">
        <v>10251</v>
      </c>
      <c r="I30" s="17">
        <v>45036</v>
      </c>
    </row>
    <row r="31" spans="1:9" x14ac:dyDescent="0.15">
      <c r="A31" s="16" t="s">
        <v>10256</v>
      </c>
      <c r="B31" s="7" t="s">
        <v>9</v>
      </c>
      <c r="C31" s="16" t="s">
        <v>40</v>
      </c>
      <c r="D31" s="16" t="s">
        <v>41</v>
      </c>
      <c r="E31" s="13" t="str">
        <f>+HYPERLINK("http://trademark.i-assist.jp/data/china/image_1891th/71057558.pdf","71057558")</f>
        <v>71057558</v>
      </c>
      <c r="F31" s="16" t="s">
        <v>10254</v>
      </c>
      <c r="G31" s="16" t="s">
        <v>10249</v>
      </c>
      <c r="H31" s="16" t="s">
        <v>10255</v>
      </c>
      <c r="I31" s="17">
        <v>45036</v>
      </c>
    </row>
    <row r="32" spans="1:9" x14ac:dyDescent="0.15">
      <c r="A32" s="16" t="s">
        <v>10261</v>
      </c>
      <c r="B32" s="7" t="s">
        <v>9</v>
      </c>
      <c r="C32" s="16" t="s">
        <v>40</v>
      </c>
      <c r="D32" s="16" t="s">
        <v>41</v>
      </c>
      <c r="E32" s="13" t="str">
        <f>+HYPERLINK("http://trademark.i-assist.jp/data/china/image_1891th/71274661.pdf","71274661")</f>
        <v>71274661</v>
      </c>
      <c r="F32" s="16" t="s">
        <v>10258</v>
      </c>
      <c r="G32" s="16" t="s">
        <v>1056</v>
      </c>
      <c r="H32" s="16" t="s">
        <v>10259</v>
      </c>
      <c r="I32" s="17">
        <v>45044</v>
      </c>
    </row>
    <row r="33" spans="1:9" x14ac:dyDescent="0.15">
      <c r="A33" s="16" t="s">
        <v>10267</v>
      </c>
      <c r="B33" s="7" t="s">
        <v>9</v>
      </c>
      <c r="C33" s="16" t="s">
        <v>40</v>
      </c>
      <c r="D33" s="16" t="s">
        <v>41</v>
      </c>
      <c r="E33" s="13" t="str">
        <f>+HYPERLINK("http://trademark.i-assist.jp/data/china/image_1891th/71412878.pdf","71412878")</f>
        <v>71412878</v>
      </c>
      <c r="F33" s="16" t="s">
        <v>10264</v>
      </c>
      <c r="G33" s="16" t="s">
        <v>10263</v>
      </c>
      <c r="H33" s="16" t="s">
        <v>10265</v>
      </c>
      <c r="I33" s="17">
        <v>45055</v>
      </c>
    </row>
    <row r="34" spans="1:9" x14ac:dyDescent="0.15">
      <c r="A34" s="16" t="s">
        <v>10273</v>
      </c>
      <c r="B34" s="7" t="s">
        <v>9</v>
      </c>
      <c r="C34" s="16" t="s">
        <v>40</v>
      </c>
      <c r="D34" s="16" t="s">
        <v>41</v>
      </c>
      <c r="E34" s="13" t="str">
        <f>+HYPERLINK("http://trademark.i-assist.jp/data/china/image_1891th/71468479.pdf","71468479")</f>
        <v>71468479</v>
      </c>
      <c r="F34" s="16" t="s">
        <v>10270</v>
      </c>
      <c r="G34" s="16" t="s">
        <v>10269</v>
      </c>
      <c r="H34" s="16" t="s">
        <v>10271</v>
      </c>
      <c r="I34" s="17">
        <v>45056</v>
      </c>
    </row>
    <row r="35" spans="1:9" x14ac:dyDescent="0.15">
      <c r="A35" s="16" t="s">
        <v>10279</v>
      </c>
      <c r="B35" s="7" t="s">
        <v>9</v>
      </c>
      <c r="C35" s="16" t="s">
        <v>40</v>
      </c>
      <c r="D35" s="16" t="s">
        <v>41</v>
      </c>
      <c r="E35" s="13" t="str">
        <f>+HYPERLINK("http://trademark.i-assist.jp/data/china/image_1891th/71491143.pdf","71491143")</f>
        <v>71491143</v>
      </c>
      <c r="F35" s="16" t="s">
        <v>10276</v>
      </c>
      <c r="G35" s="16" t="s">
        <v>10275</v>
      </c>
      <c r="H35" s="16" t="s">
        <v>10277</v>
      </c>
      <c r="I35" s="17">
        <v>45057</v>
      </c>
    </row>
    <row r="36" spans="1:9" x14ac:dyDescent="0.15">
      <c r="A36" s="16" t="s">
        <v>10285</v>
      </c>
      <c r="B36" s="7" t="s">
        <v>9</v>
      </c>
      <c r="C36" s="16" t="s">
        <v>40</v>
      </c>
      <c r="D36" s="16" t="s">
        <v>41</v>
      </c>
      <c r="E36" s="13" t="str">
        <f>+HYPERLINK("http://trademark.i-assist.jp/data/china/image_1891th/71681013.pdf","71681013")</f>
        <v>71681013</v>
      </c>
      <c r="F36" s="16" t="s">
        <v>10282</v>
      </c>
      <c r="G36" s="16" t="s">
        <v>10281</v>
      </c>
      <c r="H36" s="16" t="s">
        <v>10283</v>
      </c>
      <c r="I36" s="17">
        <v>45065</v>
      </c>
    </row>
    <row r="37" spans="1:9" x14ac:dyDescent="0.15">
      <c r="A37" s="16" t="s">
        <v>10290</v>
      </c>
      <c r="B37" s="7" t="s">
        <v>9</v>
      </c>
      <c r="C37" s="16" t="s">
        <v>40</v>
      </c>
      <c r="D37" s="16" t="s">
        <v>41</v>
      </c>
      <c r="E37" s="13" t="str">
        <f>+HYPERLINK("http://trademark.i-assist.jp/data/china/image_1891th/71697124.pdf","71697124")</f>
        <v>71697124</v>
      </c>
      <c r="F37" s="16" t="s">
        <v>52</v>
      </c>
      <c r="G37" s="16" t="s">
        <v>10287</v>
      </c>
      <c r="H37" s="16" t="s">
        <v>10288</v>
      </c>
      <c r="I37" s="17">
        <v>45066</v>
      </c>
    </row>
    <row r="38" spans="1:9" x14ac:dyDescent="0.15">
      <c r="A38" s="16" t="s">
        <v>10295</v>
      </c>
      <c r="B38" s="7" t="s">
        <v>9</v>
      </c>
      <c r="C38" s="16" t="s">
        <v>40</v>
      </c>
      <c r="D38" s="16" t="s">
        <v>41</v>
      </c>
      <c r="E38" s="13" t="str">
        <f>+HYPERLINK("http://trademark.i-assist.jp/data/china/image_1891th/71730162.pdf","71730162")</f>
        <v>71730162</v>
      </c>
      <c r="F38" s="16" t="s">
        <v>10293</v>
      </c>
      <c r="G38" s="16" t="s">
        <v>10292</v>
      </c>
      <c r="H38" s="16" t="s">
        <v>10145</v>
      </c>
      <c r="I38" s="17">
        <v>45068</v>
      </c>
    </row>
    <row r="39" spans="1:9" x14ac:dyDescent="0.15">
      <c r="A39" s="16" t="s">
        <v>10301</v>
      </c>
      <c r="B39" s="7" t="s">
        <v>9</v>
      </c>
      <c r="C39" s="16" t="s">
        <v>40</v>
      </c>
      <c r="D39" s="16" t="s">
        <v>41</v>
      </c>
      <c r="E39" s="13" t="str">
        <f>+HYPERLINK("http://trademark.i-assist.jp/data/china/image_1891th/71743274.pdf","71743274")</f>
        <v>71743274</v>
      </c>
      <c r="F39" s="16" t="s">
        <v>10298</v>
      </c>
      <c r="G39" s="16" t="s">
        <v>10297</v>
      </c>
      <c r="H39" s="16" t="s">
        <v>10299</v>
      </c>
      <c r="I39" s="17">
        <v>45069</v>
      </c>
    </row>
    <row r="40" spans="1:9" x14ac:dyDescent="0.15">
      <c r="A40" s="16" t="s">
        <v>10307</v>
      </c>
      <c r="B40" s="7" t="s">
        <v>9</v>
      </c>
      <c r="C40" s="16" t="s">
        <v>40</v>
      </c>
      <c r="D40" s="16" t="s">
        <v>41</v>
      </c>
      <c r="E40" s="13" t="str">
        <f>+HYPERLINK("http://trademark.i-assist.jp/data/china/image_1891th/71961001.pdf","71961001")</f>
        <v>71961001</v>
      </c>
      <c r="F40" s="16" t="s">
        <v>10304</v>
      </c>
      <c r="G40" s="16" t="s">
        <v>10303</v>
      </c>
      <c r="H40" s="16" t="s">
        <v>10305</v>
      </c>
      <c r="I40" s="17">
        <v>45078</v>
      </c>
    </row>
    <row r="41" spans="1:9" x14ac:dyDescent="0.15">
      <c r="A41" s="16" t="s">
        <v>10313</v>
      </c>
      <c r="B41" s="7" t="s">
        <v>9</v>
      </c>
      <c r="C41" s="16" t="s">
        <v>40</v>
      </c>
      <c r="D41" s="16" t="s">
        <v>41</v>
      </c>
      <c r="E41" s="13" t="str">
        <f>+HYPERLINK("http://trademark.i-assist.jp/data/china/image_1891th/72099696.pdf","72099696")</f>
        <v>72099696</v>
      </c>
      <c r="F41" s="16" t="s">
        <v>10310</v>
      </c>
      <c r="G41" s="16" t="s">
        <v>10309</v>
      </c>
      <c r="H41" s="16" t="s">
        <v>10311</v>
      </c>
      <c r="I41" s="17">
        <v>45085</v>
      </c>
    </row>
    <row r="42" spans="1:9" x14ac:dyDescent="0.15">
      <c r="A42" s="16" t="s">
        <v>10318</v>
      </c>
      <c r="B42" s="7" t="s">
        <v>9</v>
      </c>
      <c r="C42" s="16" t="s">
        <v>40</v>
      </c>
      <c r="D42" s="16" t="s">
        <v>41</v>
      </c>
      <c r="E42" s="13" t="str">
        <f>+HYPERLINK("http://trademark.i-assist.jp/data/china/image_1891th/72111578.pdf","72111578")</f>
        <v>72111578</v>
      </c>
      <c r="F42" s="16" t="s">
        <v>10316</v>
      </c>
      <c r="G42" s="16" t="s">
        <v>10315</v>
      </c>
      <c r="H42" s="16" t="s">
        <v>10317</v>
      </c>
      <c r="I42" s="17">
        <v>45085</v>
      </c>
    </row>
    <row r="43" spans="1:9" x14ac:dyDescent="0.15">
      <c r="A43" s="16" t="s">
        <v>10323</v>
      </c>
      <c r="B43" s="7" t="s">
        <v>9</v>
      </c>
      <c r="C43" s="16" t="s">
        <v>40</v>
      </c>
      <c r="D43" s="16" t="s">
        <v>41</v>
      </c>
      <c r="E43" s="13" t="str">
        <f>+HYPERLINK("http://trademark.i-assist.jp/data/china/image_1891th/72113666.pdf","72113666")</f>
        <v>72113666</v>
      </c>
      <c r="F43" s="16" t="s">
        <v>10321</v>
      </c>
      <c r="G43" s="16" t="s">
        <v>10320</v>
      </c>
      <c r="H43" s="16" t="s">
        <v>10322</v>
      </c>
      <c r="I43" s="17">
        <v>45085</v>
      </c>
    </row>
    <row r="44" spans="1:9" x14ac:dyDescent="0.15">
      <c r="A44" s="16" t="s">
        <v>10329</v>
      </c>
      <c r="B44" s="7" t="s">
        <v>9</v>
      </c>
      <c r="C44" s="16" t="s">
        <v>40</v>
      </c>
      <c r="D44" s="16" t="s">
        <v>41</v>
      </c>
      <c r="E44" s="13" t="str">
        <f>+HYPERLINK("http://trademark.i-assist.jp/data/china/image_1891th/72253093.pdf","72253093")</f>
        <v>72253093</v>
      </c>
      <c r="F44" s="16" t="s">
        <v>10326</v>
      </c>
      <c r="G44" s="16" t="s">
        <v>10325</v>
      </c>
      <c r="H44" s="16" t="s">
        <v>10327</v>
      </c>
      <c r="I44" s="17">
        <v>45092</v>
      </c>
    </row>
    <row r="45" spans="1:9" x14ac:dyDescent="0.15">
      <c r="A45" s="16" t="s">
        <v>10335</v>
      </c>
      <c r="B45" s="7" t="s">
        <v>9</v>
      </c>
      <c r="C45" s="16" t="s">
        <v>40</v>
      </c>
      <c r="D45" s="16" t="s">
        <v>41</v>
      </c>
      <c r="E45" s="13" t="str">
        <f>+HYPERLINK("http://trademark.i-assist.jp/data/china/image_1891th/72277478.pdf","72277478")</f>
        <v>72277478</v>
      </c>
      <c r="F45" s="16" t="s">
        <v>10332</v>
      </c>
      <c r="G45" s="16" t="s">
        <v>10331</v>
      </c>
      <c r="H45" s="16" t="s">
        <v>10333</v>
      </c>
      <c r="I45" s="17">
        <v>45093</v>
      </c>
    </row>
    <row r="46" spans="1:9" x14ac:dyDescent="0.15">
      <c r="A46" s="16" t="s">
        <v>10341</v>
      </c>
      <c r="B46" s="7" t="s">
        <v>9</v>
      </c>
      <c r="C46" s="16" t="s">
        <v>40</v>
      </c>
      <c r="D46" s="16" t="s">
        <v>41</v>
      </c>
      <c r="E46" s="13" t="str">
        <f>+HYPERLINK("http://trademark.i-assist.jp/data/china/image_1891th/72300551.pdf","72300551")</f>
        <v>72300551</v>
      </c>
      <c r="F46" s="16" t="s">
        <v>10338</v>
      </c>
      <c r="G46" s="16" t="s">
        <v>10337</v>
      </c>
      <c r="H46" s="16" t="s">
        <v>10339</v>
      </c>
      <c r="I46" s="17">
        <v>45095</v>
      </c>
    </row>
    <row r="47" spans="1:9" x14ac:dyDescent="0.15">
      <c r="A47" s="16" t="s">
        <v>10345</v>
      </c>
      <c r="B47" s="7" t="s">
        <v>9</v>
      </c>
      <c r="C47" s="16" t="s">
        <v>40</v>
      </c>
      <c r="D47" s="16" t="s">
        <v>41</v>
      </c>
      <c r="E47" s="13" t="str">
        <f>+HYPERLINK("http://trademark.i-assist.jp/data/china/image_1891th/72302919.pdf","72302919")</f>
        <v>72302919</v>
      </c>
      <c r="F47" s="16" t="s">
        <v>10343</v>
      </c>
      <c r="G47" s="16" t="s">
        <v>10337</v>
      </c>
      <c r="H47" s="16" t="s">
        <v>10344</v>
      </c>
      <c r="I47" s="17">
        <v>45095</v>
      </c>
    </row>
    <row r="48" spans="1:9" x14ac:dyDescent="0.15">
      <c r="A48" s="16" t="s">
        <v>10351</v>
      </c>
      <c r="B48" s="7" t="s">
        <v>9</v>
      </c>
      <c r="C48" s="16" t="s">
        <v>40</v>
      </c>
      <c r="D48" s="16" t="s">
        <v>41</v>
      </c>
      <c r="E48" s="13" t="str">
        <f>+HYPERLINK("http://trademark.i-assist.jp/data/china/image_1891th/72381917.pdf","72381917")</f>
        <v>72381917</v>
      </c>
      <c r="F48" s="16" t="s">
        <v>10348</v>
      </c>
      <c r="G48" s="16" t="s">
        <v>10347</v>
      </c>
      <c r="H48" s="16" t="s">
        <v>10349</v>
      </c>
      <c r="I48" s="17">
        <v>45098</v>
      </c>
    </row>
    <row r="49" spans="1:9" x14ac:dyDescent="0.15">
      <c r="A49" s="16" t="s">
        <v>10356</v>
      </c>
      <c r="B49" s="7" t="s">
        <v>9</v>
      </c>
      <c r="C49" s="16" t="s">
        <v>40</v>
      </c>
      <c r="D49" s="16" t="s">
        <v>41</v>
      </c>
      <c r="E49" s="13" t="str">
        <f>+HYPERLINK("http://trademark.i-assist.jp/data/china/image_1891th/72449066.pdf","72449066")</f>
        <v>72449066</v>
      </c>
      <c r="F49" s="16" t="s">
        <v>52</v>
      </c>
      <c r="G49" s="16" t="s">
        <v>10353</v>
      </c>
      <c r="H49" s="16" t="s">
        <v>10354</v>
      </c>
      <c r="I49" s="17">
        <v>45103</v>
      </c>
    </row>
    <row r="50" spans="1:9" x14ac:dyDescent="0.15">
      <c r="A50" s="16" t="s">
        <v>417</v>
      </c>
      <c r="B50" s="7" t="s">
        <v>9</v>
      </c>
      <c r="C50" s="16" t="s">
        <v>40</v>
      </c>
      <c r="D50" s="16" t="s">
        <v>41</v>
      </c>
      <c r="E50" s="13" t="str">
        <f>+HYPERLINK("http://trademark.i-assist.jp/data/china/image_1891th/72580116.pdf","72580116")</f>
        <v>72580116</v>
      </c>
      <c r="F50" s="16" t="s">
        <v>10358</v>
      </c>
      <c r="G50" s="16" t="s">
        <v>10227</v>
      </c>
      <c r="H50" s="16" t="s">
        <v>10359</v>
      </c>
      <c r="I50" s="17">
        <v>45110</v>
      </c>
    </row>
    <row r="51" spans="1:9" x14ac:dyDescent="0.15">
      <c r="A51" s="16" t="s">
        <v>423</v>
      </c>
      <c r="B51" s="7" t="s">
        <v>9</v>
      </c>
      <c r="C51" s="16" t="s">
        <v>40</v>
      </c>
      <c r="D51" s="16" t="s">
        <v>41</v>
      </c>
      <c r="E51" s="13" t="str">
        <f>+HYPERLINK("http://trademark.i-assist.jp/data/china/image_1891th/72631629.pdf","72631629")</f>
        <v>72631629</v>
      </c>
      <c r="F51" s="16" t="s">
        <v>420</v>
      </c>
      <c r="G51" s="16" t="s">
        <v>419</v>
      </c>
      <c r="H51" s="16" t="s">
        <v>421</v>
      </c>
      <c r="I51" s="17">
        <v>45111</v>
      </c>
    </row>
    <row r="52" spans="1:9" x14ac:dyDescent="0.15">
      <c r="A52" s="16" t="s">
        <v>429</v>
      </c>
      <c r="B52" s="7" t="s">
        <v>9</v>
      </c>
      <c r="C52" s="16" t="s">
        <v>40</v>
      </c>
      <c r="D52" s="16" t="s">
        <v>41</v>
      </c>
      <c r="E52" s="13" t="str">
        <f>+HYPERLINK("http://trademark.i-assist.jp/data/china/image_1891th/72653552.pdf","72653552")</f>
        <v>72653552</v>
      </c>
      <c r="F52" s="16" t="s">
        <v>426</v>
      </c>
      <c r="G52" s="16" t="s">
        <v>425</v>
      </c>
      <c r="H52" s="16" t="s">
        <v>427</v>
      </c>
      <c r="I52" s="17">
        <v>45112</v>
      </c>
    </row>
    <row r="53" spans="1:9" x14ac:dyDescent="0.15">
      <c r="A53" s="16" t="s">
        <v>435</v>
      </c>
      <c r="B53" s="7" t="s">
        <v>9</v>
      </c>
      <c r="C53" s="16" t="s">
        <v>40</v>
      </c>
      <c r="D53" s="16" t="s">
        <v>41</v>
      </c>
      <c r="E53" s="13" t="str">
        <f>+HYPERLINK("http://trademark.i-assist.jp/data/china/image_1891th/72665001.pdf","72665001")</f>
        <v>72665001</v>
      </c>
      <c r="F53" s="16" t="s">
        <v>432</v>
      </c>
      <c r="G53" s="16" t="s">
        <v>431</v>
      </c>
      <c r="H53" s="16" t="s">
        <v>433</v>
      </c>
      <c r="I53" s="17">
        <v>45113</v>
      </c>
    </row>
    <row r="54" spans="1:9" x14ac:dyDescent="0.15">
      <c r="A54" s="16" t="s">
        <v>439</v>
      </c>
      <c r="B54" s="7" t="s">
        <v>9</v>
      </c>
      <c r="C54" s="16" t="s">
        <v>40</v>
      </c>
      <c r="D54" s="16" t="s">
        <v>41</v>
      </c>
      <c r="E54" s="13" t="str">
        <f>+HYPERLINK("http://trademark.i-assist.jp/data/china/image_1891th/72669877.pdf","72669877")</f>
        <v>72669877</v>
      </c>
      <c r="F54" s="16" t="s">
        <v>437</v>
      </c>
      <c r="G54" s="16" t="s">
        <v>431</v>
      </c>
      <c r="H54" s="16" t="s">
        <v>438</v>
      </c>
      <c r="I54" s="17">
        <v>45113</v>
      </c>
    </row>
    <row r="55" spans="1:9" x14ac:dyDescent="0.15">
      <c r="A55" s="16" t="s">
        <v>445</v>
      </c>
      <c r="B55" s="7" t="s">
        <v>9</v>
      </c>
      <c r="C55" s="16" t="s">
        <v>40</v>
      </c>
      <c r="D55" s="16" t="s">
        <v>41</v>
      </c>
      <c r="E55" s="13" t="str">
        <f>+HYPERLINK("http://trademark.i-assist.jp/data/china/image_1891th/72783994.pdf","72783994")</f>
        <v>72783994</v>
      </c>
      <c r="F55" s="16" t="s">
        <v>442</v>
      </c>
      <c r="G55" s="16" t="s">
        <v>441</v>
      </c>
      <c r="H55" s="16" t="s">
        <v>443</v>
      </c>
      <c r="I55" s="17">
        <v>45119</v>
      </c>
    </row>
    <row r="56" spans="1:9" x14ac:dyDescent="0.15">
      <c r="A56" s="16" t="s">
        <v>450</v>
      </c>
      <c r="B56" s="7" t="s">
        <v>9</v>
      </c>
      <c r="C56" s="16" t="s">
        <v>40</v>
      </c>
      <c r="D56" s="16" t="s">
        <v>41</v>
      </c>
      <c r="E56" s="13" t="str">
        <f>+HYPERLINK("http://trademark.i-assist.jp/data/china/image_1891th/72804931.pdf","72804931")</f>
        <v>72804931</v>
      </c>
      <c r="F56" s="16" t="s">
        <v>448</v>
      </c>
      <c r="G56" s="16" t="s">
        <v>447</v>
      </c>
      <c r="H56" s="16" t="s">
        <v>449</v>
      </c>
      <c r="I56" s="17">
        <v>45119</v>
      </c>
    </row>
    <row r="57" spans="1:9" x14ac:dyDescent="0.15">
      <c r="A57" s="16" t="s">
        <v>456</v>
      </c>
      <c r="B57" s="7" t="s">
        <v>9</v>
      </c>
      <c r="C57" s="16" t="s">
        <v>40</v>
      </c>
      <c r="D57" s="16" t="s">
        <v>41</v>
      </c>
      <c r="E57" s="13" t="str">
        <f>+HYPERLINK("http://trademark.i-assist.jp/data/china/image_1891th/72820881.pdf","72820881")</f>
        <v>72820881</v>
      </c>
      <c r="F57" s="16" t="s">
        <v>453</v>
      </c>
      <c r="G57" s="16" t="s">
        <v>452</v>
      </c>
      <c r="H57" s="16" t="s">
        <v>454</v>
      </c>
      <c r="I57" s="17">
        <v>45120</v>
      </c>
    </row>
    <row r="58" spans="1:9" x14ac:dyDescent="0.15">
      <c r="A58" s="16" t="s">
        <v>462</v>
      </c>
      <c r="B58" s="7" t="s">
        <v>9</v>
      </c>
      <c r="C58" s="16" t="s">
        <v>40</v>
      </c>
      <c r="D58" s="16" t="s">
        <v>41</v>
      </c>
      <c r="E58" s="13" t="str">
        <f>+HYPERLINK("http://trademark.i-assist.jp/data/china/image_1891th/72844978.pdf","72844978")</f>
        <v>72844978</v>
      </c>
      <c r="F58" s="16" t="s">
        <v>459</v>
      </c>
      <c r="G58" s="16" t="s">
        <v>458</v>
      </c>
      <c r="H58" s="16" t="s">
        <v>460</v>
      </c>
      <c r="I58" s="17">
        <v>45121</v>
      </c>
    </row>
    <row r="59" spans="1:9" x14ac:dyDescent="0.15">
      <c r="A59" s="16" t="s">
        <v>468</v>
      </c>
      <c r="B59" s="7" t="s">
        <v>9</v>
      </c>
      <c r="C59" s="16" t="s">
        <v>40</v>
      </c>
      <c r="D59" s="16" t="s">
        <v>41</v>
      </c>
      <c r="E59" s="13" t="str">
        <f>+HYPERLINK("http://trademark.i-assist.jp/data/china/image_1891th/72918984.pdf","72918984")</f>
        <v>72918984</v>
      </c>
      <c r="F59" s="16" t="s">
        <v>465</v>
      </c>
      <c r="G59" s="16" t="s">
        <v>11132</v>
      </c>
      <c r="H59" s="16" t="s">
        <v>466</v>
      </c>
      <c r="I59" s="17">
        <v>45125</v>
      </c>
    </row>
    <row r="60" spans="1:9" x14ac:dyDescent="0.15">
      <c r="A60" s="16" t="s">
        <v>474</v>
      </c>
      <c r="B60" s="7" t="s">
        <v>9</v>
      </c>
      <c r="C60" s="16" t="s">
        <v>40</v>
      </c>
      <c r="D60" s="16" t="s">
        <v>41</v>
      </c>
      <c r="E60" s="13" t="str">
        <f>+HYPERLINK("http://trademark.i-assist.jp/data/china/image_1891th/72931288.pdf","72931288")</f>
        <v>72931288</v>
      </c>
      <c r="F60" s="16" t="s">
        <v>471</v>
      </c>
      <c r="G60" s="16" t="s">
        <v>470</v>
      </c>
      <c r="H60" s="16" t="s">
        <v>472</v>
      </c>
      <c r="I60" s="17">
        <v>45126</v>
      </c>
    </row>
    <row r="61" spans="1:9" x14ac:dyDescent="0.15">
      <c r="A61" s="16" t="s">
        <v>480</v>
      </c>
      <c r="B61" s="7" t="s">
        <v>9</v>
      </c>
      <c r="C61" s="16" t="s">
        <v>40</v>
      </c>
      <c r="D61" s="16" t="s">
        <v>41</v>
      </c>
      <c r="E61" s="13" t="str">
        <f>+HYPERLINK("http://trademark.i-assist.jp/data/china/image_1891th/72965643.pdf","72965643")</f>
        <v>72965643</v>
      </c>
      <c r="F61" s="16" t="s">
        <v>477</v>
      </c>
      <c r="G61" s="16" t="s">
        <v>476</v>
      </c>
      <c r="H61" s="16" t="s">
        <v>478</v>
      </c>
      <c r="I61" s="17">
        <v>45127</v>
      </c>
    </row>
    <row r="62" spans="1:9" x14ac:dyDescent="0.15">
      <c r="A62" s="16" t="s">
        <v>486</v>
      </c>
      <c r="B62" s="7" t="s">
        <v>9</v>
      </c>
      <c r="C62" s="16" t="s">
        <v>40</v>
      </c>
      <c r="D62" s="16" t="s">
        <v>41</v>
      </c>
      <c r="E62" s="13" t="str">
        <f>+HYPERLINK("http://trademark.i-assist.jp/data/china/image_1891th/72995843.pdf","72995843")</f>
        <v>72995843</v>
      </c>
      <c r="F62" s="16" t="s">
        <v>483</v>
      </c>
      <c r="G62" s="16" t="s">
        <v>482</v>
      </c>
      <c r="H62" s="16" t="s">
        <v>484</v>
      </c>
      <c r="I62" s="17">
        <v>45128</v>
      </c>
    </row>
    <row r="63" spans="1:9" x14ac:dyDescent="0.15">
      <c r="A63" s="16" t="s">
        <v>492</v>
      </c>
      <c r="B63" s="7" t="s">
        <v>9</v>
      </c>
      <c r="C63" s="16" t="s">
        <v>40</v>
      </c>
      <c r="D63" s="16" t="s">
        <v>41</v>
      </c>
      <c r="E63" s="13" t="str">
        <f>+HYPERLINK("http://trademark.i-assist.jp/data/china/image_1891th/73034696.pdf","73034696")</f>
        <v>73034696</v>
      </c>
      <c r="F63" s="16" t="s">
        <v>489</v>
      </c>
      <c r="G63" s="16" t="s">
        <v>488</v>
      </c>
      <c r="H63" s="16" t="s">
        <v>490</v>
      </c>
      <c r="I63" s="17">
        <v>45131</v>
      </c>
    </row>
    <row r="64" spans="1:9" x14ac:dyDescent="0.15">
      <c r="A64" s="16" t="s">
        <v>498</v>
      </c>
      <c r="B64" s="7" t="s">
        <v>9</v>
      </c>
      <c r="C64" s="16" t="s">
        <v>40</v>
      </c>
      <c r="D64" s="16" t="s">
        <v>41</v>
      </c>
      <c r="E64" s="13" t="str">
        <f>+HYPERLINK("http://trademark.i-assist.jp/data/china/image_1891th/73225933.pdf","73225933")</f>
        <v>73225933</v>
      </c>
      <c r="F64" s="16" t="s">
        <v>495</v>
      </c>
      <c r="G64" s="16" t="s">
        <v>494</v>
      </c>
      <c r="H64" s="16" t="s">
        <v>496</v>
      </c>
      <c r="I64" s="17">
        <v>45140</v>
      </c>
    </row>
    <row r="65" spans="1:9" x14ac:dyDescent="0.15">
      <c r="A65" s="16" t="s">
        <v>734</v>
      </c>
      <c r="B65" s="7" t="s">
        <v>9</v>
      </c>
      <c r="C65" s="16" t="s">
        <v>40</v>
      </c>
      <c r="D65" s="16" t="s">
        <v>41</v>
      </c>
      <c r="E65" s="13" t="str">
        <f>+HYPERLINK("http://trademark.i-assist.jp/data/china/image_1891th/73237406.pdf","73237406")</f>
        <v>73237406</v>
      </c>
      <c r="F65" s="16" t="s">
        <v>501</v>
      </c>
      <c r="G65" s="16" t="s">
        <v>500</v>
      </c>
      <c r="H65" s="16" t="s">
        <v>502</v>
      </c>
      <c r="I65" s="17">
        <v>45140</v>
      </c>
    </row>
    <row r="66" spans="1:9" x14ac:dyDescent="0.15">
      <c r="A66" s="16" t="s">
        <v>740</v>
      </c>
      <c r="B66" s="7" t="s">
        <v>9</v>
      </c>
      <c r="C66" s="16" t="s">
        <v>40</v>
      </c>
      <c r="D66" s="16" t="s">
        <v>41</v>
      </c>
      <c r="E66" s="13" t="str">
        <f>+HYPERLINK("http://trademark.i-assist.jp/data/china/image_1891th/73459197.pdf","73459197")</f>
        <v>73459197</v>
      </c>
      <c r="F66" s="16" t="s">
        <v>737</v>
      </c>
      <c r="G66" s="16" t="s">
        <v>736</v>
      </c>
      <c r="H66" s="16" t="s">
        <v>738</v>
      </c>
      <c r="I66" s="17">
        <v>45152</v>
      </c>
    </row>
    <row r="67" spans="1:9" x14ac:dyDescent="0.15">
      <c r="A67" s="16" t="s">
        <v>746</v>
      </c>
      <c r="B67" s="7" t="s">
        <v>9</v>
      </c>
      <c r="C67" s="16" t="s">
        <v>40</v>
      </c>
      <c r="D67" s="16" t="s">
        <v>41</v>
      </c>
      <c r="E67" s="13" t="str">
        <f>+HYPERLINK("http://trademark.i-assist.jp/data/china/image_1891th/73566875.pdf","73566875")</f>
        <v>73566875</v>
      </c>
      <c r="F67" s="16" t="s">
        <v>743</v>
      </c>
      <c r="G67" s="16" t="s">
        <v>742</v>
      </c>
      <c r="H67" s="16" t="s">
        <v>744</v>
      </c>
      <c r="I67" s="17">
        <v>45156</v>
      </c>
    </row>
    <row r="68" spans="1:9" x14ac:dyDescent="0.15">
      <c r="A68" s="16" t="s">
        <v>752</v>
      </c>
      <c r="B68" s="7" t="s">
        <v>9</v>
      </c>
      <c r="C68" s="16" t="s">
        <v>40</v>
      </c>
      <c r="D68" s="16" t="s">
        <v>41</v>
      </c>
      <c r="E68" s="13" t="str">
        <f>+HYPERLINK("http://trademark.i-assist.jp/data/china/image_1891th/73615420.pdf","73615420")</f>
        <v>73615420</v>
      </c>
      <c r="F68" s="16" t="s">
        <v>749</v>
      </c>
      <c r="G68" s="16" t="s">
        <v>748</v>
      </c>
      <c r="H68" s="16" t="s">
        <v>750</v>
      </c>
      <c r="I68" s="17">
        <v>45160</v>
      </c>
    </row>
    <row r="69" spans="1:9" x14ac:dyDescent="0.15">
      <c r="A69" s="16" t="s">
        <v>758</v>
      </c>
      <c r="B69" s="7" t="s">
        <v>9</v>
      </c>
      <c r="C69" s="16" t="s">
        <v>40</v>
      </c>
      <c r="D69" s="16" t="s">
        <v>41</v>
      </c>
      <c r="E69" s="13" t="str">
        <f>+HYPERLINK("http://trademark.i-assist.jp/data/china/image_1891th/73730913.pdf","73730913")</f>
        <v>73730913</v>
      </c>
      <c r="F69" s="16" t="s">
        <v>755</v>
      </c>
      <c r="G69" s="16" t="s">
        <v>754</v>
      </c>
      <c r="H69" s="16" t="s">
        <v>756</v>
      </c>
      <c r="I69" s="17">
        <v>45166</v>
      </c>
    </row>
    <row r="70" spans="1:9" x14ac:dyDescent="0.15">
      <c r="A70" s="16" t="s">
        <v>763</v>
      </c>
      <c r="B70" s="7" t="s">
        <v>9</v>
      </c>
      <c r="C70" s="16" t="s">
        <v>40</v>
      </c>
      <c r="D70" s="16" t="s">
        <v>41</v>
      </c>
      <c r="E70" s="13" t="str">
        <f>+HYPERLINK("http://trademark.i-assist.jp/data/china/image_1891th/73744477.pdf","73744477")</f>
        <v>73744477</v>
      </c>
      <c r="F70" s="16" t="s">
        <v>761</v>
      </c>
      <c r="G70" s="16" t="s">
        <v>760</v>
      </c>
      <c r="H70" s="16" t="s">
        <v>762</v>
      </c>
      <c r="I70" s="17">
        <v>45166</v>
      </c>
    </row>
    <row r="71" spans="1:9" x14ac:dyDescent="0.15">
      <c r="A71" s="16" t="s">
        <v>769</v>
      </c>
      <c r="B71" s="7" t="s">
        <v>9</v>
      </c>
      <c r="C71" s="16" t="s">
        <v>40</v>
      </c>
      <c r="D71" s="16" t="s">
        <v>41</v>
      </c>
      <c r="E71" s="13" t="str">
        <f>+HYPERLINK("http://trademark.i-assist.jp/data/china/image_1891th/73828915.pdf","73828915")</f>
        <v>73828915</v>
      </c>
      <c r="F71" s="16" t="s">
        <v>766</v>
      </c>
      <c r="G71" s="16" t="s">
        <v>765</v>
      </c>
      <c r="H71" s="16" t="s">
        <v>767</v>
      </c>
      <c r="I71" s="17">
        <v>45170</v>
      </c>
    </row>
    <row r="72" spans="1:9" x14ac:dyDescent="0.15">
      <c r="A72" s="16" t="s">
        <v>775</v>
      </c>
      <c r="B72" s="7" t="s">
        <v>9</v>
      </c>
      <c r="C72" s="16" t="s">
        <v>40</v>
      </c>
      <c r="D72" s="16" t="s">
        <v>41</v>
      </c>
      <c r="E72" s="13" t="str">
        <f>+HYPERLINK("http://trademark.i-assist.jp/data/china/image_1891th/73868716.pdf","73868716")</f>
        <v>73868716</v>
      </c>
      <c r="F72" s="16" t="s">
        <v>772</v>
      </c>
      <c r="G72" s="16" t="s">
        <v>771</v>
      </c>
      <c r="H72" s="16" t="s">
        <v>773</v>
      </c>
      <c r="I72" s="17">
        <v>45173</v>
      </c>
    </row>
    <row r="73" spans="1:9" x14ac:dyDescent="0.15">
      <c r="A73" s="16" t="s">
        <v>781</v>
      </c>
      <c r="B73" s="7" t="s">
        <v>9</v>
      </c>
      <c r="C73" s="16" t="s">
        <v>40</v>
      </c>
      <c r="D73" s="16" t="s">
        <v>41</v>
      </c>
      <c r="E73" s="13" t="str">
        <f>+HYPERLINK("http://trademark.i-assist.jp/data/china/image_1891th/74001075.pdf","74001075")</f>
        <v>74001075</v>
      </c>
      <c r="F73" s="16" t="s">
        <v>778</v>
      </c>
      <c r="G73" s="16" t="s">
        <v>777</v>
      </c>
      <c r="H73" s="16" t="s">
        <v>779</v>
      </c>
      <c r="I73" s="17">
        <v>45180</v>
      </c>
    </row>
    <row r="74" spans="1:9" x14ac:dyDescent="0.15">
      <c r="A74" s="16" t="s">
        <v>787</v>
      </c>
      <c r="B74" s="7" t="s">
        <v>9</v>
      </c>
      <c r="C74" s="16" t="s">
        <v>40</v>
      </c>
      <c r="D74" s="16" t="s">
        <v>41</v>
      </c>
      <c r="E74" s="13" t="str">
        <f>+HYPERLINK("http://trademark.i-assist.jp/data/china/image_1891th/74595514.pdf","74595514")</f>
        <v>74595514</v>
      </c>
      <c r="F74" s="16" t="s">
        <v>784</v>
      </c>
      <c r="G74" s="16" t="s">
        <v>783</v>
      </c>
      <c r="H74" s="16" t="s">
        <v>785</v>
      </c>
      <c r="I74" s="17">
        <v>45215</v>
      </c>
    </row>
    <row r="75" spans="1:9" x14ac:dyDescent="0.15">
      <c r="A75" s="16" t="s">
        <v>793</v>
      </c>
      <c r="B75" s="7" t="s">
        <v>9</v>
      </c>
      <c r="C75" s="16" t="s">
        <v>40</v>
      </c>
      <c r="D75" s="16" t="s">
        <v>41</v>
      </c>
      <c r="E75" s="13" t="str">
        <f>+HYPERLINK("http://trademark.i-assist.jp/data/china/image_1891th/74636352.pdf","74636352")</f>
        <v>74636352</v>
      </c>
      <c r="F75" s="16" t="s">
        <v>790</v>
      </c>
      <c r="G75" s="16" t="s">
        <v>789</v>
      </c>
      <c r="H75" s="16" t="s">
        <v>791</v>
      </c>
      <c r="I75" s="17">
        <v>45217</v>
      </c>
    </row>
    <row r="76" spans="1:9" x14ac:dyDescent="0.15">
      <c r="A76" s="16" t="s">
        <v>799</v>
      </c>
      <c r="B76" s="7" t="s">
        <v>9</v>
      </c>
      <c r="C76" s="16" t="s">
        <v>40</v>
      </c>
      <c r="D76" s="16" t="s">
        <v>41</v>
      </c>
      <c r="E76" s="13" t="str">
        <f>+HYPERLINK("http://trademark.i-assist.jp/data/china/image_1891th/74831216.pdf","74831216")</f>
        <v>74831216</v>
      </c>
      <c r="F76" s="16" t="s">
        <v>796</v>
      </c>
      <c r="G76" s="16" t="s">
        <v>795</v>
      </c>
      <c r="H76" s="16" t="s">
        <v>797</v>
      </c>
      <c r="I76" s="17">
        <v>45226</v>
      </c>
    </row>
    <row r="77" spans="1:9" x14ac:dyDescent="0.15">
      <c r="A77" s="16" t="s">
        <v>805</v>
      </c>
      <c r="B77" s="7" t="s">
        <v>9</v>
      </c>
      <c r="C77" s="16" t="s">
        <v>40</v>
      </c>
      <c r="D77" s="16" t="s">
        <v>41</v>
      </c>
      <c r="E77" s="13" t="str">
        <f>+HYPERLINK("http://trademark.i-assist.jp/data/china/image_1891th/75452210.pdf","75452210")</f>
        <v>75452210</v>
      </c>
      <c r="F77" s="16" t="s">
        <v>802</v>
      </c>
      <c r="G77" s="16" t="s">
        <v>801</v>
      </c>
      <c r="H77" s="16" t="s">
        <v>803</v>
      </c>
      <c r="I77" s="17">
        <v>45258</v>
      </c>
    </row>
    <row r="78" spans="1:9" x14ac:dyDescent="0.15">
      <c r="A78" s="16" t="s">
        <v>811</v>
      </c>
      <c r="B78" s="7" t="s">
        <v>9</v>
      </c>
      <c r="C78" s="16" t="s">
        <v>40</v>
      </c>
      <c r="D78" s="16" t="s">
        <v>41</v>
      </c>
      <c r="E78" s="13" t="str">
        <f>+HYPERLINK("http://trademark.i-assist.jp/data/china/image_1891th/75625382.pdf","75625382")</f>
        <v>75625382</v>
      </c>
      <c r="F78" s="16" t="s">
        <v>808</v>
      </c>
      <c r="G78" s="16" t="s">
        <v>807</v>
      </c>
      <c r="H78" s="16" t="s">
        <v>809</v>
      </c>
      <c r="I78" s="17">
        <v>45266</v>
      </c>
    </row>
    <row r="79" spans="1:9" x14ac:dyDescent="0.15">
      <c r="A79" s="16" t="s">
        <v>816</v>
      </c>
      <c r="B79" s="7" t="s">
        <v>9</v>
      </c>
      <c r="C79" s="16" t="s">
        <v>40</v>
      </c>
      <c r="D79" s="16" t="s">
        <v>41</v>
      </c>
      <c r="E79" s="13" t="str">
        <f>+HYPERLINK("http://trademark.i-assist.jp/data/china/image_1891th/75630172.pdf","75630172")</f>
        <v>75630172</v>
      </c>
      <c r="F79" s="16" t="s">
        <v>814</v>
      </c>
      <c r="G79" s="16" t="s">
        <v>813</v>
      </c>
      <c r="H79" s="16" t="s">
        <v>815</v>
      </c>
      <c r="I79" s="17">
        <v>45266</v>
      </c>
    </row>
    <row r="80" spans="1:9" x14ac:dyDescent="0.15">
      <c r="A80" s="16" t="s">
        <v>821</v>
      </c>
      <c r="B80" s="7" t="s">
        <v>9</v>
      </c>
      <c r="C80" s="16" t="s">
        <v>40</v>
      </c>
      <c r="D80" s="16" t="s">
        <v>41</v>
      </c>
      <c r="E80" s="13" t="str">
        <f>+HYPERLINK("http://trademark.i-assist.jp/data/china/image_1891th/75646327.pdf","75646327")</f>
        <v>75646327</v>
      </c>
      <c r="F80" s="16" t="s">
        <v>818</v>
      </c>
      <c r="G80" s="16" t="s">
        <v>813</v>
      </c>
      <c r="H80" s="16" t="s">
        <v>819</v>
      </c>
      <c r="I80" s="17">
        <v>45267</v>
      </c>
    </row>
    <row r="81" spans="1:9" x14ac:dyDescent="0.15">
      <c r="A81" s="16" t="s">
        <v>827</v>
      </c>
      <c r="B81" s="7" t="s">
        <v>9</v>
      </c>
      <c r="C81" s="16" t="s">
        <v>40</v>
      </c>
      <c r="D81" s="16" t="s">
        <v>41</v>
      </c>
      <c r="E81" s="13" t="str">
        <f>+HYPERLINK("http://trademark.i-assist.jp/data/china/image_1891th/75804161.pdf","75804161")</f>
        <v>75804161</v>
      </c>
      <c r="F81" s="16" t="s">
        <v>824</v>
      </c>
      <c r="G81" s="16" t="s">
        <v>823</v>
      </c>
      <c r="H81" s="16" t="s">
        <v>825</v>
      </c>
      <c r="I81" s="17">
        <v>45274</v>
      </c>
    </row>
    <row r="82" spans="1:9" x14ac:dyDescent="0.15">
      <c r="A82" s="16" t="s">
        <v>833</v>
      </c>
      <c r="B82" s="7" t="s">
        <v>9</v>
      </c>
      <c r="C82" s="16" t="s">
        <v>40</v>
      </c>
      <c r="D82" s="16" t="s">
        <v>41</v>
      </c>
      <c r="E82" s="13" t="str">
        <f>+HYPERLINK("http://trademark.i-assist.jp/data/china/image_1891th/75815182.pdf","75815182")</f>
        <v>75815182</v>
      </c>
      <c r="F82" s="16" t="s">
        <v>830</v>
      </c>
      <c r="G82" s="16" t="s">
        <v>829</v>
      </c>
      <c r="H82" s="16" t="s">
        <v>831</v>
      </c>
      <c r="I82" s="17">
        <v>45275</v>
      </c>
    </row>
    <row r="83" spans="1:9" x14ac:dyDescent="0.15">
      <c r="A83" s="16" t="s">
        <v>838</v>
      </c>
      <c r="B83" s="7" t="s">
        <v>9</v>
      </c>
      <c r="C83" s="16" t="s">
        <v>40</v>
      </c>
      <c r="D83" s="16" t="s">
        <v>41</v>
      </c>
      <c r="E83" s="13" t="str">
        <f>+HYPERLINK("http://trademark.i-assist.jp/data/china/image_1891th/75832870.pdf","75832870")</f>
        <v>75832870</v>
      </c>
      <c r="F83" s="16" t="s">
        <v>836</v>
      </c>
      <c r="G83" s="16" t="s">
        <v>835</v>
      </c>
      <c r="H83" s="16" t="s">
        <v>837</v>
      </c>
      <c r="I83" s="17">
        <v>45275</v>
      </c>
    </row>
    <row r="84" spans="1:9" x14ac:dyDescent="0.15">
      <c r="A84" s="16" t="s">
        <v>844</v>
      </c>
      <c r="B84" s="7" t="s">
        <v>9</v>
      </c>
      <c r="C84" s="16" t="s">
        <v>40</v>
      </c>
      <c r="D84" s="16" t="s">
        <v>41</v>
      </c>
      <c r="E84" s="13" t="str">
        <f>+HYPERLINK("http://trademark.i-assist.jp/data/china/image_1891th/75932432.pdf","75932432")</f>
        <v>75932432</v>
      </c>
      <c r="F84" s="16" t="s">
        <v>841</v>
      </c>
      <c r="G84" s="16" t="s">
        <v>840</v>
      </c>
      <c r="H84" s="16" t="s">
        <v>842</v>
      </c>
      <c r="I84" s="17">
        <v>45281</v>
      </c>
    </row>
    <row r="85" spans="1:9" x14ac:dyDescent="0.15">
      <c r="A85" s="16" t="s">
        <v>849</v>
      </c>
      <c r="B85" s="7" t="s">
        <v>9</v>
      </c>
      <c r="C85" s="16" t="s">
        <v>40</v>
      </c>
      <c r="D85" s="16" t="s">
        <v>41</v>
      </c>
      <c r="E85" s="13" t="str">
        <f>+HYPERLINK("http://trademark.i-assist.jp/data/china/image_1891th/75964569.pdf","75964569")</f>
        <v>75964569</v>
      </c>
      <c r="F85" s="16" t="s">
        <v>52</v>
      </c>
      <c r="G85" s="16" t="s">
        <v>846</v>
      </c>
      <c r="H85" s="16" t="s">
        <v>847</v>
      </c>
      <c r="I85" s="17">
        <v>45282</v>
      </c>
    </row>
    <row r="86" spans="1:9" x14ac:dyDescent="0.15">
      <c r="A86" s="16" t="s">
        <v>853</v>
      </c>
      <c r="B86" s="7" t="s">
        <v>9</v>
      </c>
      <c r="C86" s="16" t="s">
        <v>40</v>
      </c>
      <c r="D86" s="16" t="s">
        <v>41</v>
      </c>
      <c r="E86" s="13" t="str">
        <f>+HYPERLINK("http://trademark.i-assist.jp/data/china/image_1891th/75975332.pdf","75975332")</f>
        <v>75975332</v>
      </c>
      <c r="F86" s="16" t="s">
        <v>530</v>
      </c>
      <c r="G86" s="16" t="s">
        <v>529</v>
      </c>
      <c r="H86" s="16" t="s">
        <v>851</v>
      </c>
      <c r="I86" s="17">
        <v>45283</v>
      </c>
    </row>
    <row r="87" spans="1:9" x14ac:dyDescent="0.15">
      <c r="A87" s="16" t="s">
        <v>856</v>
      </c>
      <c r="B87" s="7" t="s">
        <v>9</v>
      </c>
      <c r="C87" s="16" t="s">
        <v>40</v>
      </c>
      <c r="D87" s="16" t="s">
        <v>41</v>
      </c>
      <c r="E87" s="13" t="str">
        <f>+HYPERLINK("http://trademark.i-assist.jp/data/china/image_1891th/75978587.pdf","75978587")</f>
        <v>75978587</v>
      </c>
      <c r="F87" s="16" t="s">
        <v>530</v>
      </c>
      <c r="G87" s="16" t="s">
        <v>529</v>
      </c>
      <c r="H87" s="16" t="s">
        <v>855</v>
      </c>
      <c r="I87" s="17">
        <v>45283</v>
      </c>
    </row>
    <row r="88" spans="1:9" x14ac:dyDescent="0.15">
      <c r="A88" s="16" t="s">
        <v>862</v>
      </c>
      <c r="B88" s="7" t="s">
        <v>9</v>
      </c>
      <c r="C88" s="16" t="s">
        <v>40</v>
      </c>
      <c r="D88" s="16" t="s">
        <v>41</v>
      </c>
      <c r="E88" s="13" t="str">
        <f>+HYPERLINK("http://trademark.i-assist.jp/data/china/image_1891th/75987735.pdf","75987735")</f>
        <v>75987735</v>
      </c>
      <c r="F88" s="16" t="s">
        <v>859</v>
      </c>
      <c r="G88" s="16" t="s">
        <v>858</v>
      </c>
      <c r="H88" s="16" t="s">
        <v>860</v>
      </c>
      <c r="I88" s="17">
        <v>45285</v>
      </c>
    </row>
    <row r="89" spans="1:9" x14ac:dyDescent="0.15">
      <c r="A89" s="16" t="s">
        <v>867</v>
      </c>
      <c r="B89" s="7" t="s">
        <v>9</v>
      </c>
      <c r="C89" s="16" t="s">
        <v>40</v>
      </c>
      <c r="D89" s="16" t="s">
        <v>41</v>
      </c>
      <c r="E89" s="13" t="str">
        <f>+HYPERLINK("http://trademark.i-assist.jp/data/china/image_1891th/75998822.pdf","75998822")</f>
        <v>75998822</v>
      </c>
      <c r="F89" s="16" t="s">
        <v>865</v>
      </c>
      <c r="G89" s="16" t="s">
        <v>864</v>
      </c>
      <c r="H89" s="16" t="s">
        <v>866</v>
      </c>
      <c r="I89" s="17">
        <v>45285</v>
      </c>
    </row>
    <row r="90" spans="1:9" x14ac:dyDescent="0.15">
      <c r="A90" s="16" t="s">
        <v>872</v>
      </c>
      <c r="B90" s="7" t="s">
        <v>9</v>
      </c>
      <c r="C90" s="16" t="s">
        <v>40</v>
      </c>
      <c r="D90" s="16" t="s">
        <v>41</v>
      </c>
      <c r="E90" s="13" t="str">
        <f>+HYPERLINK("http://trademark.i-assist.jp/data/china/image_1891th/76001116.pdf","76001116")</f>
        <v>76001116</v>
      </c>
      <c r="F90" s="16" t="s">
        <v>870</v>
      </c>
      <c r="G90" s="16" t="s">
        <v>869</v>
      </c>
      <c r="H90" s="16" t="s">
        <v>871</v>
      </c>
      <c r="I90" s="17">
        <v>45285</v>
      </c>
    </row>
    <row r="91" spans="1:9" x14ac:dyDescent="0.15">
      <c r="A91" s="16" t="s">
        <v>878</v>
      </c>
      <c r="B91" s="7" t="s">
        <v>9</v>
      </c>
      <c r="C91" s="16" t="s">
        <v>40</v>
      </c>
      <c r="D91" s="16" t="s">
        <v>41</v>
      </c>
      <c r="E91" s="13" t="str">
        <f>+HYPERLINK("http://trademark.i-assist.jp/data/china/image_1891th/76065589.pdf","76065589")</f>
        <v>76065589</v>
      </c>
      <c r="F91" s="16" t="s">
        <v>875</v>
      </c>
      <c r="G91" s="16" t="s">
        <v>874</v>
      </c>
      <c r="H91" s="16" t="s">
        <v>876</v>
      </c>
      <c r="I91" s="17">
        <v>45288</v>
      </c>
    </row>
    <row r="92" spans="1:9" x14ac:dyDescent="0.15">
      <c r="A92" s="16" t="s">
        <v>884</v>
      </c>
      <c r="B92" s="7" t="s">
        <v>9</v>
      </c>
      <c r="C92" s="16" t="s">
        <v>40</v>
      </c>
      <c r="D92" s="16" t="s">
        <v>41</v>
      </c>
      <c r="E92" s="13" t="str">
        <f>+HYPERLINK("http://trademark.i-assist.jp/data/china/image_1891th/76109190.pdf","76109190")</f>
        <v>76109190</v>
      </c>
      <c r="F92" s="16" t="s">
        <v>881</v>
      </c>
      <c r="G92" s="16" t="s">
        <v>880</v>
      </c>
      <c r="H92" s="16" t="s">
        <v>882</v>
      </c>
      <c r="I92" s="17">
        <v>45289</v>
      </c>
    </row>
    <row r="93" spans="1:9" x14ac:dyDescent="0.15">
      <c r="A93" s="16" t="s">
        <v>890</v>
      </c>
      <c r="B93" s="7" t="s">
        <v>9</v>
      </c>
      <c r="C93" s="16" t="s">
        <v>40</v>
      </c>
      <c r="D93" s="16" t="s">
        <v>41</v>
      </c>
      <c r="E93" s="13" t="str">
        <f>+HYPERLINK("http://trademark.i-assist.jp/data/china/image_1891th/76147870.pdf","76147870")</f>
        <v>76147870</v>
      </c>
      <c r="F93" s="16" t="s">
        <v>887</v>
      </c>
      <c r="G93" s="16" t="s">
        <v>886</v>
      </c>
      <c r="H93" s="16" t="s">
        <v>888</v>
      </c>
      <c r="I93" s="17">
        <v>45293</v>
      </c>
    </row>
    <row r="94" spans="1:9" x14ac:dyDescent="0.15">
      <c r="A94" s="16" t="s">
        <v>503</v>
      </c>
      <c r="B94" s="7" t="s">
        <v>9</v>
      </c>
      <c r="C94" s="16" t="s">
        <v>40</v>
      </c>
      <c r="D94" s="16" t="s">
        <v>41</v>
      </c>
      <c r="E94" s="13" t="str">
        <f>+HYPERLINK("http://trademark.i-assist.jp/data/china/image_1891th/76189152.pdf","76189152")</f>
        <v>76189152</v>
      </c>
      <c r="F94" s="16" t="s">
        <v>893</v>
      </c>
      <c r="G94" s="16" t="s">
        <v>892</v>
      </c>
      <c r="H94" s="16" t="s">
        <v>894</v>
      </c>
      <c r="I94" s="17">
        <v>45295</v>
      </c>
    </row>
    <row r="95" spans="1:9" x14ac:dyDescent="0.15">
      <c r="A95" s="16" t="s">
        <v>509</v>
      </c>
      <c r="B95" s="7" t="s">
        <v>9</v>
      </c>
      <c r="C95" s="16" t="s">
        <v>40</v>
      </c>
      <c r="D95" s="16" t="s">
        <v>41</v>
      </c>
      <c r="E95" s="13" t="str">
        <f>+HYPERLINK("http://trademark.i-assist.jp/data/china/image_1891th/76209304.pdf","76209304")</f>
        <v>76209304</v>
      </c>
      <c r="F95" s="16" t="s">
        <v>506</v>
      </c>
      <c r="G95" s="16" t="s">
        <v>505</v>
      </c>
      <c r="H95" s="16" t="s">
        <v>507</v>
      </c>
      <c r="I95" s="17">
        <v>45296</v>
      </c>
    </row>
    <row r="96" spans="1:9" x14ac:dyDescent="0.15">
      <c r="A96" s="16" t="s">
        <v>512</v>
      </c>
      <c r="B96" s="7" t="s">
        <v>9</v>
      </c>
      <c r="C96" s="16" t="s">
        <v>40</v>
      </c>
      <c r="D96" s="16" t="s">
        <v>41</v>
      </c>
      <c r="E96" s="13" t="str">
        <f>+HYPERLINK("http://trademark.i-assist.jp/data/china/image_1891th/76220914.pdf","76220914")</f>
        <v>76220914</v>
      </c>
      <c r="F96" s="16" t="s">
        <v>506</v>
      </c>
      <c r="G96" s="16" t="s">
        <v>505</v>
      </c>
      <c r="H96" s="16" t="s">
        <v>511</v>
      </c>
      <c r="I96" s="17">
        <v>45296</v>
      </c>
    </row>
    <row r="97" spans="1:9" x14ac:dyDescent="0.15">
      <c r="A97" s="16" t="s">
        <v>517</v>
      </c>
      <c r="B97" s="7" t="s">
        <v>9</v>
      </c>
      <c r="C97" s="16" t="s">
        <v>40</v>
      </c>
      <c r="D97" s="16" t="s">
        <v>41</v>
      </c>
      <c r="E97" s="13" t="str">
        <f>+HYPERLINK("http://trademark.i-assist.jp/data/china/image_1891th/76228991.pdf","76228991")</f>
        <v>76228991</v>
      </c>
      <c r="F97" s="16" t="s">
        <v>515</v>
      </c>
      <c r="G97" s="16" t="s">
        <v>514</v>
      </c>
      <c r="H97" s="16" t="s">
        <v>516</v>
      </c>
      <c r="I97" s="17">
        <v>45296</v>
      </c>
    </row>
    <row r="98" spans="1:9" x14ac:dyDescent="0.15">
      <c r="A98" s="16" t="s">
        <v>523</v>
      </c>
      <c r="B98" s="7" t="s">
        <v>9</v>
      </c>
      <c r="C98" s="16" t="s">
        <v>40</v>
      </c>
      <c r="D98" s="16" t="s">
        <v>41</v>
      </c>
      <c r="E98" s="13" t="str">
        <f>+HYPERLINK("http://trademark.i-assist.jp/data/china/image_1891th/76242440.pdf","76242440")</f>
        <v>76242440</v>
      </c>
      <c r="F98" s="16" t="s">
        <v>520</v>
      </c>
      <c r="G98" s="16" t="s">
        <v>519</v>
      </c>
      <c r="H98" s="16" t="s">
        <v>521</v>
      </c>
      <c r="I98" s="17">
        <v>45299</v>
      </c>
    </row>
    <row r="99" spans="1:9" x14ac:dyDescent="0.15">
      <c r="A99" s="16" t="s">
        <v>527</v>
      </c>
      <c r="B99" s="7" t="s">
        <v>9</v>
      </c>
      <c r="C99" s="16" t="s">
        <v>40</v>
      </c>
      <c r="D99" s="16" t="s">
        <v>41</v>
      </c>
      <c r="E99" s="13" t="str">
        <f>+HYPERLINK("http://trademark.i-assist.jp/data/china/image_1891th/76263878.pdf","76263878")</f>
        <v>76263878</v>
      </c>
      <c r="F99" s="16" t="s">
        <v>52</v>
      </c>
      <c r="G99" s="16" t="s">
        <v>525</v>
      </c>
      <c r="H99" s="16" t="s">
        <v>526</v>
      </c>
      <c r="I99" s="17">
        <v>45299</v>
      </c>
    </row>
    <row r="100" spans="1:9" x14ac:dyDescent="0.15">
      <c r="A100" s="16" t="s">
        <v>533</v>
      </c>
      <c r="B100" s="7" t="s">
        <v>9</v>
      </c>
      <c r="C100" s="16" t="s">
        <v>40</v>
      </c>
      <c r="D100" s="16" t="s">
        <v>41</v>
      </c>
      <c r="E100" s="13" t="str">
        <f>+HYPERLINK("http://trademark.i-assist.jp/data/china/image_1891th/76271026.pdf","76271026")</f>
        <v>76271026</v>
      </c>
      <c r="F100" s="16" t="s">
        <v>530</v>
      </c>
      <c r="G100" s="16" t="s">
        <v>529</v>
      </c>
      <c r="H100" s="16" t="s">
        <v>531</v>
      </c>
      <c r="I100" s="17">
        <v>45300</v>
      </c>
    </row>
    <row r="101" spans="1:9" x14ac:dyDescent="0.15">
      <c r="A101" s="16" t="s">
        <v>536</v>
      </c>
      <c r="B101" s="7" t="s">
        <v>9</v>
      </c>
      <c r="C101" s="16" t="s">
        <v>40</v>
      </c>
      <c r="D101" s="16" t="s">
        <v>41</v>
      </c>
      <c r="E101" s="13" t="str">
        <f>+HYPERLINK("http://trademark.i-assist.jp/data/china/image_1891th/76275737.pdf","76275737")</f>
        <v>76275737</v>
      </c>
      <c r="F101" s="16" t="s">
        <v>530</v>
      </c>
      <c r="G101" s="16" t="s">
        <v>529</v>
      </c>
      <c r="H101" s="16" t="s">
        <v>535</v>
      </c>
      <c r="I101" s="17">
        <v>45300</v>
      </c>
    </row>
    <row r="102" spans="1:9" x14ac:dyDescent="0.15">
      <c r="A102" s="16" t="s">
        <v>542</v>
      </c>
      <c r="B102" s="7" t="s">
        <v>9</v>
      </c>
      <c r="C102" s="16" t="s">
        <v>40</v>
      </c>
      <c r="D102" s="16" t="s">
        <v>41</v>
      </c>
      <c r="E102" s="13" t="str">
        <f>+HYPERLINK("http://trademark.i-assist.jp/data/china/image_1891th/76314316.pdf","76314316")</f>
        <v>76314316</v>
      </c>
      <c r="F102" s="16" t="s">
        <v>539</v>
      </c>
      <c r="G102" s="16" t="s">
        <v>538</v>
      </c>
      <c r="H102" s="16" t="s">
        <v>540</v>
      </c>
      <c r="I102" s="17">
        <v>45301</v>
      </c>
    </row>
    <row r="103" spans="1:9" x14ac:dyDescent="0.15">
      <c r="A103" s="16" t="s">
        <v>548</v>
      </c>
      <c r="B103" s="7" t="s">
        <v>9</v>
      </c>
      <c r="C103" s="16" t="s">
        <v>40</v>
      </c>
      <c r="D103" s="16" t="s">
        <v>41</v>
      </c>
      <c r="E103" s="13" t="str">
        <f>+HYPERLINK("http://trademark.i-assist.jp/data/china/image_1891th/76326078.pdf","76326078")</f>
        <v>76326078</v>
      </c>
      <c r="F103" s="16" t="s">
        <v>545</v>
      </c>
      <c r="G103" s="16" t="s">
        <v>544</v>
      </c>
      <c r="H103" s="16" t="s">
        <v>546</v>
      </c>
      <c r="I103" s="17">
        <v>45302</v>
      </c>
    </row>
    <row r="104" spans="1:9" x14ac:dyDescent="0.15">
      <c r="A104" s="16" t="s">
        <v>554</v>
      </c>
      <c r="B104" s="7" t="s">
        <v>9</v>
      </c>
      <c r="C104" s="16" t="s">
        <v>40</v>
      </c>
      <c r="D104" s="16" t="s">
        <v>41</v>
      </c>
      <c r="E104" s="13" t="str">
        <f>+HYPERLINK("http://trademark.i-assist.jp/data/china/image_1891th/76376086.pdf","76376086")</f>
        <v>76376086</v>
      </c>
      <c r="F104" s="16" t="s">
        <v>551</v>
      </c>
      <c r="G104" s="16" t="s">
        <v>550</v>
      </c>
      <c r="H104" s="16" t="s">
        <v>552</v>
      </c>
      <c r="I104" s="17">
        <v>45305</v>
      </c>
    </row>
    <row r="105" spans="1:9" x14ac:dyDescent="0.15">
      <c r="A105" s="16" t="s">
        <v>560</v>
      </c>
      <c r="B105" s="7" t="s">
        <v>9</v>
      </c>
      <c r="C105" s="16" t="s">
        <v>40</v>
      </c>
      <c r="D105" s="16" t="s">
        <v>41</v>
      </c>
      <c r="E105" s="13" t="str">
        <f>+HYPERLINK("http://trademark.i-assist.jp/data/china/image_1891th/76378747.pdf","76378747")</f>
        <v>76378747</v>
      </c>
      <c r="F105" s="16" t="s">
        <v>557</v>
      </c>
      <c r="G105" s="16" t="s">
        <v>556</v>
      </c>
      <c r="H105" s="16" t="s">
        <v>558</v>
      </c>
      <c r="I105" s="17">
        <v>45306</v>
      </c>
    </row>
    <row r="106" spans="1:9" x14ac:dyDescent="0.15">
      <c r="A106" s="16" t="s">
        <v>565</v>
      </c>
      <c r="B106" s="7" t="s">
        <v>9</v>
      </c>
      <c r="C106" s="16" t="s">
        <v>40</v>
      </c>
      <c r="D106" s="16" t="s">
        <v>41</v>
      </c>
      <c r="E106" s="13" t="str">
        <f>+HYPERLINK("http://trademark.i-assist.jp/data/china/image_1891th/76390911.pdf","76390911")</f>
        <v>76390911</v>
      </c>
      <c r="F106" s="16" t="s">
        <v>563</v>
      </c>
      <c r="G106" s="16" t="s">
        <v>562</v>
      </c>
      <c r="H106" s="16" t="s">
        <v>564</v>
      </c>
      <c r="I106" s="17">
        <v>45306</v>
      </c>
    </row>
    <row r="107" spans="1:9" x14ac:dyDescent="0.15">
      <c r="A107" s="16" t="s">
        <v>571</v>
      </c>
      <c r="B107" s="7" t="s">
        <v>9</v>
      </c>
      <c r="C107" s="16" t="s">
        <v>40</v>
      </c>
      <c r="D107" s="16" t="s">
        <v>41</v>
      </c>
      <c r="E107" s="13" t="str">
        <f>+HYPERLINK("http://trademark.i-assist.jp/data/china/image_1891th/76407346.pdf","76407346")</f>
        <v>76407346</v>
      </c>
      <c r="F107" s="16" t="s">
        <v>568</v>
      </c>
      <c r="G107" s="16" t="s">
        <v>567</v>
      </c>
      <c r="H107" s="16" t="s">
        <v>569</v>
      </c>
      <c r="I107" s="17">
        <v>45307</v>
      </c>
    </row>
    <row r="108" spans="1:9" x14ac:dyDescent="0.15">
      <c r="A108" s="16" t="s">
        <v>576</v>
      </c>
      <c r="B108" s="7" t="s">
        <v>9</v>
      </c>
      <c r="C108" s="16" t="s">
        <v>40</v>
      </c>
      <c r="D108" s="16" t="s">
        <v>41</v>
      </c>
      <c r="E108" s="13" t="str">
        <f>+HYPERLINK("http://trademark.i-assist.jp/data/china/image_1891th/76423050.pdf","76423050")</f>
        <v>76423050</v>
      </c>
      <c r="F108" s="16" t="s">
        <v>574</v>
      </c>
      <c r="G108" s="16" t="s">
        <v>573</v>
      </c>
      <c r="H108" s="16" t="s">
        <v>575</v>
      </c>
      <c r="I108" s="17">
        <v>45307</v>
      </c>
    </row>
    <row r="109" spans="1:9" x14ac:dyDescent="0.15">
      <c r="A109" s="16" t="s">
        <v>582</v>
      </c>
      <c r="B109" s="7" t="s">
        <v>9</v>
      </c>
      <c r="C109" s="16" t="s">
        <v>40</v>
      </c>
      <c r="D109" s="16" t="s">
        <v>41</v>
      </c>
      <c r="E109" s="13" t="str">
        <f>+HYPERLINK("http://trademark.i-assist.jp/data/china/image_1891th/76439562.pdf","76439562")</f>
        <v>76439562</v>
      </c>
      <c r="F109" s="16" t="s">
        <v>579</v>
      </c>
      <c r="G109" s="16" t="s">
        <v>578</v>
      </c>
      <c r="H109" s="16" t="s">
        <v>580</v>
      </c>
      <c r="I109" s="17">
        <v>45308</v>
      </c>
    </row>
    <row r="110" spans="1:9" x14ac:dyDescent="0.15">
      <c r="A110" s="16" t="s">
        <v>587</v>
      </c>
      <c r="B110" s="7" t="s">
        <v>9</v>
      </c>
      <c r="C110" s="16" t="s">
        <v>40</v>
      </c>
      <c r="D110" s="16" t="s">
        <v>41</v>
      </c>
      <c r="E110" s="13" t="str">
        <f>+HYPERLINK("http://trademark.i-assist.jp/data/china/image_1891th/76446853.pdf","76446853")</f>
        <v>76446853</v>
      </c>
      <c r="F110" s="16" t="s">
        <v>585</v>
      </c>
      <c r="G110" s="16" t="s">
        <v>584</v>
      </c>
      <c r="H110" s="16" t="s">
        <v>586</v>
      </c>
      <c r="I110" s="17">
        <v>45308</v>
      </c>
    </row>
    <row r="111" spans="1:9" x14ac:dyDescent="0.15">
      <c r="A111" s="16" t="s">
        <v>592</v>
      </c>
      <c r="B111" s="7" t="s">
        <v>9</v>
      </c>
      <c r="C111" s="16" t="s">
        <v>40</v>
      </c>
      <c r="D111" s="16" t="s">
        <v>41</v>
      </c>
      <c r="E111" s="13" t="str">
        <f>+HYPERLINK("http://trademark.i-assist.jp/data/china/image_1891th/76447737.pdf","76447737")</f>
        <v>76447737</v>
      </c>
      <c r="F111" s="16" t="s">
        <v>590</v>
      </c>
      <c r="G111" s="16" t="s">
        <v>589</v>
      </c>
      <c r="H111" s="16" t="s">
        <v>591</v>
      </c>
      <c r="I111" s="17">
        <v>45308</v>
      </c>
    </row>
    <row r="112" spans="1:9" x14ac:dyDescent="0.15">
      <c r="A112" s="16" t="s">
        <v>597</v>
      </c>
      <c r="B112" s="7" t="s">
        <v>9</v>
      </c>
      <c r="C112" s="16" t="s">
        <v>40</v>
      </c>
      <c r="D112" s="16" t="s">
        <v>41</v>
      </c>
      <c r="E112" s="13" t="str">
        <f>+HYPERLINK("http://trademark.i-assist.jp/data/china/image_1891th/76448585.pdf","76448585")</f>
        <v>76448585</v>
      </c>
      <c r="F112" s="16" t="s">
        <v>595</v>
      </c>
      <c r="G112" s="16" t="s">
        <v>594</v>
      </c>
      <c r="H112" s="16" t="s">
        <v>596</v>
      </c>
      <c r="I112" s="17">
        <v>45308</v>
      </c>
    </row>
    <row r="113" spans="1:9" x14ac:dyDescent="0.15">
      <c r="A113" s="16" t="s">
        <v>602</v>
      </c>
      <c r="B113" s="7" t="s">
        <v>9</v>
      </c>
      <c r="C113" s="16" t="s">
        <v>40</v>
      </c>
      <c r="D113" s="16" t="s">
        <v>41</v>
      </c>
      <c r="E113" s="13" t="str">
        <f>+HYPERLINK("http://trademark.i-assist.jp/data/china/image_1891th/76451843.pdf","76451843")</f>
        <v>76451843</v>
      </c>
      <c r="F113" s="16" t="s">
        <v>600</v>
      </c>
      <c r="G113" s="16" t="s">
        <v>599</v>
      </c>
      <c r="H113" s="16" t="s">
        <v>601</v>
      </c>
      <c r="I113" s="17">
        <v>45308</v>
      </c>
    </row>
    <row r="114" spans="1:9" x14ac:dyDescent="0.15">
      <c r="A114" s="16" t="s">
        <v>607</v>
      </c>
      <c r="B114" s="7" t="s">
        <v>9</v>
      </c>
      <c r="C114" s="16" t="s">
        <v>40</v>
      </c>
      <c r="D114" s="16" t="s">
        <v>41</v>
      </c>
      <c r="E114" s="13" t="str">
        <f>+HYPERLINK("http://trademark.i-assist.jp/data/china/image_1891th/76451866.pdf","76451866")</f>
        <v>76451866</v>
      </c>
      <c r="F114" s="16" t="s">
        <v>605</v>
      </c>
      <c r="G114" s="16" t="s">
        <v>604</v>
      </c>
      <c r="H114" s="16" t="s">
        <v>606</v>
      </c>
      <c r="I114" s="17">
        <v>45308</v>
      </c>
    </row>
    <row r="115" spans="1:9" x14ac:dyDescent="0.15">
      <c r="A115" s="16" t="s">
        <v>612</v>
      </c>
      <c r="B115" s="7" t="s">
        <v>9</v>
      </c>
      <c r="C115" s="16" t="s">
        <v>40</v>
      </c>
      <c r="D115" s="16" t="s">
        <v>41</v>
      </c>
      <c r="E115" s="13" t="str">
        <f>+HYPERLINK("http://trademark.i-assist.jp/data/china/image_1891th/76452497.pdf","76452497")</f>
        <v>76452497</v>
      </c>
      <c r="F115" s="16" t="s">
        <v>610</v>
      </c>
      <c r="G115" s="16" t="s">
        <v>609</v>
      </c>
      <c r="H115" s="16" t="s">
        <v>611</v>
      </c>
      <c r="I115" s="17">
        <v>45308</v>
      </c>
    </row>
    <row r="116" spans="1:9" x14ac:dyDescent="0.15">
      <c r="A116" s="16" t="s">
        <v>618</v>
      </c>
      <c r="B116" s="7" t="s">
        <v>9</v>
      </c>
      <c r="C116" s="16" t="s">
        <v>40</v>
      </c>
      <c r="D116" s="16" t="s">
        <v>41</v>
      </c>
      <c r="E116" s="13" t="str">
        <f>+HYPERLINK("http://trademark.i-assist.jp/data/china/image_1891th/76476915.pdf","76476915")</f>
        <v>76476915</v>
      </c>
      <c r="F116" s="16" t="s">
        <v>615</v>
      </c>
      <c r="G116" s="16" t="s">
        <v>614</v>
      </c>
      <c r="H116" s="16" t="s">
        <v>616</v>
      </c>
      <c r="I116" s="17">
        <v>45309</v>
      </c>
    </row>
    <row r="117" spans="1:9" x14ac:dyDescent="0.15">
      <c r="A117" s="16" t="s">
        <v>624</v>
      </c>
      <c r="B117" s="7" t="s">
        <v>9</v>
      </c>
      <c r="C117" s="16" t="s">
        <v>40</v>
      </c>
      <c r="D117" s="16" t="s">
        <v>41</v>
      </c>
      <c r="E117" s="13" t="str">
        <f>+HYPERLINK("http://trademark.i-assist.jp/data/china/image_1891th/76528186.pdf","76528186")</f>
        <v>76528186</v>
      </c>
      <c r="F117" s="16" t="s">
        <v>621</v>
      </c>
      <c r="G117" s="16" t="s">
        <v>620</v>
      </c>
      <c r="H117" s="16" t="s">
        <v>622</v>
      </c>
      <c r="I117" s="17">
        <v>45313</v>
      </c>
    </row>
    <row r="118" spans="1:9" x14ac:dyDescent="0.15">
      <c r="A118" s="16" t="s">
        <v>630</v>
      </c>
      <c r="B118" s="7" t="s">
        <v>9</v>
      </c>
      <c r="C118" s="16" t="s">
        <v>40</v>
      </c>
      <c r="D118" s="16" t="s">
        <v>41</v>
      </c>
      <c r="E118" s="13" t="str">
        <f>+HYPERLINK("http://trademark.i-assist.jp/data/china/image_1891th/76549735.pdf","76549735")</f>
        <v>76549735</v>
      </c>
      <c r="F118" s="16" t="s">
        <v>627</v>
      </c>
      <c r="G118" s="16" t="s">
        <v>626</v>
      </c>
      <c r="H118" s="16" t="s">
        <v>628</v>
      </c>
      <c r="I118" s="17">
        <v>45314</v>
      </c>
    </row>
    <row r="119" spans="1:9" x14ac:dyDescent="0.15">
      <c r="A119" s="16" t="s">
        <v>635</v>
      </c>
      <c r="B119" s="7" t="s">
        <v>9</v>
      </c>
      <c r="C119" s="16" t="s">
        <v>40</v>
      </c>
      <c r="D119" s="16" t="s">
        <v>41</v>
      </c>
      <c r="E119" s="13" t="str">
        <f>+HYPERLINK("http://trademark.i-assist.jp/data/china/image_1891th/76568305.pdf","76568305")</f>
        <v>76568305</v>
      </c>
      <c r="F119" s="16" t="s">
        <v>633</v>
      </c>
      <c r="G119" s="16" t="s">
        <v>632</v>
      </c>
      <c r="H119" s="16" t="s">
        <v>634</v>
      </c>
      <c r="I119" s="17">
        <v>45314</v>
      </c>
    </row>
    <row r="120" spans="1:9" x14ac:dyDescent="0.15">
      <c r="A120" s="16" t="s">
        <v>641</v>
      </c>
      <c r="B120" s="7" t="s">
        <v>9</v>
      </c>
      <c r="C120" s="16" t="s">
        <v>40</v>
      </c>
      <c r="D120" s="16" t="s">
        <v>41</v>
      </c>
      <c r="E120" s="13" t="str">
        <f>+HYPERLINK("http://trademark.i-assist.jp/data/china/image_1891th/76570906.pdf","76570906")</f>
        <v>76570906</v>
      </c>
      <c r="F120" s="16" t="s">
        <v>638</v>
      </c>
      <c r="G120" s="16" t="s">
        <v>637</v>
      </c>
      <c r="H120" s="16" t="s">
        <v>639</v>
      </c>
      <c r="I120" s="17">
        <v>45315</v>
      </c>
    </row>
    <row r="121" spans="1:9" x14ac:dyDescent="0.15">
      <c r="A121" s="16" t="s">
        <v>646</v>
      </c>
      <c r="B121" s="7" t="s">
        <v>9</v>
      </c>
      <c r="C121" s="16" t="s">
        <v>40</v>
      </c>
      <c r="D121" s="16" t="s">
        <v>41</v>
      </c>
      <c r="E121" s="13" t="str">
        <f>+HYPERLINK("http://trademark.i-assist.jp/data/china/image_1891th/76576250.pdf","76576250")</f>
        <v>76576250</v>
      </c>
      <c r="F121" s="16" t="s">
        <v>644</v>
      </c>
      <c r="G121" s="16" t="s">
        <v>643</v>
      </c>
      <c r="H121" s="16" t="s">
        <v>645</v>
      </c>
      <c r="I121" s="17">
        <v>45315</v>
      </c>
    </row>
    <row r="122" spans="1:9" x14ac:dyDescent="0.15">
      <c r="A122" s="16" t="s">
        <v>652</v>
      </c>
      <c r="B122" s="7" t="s">
        <v>9</v>
      </c>
      <c r="C122" s="16" t="s">
        <v>40</v>
      </c>
      <c r="D122" s="16" t="s">
        <v>41</v>
      </c>
      <c r="E122" s="13" t="str">
        <f>+HYPERLINK("http://trademark.i-assist.jp/data/china/image_1891th/76629851.pdf","76629851")</f>
        <v>76629851</v>
      </c>
      <c r="F122" s="16" t="s">
        <v>649</v>
      </c>
      <c r="G122" s="16" t="s">
        <v>648</v>
      </c>
      <c r="H122" s="16" t="s">
        <v>650</v>
      </c>
      <c r="I122" s="17">
        <v>45317</v>
      </c>
    </row>
    <row r="123" spans="1:9" x14ac:dyDescent="0.15">
      <c r="A123" s="16" t="s">
        <v>657</v>
      </c>
      <c r="B123" s="7" t="s">
        <v>9</v>
      </c>
      <c r="C123" s="16" t="s">
        <v>40</v>
      </c>
      <c r="D123" s="16" t="s">
        <v>41</v>
      </c>
      <c r="E123" s="13" t="str">
        <f>+HYPERLINK("http://trademark.i-assist.jp/data/china/image_1891th/76635635.pdf","76635635")</f>
        <v>76635635</v>
      </c>
      <c r="F123" s="16" t="s">
        <v>655</v>
      </c>
      <c r="G123" s="16" t="s">
        <v>654</v>
      </c>
      <c r="H123" s="16" t="s">
        <v>656</v>
      </c>
      <c r="I123" s="17">
        <v>45317</v>
      </c>
    </row>
    <row r="124" spans="1:9" x14ac:dyDescent="0.15">
      <c r="A124" s="16" t="s">
        <v>663</v>
      </c>
      <c r="B124" s="7" t="s">
        <v>9</v>
      </c>
      <c r="C124" s="16" t="s">
        <v>40</v>
      </c>
      <c r="D124" s="16" t="s">
        <v>41</v>
      </c>
      <c r="E124" s="13" t="str">
        <f>+HYPERLINK("http://trademark.i-assist.jp/data/china/image_1891th/76659826.pdf","76659826")</f>
        <v>76659826</v>
      </c>
      <c r="F124" s="16" t="s">
        <v>660</v>
      </c>
      <c r="G124" s="16" t="s">
        <v>659</v>
      </c>
      <c r="H124" s="16" t="s">
        <v>661</v>
      </c>
      <c r="I124" s="17">
        <v>45320</v>
      </c>
    </row>
    <row r="125" spans="1:9" x14ac:dyDescent="0.15">
      <c r="A125" s="16" t="s">
        <v>668</v>
      </c>
      <c r="B125" s="7" t="s">
        <v>9</v>
      </c>
      <c r="C125" s="16" t="s">
        <v>40</v>
      </c>
      <c r="D125" s="16" t="s">
        <v>41</v>
      </c>
      <c r="E125" s="13" t="str">
        <f>+HYPERLINK("http://trademark.i-assist.jp/data/china/image_1891th/76673360.pdf","76673360")</f>
        <v>76673360</v>
      </c>
      <c r="F125" s="16" t="s">
        <v>666</v>
      </c>
      <c r="G125" s="16" t="s">
        <v>665</v>
      </c>
      <c r="H125" s="16" t="s">
        <v>667</v>
      </c>
      <c r="I125" s="17">
        <v>45320</v>
      </c>
    </row>
    <row r="126" spans="1:9" x14ac:dyDescent="0.15">
      <c r="A126" s="16" t="s">
        <v>674</v>
      </c>
      <c r="B126" s="7" t="s">
        <v>9</v>
      </c>
      <c r="C126" s="16" t="s">
        <v>40</v>
      </c>
      <c r="D126" s="16" t="s">
        <v>41</v>
      </c>
      <c r="E126" s="13" t="str">
        <f>+HYPERLINK("http://trademark.i-assist.jp/data/china/image_1891th/76681729.pdf","76681729")</f>
        <v>76681729</v>
      </c>
      <c r="F126" s="16" t="s">
        <v>671</v>
      </c>
      <c r="G126" s="16" t="s">
        <v>670</v>
      </c>
      <c r="H126" s="16" t="s">
        <v>672</v>
      </c>
      <c r="I126" s="17">
        <v>45321</v>
      </c>
    </row>
    <row r="127" spans="1:9" x14ac:dyDescent="0.15">
      <c r="A127" s="16" t="s">
        <v>679</v>
      </c>
      <c r="B127" s="7" t="s">
        <v>9</v>
      </c>
      <c r="C127" s="16" t="s">
        <v>40</v>
      </c>
      <c r="D127" s="16" t="s">
        <v>41</v>
      </c>
      <c r="E127" s="13" t="str">
        <f>+HYPERLINK("http://trademark.i-assist.jp/data/china/image_1891th/76685221.pdf","76685221")</f>
        <v>76685221</v>
      </c>
      <c r="F127" s="16" t="s">
        <v>677</v>
      </c>
      <c r="G127" s="16" t="s">
        <v>676</v>
      </c>
      <c r="H127" s="16" t="s">
        <v>678</v>
      </c>
      <c r="I127" s="17">
        <v>45321</v>
      </c>
    </row>
    <row r="128" spans="1:9" x14ac:dyDescent="0.15">
      <c r="A128" s="16" t="s">
        <v>685</v>
      </c>
      <c r="B128" s="7" t="s">
        <v>9</v>
      </c>
      <c r="C128" s="16" t="s">
        <v>40</v>
      </c>
      <c r="D128" s="16" t="s">
        <v>41</v>
      </c>
      <c r="E128" s="13" t="str">
        <f>+HYPERLINK("http://trademark.i-assist.jp/data/china/image_1891th/76709792.pdf","76709792")</f>
        <v>76709792</v>
      </c>
      <c r="F128" s="16" t="s">
        <v>682</v>
      </c>
      <c r="G128" s="16" t="s">
        <v>681</v>
      </c>
      <c r="H128" s="16" t="s">
        <v>683</v>
      </c>
      <c r="I128" s="17">
        <v>45322</v>
      </c>
    </row>
    <row r="129" spans="1:9" x14ac:dyDescent="0.15">
      <c r="A129" s="16" t="s">
        <v>690</v>
      </c>
      <c r="B129" s="7" t="s">
        <v>9</v>
      </c>
      <c r="C129" s="16" t="s">
        <v>40</v>
      </c>
      <c r="D129" s="16" t="s">
        <v>41</v>
      </c>
      <c r="E129" s="13" t="str">
        <f>+HYPERLINK("http://trademark.i-assist.jp/data/china/image_1891th/76711304.pdf","76711304")</f>
        <v>76711304</v>
      </c>
      <c r="F129" s="16" t="s">
        <v>688</v>
      </c>
      <c r="G129" s="16" t="s">
        <v>687</v>
      </c>
      <c r="H129" s="16" t="s">
        <v>689</v>
      </c>
      <c r="I129" s="17">
        <v>45322</v>
      </c>
    </row>
    <row r="130" spans="1:9" x14ac:dyDescent="0.15">
      <c r="A130" s="16" t="s">
        <v>696</v>
      </c>
      <c r="B130" s="7" t="s">
        <v>9</v>
      </c>
      <c r="C130" s="16" t="s">
        <v>40</v>
      </c>
      <c r="D130" s="16" t="s">
        <v>41</v>
      </c>
      <c r="E130" s="13" t="str">
        <f>+HYPERLINK("http://trademark.i-assist.jp/data/china/image_1891th/76724732.pdf","76724732")</f>
        <v>76724732</v>
      </c>
      <c r="F130" s="16" t="s">
        <v>693</v>
      </c>
      <c r="G130" s="16" t="s">
        <v>692</v>
      </c>
      <c r="H130" s="16" t="s">
        <v>694</v>
      </c>
      <c r="I130" s="17">
        <v>45323</v>
      </c>
    </row>
    <row r="131" spans="1:9" x14ac:dyDescent="0.15">
      <c r="A131" s="16" t="s">
        <v>701</v>
      </c>
      <c r="B131" s="7" t="s">
        <v>9</v>
      </c>
      <c r="C131" s="16" t="s">
        <v>40</v>
      </c>
      <c r="D131" s="16" t="s">
        <v>41</v>
      </c>
      <c r="E131" s="13" t="str">
        <f>+HYPERLINK("http://trademark.i-assist.jp/data/china/image_1891th/76740339.pdf","76740339")</f>
        <v>76740339</v>
      </c>
      <c r="F131" s="16" t="s">
        <v>699</v>
      </c>
      <c r="G131" s="16" t="s">
        <v>698</v>
      </c>
      <c r="H131" s="16" t="s">
        <v>700</v>
      </c>
      <c r="I131" s="17">
        <v>45323</v>
      </c>
    </row>
    <row r="132" spans="1:9" x14ac:dyDescent="0.15">
      <c r="A132" s="16" t="s">
        <v>707</v>
      </c>
      <c r="B132" s="7" t="s">
        <v>9</v>
      </c>
      <c r="C132" s="16" t="s">
        <v>40</v>
      </c>
      <c r="D132" s="16" t="s">
        <v>41</v>
      </c>
      <c r="E132" s="13" t="str">
        <f>+HYPERLINK("http://trademark.i-assist.jp/data/china/image_1891th/76765603.pdf","76765603")</f>
        <v>76765603</v>
      </c>
      <c r="F132" s="16" t="s">
        <v>704</v>
      </c>
      <c r="G132" s="16" t="s">
        <v>703</v>
      </c>
      <c r="H132" s="16" t="s">
        <v>705</v>
      </c>
      <c r="I132" s="17">
        <v>45325</v>
      </c>
    </row>
    <row r="133" spans="1:9" x14ac:dyDescent="0.15">
      <c r="A133" s="16" t="s">
        <v>712</v>
      </c>
      <c r="B133" s="7" t="s">
        <v>9</v>
      </c>
      <c r="C133" s="16" t="s">
        <v>40</v>
      </c>
      <c r="D133" s="16" t="s">
        <v>41</v>
      </c>
      <c r="E133" s="13" t="str">
        <f>+HYPERLINK("http://trademark.i-assist.jp/data/china/image_1891th/76767616.pdf","76767616")</f>
        <v>76767616</v>
      </c>
      <c r="F133" s="16" t="s">
        <v>11092</v>
      </c>
      <c r="G133" s="16" t="s">
        <v>709</v>
      </c>
      <c r="H133" s="16" t="s">
        <v>711</v>
      </c>
      <c r="I133" s="17">
        <v>45325</v>
      </c>
    </row>
    <row r="134" spans="1:9" x14ac:dyDescent="0.15">
      <c r="A134" s="16" t="s">
        <v>718</v>
      </c>
      <c r="B134" s="7" t="s">
        <v>9</v>
      </c>
      <c r="C134" s="16" t="s">
        <v>40</v>
      </c>
      <c r="D134" s="16" t="s">
        <v>41</v>
      </c>
      <c r="E134" s="13" t="str">
        <f>+HYPERLINK("http://trademark.i-assist.jp/data/china/image_1891th/76785970.pdf","76785970")</f>
        <v>76785970</v>
      </c>
      <c r="F134" s="16" t="s">
        <v>715</v>
      </c>
      <c r="G134" s="16" t="s">
        <v>714</v>
      </c>
      <c r="H134" s="16" t="s">
        <v>716</v>
      </c>
      <c r="I134" s="17">
        <v>45327</v>
      </c>
    </row>
    <row r="135" spans="1:9" x14ac:dyDescent="0.15">
      <c r="A135" s="16" t="s">
        <v>722</v>
      </c>
      <c r="B135" s="7" t="s">
        <v>9</v>
      </c>
      <c r="C135" s="16" t="s">
        <v>40</v>
      </c>
      <c r="D135" s="16" t="s">
        <v>41</v>
      </c>
      <c r="E135" s="13" t="str">
        <f>+HYPERLINK("http://trademark.i-assist.jp/data/china/image_1891th/76786106.pdf","76786106")</f>
        <v>76786106</v>
      </c>
      <c r="F135" s="16" t="s">
        <v>720</v>
      </c>
      <c r="G135" s="16" t="s">
        <v>714</v>
      </c>
      <c r="H135" s="16" t="s">
        <v>721</v>
      </c>
      <c r="I135" s="17">
        <v>45327</v>
      </c>
    </row>
    <row r="136" spans="1:9" x14ac:dyDescent="0.15">
      <c r="A136" s="16" t="s">
        <v>726</v>
      </c>
      <c r="B136" s="7" t="s">
        <v>9</v>
      </c>
      <c r="C136" s="16" t="s">
        <v>40</v>
      </c>
      <c r="D136" s="16" t="s">
        <v>41</v>
      </c>
      <c r="E136" s="13" t="str">
        <f>+HYPERLINK("http://trademark.i-assist.jp/data/china/image_1891th/76786112.pdf","76786112")</f>
        <v>76786112</v>
      </c>
      <c r="F136" s="16" t="s">
        <v>724</v>
      </c>
      <c r="G136" s="16" t="s">
        <v>714</v>
      </c>
      <c r="H136" s="16" t="s">
        <v>725</v>
      </c>
      <c r="I136" s="17">
        <v>45327</v>
      </c>
    </row>
    <row r="137" spans="1:9" x14ac:dyDescent="0.15">
      <c r="A137" s="16" t="s">
        <v>730</v>
      </c>
      <c r="B137" s="7" t="s">
        <v>9</v>
      </c>
      <c r="C137" s="16" t="s">
        <v>40</v>
      </c>
      <c r="D137" s="16" t="s">
        <v>41</v>
      </c>
      <c r="E137" s="13" t="str">
        <f>+HYPERLINK("http://trademark.i-assist.jp/data/china/image_1891th/76786125.pdf","76786125")</f>
        <v>76786125</v>
      </c>
      <c r="F137" s="16" t="s">
        <v>728</v>
      </c>
      <c r="G137" s="16" t="s">
        <v>714</v>
      </c>
      <c r="H137" s="16" t="s">
        <v>729</v>
      </c>
      <c r="I137" s="17">
        <v>45327</v>
      </c>
    </row>
    <row r="138" spans="1:9" x14ac:dyDescent="0.15">
      <c r="A138" s="16" t="s">
        <v>896</v>
      </c>
      <c r="B138" s="7" t="s">
        <v>9</v>
      </c>
      <c r="C138" s="16" t="s">
        <v>40</v>
      </c>
      <c r="D138" s="16" t="s">
        <v>41</v>
      </c>
      <c r="E138" s="13" t="str">
        <f>+HYPERLINK("http://trademark.i-assist.jp/data/china/image_1891th/76786222.pdf","76786222")</f>
        <v>76786222</v>
      </c>
      <c r="F138" s="16" t="s">
        <v>732</v>
      </c>
      <c r="G138" s="16" t="s">
        <v>714</v>
      </c>
      <c r="H138" s="16" t="s">
        <v>733</v>
      </c>
      <c r="I138" s="17">
        <v>45327</v>
      </c>
    </row>
    <row r="139" spans="1:9" x14ac:dyDescent="0.15">
      <c r="A139" s="16" t="s">
        <v>900</v>
      </c>
      <c r="B139" s="7" t="s">
        <v>9</v>
      </c>
      <c r="C139" s="16" t="s">
        <v>40</v>
      </c>
      <c r="D139" s="16" t="s">
        <v>41</v>
      </c>
      <c r="E139" s="13" t="str">
        <f>+HYPERLINK("http://trademark.i-assist.jp/data/china/image_1891th/76786422.pdf","76786422")</f>
        <v>76786422</v>
      </c>
      <c r="F139" s="16" t="s">
        <v>898</v>
      </c>
      <c r="G139" s="16" t="s">
        <v>714</v>
      </c>
      <c r="H139" s="16" t="s">
        <v>899</v>
      </c>
      <c r="I139" s="17">
        <v>45327</v>
      </c>
    </row>
    <row r="140" spans="1:9" x14ac:dyDescent="0.15">
      <c r="A140" s="16" t="s">
        <v>904</v>
      </c>
      <c r="B140" s="7" t="s">
        <v>9</v>
      </c>
      <c r="C140" s="16" t="s">
        <v>40</v>
      </c>
      <c r="D140" s="16" t="s">
        <v>41</v>
      </c>
      <c r="E140" s="13" t="str">
        <f>+HYPERLINK("http://trademark.i-assist.jp/data/china/image_1891th/76787560.pdf","76787560")</f>
        <v>76787560</v>
      </c>
      <c r="F140" s="16" t="s">
        <v>902</v>
      </c>
      <c r="G140" s="16" t="s">
        <v>714</v>
      </c>
      <c r="H140" s="16" t="s">
        <v>903</v>
      </c>
      <c r="I140" s="17">
        <v>45327</v>
      </c>
    </row>
    <row r="141" spans="1:9" x14ac:dyDescent="0.15">
      <c r="A141" s="16" t="s">
        <v>908</v>
      </c>
      <c r="B141" s="7" t="s">
        <v>9</v>
      </c>
      <c r="C141" s="16" t="s">
        <v>40</v>
      </c>
      <c r="D141" s="16" t="s">
        <v>41</v>
      </c>
      <c r="E141" s="13" t="str">
        <f>+HYPERLINK("http://trademark.i-assist.jp/data/china/image_1891th/76787729.pdf","76787729")</f>
        <v>76787729</v>
      </c>
      <c r="F141" s="16" t="s">
        <v>906</v>
      </c>
      <c r="G141" s="16" t="s">
        <v>714</v>
      </c>
      <c r="H141" s="16" t="s">
        <v>907</v>
      </c>
      <c r="I141" s="17">
        <v>45327</v>
      </c>
    </row>
    <row r="142" spans="1:9" x14ac:dyDescent="0.15">
      <c r="A142" s="16" t="s">
        <v>912</v>
      </c>
      <c r="B142" s="7" t="s">
        <v>9</v>
      </c>
      <c r="C142" s="16" t="s">
        <v>40</v>
      </c>
      <c r="D142" s="16" t="s">
        <v>41</v>
      </c>
      <c r="E142" s="13" t="str">
        <f>+HYPERLINK("http://trademark.i-assist.jp/data/china/image_1891th/76787746.pdf","76787746")</f>
        <v>76787746</v>
      </c>
      <c r="F142" s="16" t="s">
        <v>910</v>
      </c>
      <c r="G142" s="16" t="s">
        <v>714</v>
      </c>
      <c r="H142" s="16" t="s">
        <v>911</v>
      </c>
      <c r="I142" s="17">
        <v>45327</v>
      </c>
    </row>
    <row r="143" spans="1:9" x14ac:dyDescent="0.15">
      <c r="A143" s="16" t="s">
        <v>916</v>
      </c>
      <c r="B143" s="7" t="s">
        <v>9</v>
      </c>
      <c r="C143" s="16" t="s">
        <v>40</v>
      </c>
      <c r="D143" s="16" t="s">
        <v>41</v>
      </c>
      <c r="E143" s="13" t="str">
        <f>+HYPERLINK("http://trademark.i-assist.jp/data/china/image_1891th/76789029.pdf","76789029")</f>
        <v>76789029</v>
      </c>
      <c r="F143" s="16" t="s">
        <v>914</v>
      </c>
      <c r="G143" s="16" t="s">
        <v>714</v>
      </c>
      <c r="H143" s="16" t="s">
        <v>915</v>
      </c>
      <c r="I143" s="17">
        <v>45327</v>
      </c>
    </row>
    <row r="144" spans="1:9" x14ac:dyDescent="0.15">
      <c r="A144" s="16" t="s">
        <v>920</v>
      </c>
      <c r="B144" s="7" t="s">
        <v>9</v>
      </c>
      <c r="C144" s="16" t="s">
        <v>40</v>
      </c>
      <c r="D144" s="16" t="s">
        <v>41</v>
      </c>
      <c r="E144" s="13" t="str">
        <f>+HYPERLINK("http://trademark.i-assist.jp/data/china/image_1891th/76789281.pdf","76789281")</f>
        <v>76789281</v>
      </c>
      <c r="F144" s="16" t="s">
        <v>918</v>
      </c>
      <c r="G144" s="16" t="s">
        <v>714</v>
      </c>
      <c r="H144" s="16" t="s">
        <v>919</v>
      </c>
      <c r="I144" s="17">
        <v>45327</v>
      </c>
    </row>
    <row r="145" spans="1:9" x14ac:dyDescent="0.15">
      <c r="A145" s="16" t="s">
        <v>924</v>
      </c>
      <c r="B145" s="7" t="s">
        <v>9</v>
      </c>
      <c r="C145" s="16" t="s">
        <v>40</v>
      </c>
      <c r="D145" s="16" t="s">
        <v>41</v>
      </c>
      <c r="E145" s="13" t="str">
        <f>+HYPERLINK("http://trademark.i-assist.jp/data/china/image_1891th/76790508.pdf","76790508")</f>
        <v>76790508</v>
      </c>
      <c r="F145" s="16" t="s">
        <v>922</v>
      </c>
      <c r="G145" s="16" t="s">
        <v>714</v>
      </c>
      <c r="H145" s="16" t="s">
        <v>923</v>
      </c>
      <c r="I145" s="17">
        <v>45327</v>
      </c>
    </row>
    <row r="146" spans="1:9" x14ac:dyDescent="0.15">
      <c r="A146" s="16" t="s">
        <v>928</v>
      </c>
      <c r="B146" s="7" t="s">
        <v>9</v>
      </c>
      <c r="C146" s="16" t="s">
        <v>40</v>
      </c>
      <c r="D146" s="16" t="s">
        <v>41</v>
      </c>
      <c r="E146" s="13" t="str">
        <f>+HYPERLINK("http://trademark.i-assist.jp/data/china/image_1891th/76790566.pdf","76790566")</f>
        <v>76790566</v>
      </c>
      <c r="F146" s="16" t="s">
        <v>926</v>
      </c>
      <c r="G146" s="16" t="s">
        <v>714</v>
      </c>
      <c r="H146" s="16" t="s">
        <v>927</v>
      </c>
      <c r="I146" s="17">
        <v>45327</v>
      </c>
    </row>
    <row r="147" spans="1:9" x14ac:dyDescent="0.15">
      <c r="A147" s="16" t="s">
        <v>932</v>
      </c>
      <c r="B147" s="7" t="s">
        <v>9</v>
      </c>
      <c r="C147" s="16" t="s">
        <v>40</v>
      </c>
      <c r="D147" s="16" t="s">
        <v>41</v>
      </c>
      <c r="E147" s="13" t="str">
        <f>+HYPERLINK("http://trademark.i-assist.jp/data/china/image_1891th/76790583.pdf","76790583")</f>
        <v>76790583</v>
      </c>
      <c r="F147" s="16" t="s">
        <v>930</v>
      </c>
      <c r="G147" s="16" t="s">
        <v>714</v>
      </c>
      <c r="H147" s="16" t="s">
        <v>931</v>
      </c>
      <c r="I147" s="17">
        <v>45327</v>
      </c>
    </row>
    <row r="148" spans="1:9" x14ac:dyDescent="0.15">
      <c r="A148" s="16" t="s">
        <v>936</v>
      </c>
      <c r="B148" s="7" t="s">
        <v>9</v>
      </c>
      <c r="C148" s="16" t="s">
        <v>40</v>
      </c>
      <c r="D148" s="16" t="s">
        <v>41</v>
      </c>
      <c r="E148" s="13" t="str">
        <f>+HYPERLINK("http://trademark.i-assist.jp/data/china/image_1891th/76790673.pdf","76790673")</f>
        <v>76790673</v>
      </c>
      <c r="F148" s="16" t="s">
        <v>934</v>
      </c>
      <c r="G148" s="16" t="s">
        <v>714</v>
      </c>
      <c r="H148" s="16" t="s">
        <v>935</v>
      </c>
      <c r="I148" s="17">
        <v>45327</v>
      </c>
    </row>
    <row r="149" spans="1:9" x14ac:dyDescent="0.15">
      <c r="A149" s="16" t="s">
        <v>940</v>
      </c>
      <c r="B149" s="7" t="s">
        <v>9</v>
      </c>
      <c r="C149" s="16" t="s">
        <v>40</v>
      </c>
      <c r="D149" s="16" t="s">
        <v>41</v>
      </c>
      <c r="E149" s="13" t="str">
        <f>+HYPERLINK("http://trademark.i-assist.jp/data/china/image_1891th/76791242.pdf","76791242")</f>
        <v>76791242</v>
      </c>
      <c r="F149" s="16" t="s">
        <v>938</v>
      </c>
      <c r="G149" s="16" t="s">
        <v>714</v>
      </c>
      <c r="H149" s="16" t="s">
        <v>939</v>
      </c>
      <c r="I149" s="17">
        <v>45327</v>
      </c>
    </row>
    <row r="150" spans="1:9" x14ac:dyDescent="0.15">
      <c r="A150" s="16" t="s">
        <v>944</v>
      </c>
      <c r="B150" s="7" t="s">
        <v>9</v>
      </c>
      <c r="C150" s="16" t="s">
        <v>40</v>
      </c>
      <c r="D150" s="16" t="s">
        <v>41</v>
      </c>
      <c r="E150" s="13" t="str">
        <f>+HYPERLINK("http://trademark.i-assist.jp/data/china/image_1891th/76791286.pdf","76791286")</f>
        <v>76791286</v>
      </c>
      <c r="F150" s="16" t="s">
        <v>942</v>
      </c>
      <c r="G150" s="16" t="s">
        <v>714</v>
      </c>
      <c r="H150" s="16" t="s">
        <v>943</v>
      </c>
      <c r="I150" s="17">
        <v>45327</v>
      </c>
    </row>
    <row r="151" spans="1:9" x14ac:dyDescent="0.15">
      <c r="A151" s="16" t="s">
        <v>948</v>
      </c>
      <c r="B151" s="7" t="s">
        <v>9</v>
      </c>
      <c r="C151" s="16" t="s">
        <v>40</v>
      </c>
      <c r="D151" s="16" t="s">
        <v>41</v>
      </c>
      <c r="E151" s="13" t="str">
        <f>+HYPERLINK("http://trademark.i-assist.jp/data/china/image_1891th/76791292.pdf","76791292")</f>
        <v>76791292</v>
      </c>
      <c r="F151" s="16" t="s">
        <v>946</v>
      </c>
      <c r="G151" s="16" t="s">
        <v>714</v>
      </c>
      <c r="H151" s="16" t="s">
        <v>947</v>
      </c>
      <c r="I151" s="17">
        <v>45327</v>
      </c>
    </row>
    <row r="152" spans="1:9" x14ac:dyDescent="0.15">
      <c r="A152" s="16" t="s">
        <v>952</v>
      </c>
      <c r="B152" s="7" t="s">
        <v>9</v>
      </c>
      <c r="C152" s="16" t="s">
        <v>40</v>
      </c>
      <c r="D152" s="16" t="s">
        <v>41</v>
      </c>
      <c r="E152" s="13" t="str">
        <f>+HYPERLINK("http://trademark.i-assist.jp/data/china/image_1891th/76791297.pdf","76791297")</f>
        <v>76791297</v>
      </c>
      <c r="F152" s="16" t="s">
        <v>950</v>
      </c>
      <c r="G152" s="16" t="s">
        <v>714</v>
      </c>
      <c r="H152" s="16" t="s">
        <v>951</v>
      </c>
      <c r="I152" s="17">
        <v>45327</v>
      </c>
    </row>
    <row r="153" spans="1:9" x14ac:dyDescent="0.15">
      <c r="A153" s="16" t="s">
        <v>956</v>
      </c>
      <c r="B153" s="7" t="s">
        <v>9</v>
      </c>
      <c r="C153" s="16" t="s">
        <v>40</v>
      </c>
      <c r="D153" s="16" t="s">
        <v>41</v>
      </c>
      <c r="E153" s="13" t="str">
        <f>+HYPERLINK("http://trademark.i-assist.jp/data/china/image_1891th/76792357.pdf","76792357")</f>
        <v>76792357</v>
      </c>
      <c r="F153" s="16" t="s">
        <v>954</v>
      </c>
      <c r="G153" s="16" t="s">
        <v>714</v>
      </c>
      <c r="H153" s="16" t="s">
        <v>955</v>
      </c>
      <c r="I153" s="17">
        <v>45327</v>
      </c>
    </row>
    <row r="154" spans="1:9" x14ac:dyDescent="0.15">
      <c r="A154" s="16" t="s">
        <v>960</v>
      </c>
      <c r="B154" s="7" t="s">
        <v>9</v>
      </c>
      <c r="C154" s="16" t="s">
        <v>40</v>
      </c>
      <c r="D154" s="16" t="s">
        <v>41</v>
      </c>
      <c r="E154" s="13" t="str">
        <f>+HYPERLINK("http://trademark.i-assist.jp/data/china/image_1891th/76792782.pdf","76792782")</f>
        <v>76792782</v>
      </c>
      <c r="F154" s="16" t="s">
        <v>958</v>
      </c>
      <c r="G154" s="16" t="s">
        <v>714</v>
      </c>
      <c r="H154" s="16" t="s">
        <v>959</v>
      </c>
      <c r="I154" s="17">
        <v>45327</v>
      </c>
    </row>
    <row r="155" spans="1:9" x14ac:dyDescent="0.15">
      <c r="A155" s="16" t="s">
        <v>964</v>
      </c>
      <c r="B155" s="7" t="s">
        <v>9</v>
      </c>
      <c r="C155" s="16" t="s">
        <v>40</v>
      </c>
      <c r="D155" s="16" t="s">
        <v>41</v>
      </c>
      <c r="E155" s="13" t="str">
        <f>+HYPERLINK("http://trademark.i-assist.jp/data/china/image_1891th/76793240.pdf","76793240")</f>
        <v>76793240</v>
      </c>
      <c r="F155" s="16" t="s">
        <v>962</v>
      </c>
      <c r="G155" s="16" t="s">
        <v>714</v>
      </c>
      <c r="H155" s="16" t="s">
        <v>963</v>
      </c>
      <c r="I155" s="17">
        <v>45327</v>
      </c>
    </row>
    <row r="156" spans="1:9" x14ac:dyDescent="0.15">
      <c r="A156" s="16" t="s">
        <v>968</v>
      </c>
      <c r="B156" s="7" t="s">
        <v>9</v>
      </c>
      <c r="C156" s="16" t="s">
        <v>40</v>
      </c>
      <c r="D156" s="16" t="s">
        <v>41</v>
      </c>
      <c r="E156" s="13" t="str">
        <f>+HYPERLINK("http://trademark.i-assist.jp/data/china/image_1891th/76793293.pdf","76793293")</f>
        <v>76793293</v>
      </c>
      <c r="F156" s="16" t="s">
        <v>966</v>
      </c>
      <c r="G156" s="16" t="s">
        <v>714</v>
      </c>
      <c r="H156" s="16" t="s">
        <v>967</v>
      </c>
      <c r="I156" s="17">
        <v>45327</v>
      </c>
    </row>
    <row r="157" spans="1:9" x14ac:dyDescent="0.15">
      <c r="A157" s="16" t="s">
        <v>972</v>
      </c>
      <c r="B157" s="7" t="s">
        <v>9</v>
      </c>
      <c r="C157" s="16" t="s">
        <v>40</v>
      </c>
      <c r="D157" s="16" t="s">
        <v>41</v>
      </c>
      <c r="E157" s="13" t="str">
        <f>+HYPERLINK("http://trademark.i-assist.jp/data/china/image_1891th/76793308.pdf","76793308")</f>
        <v>76793308</v>
      </c>
      <c r="F157" s="16" t="s">
        <v>970</v>
      </c>
      <c r="G157" s="16" t="s">
        <v>714</v>
      </c>
      <c r="H157" s="16" t="s">
        <v>971</v>
      </c>
      <c r="I157" s="17">
        <v>45327</v>
      </c>
    </row>
    <row r="158" spans="1:9" x14ac:dyDescent="0.15">
      <c r="A158" s="16" t="s">
        <v>976</v>
      </c>
      <c r="B158" s="7" t="s">
        <v>9</v>
      </c>
      <c r="C158" s="16" t="s">
        <v>40</v>
      </c>
      <c r="D158" s="16" t="s">
        <v>41</v>
      </c>
      <c r="E158" s="13" t="str">
        <f>+HYPERLINK("http://trademark.i-assist.jp/data/china/image_1891th/76793675.pdf","76793675")</f>
        <v>76793675</v>
      </c>
      <c r="F158" s="16" t="s">
        <v>974</v>
      </c>
      <c r="G158" s="16" t="s">
        <v>714</v>
      </c>
      <c r="H158" s="16" t="s">
        <v>975</v>
      </c>
      <c r="I158" s="17">
        <v>45327</v>
      </c>
    </row>
    <row r="159" spans="1:9" x14ac:dyDescent="0.15">
      <c r="A159" s="16" t="s">
        <v>980</v>
      </c>
      <c r="B159" s="7" t="s">
        <v>9</v>
      </c>
      <c r="C159" s="16" t="s">
        <v>40</v>
      </c>
      <c r="D159" s="16" t="s">
        <v>41</v>
      </c>
      <c r="E159" s="13" t="str">
        <f>+HYPERLINK("http://trademark.i-assist.jp/data/china/image_1891th/76794086.pdf","76794086")</f>
        <v>76794086</v>
      </c>
      <c r="F159" s="16" t="s">
        <v>978</v>
      </c>
      <c r="G159" s="16" t="s">
        <v>714</v>
      </c>
      <c r="H159" s="16" t="s">
        <v>979</v>
      </c>
      <c r="I159" s="17">
        <v>45327</v>
      </c>
    </row>
    <row r="160" spans="1:9" x14ac:dyDescent="0.15">
      <c r="A160" s="16" t="s">
        <v>984</v>
      </c>
      <c r="B160" s="7" t="s">
        <v>9</v>
      </c>
      <c r="C160" s="16" t="s">
        <v>40</v>
      </c>
      <c r="D160" s="16" t="s">
        <v>41</v>
      </c>
      <c r="E160" s="13" t="str">
        <f>+HYPERLINK("http://trademark.i-assist.jp/data/china/image_1891th/76794106.pdf","76794106")</f>
        <v>76794106</v>
      </c>
      <c r="F160" s="16" t="s">
        <v>982</v>
      </c>
      <c r="G160" s="16" t="s">
        <v>714</v>
      </c>
      <c r="H160" s="16" t="s">
        <v>983</v>
      </c>
      <c r="I160" s="17">
        <v>45327</v>
      </c>
    </row>
    <row r="161" spans="1:9" x14ac:dyDescent="0.15">
      <c r="A161" s="16" t="s">
        <v>988</v>
      </c>
      <c r="B161" s="7" t="s">
        <v>9</v>
      </c>
      <c r="C161" s="16" t="s">
        <v>40</v>
      </c>
      <c r="D161" s="16" t="s">
        <v>41</v>
      </c>
      <c r="E161" s="13" t="str">
        <f>+HYPERLINK("http://trademark.i-assist.jp/data/china/image_1891th/76794240.pdf","76794240")</f>
        <v>76794240</v>
      </c>
      <c r="F161" s="16" t="s">
        <v>986</v>
      </c>
      <c r="G161" s="16" t="s">
        <v>714</v>
      </c>
      <c r="H161" s="16" t="s">
        <v>987</v>
      </c>
      <c r="I161" s="17">
        <v>45327</v>
      </c>
    </row>
    <row r="162" spans="1:9" x14ac:dyDescent="0.15">
      <c r="A162" s="16" t="s">
        <v>992</v>
      </c>
      <c r="B162" s="7" t="s">
        <v>9</v>
      </c>
      <c r="C162" s="16" t="s">
        <v>40</v>
      </c>
      <c r="D162" s="16" t="s">
        <v>41</v>
      </c>
      <c r="E162" s="13" t="str">
        <f>+HYPERLINK("http://trademark.i-assist.jp/data/china/image_1891th/76794324.pdf","76794324")</f>
        <v>76794324</v>
      </c>
      <c r="F162" s="16" t="s">
        <v>990</v>
      </c>
      <c r="G162" s="16" t="s">
        <v>714</v>
      </c>
      <c r="H162" s="16" t="s">
        <v>991</v>
      </c>
      <c r="I162" s="17">
        <v>45327</v>
      </c>
    </row>
    <row r="163" spans="1:9" x14ac:dyDescent="0.15">
      <c r="A163" s="16" t="s">
        <v>996</v>
      </c>
      <c r="B163" s="7" t="s">
        <v>9</v>
      </c>
      <c r="C163" s="16" t="s">
        <v>40</v>
      </c>
      <c r="D163" s="16" t="s">
        <v>41</v>
      </c>
      <c r="E163" s="13" t="str">
        <f>+HYPERLINK("http://trademark.i-assist.jp/data/china/image_1891th/76794380.pdf","76794380")</f>
        <v>76794380</v>
      </c>
      <c r="F163" s="16" t="s">
        <v>994</v>
      </c>
      <c r="G163" s="16" t="s">
        <v>714</v>
      </c>
      <c r="H163" s="16" t="s">
        <v>995</v>
      </c>
      <c r="I163" s="17">
        <v>45327</v>
      </c>
    </row>
    <row r="164" spans="1:9" x14ac:dyDescent="0.15">
      <c r="A164" s="16" t="s">
        <v>1000</v>
      </c>
      <c r="B164" s="7" t="s">
        <v>9</v>
      </c>
      <c r="C164" s="16" t="s">
        <v>40</v>
      </c>
      <c r="D164" s="16" t="s">
        <v>41</v>
      </c>
      <c r="E164" s="13" t="str">
        <f>+HYPERLINK("http://trademark.i-assist.jp/data/china/image_1891th/76794439.pdf","76794439")</f>
        <v>76794439</v>
      </c>
      <c r="F164" s="16" t="s">
        <v>998</v>
      </c>
      <c r="G164" s="16" t="s">
        <v>714</v>
      </c>
      <c r="H164" s="16" t="s">
        <v>999</v>
      </c>
      <c r="I164" s="17">
        <v>45327</v>
      </c>
    </row>
    <row r="165" spans="1:9" x14ac:dyDescent="0.15">
      <c r="A165" s="16" t="s">
        <v>1005</v>
      </c>
      <c r="B165" s="7" t="s">
        <v>9</v>
      </c>
      <c r="C165" s="16" t="s">
        <v>40</v>
      </c>
      <c r="D165" s="16" t="s">
        <v>41</v>
      </c>
      <c r="E165" s="13" t="str">
        <f>+HYPERLINK("http://trademark.i-assist.jp/data/china/image_1891th/76794884.pdf","76794884")</f>
        <v>76794884</v>
      </c>
      <c r="F165" s="16" t="s">
        <v>11093</v>
      </c>
      <c r="G165" s="16" t="s">
        <v>1002</v>
      </c>
      <c r="H165" s="16" t="s">
        <v>1004</v>
      </c>
      <c r="I165" s="17">
        <v>45327</v>
      </c>
    </row>
    <row r="166" spans="1:9" x14ac:dyDescent="0.15">
      <c r="A166" s="16" t="s">
        <v>1010</v>
      </c>
      <c r="B166" s="7" t="s">
        <v>9</v>
      </c>
      <c r="C166" s="16" t="s">
        <v>40</v>
      </c>
      <c r="D166" s="16" t="s">
        <v>41</v>
      </c>
      <c r="E166" s="13" t="str">
        <f>+HYPERLINK("http://trademark.i-assist.jp/data/china/image_1891th/76795030.pdf","76795030")</f>
        <v>76795030</v>
      </c>
      <c r="F166" s="16" t="s">
        <v>1008</v>
      </c>
      <c r="G166" s="16" t="s">
        <v>1007</v>
      </c>
      <c r="H166" s="16" t="s">
        <v>1009</v>
      </c>
      <c r="I166" s="17">
        <v>45327</v>
      </c>
    </row>
    <row r="167" spans="1:9" x14ac:dyDescent="0.15">
      <c r="A167" s="16" t="s">
        <v>1014</v>
      </c>
      <c r="B167" s="7" t="s">
        <v>9</v>
      </c>
      <c r="C167" s="16" t="s">
        <v>40</v>
      </c>
      <c r="D167" s="16" t="s">
        <v>41</v>
      </c>
      <c r="E167" s="13" t="str">
        <f>+HYPERLINK("http://trademark.i-assist.jp/data/china/image_1891th/76795183.pdf","76795183")</f>
        <v>76795183</v>
      </c>
      <c r="F167" s="16" t="s">
        <v>1012</v>
      </c>
      <c r="G167" s="16" t="s">
        <v>714</v>
      </c>
      <c r="H167" s="16" t="s">
        <v>1013</v>
      </c>
      <c r="I167" s="17">
        <v>45327</v>
      </c>
    </row>
    <row r="168" spans="1:9" x14ac:dyDescent="0.15">
      <c r="A168" s="16" t="s">
        <v>1018</v>
      </c>
      <c r="B168" s="7" t="s">
        <v>9</v>
      </c>
      <c r="C168" s="16" t="s">
        <v>40</v>
      </c>
      <c r="D168" s="16" t="s">
        <v>41</v>
      </c>
      <c r="E168" s="13" t="str">
        <f>+HYPERLINK("http://trademark.i-assist.jp/data/china/image_1891th/76795186.pdf","76795186")</f>
        <v>76795186</v>
      </c>
      <c r="F168" s="16" t="s">
        <v>1016</v>
      </c>
      <c r="G168" s="16" t="s">
        <v>714</v>
      </c>
      <c r="H168" s="16" t="s">
        <v>1017</v>
      </c>
      <c r="I168" s="17">
        <v>45327</v>
      </c>
    </row>
    <row r="169" spans="1:9" x14ac:dyDescent="0.15">
      <c r="A169" s="16" t="s">
        <v>1022</v>
      </c>
      <c r="B169" s="7" t="s">
        <v>9</v>
      </c>
      <c r="C169" s="16" t="s">
        <v>40</v>
      </c>
      <c r="D169" s="16" t="s">
        <v>41</v>
      </c>
      <c r="E169" s="13" t="str">
        <f>+HYPERLINK("http://trademark.i-assist.jp/data/china/image_1891th/76795571.pdf","76795571")</f>
        <v>76795571</v>
      </c>
      <c r="F169" s="16" t="s">
        <v>1020</v>
      </c>
      <c r="G169" s="16" t="s">
        <v>714</v>
      </c>
      <c r="H169" s="16" t="s">
        <v>1021</v>
      </c>
      <c r="I169" s="17">
        <v>45327</v>
      </c>
    </row>
    <row r="170" spans="1:9" x14ac:dyDescent="0.15">
      <c r="A170" s="16" t="s">
        <v>1026</v>
      </c>
      <c r="B170" s="7" t="s">
        <v>9</v>
      </c>
      <c r="C170" s="16" t="s">
        <v>40</v>
      </c>
      <c r="D170" s="16" t="s">
        <v>41</v>
      </c>
      <c r="E170" s="13" t="str">
        <f>+HYPERLINK("http://trademark.i-assist.jp/data/china/image_1891th/76795574.pdf","76795574")</f>
        <v>76795574</v>
      </c>
      <c r="F170" s="16" t="s">
        <v>1024</v>
      </c>
      <c r="G170" s="16" t="s">
        <v>714</v>
      </c>
      <c r="H170" s="16" t="s">
        <v>1025</v>
      </c>
      <c r="I170" s="17">
        <v>45327</v>
      </c>
    </row>
    <row r="171" spans="1:9" x14ac:dyDescent="0.15">
      <c r="A171" s="16" t="s">
        <v>1030</v>
      </c>
      <c r="B171" s="7" t="s">
        <v>9</v>
      </c>
      <c r="C171" s="16" t="s">
        <v>40</v>
      </c>
      <c r="D171" s="16" t="s">
        <v>41</v>
      </c>
      <c r="E171" s="13" t="str">
        <f>+HYPERLINK("http://trademark.i-assist.jp/data/china/image_1891th/76795653.pdf","76795653")</f>
        <v>76795653</v>
      </c>
      <c r="F171" s="16" t="s">
        <v>1028</v>
      </c>
      <c r="G171" s="16" t="s">
        <v>714</v>
      </c>
      <c r="H171" s="16" t="s">
        <v>1029</v>
      </c>
      <c r="I171" s="17">
        <v>45327</v>
      </c>
    </row>
    <row r="172" spans="1:9" x14ac:dyDescent="0.15">
      <c r="A172" s="16" t="s">
        <v>1034</v>
      </c>
      <c r="B172" s="7" t="s">
        <v>9</v>
      </c>
      <c r="C172" s="16" t="s">
        <v>40</v>
      </c>
      <c r="D172" s="16" t="s">
        <v>41</v>
      </c>
      <c r="E172" s="13" t="str">
        <f>+HYPERLINK("http://trademark.i-assist.jp/data/china/image_1891th/76795815.pdf","76795815")</f>
        <v>76795815</v>
      </c>
      <c r="F172" s="16" t="s">
        <v>1032</v>
      </c>
      <c r="G172" s="16" t="s">
        <v>714</v>
      </c>
      <c r="H172" s="16" t="s">
        <v>1033</v>
      </c>
      <c r="I172" s="17">
        <v>45327</v>
      </c>
    </row>
    <row r="173" spans="1:9" x14ac:dyDescent="0.15">
      <c r="A173" s="16" t="s">
        <v>1038</v>
      </c>
      <c r="B173" s="7" t="s">
        <v>9</v>
      </c>
      <c r="C173" s="16" t="s">
        <v>40</v>
      </c>
      <c r="D173" s="16" t="s">
        <v>41</v>
      </c>
      <c r="E173" s="13" t="str">
        <f>+HYPERLINK("http://trademark.i-assist.jp/data/china/image_1891th/76795832.pdf","76795832")</f>
        <v>76795832</v>
      </c>
      <c r="F173" s="16" t="s">
        <v>1036</v>
      </c>
      <c r="G173" s="16" t="s">
        <v>714</v>
      </c>
      <c r="H173" s="16" t="s">
        <v>1037</v>
      </c>
      <c r="I173" s="17">
        <v>45327</v>
      </c>
    </row>
    <row r="174" spans="1:9" x14ac:dyDescent="0.15">
      <c r="A174" s="16" t="s">
        <v>1042</v>
      </c>
      <c r="B174" s="7" t="s">
        <v>9</v>
      </c>
      <c r="C174" s="16" t="s">
        <v>40</v>
      </c>
      <c r="D174" s="16" t="s">
        <v>41</v>
      </c>
      <c r="E174" s="13" t="str">
        <f>+HYPERLINK("http://trademark.i-assist.jp/data/china/image_1891th/76795854.pdf","76795854")</f>
        <v>76795854</v>
      </c>
      <c r="F174" s="16" t="s">
        <v>1040</v>
      </c>
      <c r="G174" s="16" t="s">
        <v>714</v>
      </c>
      <c r="H174" s="16" t="s">
        <v>1041</v>
      </c>
      <c r="I174" s="17">
        <v>45327</v>
      </c>
    </row>
    <row r="175" spans="1:9" x14ac:dyDescent="0.15">
      <c r="A175" s="16" t="s">
        <v>1046</v>
      </c>
      <c r="B175" s="7" t="s">
        <v>9</v>
      </c>
      <c r="C175" s="16" t="s">
        <v>40</v>
      </c>
      <c r="D175" s="16" t="s">
        <v>41</v>
      </c>
      <c r="E175" s="13" t="str">
        <f>+HYPERLINK("http://trademark.i-assist.jp/data/china/image_1891th/76795871.pdf","76795871")</f>
        <v>76795871</v>
      </c>
      <c r="F175" s="16" t="s">
        <v>1044</v>
      </c>
      <c r="G175" s="16" t="s">
        <v>714</v>
      </c>
      <c r="H175" s="16" t="s">
        <v>1045</v>
      </c>
      <c r="I175" s="17">
        <v>45327</v>
      </c>
    </row>
    <row r="176" spans="1:9" x14ac:dyDescent="0.15">
      <c r="A176" s="16" t="s">
        <v>1050</v>
      </c>
      <c r="B176" s="7" t="s">
        <v>9</v>
      </c>
      <c r="C176" s="16" t="s">
        <v>40</v>
      </c>
      <c r="D176" s="16" t="s">
        <v>41</v>
      </c>
      <c r="E176" s="13" t="str">
        <f>+HYPERLINK("http://trademark.i-assist.jp/data/china/image_1891th/76795916.pdf","76795916")</f>
        <v>76795916</v>
      </c>
      <c r="F176" s="16" t="s">
        <v>1048</v>
      </c>
      <c r="G176" s="16" t="s">
        <v>714</v>
      </c>
      <c r="H176" s="16" t="s">
        <v>1049</v>
      </c>
      <c r="I176" s="17">
        <v>45327</v>
      </c>
    </row>
    <row r="177" spans="1:9" x14ac:dyDescent="0.15">
      <c r="A177" s="16" t="s">
        <v>1054</v>
      </c>
      <c r="B177" s="7" t="s">
        <v>9</v>
      </c>
      <c r="C177" s="16" t="s">
        <v>40</v>
      </c>
      <c r="D177" s="16" t="s">
        <v>41</v>
      </c>
      <c r="E177" s="13" t="str">
        <f>+HYPERLINK("http://trademark.i-assist.jp/data/china/image_1891th/76795917.pdf","76795917")</f>
        <v>76795917</v>
      </c>
      <c r="F177" s="16" t="s">
        <v>1052</v>
      </c>
      <c r="G177" s="16" t="s">
        <v>714</v>
      </c>
      <c r="H177" s="16" t="s">
        <v>1053</v>
      </c>
      <c r="I177" s="17">
        <v>45327</v>
      </c>
    </row>
    <row r="178" spans="1:9" x14ac:dyDescent="0.15">
      <c r="A178" s="16" t="s">
        <v>1059</v>
      </c>
      <c r="B178" s="7" t="s">
        <v>9</v>
      </c>
      <c r="C178" s="16" t="s">
        <v>40</v>
      </c>
      <c r="D178" s="16" t="s">
        <v>41</v>
      </c>
      <c r="E178" s="13" t="str">
        <f>+HYPERLINK("http://trademark.i-assist.jp/data/china/image_1891th/76797295.pdf","76797295")</f>
        <v>76797295</v>
      </c>
      <c r="F178" s="16" t="s">
        <v>1057</v>
      </c>
      <c r="G178" s="16" t="s">
        <v>1056</v>
      </c>
      <c r="H178" s="16" t="s">
        <v>1058</v>
      </c>
      <c r="I178" s="17">
        <v>45327</v>
      </c>
    </row>
    <row r="179" spans="1:9" x14ac:dyDescent="0.15">
      <c r="A179" s="16" t="s">
        <v>1063</v>
      </c>
      <c r="B179" s="7" t="s">
        <v>9</v>
      </c>
      <c r="C179" s="16" t="s">
        <v>40</v>
      </c>
      <c r="D179" s="16" t="s">
        <v>41</v>
      </c>
      <c r="E179" s="13" t="str">
        <f>+HYPERLINK("http://trademark.i-assist.jp/data/china/image_1891th/76798256.pdf","76798256")</f>
        <v>76798256</v>
      </c>
      <c r="F179" s="16" t="s">
        <v>1061</v>
      </c>
      <c r="G179" s="16" t="s">
        <v>783</v>
      </c>
      <c r="H179" s="16" t="s">
        <v>1062</v>
      </c>
      <c r="I179" s="17">
        <v>45327</v>
      </c>
    </row>
    <row r="180" spans="1:9" x14ac:dyDescent="0.15">
      <c r="A180" s="16" t="s">
        <v>1067</v>
      </c>
      <c r="B180" s="7" t="s">
        <v>9</v>
      </c>
      <c r="C180" s="16" t="s">
        <v>40</v>
      </c>
      <c r="D180" s="16" t="s">
        <v>41</v>
      </c>
      <c r="E180" s="13" t="str">
        <f>+HYPERLINK("http://trademark.i-assist.jp/data/china/image_1891th/76798848.pdf","76798848")</f>
        <v>76798848</v>
      </c>
      <c r="F180" s="16" t="s">
        <v>1065</v>
      </c>
      <c r="G180" s="16" t="s">
        <v>714</v>
      </c>
      <c r="H180" s="16" t="s">
        <v>1066</v>
      </c>
      <c r="I180" s="17">
        <v>45327</v>
      </c>
    </row>
    <row r="181" spans="1:9" x14ac:dyDescent="0.15">
      <c r="A181" s="16" t="s">
        <v>1071</v>
      </c>
      <c r="B181" s="7" t="s">
        <v>9</v>
      </c>
      <c r="C181" s="16" t="s">
        <v>40</v>
      </c>
      <c r="D181" s="16" t="s">
        <v>41</v>
      </c>
      <c r="E181" s="13" t="str">
        <f>+HYPERLINK("http://trademark.i-assist.jp/data/china/image_1891th/76799663.pdf","76799663")</f>
        <v>76799663</v>
      </c>
      <c r="F181" s="16" t="s">
        <v>1069</v>
      </c>
      <c r="G181" s="16" t="s">
        <v>714</v>
      </c>
      <c r="H181" s="16" t="s">
        <v>1070</v>
      </c>
      <c r="I181" s="17">
        <v>45327</v>
      </c>
    </row>
    <row r="182" spans="1:9" x14ac:dyDescent="0.15">
      <c r="A182" s="16" t="s">
        <v>1077</v>
      </c>
      <c r="B182" s="7" t="s">
        <v>9</v>
      </c>
      <c r="C182" s="16" t="s">
        <v>40</v>
      </c>
      <c r="D182" s="16" t="s">
        <v>41</v>
      </c>
      <c r="E182" s="13" t="str">
        <f>+HYPERLINK("http://trademark.i-assist.jp/data/china/image_1891th/76812334.pdf","76812334")</f>
        <v>76812334</v>
      </c>
      <c r="F182" s="16" t="s">
        <v>1074</v>
      </c>
      <c r="G182" s="16" t="s">
        <v>1073</v>
      </c>
      <c r="H182" s="16" t="s">
        <v>1075</v>
      </c>
      <c r="I182" s="17">
        <v>45328</v>
      </c>
    </row>
    <row r="183" spans="1:9" x14ac:dyDescent="0.15">
      <c r="A183" s="16" t="s">
        <v>1083</v>
      </c>
      <c r="B183" s="7" t="s">
        <v>9</v>
      </c>
      <c r="C183" s="16" t="s">
        <v>40</v>
      </c>
      <c r="D183" s="16" t="s">
        <v>41</v>
      </c>
      <c r="E183" s="13" t="str">
        <f>+HYPERLINK("http://trademark.i-assist.jp/data/china/image_1891th/76816695.pdf","76816695")</f>
        <v>76816695</v>
      </c>
      <c r="F183" s="16" t="s">
        <v>1080</v>
      </c>
      <c r="G183" s="16" t="s">
        <v>1079</v>
      </c>
      <c r="H183" s="16" t="s">
        <v>1081</v>
      </c>
      <c r="I183" s="17">
        <v>45329</v>
      </c>
    </row>
    <row r="184" spans="1:9" x14ac:dyDescent="0.15">
      <c r="A184" s="16" t="s">
        <v>1089</v>
      </c>
      <c r="B184" s="7" t="s">
        <v>9</v>
      </c>
      <c r="C184" s="16" t="s">
        <v>40</v>
      </c>
      <c r="D184" s="16" t="s">
        <v>41</v>
      </c>
      <c r="E184" s="13" t="str">
        <f>+HYPERLINK("http://trademark.i-assist.jp/data/china/image_1891th/76839095.pdf","76839095")</f>
        <v>76839095</v>
      </c>
      <c r="F184" s="16" t="s">
        <v>1086</v>
      </c>
      <c r="G184" s="16" t="s">
        <v>1085</v>
      </c>
      <c r="H184" s="16" t="s">
        <v>1087</v>
      </c>
      <c r="I184" s="17">
        <v>45340</v>
      </c>
    </row>
    <row r="185" spans="1:9" x14ac:dyDescent="0.15">
      <c r="A185" s="16" t="s">
        <v>1094</v>
      </c>
      <c r="B185" s="7" t="s">
        <v>9</v>
      </c>
      <c r="C185" s="16" t="s">
        <v>40</v>
      </c>
      <c r="D185" s="16" t="s">
        <v>41</v>
      </c>
      <c r="E185" s="13" t="str">
        <f>+HYPERLINK("http://trademark.i-assist.jp/data/china/image_1891th/76840161.pdf","76840161")</f>
        <v>76840161</v>
      </c>
      <c r="F185" s="16" t="s">
        <v>1092</v>
      </c>
      <c r="G185" s="16" t="s">
        <v>1091</v>
      </c>
      <c r="H185" s="16" t="s">
        <v>1093</v>
      </c>
      <c r="I185" s="17">
        <v>45340</v>
      </c>
    </row>
    <row r="186" spans="1:9" x14ac:dyDescent="0.15">
      <c r="A186" s="16" t="s">
        <v>1100</v>
      </c>
      <c r="B186" s="7" t="s">
        <v>9</v>
      </c>
      <c r="C186" s="16" t="s">
        <v>40</v>
      </c>
      <c r="D186" s="16" t="s">
        <v>41</v>
      </c>
      <c r="E186" s="13" t="str">
        <f>+HYPERLINK("http://trademark.i-assist.jp/data/china/image_1891th/76845892.pdf","76845892")</f>
        <v>76845892</v>
      </c>
      <c r="F186" s="16" t="s">
        <v>1097</v>
      </c>
      <c r="G186" s="16" t="s">
        <v>1096</v>
      </c>
      <c r="H186" s="16" t="s">
        <v>1098</v>
      </c>
      <c r="I186" s="17">
        <v>45341</v>
      </c>
    </row>
    <row r="187" spans="1:9" x14ac:dyDescent="0.15">
      <c r="A187" s="16" t="s">
        <v>1105</v>
      </c>
      <c r="B187" s="7" t="s">
        <v>9</v>
      </c>
      <c r="C187" s="16" t="s">
        <v>40</v>
      </c>
      <c r="D187" s="16" t="s">
        <v>41</v>
      </c>
      <c r="E187" s="13" t="str">
        <f>+HYPERLINK("http://trademark.i-assist.jp/data/china/image_1891th/76858283.pdf","76858283")</f>
        <v>76858283</v>
      </c>
      <c r="F187" s="16" t="s">
        <v>1103</v>
      </c>
      <c r="G187" s="16" t="s">
        <v>1102</v>
      </c>
      <c r="H187" s="16" t="s">
        <v>1104</v>
      </c>
      <c r="I187" s="17">
        <v>45341</v>
      </c>
    </row>
    <row r="188" spans="1:9" x14ac:dyDescent="0.15">
      <c r="A188" s="16" t="s">
        <v>1110</v>
      </c>
      <c r="B188" s="7" t="s">
        <v>9</v>
      </c>
      <c r="C188" s="16" t="s">
        <v>40</v>
      </c>
      <c r="D188" s="16" t="s">
        <v>41</v>
      </c>
      <c r="E188" s="13" t="str">
        <f>+HYPERLINK("http://trademark.i-assist.jp/data/china/image_1891th/76861764.pdf","76861764")</f>
        <v>76861764</v>
      </c>
      <c r="F188" s="16" t="s">
        <v>1108</v>
      </c>
      <c r="G188" s="16" t="s">
        <v>1107</v>
      </c>
      <c r="H188" s="16" t="s">
        <v>1109</v>
      </c>
      <c r="I188" s="17">
        <v>45341</v>
      </c>
    </row>
    <row r="189" spans="1:9" x14ac:dyDescent="0.15">
      <c r="A189" s="16" t="s">
        <v>1116</v>
      </c>
      <c r="B189" s="7" t="s">
        <v>9</v>
      </c>
      <c r="C189" s="16" t="s">
        <v>40</v>
      </c>
      <c r="D189" s="16" t="s">
        <v>41</v>
      </c>
      <c r="E189" s="13" t="str">
        <f>+HYPERLINK("http://trademark.i-assist.jp/data/china/image_1891th/76863754.pdf","76863754")</f>
        <v>76863754</v>
      </c>
      <c r="F189" s="16" t="s">
        <v>1113</v>
      </c>
      <c r="G189" s="16" t="s">
        <v>1112</v>
      </c>
      <c r="H189" s="16" t="s">
        <v>1114</v>
      </c>
      <c r="I189" s="17">
        <v>45342</v>
      </c>
    </row>
    <row r="190" spans="1:9" x14ac:dyDescent="0.15">
      <c r="A190" s="16" t="s">
        <v>1121</v>
      </c>
      <c r="B190" s="7" t="s">
        <v>9</v>
      </c>
      <c r="C190" s="16" t="s">
        <v>40</v>
      </c>
      <c r="D190" s="16" t="s">
        <v>41</v>
      </c>
      <c r="E190" s="13" t="str">
        <f>+HYPERLINK("http://trademark.i-assist.jp/data/china/image_1891th/76867277.pdf","76867277")</f>
        <v>76867277</v>
      </c>
      <c r="F190" s="16" t="s">
        <v>1119</v>
      </c>
      <c r="G190" s="16" t="s">
        <v>1118</v>
      </c>
      <c r="H190" s="16" t="s">
        <v>1120</v>
      </c>
      <c r="I190" s="17">
        <v>45342</v>
      </c>
    </row>
    <row r="191" spans="1:9" x14ac:dyDescent="0.15">
      <c r="A191" s="16" t="s">
        <v>1125</v>
      </c>
      <c r="B191" s="7" t="s">
        <v>9</v>
      </c>
      <c r="C191" s="16" t="s">
        <v>40</v>
      </c>
      <c r="D191" s="16" t="s">
        <v>41</v>
      </c>
      <c r="E191" s="13" t="str">
        <f>+HYPERLINK("http://trademark.i-assist.jp/data/china/image_1891th/76868678.pdf","76868678")</f>
        <v>76868678</v>
      </c>
      <c r="F191" s="16" t="s">
        <v>52</v>
      </c>
      <c r="G191" s="16" t="s">
        <v>1123</v>
      </c>
      <c r="H191" s="16" t="s">
        <v>1124</v>
      </c>
      <c r="I191" s="17">
        <v>45342</v>
      </c>
    </row>
    <row r="192" spans="1:9" x14ac:dyDescent="0.15">
      <c r="A192" s="16" t="s">
        <v>1130</v>
      </c>
      <c r="B192" s="7" t="s">
        <v>9</v>
      </c>
      <c r="C192" s="16" t="s">
        <v>40</v>
      </c>
      <c r="D192" s="16" t="s">
        <v>41</v>
      </c>
      <c r="E192" s="13" t="str">
        <f>+HYPERLINK("http://trademark.i-assist.jp/data/china/image_1891th/76871322.pdf","76871322")</f>
        <v>76871322</v>
      </c>
      <c r="F192" s="16" t="s">
        <v>1128</v>
      </c>
      <c r="G192" s="16" t="s">
        <v>1127</v>
      </c>
      <c r="H192" s="16" t="s">
        <v>1129</v>
      </c>
      <c r="I192" s="17">
        <v>45342</v>
      </c>
    </row>
    <row r="193" spans="1:9" x14ac:dyDescent="0.15">
      <c r="A193" s="16" t="s">
        <v>1135</v>
      </c>
      <c r="B193" s="7" t="s">
        <v>9</v>
      </c>
      <c r="C193" s="16" t="s">
        <v>40</v>
      </c>
      <c r="D193" s="16" t="s">
        <v>41</v>
      </c>
      <c r="E193" s="13" t="str">
        <f>+HYPERLINK("http://trademark.i-assist.jp/data/china/image_1891th/76875433.pdf","76875433")</f>
        <v>76875433</v>
      </c>
      <c r="F193" s="16" t="s">
        <v>1133</v>
      </c>
      <c r="G193" s="16" t="s">
        <v>1132</v>
      </c>
      <c r="H193" s="16" t="s">
        <v>1134</v>
      </c>
      <c r="I193" s="17">
        <v>45342</v>
      </c>
    </row>
    <row r="194" spans="1:9" x14ac:dyDescent="0.15">
      <c r="A194" s="16" t="s">
        <v>1140</v>
      </c>
      <c r="B194" s="7" t="s">
        <v>9</v>
      </c>
      <c r="C194" s="16" t="s">
        <v>40</v>
      </c>
      <c r="D194" s="16" t="s">
        <v>41</v>
      </c>
      <c r="E194" s="13" t="str">
        <f>+HYPERLINK("http://trademark.i-assist.jp/data/china/image_1891th/76877742.pdf","76877742")</f>
        <v>76877742</v>
      </c>
      <c r="F194" s="16" t="s">
        <v>1138</v>
      </c>
      <c r="G194" s="16" t="s">
        <v>1137</v>
      </c>
      <c r="H194" s="16" t="s">
        <v>1139</v>
      </c>
      <c r="I194" s="17">
        <v>45342</v>
      </c>
    </row>
    <row r="195" spans="1:9" x14ac:dyDescent="0.15">
      <c r="A195" s="16" t="s">
        <v>1144</v>
      </c>
      <c r="B195" s="7" t="s">
        <v>9</v>
      </c>
      <c r="C195" s="16" t="s">
        <v>40</v>
      </c>
      <c r="D195" s="16" t="s">
        <v>41</v>
      </c>
      <c r="E195" s="13" t="str">
        <f>+HYPERLINK("http://trademark.i-assist.jp/data/china/image_1891th/76884289.pdf","76884289")</f>
        <v>76884289</v>
      </c>
      <c r="F195" s="16" t="s">
        <v>52</v>
      </c>
      <c r="G195" s="16" t="s">
        <v>714</v>
      </c>
      <c r="H195" s="16" t="s">
        <v>1142</v>
      </c>
      <c r="I195" s="17">
        <v>45343</v>
      </c>
    </row>
    <row r="196" spans="1:9" x14ac:dyDescent="0.15">
      <c r="A196" s="16" t="s">
        <v>1149</v>
      </c>
      <c r="B196" s="7" t="s">
        <v>9</v>
      </c>
      <c r="C196" s="16" t="s">
        <v>40</v>
      </c>
      <c r="D196" s="16" t="s">
        <v>41</v>
      </c>
      <c r="E196" s="13" t="str">
        <f>+HYPERLINK("http://trademark.i-assist.jp/data/china/image_1891th/76884437.pdf","76884437")</f>
        <v>76884437</v>
      </c>
      <c r="F196" s="16" t="s">
        <v>1147</v>
      </c>
      <c r="G196" s="16" t="s">
        <v>1146</v>
      </c>
      <c r="H196" s="16" t="s">
        <v>1148</v>
      </c>
      <c r="I196" s="17">
        <v>45343</v>
      </c>
    </row>
    <row r="197" spans="1:9" x14ac:dyDescent="0.15">
      <c r="A197" s="16" t="s">
        <v>1154</v>
      </c>
      <c r="B197" s="7" t="s">
        <v>9</v>
      </c>
      <c r="C197" s="16" t="s">
        <v>40</v>
      </c>
      <c r="D197" s="16" t="s">
        <v>41</v>
      </c>
      <c r="E197" s="13" t="str">
        <f>+HYPERLINK("http://trademark.i-assist.jp/data/china/image_1891th/76892589.pdf","76892589")</f>
        <v>76892589</v>
      </c>
      <c r="F197" s="16" t="s">
        <v>1152</v>
      </c>
      <c r="G197" s="16" t="s">
        <v>1151</v>
      </c>
      <c r="H197" s="16" t="s">
        <v>1153</v>
      </c>
      <c r="I197" s="17">
        <v>45343</v>
      </c>
    </row>
    <row r="198" spans="1:9" x14ac:dyDescent="0.15">
      <c r="A198" s="16" t="s">
        <v>1159</v>
      </c>
      <c r="B198" s="7" t="s">
        <v>9</v>
      </c>
      <c r="C198" s="16" t="s">
        <v>40</v>
      </c>
      <c r="D198" s="16" t="s">
        <v>41</v>
      </c>
      <c r="E198" s="13" t="str">
        <f>+HYPERLINK("http://trademark.i-assist.jp/data/china/image_1891th/76894643.pdf","76894643")</f>
        <v>76894643</v>
      </c>
      <c r="F198" s="16" t="s">
        <v>1157</v>
      </c>
      <c r="G198" s="16" t="s">
        <v>1156</v>
      </c>
      <c r="H198" s="16" t="s">
        <v>1158</v>
      </c>
      <c r="I198" s="17">
        <v>45343</v>
      </c>
    </row>
    <row r="199" spans="1:9" x14ac:dyDescent="0.15">
      <c r="A199" s="16" t="s">
        <v>1163</v>
      </c>
      <c r="B199" s="7" t="s">
        <v>9</v>
      </c>
      <c r="C199" s="16" t="s">
        <v>40</v>
      </c>
      <c r="D199" s="16" t="s">
        <v>41</v>
      </c>
      <c r="E199" s="13" t="str">
        <f>+HYPERLINK("http://trademark.i-assist.jp/data/china/image_1891th/76898889.pdf","76898889")</f>
        <v>76898889</v>
      </c>
      <c r="F199" s="16" t="s">
        <v>52</v>
      </c>
      <c r="G199" s="16" t="s">
        <v>1161</v>
      </c>
      <c r="H199" s="16" t="s">
        <v>1162</v>
      </c>
      <c r="I199" s="17">
        <v>45343</v>
      </c>
    </row>
    <row r="200" spans="1:9" x14ac:dyDescent="0.15">
      <c r="A200" s="16" t="s">
        <v>1169</v>
      </c>
      <c r="B200" s="7" t="s">
        <v>9</v>
      </c>
      <c r="C200" s="16" t="s">
        <v>40</v>
      </c>
      <c r="D200" s="16" t="s">
        <v>41</v>
      </c>
      <c r="E200" s="13" t="str">
        <f>+HYPERLINK("http://trademark.i-assist.jp/data/china/image_1891th/76902758.pdf","76902758")</f>
        <v>76902758</v>
      </c>
      <c r="F200" s="16" t="s">
        <v>1166</v>
      </c>
      <c r="G200" s="16" t="s">
        <v>1165</v>
      </c>
      <c r="H200" s="16" t="s">
        <v>1167</v>
      </c>
      <c r="I200" s="17">
        <v>45344</v>
      </c>
    </row>
    <row r="201" spans="1:9" x14ac:dyDescent="0.15">
      <c r="A201" s="16" t="s">
        <v>1173</v>
      </c>
      <c r="B201" s="7" t="s">
        <v>9</v>
      </c>
      <c r="C201" s="16" t="s">
        <v>40</v>
      </c>
      <c r="D201" s="16" t="s">
        <v>41</v>
      </c>
      <c r="E201" s="13" t="str">
        <f>+HYPERLINK("http://trademark.i-assist.jp/data/china/image_1891th/76905994.pdf","76905994")</f>
        <v>76905994</v>
      </c>
      <c r="F201" s="16" t="s">
        <v>1171</v>
      </c>
      <c r="G201" s="16" t="s">
        <v>1165</v>
      </c>
      <c r="H201" s="16" t="s">
        <v>1172</v>
      </c>
      <c r="I201" s="17">
        <v>45344</v>
      </c>
    </row>
    <row r="202" spans="1:9" x14ac:dyDescent="0.15">
      <c r="A202" s="16" t="s">
        <v>1177</v>
      </c>
      <c r="B202" s="7" t="s">
        <v>9</v>
      </c>
      <c r="C202" s="16" t="s">
        <v>40</v>
      </c>
      <c r="D202" s="16" t="s">
        <v>41</v>
      </c>
      <c r="E202" s="13" t="str">
        <f>+HYPERLINK("http://trademark.i-assist.jp/data/china/image_1891th/76908783.pdf","76908783")</f>
        <v>76908783</v>
      </c>
      <c r="F202" s="16" t="s">
        <v>1175</v>
      </c>
      <c r="G202" s="16" t="s">
        <v>1165</v>
      </c>
      <c r="H202" s="16" t="s">
        <v>1176</v>
      </c>
      <c r="I202" s="17">
        <v>45344</v>
      </c>
    </row>
    <row r="203" spans="1:9" x14ac:dyDescent="0.15">
      <c r="A203" s="16" t="s">
        <v>1181</v>
      </c>
      <c r="B203" s="7" t="s">
        <v>9</v>
      </c>
      <c r="C203" s="16" t="s">
        <v>40</v>
      </c>
      <c r="D203" s="16" t="s">
        <v>41</v>
      </c>
      <c r="E203" s="13" t="str">
        <f>+HYPERLINK("http://trademark.i-assist.jp/data/china/image_1891th/76909169.pdf","76909169")</f>
        <v>76909169</v>
      </c>
      <c r="F203" s="16" t="s">
        <v>52</v>
      </c>
      <c r="G203" s="16" t="s">
        <v>1179</v>
      </c>
      <c r="H203" s="16" t="s">
        <v>1180</v>
      </c>
      <c r="I203" s="17">
        <v>45344</v>
      </c>
    </row>
    <row r="204" spans="1:9" x14ac:dyDescent="0.15">
      <c r="A204" s="16" t="s">
        <v>1186</v>
      </c>
      <c r="B204" s="7" t="s">
        <v>9</v>
      </c>
      <c r="C204" s="16" t="s">
        <v>40</v>
      </c>
      <c r="D204" s="16" t="s">
        <v>41</v>
      </c>
      <c r="E204" s="13" t="str">
        <f>+HYPERLINK("http://trademark.i-assist.jp/data/china/image_1891th/76911997.pdf","76911997")</f>
        <v>76911997</v>
      </c>
      <c r="F204" s="16" t="s">
        <v>1184</v>
      </c>
      <c r="G204" s="16" t="s">
        <v>1183</v>
      </c>
      <c r="H204" s="16" t="s">
        <v>1185</v>
      </c>
      <c r="I204" s="17">
        <v>45344</v>
      </c>
    </row>
    <row r="205" spans="1:9" x14ac:dyDescent="0.15">
      <c r="A205" s="16" t="s">
        <v>1190</v>
      </c>
      <c r="B205" s="7" t="s">
        <v>9</v>
      </c>
      <c r="C205" s="16" t="s">
        <v>40</v>
      </c>
      <c r="D205" s="16" t="s">
        <v>41</v>
      </c>
      <c r="E205" s="13" t="str">
        <f>+HYPERLINK("http://trademark.i-assist.jp/data/china/image_1891th/76912885.pdf","76912885")</f>
        <v>76912885</v>
      </c>
      <c r="F205" s="16" t="s">
        <v>1188</v>
      </c>
      <c r="G205" s="16" t="s">
        <v>783</v>
      </c>
      <c r="H205" s="16" t="s">
        <v>1189</v>
      </c>
      <c r="I205" s="17">
        <v>45344</v>
      </c>
    </row>
    <row r="206" spans="1:9" x14ac:dyDescent="0.15">
      <c r="A206" s="16" t="s">
        <v>1193</v>
      </c>
      <c r="B206" s="7" t="s">
        <v>9</v>
      </c>
      <c r="C206" s="16" t="s">
        <v>40</v>
      </c>
      <c r="D206" s="16" t="s">
        <v>41</v>
      </c>
      <c r="E206" s="13" t="str">
        <f>+HYPERLINK("http://trademark.i-assist.jp/data/china/image_1891th/76915373.pdf","76915373")</f>
        <v>76915373</v>
      </c>
      <c r="F206" s="16" t="s">
        <v>1184</v>
      </c>
      <c r="G206" s="16" t="s">
        <v>1183</v>
      </c>
      <c r="H206" s="16" t="s">
        <v>1192</v>
      </c>
      <c r="I206" s="17">
        <v>45344</v>
      </c>
    </row>
    <row r="207" spans="1:9" x14ac:dyDescent="0.15">
      <c r="A207" s="16" t="s">
        <v>1198</v>
      </c>
      <c r="B207" s="7" t="s">
        <v>9</v>
      </c>
      <c r="C207" s="16" t="s">
        <v>40</v>
      </c>
      <c r="D207" s="16" t="s">
        <v>41</v>
      </c>
      <c r="E207" s="13" t="str">
        <f>+HYPERLINK("http://trademark.i-assist.jp/data/china/image_1891th/76915755.pdf","76915755")</f>
        <v>76915755</v>
      </c>
      <c r="F207" s="16" t="s">
        <v>1196</v>
      </c>
      <c r="G207" s="16" t="s">
        <v>1195</v>
      </c>
      <c r="H207" s="16" t="s">
        <v>1197</v>
      </c>
      <c r="I207" s="17">
        <v>45344</v>
      </c>
    </row>
    <row r="208" spans="1:9" x14ac:dyDescent="0.15">
      <c r="A208" s="16" t="s">
        <v>1202</v>
      </c>
      <c r="B208" s="7" t="s">
        <v>9</v>
      </c>
      <c r="C208" s="16" t="s">
        <v>40</v>
      </c>
      <c r="D208" s="16" t="s">
        <v>41</v>
      </c>
      <c r="E208" s="13" t="str">
        <f>+HYPERLINK("http://trademark.i-assist.jp/data/china/image_1891th/76915768.pdf","76915768")</f>
        <v>76915768</v>
      </c>
      <c r="F208" s="16" t="s">
        <v>1200</v>
      </c>
      <c r="G208" s="16" t="s">
        <v>1195</v>
      </c>
      <c r="H208" s="16" t="s">
        <v>1201</v>
      </c>
      <c r="I208" s="17">
        <v>45344</v>
      </c>
    </row>
    <row r="209" spans="1:9" x14ac:dyDescent="0.15">
      <c r="A209" s="16" t="s">
        <v>1205</v>
      </c>
      <c r="B209" s="7" t="s">
        <v>9</v>
      </c>
      <c r="C209" s="16" t="s">
        <v>40</v>
      </c>
      <c r="D209" s="16" t="s">
        <v>41</v>
      </c>
      <c r="E209" s="13" t="str">
        <f>+HYPERLINK("http://trademark.i-assist.jp/data/china/image_1891th/76915963.pdf","76915963")</f>
        <v>76915963</v>
      </c>
      <c r="F209" s="16" t="s">
        <v>1184</v>
      </c>
      <c r="G209" s="16" t="s">
        <v>1183</v>
      </c>
      <c r="H209" s="16" t="s">
        <v>1204</v>
      </c>
      <c r="I209" s="17">
        <v>45344</v>
      </c>
    </row>
    <row r="210" spans="1:9" x14ac:dyDescent="0.15">
      <c r="A210" s="16" t="s">
        <v>1210</v>
      </c>
      <c r="B210" s="7" t="s">
        <v>9</v>
      </c>
      <c r="C210" s="16" t="s">
        <v>40</v>
      </c>
      <c r="D210" s="16" t="s">
        <v>41</v>
      </c>
      <c r="E210" s="13" t="str">
        <f>+HYPERLINK("http://trademark.i-assist.jp/data/china/image_1891th/76916920.pdf","76916920")</f>
        <v>76916920</v>
      </c>
      <c r="F210" s="16" t="s">
        <v>1208</v>
      </c>
      <c r="G210" s="16" t="s">
        <v>1207</v>
      </c>
      <c r="H210" s="16" t="s">
        <v>1209</v>
      </c>
      <c r="I210" s="17">
        <v>45344</v>
      </c>
    </row>
    <row r="211" spans="1:9" x14ac:dyDescent="0.15">
      <c r="A211" s="16" t="s">
        <v>1216</v>
      </c>
      <c r="B211" s="7" t="s">
        <v>9</v>
      </c>
      <c r="C211" s="16" t="s">
        <v>40</v>
      </c>
      <c r="D211" s="16" t="s">
        <v>41</v>
      </c>
      <c r="E211" s="13" t="str">
        <f>+HYPERLINK("http://trademark.i-assist.jp/data/china/image_1891th/76923456.pdf","76923456")</f>
        <v>76923456</v>
      </c>
      <c r="F211" s="16" t="s">
        <v>1213</v>
      </c>
      <c r="G211" s="16" t="s">
        <v>1212</v>
      </c>
      <c r="H211" s="16" t="s">
        <v>1214</v>
      </c>
      <c r="I211" s="17">
        <v>45345</v>
      </c>
    </row>
    <row r="212" spans="1:9" x14ac:dyDescent="0.15">
      <c r="A212" s="16" t="s">
        <v>1220</v>
      </c>
      <c r="B212" s="7" t="s">
        <v>9</v>
      </c>
      <c r="C212" s="16" t="s">
        <v>40</v>
      </c>
      <c r="D212" s="16" t="s">
        <v>41</v>
      </c>
      <c r="E212" s="13" t="str">
        <f>+HYPERLINK("http://trademark.i-assist.jp/data/china/image_1891th/76926632.pdf","76926632")</f>
        <v>76926632</v>
      </c>
      <c r="F212" s="16" t="s">
        <v>1218</v>
      </c>
      <c r="G212" s="16" t="s">
        <v>1212</v>
      </c>
      <c r="H212" s="16" t="s">
        <v>1219</v>
      </c>
      <c r="I212" s="17">
        <v>45345</v>
      </c>
    </row>
    <row r="213" spans="1:9" x14ac:dyDescent="0.15">
      <c r="A213" s="16" t="s">
        <v>1224</v>
      </c>
      <c r="B213" s="7" t="s">
        <v>9</v>
      </c>
      <c r="C213" s="16" t="s">
        <v>40</v>
      </c>
      <c r="D213" s="16" t="s">
        <v>41</v>
      </c>
      <c r="E213" s="13" t="str">
        <f>+HYPERLINK("http://trademark.i-assist.jp/data/china/image_1891th/76926999.pdf","76926999")</f>
        <v>76926999</v>
      </c>
      <c r="F213" s="16" t="s">
        <v>52</v>
      </c>
      <c r="G213" s="16" t="s">
        <v>1222</v>
      </c>
      <c r="H213" s="16" t="s">
        <v>1223</v>
      </c>
      <c r="I213" s="17">
        <v>45345</v>
      </c>
    </row>
    <row r="214" spans="1:9" x14ac:dyDescent="0.15">
      <c r="A214" s="16" t="s">
        <v>1229</v>
      </c>
      <c r="B214" s="7" t="s">
        <v>9</v>
      </c>
      <c r="C214" s="16" t="s">
        <v>40</v>
      </c>
      <c r="D214" s="16" t="s">
        <v>41</v>
      </c>
      <c r="E214" s="13" t="str">
        <f>+HYPERLINK("http://trademark.i-assist.jp/data/china/image_1891th/76927517.pdf","76927517")</f>
        <v>76927517</v>
      </c>
      <c r="F214" s="16" t="s">
        <v>1227</v>
      </c>
      <c r="G214" s="16" t="s">
        <v>1226</v>
      </c>
      <c r="H214" s="16" t="s">
        <v>1228</v>
      </c>
      <c r="I214" s="17">
        <v>45345</v>
      </c>
    </row>
    <row r="215" spans="1:9" x14ac:dyDescent="0.15">
      <c r="A215" s="16" t="s">
        <v>1233</v>
      </c>
      <c r="B215" s="7" t="s">
        <v>9</v>
      </c>
      <c r="C215" s="16" t="s">
        <v>40</v>
      </c>
      <c r="D215" s="16" t="s">
        <v>41</v>
      </c>
      <c r="E215" s="13" t="str">
        <f>+HYPERLINK("http://trademark.i-assist.jp/data/china/image_1891th/76929147.pdf","76929147")</f>
        <v>76929147</v>
      </c>
      <c r="F215" s="16" t="s">
        <v>1231</v>
      </c>
      <c r="G215" s="16" t="s">
        <v>1212</v>
      </c>
      <c r="H215" s="16" t="s">
        <v>1232</v>
      </c>
      <c r="I215" s="17">
        <v>45345</v>
      </c>
    </row>
    <row r="216" spans="1:9" x14ac:dyDescent="0.15">
      <c r="A216" s="16" t="s">
        <v>1237</v>
      </c>
      <c r="B216" s="7" t="s">
        <v>9</v>
      </c>
      <c r="C216" s="16" t="s">
        <v>40</v>
      </c>
      <c r="D216" s="16" t="s">
        <v>41</v>
      </c>
      <c r="E216" s="13" t="str">
        <f>+HYPERLINK("http://trademark.i-assist.jp/data/china/image_1891th/76931051.pdf","76931051")</f>
        <v>76931051</v>
      </c>
      <c r="F216" s="16" t="s">
        <v>1235</v>
      </c>
      <c r="G216" s="16" t="s">
        <v>1212</v>
      </c>
      <c r="H216" s="16" t="s">
        <v>1236</v>
      </c>
      <c r="I216" s="17">
        <v>45345</v>
      </c>
    </row>
    <row r="217" spans="1:9" x14ac:dyDescent="0.15">
      <c r="A217" s="16" t="s">
        <v>1241</v>
      </c>
      <c r="B217" s="7" t="s">
        <v>9</v>
      </c>
      <c r="C217" s="16" t="s">
        <v>40</v>
      </c>
      <c r="D217" s="16" t="s">
        <v>41</v>
      </c>
      <c r="E217" s="13" t="str">
        <f>+HYPERLINK("http://trademark.i-assist.jp/data/china/image_1891th/76931056.pdf","76931056")</f>
        <v>76931056</v>
      </c>
      <c r="F217" s="16" t="s">
        <v>1239</v>
      </c>
      <c r="G217" s="16" t="s">
        <v>1212</v>
      </c>
      <c r="H217" s="16" t="s">
        <v>1240</v>
      </c>
      <c r="I217" s="17">
        <v>45345</v>
      </c>
    </row>
    <row r="218" spans="1:9" x14ac:dyDescent="0.15">
      <c r="A218" s="16" t="s">
        <v>1245</v>
      </c>
      <c r="B218" s="7" t="s">
        <v>9</v>
      </c>
      <c r="C218" s="16" t="s">
        <v>40</v>
      </c>
      <c r="D218" s="16" t="s">
        <v>41</v>
      </c>
      <c r="E218" s="13" t="str">
        <f>+HYPERLINK("http://trademark.i-assist.jp/data/china/image_1891th/76931071.pdf","76931071")</f>
        <v>76931071</v>
      </c>
      <c r="F218" s="16" t="s">
        <v>1243</v>
      </c>
      <c r="G218" s="16" t="s">
        <v>1212</v>
      </c>
      <c r="H218" s="16" t="s">
        <v>1244</v>
      </c>
      <c r="I218" s="17">
        <v>45345</v>
      </c>
    </row>
    <row r="219" spans="1:9" x14ac:dyDescent="0.15">
      <c r="A219" s="16" t="s">
        <v>1249</v>
      </c>
      <c r="B219" s="7" t="s">
        <v>9</v>
      </c>
      <c r="C219" s="16" t="s">
        <v>40</v>
      </c>
      <c r="D219" s="16" t="s">
        <v>41</v>
      </c>
      <c r="E219" s="13" t="str">
        <f>+HYPERLINK("http://trademark.i-assist.jp/data/china/image_1891th/76931346.pdf","76931346")</f>
        <v>76931346</v>
      </c>
      <c r="F219" s="16" t="s">
        <v>1247</v>
      </c>
      <c r="G219" s="16" t="s">
        <v>1212</v>
      </c>
      <c r="H219" s="16" t="s">
        <v>1248</v>
      </c>
      <c r="I219" s="17">
        <v>45345</v>
      </c>
    </row>
    <row r="220" spans="1:9" x14ac:dyDescent="0.15">
      <c r="A220" s="16" t="s">
        <v>1253</v>
      </c>
      <c r="B220" s="7" t="s">
        <v>9</v>
      </c>
      <c r="C220" s="16" t="s">
        <v>40</v>
      </c>
      <c r="D220" s="16" t="s">
        <v>41</v>
      </c>
      <c r="E220" s="13" t="str">
        <f>+HYPERLINK("http://trademark.i-assist.jp/data/china/image_1891th/76937777.pdf","76937777")</f>
        <v>76937777</v>
      </c>
      <c r="F220" s="16" t="s">
        <v>1251</v>
      </c>
      <c r="G220" s="16" t="s">
        <v>1212</v>
      </c>
      <c r="H220" s="16" t="s">
        <v>1252</v>
      </c>
      <c r="I220" s="17">
        <v>45345</v>
      </c>
    </row>
    <row r="221" spans="1:9" x14ac:dyDescent="0.15">
      <c r="A221" s="16" t="s">
        <v>1257</v>
      </c>
      <c r="B221" s="7" t="s">
        <v>9</v>
      </c>
      <c r="C221" s="16" t="s">
        <v>40</v>
      </c>
      <c r="D221" s="16" t="s">
        <v>41</v>
      </c>
      <c r="E221" s="13" t="str">
        <f>+HYPERLINK("http://trademark.i-assist.jp/data/china/image_1891th/76938443.pdf","76938443")</f>
        <v>76938443</v>
      </c>
      <c r="F221" s="16" t="s">
        <v>1255</v>
      </c>
      <c r="G221" s="16" t="s">
        <v>1212</v>
      </c>
      <c r="H221" s="16" t="s">
        <v>1256</v>
      </c>
      <c r="I221" s="17">
        <v>45345</v>
      </c>
    </row>
    <row r="222" spans="1:9" x14ac:dyDescent="0.15">
      <c r="A222" s="16" t="s">
        <v>1261</v>
      </c>
      <c r="B222" s="7" t="s">
        <v>9</v>
      </c>
      <c r="C222" s="16" t="s">
        <v>40</v>
      </c>
      <c r="D222" s="16" t="s">
        <v>41</v>
      </c>
      <c r="E222" s="13" t="str">
        <f>+HYPERLINK("http://trademark.i-assist.jp/data/china/image_1891th/76938462.pdf","76938462")</f>
        <v>76938462</v>
      </c>
      <c r="F222" s="16" t="s">
        <v>1259</v>
      </c>
      <c r="G222" s="16" t="s">
        <v>1212</v>
      </c>
      <c r="H222" s="16" t="s">
        <v>1260</v>
      </c>
      <c r="I222" s="17">
        <v>45345</v>
      </c>
    </row>
    <row r="223" spans="1:9" x14ac:dyDescent="0.15">
      <c r="A223" s="16" t="s">
        <v>1265</v>
      </c>
      <c r="B223" s="7" t="s">
        <v>9</v>
      </c>
      <c r="C223" s="16" t="s">
        <v>40</v>
      </c>
      <c r="D223" s="16" t="s">
        <v>41</v>
      </c>
      <c r="E223" s="13" t="str">
        <f>+HYPERLINK("http://trademark.i-assist.jp/data/china/image_1891th/76940284.pdf","76940284")</f>
        <v>76940284</v>
      </c>
      <c r="F223" s="16" t="s">
        <v>1263</v>
      </c>
      <c r="G223" s="16" t="s">
        <v>1212</v>
      </c>
      <c r="H223" s="16" t="s">
        <v>1264</v>
      </c>
      <c r="I223" s="17">
        <v>45345</v>
      </c>
    </row>
    <row r="224" spans="1:9" x14ac:dyDescent="0.15">
      <c r="A224" s="16" t="s">
        <v>1269</v>
      </c>
      <c r="B224" s="7" t="s">
        <v>9</v>
      </c>
      <c r="C224" s="16" t="s">
        <v>40</v>
      </c>
      <c r="D224" s="16" t="s">
        <v>41</v>
      </c>
      <c r="E224" s="13" t="str">
        <f>+HYPERLINK("http://trademark.i-assist.jp/data/china/image_1891th/76940294.pdf","76940294")</f>
        <v>76940294</v>
      </c>
      <c r="F224" s="16" t="s">
        <v>1267</v>
      </c>
      <c r="G224" s="16" t="s">
        <v>1212</v>
      </c>
      <c r="H224" s="16" t="s">
        <v>1268</v>
      </c>
      <c r="I224" s="17">
        <v>45345</v>
      </c>
    </row>
    <row r="225" spans="1:9" x14ac:dyDescent="0.15">
      <c r="A225" s="16" t="s">
        <v>1273</v>
      </c>
      <c r="B225" s="7" t="s">
        <v>9</v>
      </c>
      <c r="C225" s="16" t="s">
        <v>40</v>
      </c>
      <c r="D225" s="16" t="s">
        <v>41</v>
      </c>
      <c r="E225" s="13" t="str">
        <f>+HYPERLINK("http://trademark.i-assist.jp/data/china/image_1891th/76940379.pdf","76940379")</f>
        <v>76940379</v>
      </c>
      <c r="F225" s="16" t="s">
        <v>1271</v>
      </c>
      <c r="G225" s="16" t="s">
        <v>1212</v>
      </c>
      <c r="H225" s="16" t="s">
        <v>1272</v>
      </c>
      <c r="I225" s="17">
        <v>45345</v>
      </c>
    </row>
    <row r="226" spans="1:9" x14ac:dyDescent="0.15">
      <c r="A226" s="16" t="s">
        <v>1279</v>
      </c>
      <c r="B226" s="7" t="s">
        <v>9</v>
      </c>
      <c r="C226" s="16" t="s">
        <v>40</v>
      </c>
      <c r="D226" s="16" t="s">
        <v>41</v>
      </c>
      <c r="E226" s="13" t="str">
        <f>+HYPERLINK("http://trademark.i-assist.jp/data/china/image_1891th/76946478.pdf","76946478")</f>
        <v>76946478</v>
      </c>
      <c r="F226" s="16" t="s">
        <v>1276</v>
      </c>
      <c r="G226" s="16" t="s">
        <v>1275</v>
      </c>
      <c r="H226" s="16" t="s">
        <v>1277</v>
      </c>
      <c r="I226" s="17">
        <v>45347</v>
      </c>
    </row>
    <row r="227" spans="1:9" x14ac:dyDescent="0.15">
      <c r="A227" s="16" t="s">
        <v>1284</v>
      </c>
      <c r="B227" s="7" t="s">
        <v>9</v>
      </c>
      <c r="C227" s="16" t="s">
        <v>40</v>
      </c>
      <c r="D227" s="16" t="s">
        <v>41</v>
      </c>
      <c r="E227" s="13" t="str">
        <f>+HYPERLINK("http://trademark.i-assist.jp/data/china/image_1891th/76946676.pdf","76946676")</f>
        <v>76946676</v>
      </c>
      <c r="F227" s="16" t="s">
        <v>1282</v>
      </c>
      <c r="G227" s="16" t="s">
        <v>1281</v>
      </c>
      <c r="H227" s="16" t="s">
        <v>1283</v>
      </c>
      <c r="I227" s="17">
        <v>45347</v>
      </c>
    </row>
    <row r="228" spans="1:9" x14ac:dyDescent="0.15">
      <c r="A228" s="16" t="s">
        <v>1289</v>
      </c>
      <c r="B228" s="7" t="s">
        <v>9</v>
      </c>
      <c r="C228" s="16" t="s">
        <v>40</v>
      </c>
      <c r="D228" s="16" t="s">
        <v>41</v>
      </c>
      <c r="E228" s="13" t="str">
        <f>+HYPERLINK("http://trademark.i-assist.jp/data/china/image_1891th/76946700.pdf","76946700")</f>
        <v>76946700</v>
      </c>
      <c r="F228" s="16" t="s">
        <v>1287</v>
      </c>
      <c r="G228" s="16" t="s">
        <v>1286</v>
      </c>
      <c r="H228" s="16" t="s">
        <v>1288</v>
      </c>
      <c r="I228" s="17">
        <v>45347</v>
      </c>
    </row>
    <row r="229" spans="1:9" x14ac:dyDescent="0.15">
      <c r="A229" s="16" t="s">
        <v>1295</v>
      </c>
      <c r="B229" s="7" t="s">
        <v>9</v>
      </c>
      <c r="C229" s="16" t="s">
        <v>40</v>
      </c>
      <c r="D229" s="16" t="s">
        <v>41</v>
      </c>
      <c r="E229" s="13" t="str">
        <f>+HYPERLINK("http://trademark.i-assist.jp/data/china/image_1891th/76949330.pdf","76949330")</f>
        <v>76949330</v>
      </c>
      <c r="F229" s="16" t="s">
        <v>1292</v>
      </c>
      <c r="G229" s="16" t="s">
        <v>11133</v>
      </c>
      <c r="H229" s="16" t="s">
        <v>1293</v>
      </c>
      <c r="I229" s="17">
        <v>45348</v>
      </c>
    </row>
    <row r="230" spans="1:9" x14ac:dyDescent="0.15">
      <c r="A230" s="16" t="s">
        <v>1300</v>
      </c>
      <c r="B230" s="7" t="s">
        <v>9</v>
      </c>
      <c r="C230" s="16" t="s">
        <v>40</v>
      </c>
      <c r="D230" s="16" t="s">
        <v>41</v>
      </c>
      <c r="E230" s="13" t="str">
        <f>+HYPERLINK("http://trademark.i-assist.jp/data/china/image_1891th/76953468.pdf","76953468")</f>
        <v>76953468</v>
      </c>
      <c r="F230" s="16" t="s">
        <v>1298</v>
      </c>
      <c r="G230" s="16" t="s">
        <v>1297</v>
      </c>
      <c r="H230" s="16" t="s">
        <v>1299</v>
      </c>
      <c r="I230" s="17">
        <v>45348</v>
      </c>
    </row>
    <row r="231" spans="1:9" x14ac:dyDescent="0.15">
      <c r="A231" s="16" t="s">
        <v>1305</v>
      </c>
      <c r="B231" s="7" t="s">
        <v>9</v>
      </c>
      <c r="C231" s="16" t="s">
        <v>40</v>
      </c>
      <c r="D231" s="16" t="s">
        <v>41</v>
      </c>
      <c r="E231" s="13" t="str">
        <f>+HYPERLINK("http://trademark.i-assist.jp/data/china/image_1891th/76954443.pdf","76954443")</f>
        <v>76954443</v>
      </c>
      <c r="F231" s="16" t="s">
        <v>1303</v>
      </c>
      <c r="G231" s="16" t="s">
        <v>1302</v>
      </c>
      <c r="H231" s="16" t="s">
        <v>1304</v>
      </c>
      <c r="I231" s="17">
        <v>45348</v>
      </c>
    </row>
    <row r="232" spans="1:9" x14ac:dyDescent="0.15">
      <c r="A232" s="16" t="s">
        <v>1310</v>
      </c>
      <c r="B232" s="7" t="s">
        <v>9</v>
      </c>
      <c r="C232" s="16" t="s">
        <v>40</v>
      </c>
      <c r="D232" s="16" t="s">
        <v>41</v>
      </c>
      <c r="E232" s="13" t="str">
        <f>+HYPERLINK("http://trademark.i-assist.jp/data/china/image_1891th/76955699.pdf","76955699")</f>
        <v>76955699</v>
      </c>
      <c r="F232" s="16" t="s">
        <v>1308</v>
      </c>
      <c r="G232" s="16" t="s">
        <v>1307</v>
      </c>
      <c r="H232" s="16" t="s">
        <v>1309</v>
      </c>
      <c r="I232" s="17">
        <v>45348</v>
      </c>
    </row>
    <row r="233" spans="1:9" x14ac:dyDescent="0.15">
      <c r="A233" s="16" t="s">
        <v>1314</v>
      </c>
      <c r="B233" s="7" t="s">
        <v>9</v>
      </c>
      <c r="C233" s="16" t="s">
        <v>40</v>
      </c>
      <c r="D233" s="16" t="s">
        <v>41</v>
      </c>
      <c r="E233" s="13" t="str">
        <f>+HYPERLINK("http://trademark.i-assist.jp/data/china/image_1891th/76958152.pdf","76958152")</f>
        <v>76958152</v>
      </c>
      <c r="F233" s="16" t="s">
        <v>1313</v>
      </c>
      <c r="G233" s="16" t="s">
        <v>1312</v>
      </c>
      <c r="H233" s="16" t="s">
        <v>10</v>
      </c>
      <c r="I233" s="17">
        <v>45348</v>
      </c>
    </row>
    <row r="234" spans="1:9" x14ac:dyDescent="0.15">
      <c r="A234" s="16" t="s">
        <v>1319</v>
      </c>
      <c r="B234" s="7" t="s">
        <v>9</v>
      </c>
      <c r="C234" s="16" t="s">
        <v>40</v>
      </c>
      <c r="D234" s="16" t="s">
        <v>41</v>
      </c>
      <c r="E234" s="13" t="str">
        <f>+HYPERLINK("http://trademark.i-assist.jp/data/china/image_1891th/76966016.pdf","76966016")</f>
        <v>76966016</v>
      </c>
      <c r="F234" s="16" t="s">
        <v>1317</v>
      </c>
      <c r="G234" s="16" t="s">
        <v>1316</v>
      </c>
      <c r="H234" s="16" t="s">
        <v>1318</v>
      </c>
      <c r="I234" s="17">
        <v>45348</v>
      </c>
    </row>
    <row r="235" spans="1:9" x14ac:dyDescent="0.15">
      <c r="A235" s="16" t="s">
        <v>1323</v>
      </c>
      <c r="B235" s="7" t="s">
        <v>9</v>
      </c>
      <c r="C235" s="16" t="s">
        <v>40</v>
      </c>
      <c r="D235" s="16" t="s">
        <v>41</v>
      </c>
      <c r="E235" s="13" t="str">
        <f>+HYPERLINK("http://trademark.i-assist.jp/data/china/image_1891th/76966534.pdf","76966534")</f>
        <v>76966534</v>
      </c>
      <c r="F235" s="16" t="s">
        <v>1321</v>
      </c>
      <c r="G235" s="16" t="s">
        <v>16</v>
      </c>
      <c r="H235" s="16" t="s">
        <v>1322</v>
      </c>
      <c r="I235" s="17">
        <v>45348</v>
      </c>
    </row>
    <row r="236" spans="1:9" x14ac:dyDescent="0.15">
      <c r="A236" s="16" t="s">
        <v>1328</v>
      </c>
      <c r="B236" s="7" t="s">
        <v>9</v>
      </c>
      <c r="C236" s="16" t="s">
        <v>40</v>
      </c>
      <c r="D236" s="16" t="s">
        <v>41</v>
      </c>
      <c r="E236" s="13" t="str">
        <f>+HYPERLINK("http://trademark.i-assist.jp/data/china/image_1891th/76969576.pdf","76969576")</f>
        <v>76969576</v>
      </c>
      <c r="F236" s="16" t="s">
        <v>1326</v>
      </c>
      <c r="G236" s="16" t="s">
        <v>1325</v>
      </c>
      <c r="H236" s="16" t="s">
        <v>1327</v>
      </c>
      <c r="I236" s="17">
        <v>45348</v>
      </c>
    </row>
    <row r="237" spans="1:9" x14ac:dyDescent="0.15">
      <c r="A237" s="16" t="s">
        <v>1334</v>
      </c>
      <c r="B237" s="7" t="s">
        <v>9</v>
      </c>
      <c r="C237" s="16" t="s">
        <v>40</v>
      </c>
      <c r="D237" s="16" t="s">
        <v>41</v>
      </c>
      <c r="E237" s="13" t="str">
        <f>+HYPERLINK("http://trademark.i-assist.jp/data/china/image_1891th/76970527.pdf","76970527")</f>
        <v>76970527</v>
      </c>
      <c r="F237" s="16" t="s">
        <v>1331</v>
      </c>
      <c r="G237" s="16" t="s">
        <v>1330</v>
      </c>
      <c r="H237" s="16" t="s">
        <v>1332</v>
      </c>
      <c r="I237" s="17">
        <v>45349</v>
      </c>
    </row>
    <row r="238" spans="1:9" x14ac:dyDescent="0.15">
      <c r="A238" s="16" t="s">
        <v>1339</v>
      </c>
      <c r="B238" s="7" t="s">
        <v>9</v>
      </c>
      <c r="C238" s="16" t="s">
        <v>40</v>
      </c>
      <c r="D238" s="16" t="s">
        <v>41</v>
      </c>
      <c r="E238" s="13" t="str">
        <f>+HYPERLINK("http://trademark.i-assist.jp/data/china/image_1891th/76974888.pdf","76974888")</f>
        <v>76974888</v>
      </c>
      <c r="F238" s="16" t="s">
        <v>1337</v>
      </c>
      <c r="G238" s="16" t="s">
        <v>1336</v>
      </c>
      <c r="H238" s="16" t="s">
        <v>1338</v>
      </c>
      <c r="I238" s="17">
        <v>45349</v>
      </c>
    </row>
    <row r="239" spans="1:9" x14ac:dyDescent="0.15">
      <c r="A239" s="16" t="s">
        <v>1344</v>
      </c>
      <c r="B239" s="7" t="s">
        <v>9</v>
      </c>
      <c r="C239" s="16" t="s">
        <v>40</v>
      </c>
      <c r="D239" s="16" t="s">
        <v>41</v>
      </c>
      <c r="E239" s="13" t="str">
        <f>+HYPERLINK("http://trademark.i-assist.jp/data/china/image_1891th/76978771.pdf","76978771")</f>
        <v>76978771</v>
      </c>
      <c r="F239" s="16" t="s">
        <v>1342</v>
      </c>
      <c r="G239" s="16" t="s">
        <v>1341</v>
      </c>
      <c r="H239" s="16" t="s">
        <v>1343</v>
      </c>
      <c r="I239" s="17">
        <v>45349</v>
      </c>
    </row>
    <row r="240" spans="1:9" x14ac:dyDescent="0.15">
      <c r="A240" s="16" t="s">
        <v>1349</v>
      </c>
      <c r="B240" s="7" t="s">
        <v>9</v>
      </c>
      <c r="C240" s="16" t="s">
        <v>40</v>
      </c>
      <c r="D240" s="16" t="s">
        <v>41</v>
      </c>
      <c r="E240" s="13" t="str">
        <f>+HYPERLINK("http://trademark.i-assist.jp/data/china/image_1891th/76980407.pdf","76980407")</f>
        <v>76980407</v>
      </c>
      <c r="F240" s="16" t="s">
        <v>1347</v>
      </c>
      <c r="G240" s="16" t="s">
        <v>1346</v>
      </c>
      <c r="H240" s="16" t="s">
        <v>1348</v>
      </c>
      <c r="I240" s="17">
        <v>45349</v>
      </c>
    </row>
    <row r="241" spans="1:9" x14ac:dyDescent="0.15">
      <c r="A241" s="16" t="s">
        <v>1354</v>
      </c>
      <c r="B241" s="7" t="s">
        <v>9</v>
      </c>
      <c r="C241" s="16" t="s">
        <v>40</v>
      </c>
      <c r="D241" s="16" t="s">
        <v>41</v>
      </c>
      <c r="E241" s="13" t="str">
        <f>+HYPERLINK("http://trademark.i-assist.jp/data/china/image_1891th/76983507.pdf","76983507")</f>
        <v>76983507</v>
      </c>
      <c r="F241" s="16" t="s">
        <v>1352</v>
      </c>
      <c r="G241" s="16" t="s">
        <v>1351</v>
      </c>
      <c r="H241" s="16" t="s">
        <v>1353</v>
      </c>
      <c r="I241" s="17">
        <v>45349</v>
      </c>
    </row>
    <row r="242" spans="1:9" x14ac:dyDescent="0.15">
      <c r="A242" s="16" t="s">
        <v>1359</v>
      </c>
      <c r="B242" s="7" t="s">
        <v>9</v>
      </c>
      <c r="C242" s="16" t="s">
        <v>40</v>
      </c>
      <c r="D242" s="16" t="s">
        <v>41</v>
      </c>
      <c r="E242" s="13" t="str">
        <f>+HYPERLINK("http://trademark.i-assist.jp/data/china/image_1891th/76986716.pdf","76986716")</f>
        <v>76986716</v>
      </c>
      <c r="F242" s="16" t="s">
        <v>1357</v>
      </c>
      <c r="G242" s="16" t="s">
        <v>1356</v>
      </c>
      <c r="H242" s="16" t="s">
        <v>1358</v>
      </c>
      <c r="I242" s="17">
        <v>45349</v>
      </c>
    </row>
    <row r="243" spans="1:9" x14ac:dyDescent="0.15">
      <c r="A243" s="16" t="s">
        <v>1364</v>
      </c>
      <c r="B243" s="7" t="s">
        <v>9</v>
      </c>
      <c r="C243" s="16" t="s">
        <v>40</v>
      </c>
      <c r="D243" s="16" t="s">
        <v>41</v>
      </c>
      <c r="E243" s="13" t="str">
        <f>+HYPERLINK("http://trademark.i-assist.jp/data/china/image_1891th/76989812.pdf","76989812")</f>
        <v>76989812</v>
      </c>
      <c r="F243" s="16" t="s">
        <v>1362</v>
      </c>
      <c r="G243" s="16" t="s">
        <v>1361</v>
      </c>
      <c r="H243" s="16" t="s">
        <v>1363</v>
      </c>
      <c r="I243" s="17">
        <v>45349</v>
      </c>
    </row>
    <row r="244" spans="1:9" x14ac:dyDescent="0.15">
      <c r="A244" s="16" t="s">
        <v>1369</v>
      </c>
      <c r="B244" s="7" t="s">
        <v>9</v>
      </c>
      <c r="C244" s="16" t="s">
        <v>40</v>
      </c>
      <c r="D244" s="16" t="s">
        <v>41</v>
      </c>
      <c r="E244" s="13" t="str">
        <f>+HYPERLINK("http://trademark.i-assist.jp/data/china/image_1891th/76990782.pdf","76990782")</f>
        <v>76990782</v>
      </c>
      <c r="F244" s="16" t="s">
        <v>1367</v>
      </c>
      <c r="G244" s="16" t="s">
        <v>1366</v>
      </c>
      <c r="H244" s="16" t="s">
        <v>1368</v>
      </c>
      <c r="I244" s="17">
        <v>45349</v>
      </c>
    </row>
    <row r="245" spans="1:9" x14ac:dyDescent="0.15">
      <c r="A245" s="16" t="s">
        <v>1374</v>
      </c>
      <c r="B245" s="7" t="s">
        <v>9</v>
      </c>
      <c r="C245" s="16" t="s">
        <v>40</v>
      </c>
      <c r="D245" s="16" t="s">
        <v>41</v>
      </c>
      <c r="E245" s="13" t="str">
        <f>+HYPERLINK("http://trademark.i-assist.jp/data/china/image_1891th/76991937.pdf","76991937")</f>
        <v>76991937</v>
      </c>
      <c r="F245" s="16" t="s">
        <v>1372</v>
      </c>
      <c r="G245" s="16" t="s">
        <v>1371</v>
      </c>
      <c r="H245" s="16" t="s">
        <v>1373</v>
      </c>
      <c r="I245" s="17">
        <v>45349</v>
      </c>
    </row>
    <row r="246" spans="1:9" x14ac:dyDescent="0.15">
      <c r="A246" s="16" t="s">
        <v>1380</v>
      </c>
      <c r="B246" s="7" t="s">
        <v>9</v>
      </c>
      <c r="C246" s="16" t="s">
        <v>40</v>
      </c>
      <c r="D246" s="16" t="s">
        <v>41</v>
      </c>
      <c r="E246" s="13" t="str">
        <f>+HYPERLINK("http://trademark.i-assist.jp/data/china/image_1891th/76993378.pdf","76993378")</f>
        <v>76993378</v>
      </c>
      <c r="F246" s="16" t="s">
        <v>1377</v>
      </c>
      <c r="G246" s="16" t="s">
        <v>1376</v>
      </c>
      <c r="H246" s="16" t="s">
        <v>1378</v>
      </c>
      <c r="I246" s="17">
        <v>45350</v>
      </c>
    </row>
    <row r="247" spans="1:9" x14ac:dyDescent="0.15">
      <c r="A247" s="16" t="s">
        <v>1385</v>
      </c>
      <c r="B247" s="7" t="s">
        <v>9</v>
      </c>
      <c r="C247" s="16" t="s">
        <v>40</v>
      </c>
      <c r="D247" s="16" t="s">
        <v>41</v>
      </c>
      <c r="E247" s="13" t="str">
        <f>+HYPERLINK("http://trademark.i-assist.jp/data/china/image_1891th/77001995.pdf","77001995")</f>
        <v>77001995</v>
      </c>
      <c r="F247" s="16" t="s">
        <v>1383</v>
      </c>
      <c r="G247" s="16" t="s">
        <v>1382</v>
      </c>
      <c r="H247" s="16" t="s">
        <v>1384</v>
      </c>
      <c r="I247" s="17">
        <v>45350</v>
      </c>
    </row>
    <row r="248" spans="1:9" x14ac:dyDescent="0.15">
      <c r="A248" s="16" t="s">
        <v>1390</v>
      </c>
      <c r="B248" s="7" t="s">
        <v>9</v>
      </c>
      <c r="C248" s="16" t="s">
        <v>40</v>
      </c>
      <c r="D248" s="16" t="s">
        <v>41</v>
      </c>
      <c r="E248" s="13" t="str">
        <f>+HYPERLINK("http://trademark.i-assist.jp/data/china/image_1891th/77003893.pdf","77003893")</f>
        <v>77003893</v>
      </c>
      <c r="F248" s="16" t="s">
        <v>1388</v>
      </c>
      <c r="G248" s="16" t="s">
        <v>1387</v>
      </c>
      <c r="H248" s="16" t="s">
        <v>1389</v>
      </c>
      <c r="I248" s="17">
        <v>45350</v>
      </c>
    </row>
    <row r="249" spans="1:9" x14ac:dyDescent="0.15">
      <c r="A249" s="16" t="s">
        <v>1395</v>
      </c>
      <c r="B249" s="7" t="s">
        <v>9</v>
      </c>
      <c r="C249" s="16" t="s">
        <v>40</v>
      </c>
      <c r="D249" s="16" t="s">
        <v>41</v>
      </c>
      <c r="E249" s="13" t="str">
        <f>+HYPERLINK("http://trademark.i-assist.jp/data/china/image_1891th/77007368.pdf","77007368")</f>
        <v>77007368</v>
      </c>
      <c r="F249" s="16" t="s">
        <v>1393</v>
      </c>
      <c r="G249" s="16" t="s">
        <v>1392</v>
      </c>
      <c r="H249" s="16" t="s">
        <v>1394</v>
      </c>
      <c r="I249" s="17">
        <v>45350</v>
      </c>
    </row>
    <row r="250" spans="1:9" x14ac:dyDescent="0.15">
      <c r="A250" s="16" t="s">
        <v>1400</v>
      </c>
      <c r="B250" s="7" t="s">
        <v>9</v>
      </c>
      <c r="C250" s="16" t="s">
        <v>40</v>
      </c>
      <c r="D250" s="16" t="s">
        <v>41</v>
      </c>
      <c r="E250" s="13" t="str">
        <f>+HYPERLINK("http://trademark.i-assist.jp/data/china/image_1891th/77011162.pdf","77011162")</f>
        <v>77011162</v>
      </c>
      <c r="F250" s="16" t="s">
        <v>1398</v>
      </c>
      <c r="G250" s="16" t="s">
        <v>1397</v>
      </c>
      <c r="H250" s="16" t="s">
        <v>1399</v>
      </c>
      <c r="I250" s="17">
        <v>45350</v>
      </c>
    </row>
    <row r="251" spans="1:9" x14ac:dyDescent="0.15">
      <c r="A251" s="16" t="s">
        <v>1405</v>
      </c>
      <c r="B251" s="7" t="s">
        <v>9</v>
      </c>
      <c r="C251" s="16" t="s">
        <v>40</v>
      </c>
      <c r="D251" s="16" t="s">
        <v>41</v>
      </c>
      <c r="E251" s="13" t="str">
        <f>+HYPERLINK("http://trademark.i-assist.jp/data/china/image_1891th/77013038.pdf","77013038")</f>
        <v>77013038</v>
      </c>
      <c r="F251" s="16" t="s">
        <v>1403</v>
      </c>
      <c r="G251" s="16" t="s">
        <v>1402</v>
      </c>
      <c r="H251" s="16" t="s">
        <v>1404</v>
      </c>
      <c r="I251" s="17">
        <v>45350</v>
      </c>
    </row>
    <row r="252" spans="1:9" x14ac:dyDescent="0.15">
      <c r="A252" s="16" t="s">
        <v>1410</v>
      </c>
      <c r="B252" s="7" t="s">
        <v>9</v>
      </c>
      <c r="C252" s="16" t="s">
        <v>40</v>
      </c>
      <c r="D252" s="16" t="s">
        <v>41</v>
      </c>
      <c r="E252" s="13" t="str">
        <f>+HYPERLINK("http://trademark.i-assist.jp/data/china/image_1891th/77014381.pdf","77014381")</f>
        <v>77014381</v>
      </c>
      <c r="F252" s="16" t="s">
        <v>1408</v>
      </c>
      <c r="G252" s="16" t="s">
        <v>1407</v>
      </c>
      <c r="H252" s="16" t="s">
        <v>1409</v>
      </c>
      <c r="I252" s="17">
        <v>45350</v>
      </c>
    </row>
    <row r="253" spans="1:9" x14ac:dyDescent="0.15">
      <c r="A253" s="16" t="s">
        <v>1415</v>
      </c>
      <c r="B253" s="7" t="s">
        <v>9</v>
      </c>
      <c r="C253" s="16" t="s">
        <v>40</v>
      </c>
      <c r="D253" s="16" t="s">
        <v>41</v>
      </c>
      <c r="E253" s="13" t="str">
        <f>+HYPERLINK("http://trademark.i-assist.jp/data/china/image_1891th/77015071.pdf","77015071")</f>
        <v>77015071</v>
      </c>
      <c r="F253" s="16" t="s">
        <v>1413</v>
      </c>
      <c r="G253" s="16" t="s">
        <v>1412</v>
      </c>
      <c r="H253" s="16" t="s">
        <v>1414</v>
      </c>
      <c r="I253" s="17">
        <v>45350</v>
      </c>
    </row>
    <row r="254" spans="1:9" x14ac:dyDescent="0.15">
      <c r="A254" s="16" t="s">
        <v>1421</v>
      </c>
      <c r="B254" s="7" t="s">
        <v>9</v>
      </c>
      <c r="C254" s="16" t="s">
        <v>40</v>
      </c>
      <c r="D254" s="16" t="s">
        <v>41</v>
      </c>
      <c r="E254" s="13" t="str">
        <f>+HYPERLINK("http://trademark.i-assist.jp/data/china/image_1891th/77017989.pdf","77017989")</f>
        <v>77017989</v>
      </c>
      <c r="F254" s="16" t="s">
        <v>1418</v>
      </c>
      <c r="G254" s="16" t="s">
        <v>1417</v>
      </c>
      <c r="H254" s="16" t="s">
        <v>1419</v>
      </c>
      <c r="I254" s="17">
        <v>45351</v>
      </c>
    </row>
    <row r="255" spans="1:9" x14ac:dyDescent="0.15">
      <c r="A255" s="16" t="s">
        <v>1426</v>
      </c>
      <c r="B255" s="7" t="s">
        <v>9</v>
      </c>
      <c r="C255" s="16" t="s">
        <v>40</v>
      </c>
      <c r="D255" s="16" t="s">
        <v>41</v>
      </c>
      <c r="E255" s="13" t="str">
        <f>+HYPERLINK("http://trademark.i-assist.jp/data/china/image_1891th/77018169.pdf","77018169")</f>
        <v>77018169</v>
      </c>
      <c r="F255" s="16" t="s">
        <v>1424</v>
      </c>
      <c r="G255" s="16" t="s">
        <v>1423</v>
      </c>
      <c r="H255" s="16" t="s">
        <v>1425</v>
      </c>
      <c r="I255" s="17">
        <v>45351</v>
      </c>
    </row>
    <row r="256" spans="1:9" x14ac:dyDescent="0.15">
      <c r="A256" s="16" t="s">
        <v>1431</v>
      </c>
      <c r="B256" s="7" t="s">
        <v>9</v>
      </c>
      <c r="C256" s="16" t="s">
        <v>40</v>
      </c>
      <c r="D256" s="16" t="s">
        <v>41</v>
      </c>
      <c r="E256" s="13" t="str">
        <f>+HYPERLINK("http://trademark.i-assist.jp/data/china/image_1891th/77019095.pdf","77019095")</f>
        <v>77019095</v>
      </c>
      <c r="F256" s="16" t="s">
        <v>1429</v>
      </c>
      <c r="G256" s="16" t="s">
        <v>1428</v>
      </c>
      <c r="H256" s="16" t="s">
        <v>1430</v>
      </c>
      <c r="I256" s="17">
        <v>45351</v>
      </c>
    </row>
    <row r="257" spans="1:9" x14ac:dyDescent="0.15">
      <c r="A257" s="16" t="s">
        <v>1434</v>
      </c>
      <c r="B257" s="7" t="s">
        <v>9</v>
      </c>
      <c r="C257" s="16" t="s">
        <v>40</v>
      </c>
      <c r="D257" s="16" t="s">
        <v>41</v>
      </c>
      <c r="E257" s="13" t="str">
        <f>+HYPERLINK("http://trademark.i-assist.jp/data/china/image_1891th/77019217.pdf","77019217")</f>
        <v>77019217</v>
      </c>
      <c r="F257" s="16" t="s">
        <v>52</v>
      </c>
      <c r="G257" s="16" t="s">
        <v>714</v>
      </c>
      <c r="H257" s="16" t="s">
        <v>1433</v>
      </c>
      <c r="I257" s="17">
        <v>45351</v>
      </c>
    </row>
    <row r="258" spans="1:9" x14ac:dyDescent="0.15">
      <c r="A258" s="16" t="s">
        <v>1439</v>
      </c>
      <c r="B258" s="7" t="s">
        <v>9</v>
      </c>
      <c r="C258" s="16" t="s">
        <v>40</v>
      </c>
      <c r="D258" s="16" t="s">
        <v>41</v>
      </c>
      <c r="E258" s="13" t="str">
        <f>+HYPERLINK("http://trademark.i-assist.jp/data/china/image_1891th/77021734.pdf","77021734")</f>
        <v>77021734</v>
      </c>
      <c r="F258" s="16" t="s">
        <v>1437</v>
      </c>
      <c r="G258" s="16" t="s">
        <v>1436</v>
      </c>
      <c r="H258" s="16" t="s">
        <v>1438</v>
      </c>
      <c r="I258" s="17">
        <v>45351</v>
      </c>
    </row>
    <row r="259" spans="1:9" x14ac:dyDescent="0.15">
      <c r="A259" s="16" t="s">
        <v>1442</v>
      </c>
      <c r="B259" s="7" t="s">
        <v>9</v>
      </c>
      <c r="C259" s="16" t="s">
        <v>40</v>
      </c>
      <c r="D259" s="16" t="s">
        <v>41</v>
      </c>
      <c r="E259" s="13" t="str">
        <f>+HYPERLINK("http://trademark.i-assist.jp/data/china/image_1891th/77026689.pdf","77026689")</f>
        <v>77026689</v>
      </c>
      <c r="F259" s="16" t="s">
        <v>52</v>
      </c>
      <c r="G259" s="16" t="s">
        <v>714</v>
      </c>
      <c r="H259" s="16" t="s">
        <v>1441</v>
      </c>
      <c r="I259" s="17">
        <v>45351</v>
      </c>
    </row>
    <row r="260" spans="1:9" x14ac:dyDescent="0.15">
      <c r="A260" s="16" t="s">
        <v>1447</v>
      </c>
      <c r="B260" s="7" t="s">
        <v>9</v>
      </c>
      <c r="C260" s="16" t="s">
        <v>40</v>
      </c>
      <c r="D260" s="16" t="s">
        <v>41</v>
      </c>
      <c r="E260" s="13" t="str">
        <f>+HYPERLINK("http://trademark.i-assist.jp/data/china/image_1891th/77027860.pdf","77027860")</f>
        <v>77027860</v>
      </c>
      <c r="F260" s="16" t="s">
        <v>1445</v>
      </c>
      <c r="G260" s="16" t="s">
        <v>1444</v>
      </c>
      <c r="H260" s="16" t="s">
        <v>1446</v>
      </c>
      <c r="I260" s="17">
        <v>45351</v>
      </c>
    </row>
    <row r="261" spans="1:9" x14ac:dyDescent="0.15">
      <c r="A261" s="16" t="s">
        <v>1450</v>
      </c>
      <c r="B261" s="7" t="s">
        <v>9</v>
      </c>
      <c r="C261" s="16" t="s">
        <v>40</v>
      </c>
      <c r="D261" s="16" t="s">
        <v>41</v>
      </c>
      <c r="E261" s="13" t="str">
        <f>+HYPERLINK("http://trademark.i-assist.jp/data/china/image_1891th/77031467.pdf","77031467")</f>
        <v>77031467</v>
      </c>
      <c r="F261" s="16" t="s">
        <v>52</v>
      </c>
      <c r="G261" s="16" t="s">
        <v>714</v>
      </c>
      <c r="H261" s="16" t="s">
        <v>1449</v>
      </c>
      <c r="I261" s="17">
        <v>45351</v>
      </c>
    </row>
    <row r="262" spans="1:9" x14ac:dyDescent="0.15">
      <c r="A262" s="16" t="s">
        <v>1455</v>
      </c>
      <c r="B262" s="7" t="s">
        <v>9</v>
      </c>
      <c r="C262" s="16" t="s">
        <v>40</v>
      </c>
      <c r="D262" s="16" t="s">
        <v>41</v>
      </c>
      <c r="E262" s="13" t="str">
        <f>+HYPERLINK("http://trademark.i-assist.jp/data/china/image_1891th/77032291.pdf","77032291")</f>
        <v>77032291</v>
      </c>
      <c r="F262" s="16" t="s">
        <v>1453</v>
      </c>
      <c r="G262" s="16" t="s">
        <v>1452</v>
      </c>
      <c r="H262" s="16" t="s">
        <v>1454</v>
      </c>
      <c r="I262" s="17">
        <v>45351</v>
      </c>
    </row>
    <row r="263" spans="1:9" x14ac:dyDescent="0.15">
      <c r="A263" s="16" t="s">
        <v>1460</v>
      </c>
      <c r="B263" s="7" t="s">
        <v>9</v>
      </c>
      <c r="C263" s="16" t="s">
        <v>40</v>
      </c>
      <c r="D263" s="16" t="s">
        <v>41</v>
      </c>
      <c r="E263" s="13" t="str">
        <f>+HYPERLINK("http://trademark.i-assist.jp/data/china/image_1891th/77033495.pdf","77033495")</f>
        <v>77033495</v>
      </c>
      <c r="F263" s="16" t="s">
        <v>1458</v>
      </c>
      <c r="G263" s="16" t="s">
        <v>1457</v>
      </c>
      <c r="H263" s="16" t="s">
        <v>1459</v>
      </c>
      <c r="I263" s="17">
        <v>45351</v>
      </c>
    </row>
    <row r="264" spans="1:9" x14ac:dyDescent="0.15">
      <c r="A264" s="16" t="s">
        <v>1463</v>
      </c>
      <c r="B264" s="7" t="s">
        <v>9</v>
      </c>
      <c r="C264" s="16" t="s">
        <v>40</v>
      </c>
      <c r="D264" s="16" t="s">
        <v>41</v>
      </c>
      <c r="E264" s="13" t="str">
        <f>+HYPERLINK("http://trademark.i-assist.jp/data/china/image_1891th/77034176.pdf","77034176")</f>
        <v>77034176</v>
      </c>
      <c r="F264" s="16" t="s">
        <v>52</v>
      </c>
      <c r="G264" s="16" t="s">
        <v>714</v>
      </c>
      <c r="H264" s="16" t="s">
        <v>1462</v>
      </c>
      <c r="I264" s="17">
        <v>45351</v>
      </c>
    </row>
    <row r="265" spans="1:9" x14ac:dyDescent="0.15">
      <c r="A265" s="16" t="s">
        <v>1467</v>
      </c>
      <c r="B265" s="7" t="s">
        <v>9</v>
      </c>
      <c r="C265" s="16" t="s">
        <v>40</v>
      </c>
      <c r="D265" s="16" t="s">
        <v>41</v>
      </c>
      <c r="E265" s="13" t="str">
        <f>+HYPERLINK("http://trademark.i-assist.jp/data/china/image_1891th/77034650.pdf","77034650")</f>
        <v>77034650</v>
      </c>
      <c r="F265" s="16" t="s">
        <v>52</v>
      </c>
      <c r="G265" s="16" t="s">
        <v>1465</v>
      </c>
      <c r="H265" s="16" t="s">
        <v>1466</v>
      </c>
      <c r="I265" s="17">
        <v>45351</v>
      </c>
    </row>
    <row r="266" spans="1:9" x14ac:dyDescent="0.15">
      <c r="A266" s="16" t="s">
        <v>1470</v>
      </c>
      <c r="B266" s="7" t="s">
        <v>9</v>
      </c>
      <c r="C266" s="16" t="s">
        <v>40</v>
      </c>
      <c r="D266" s="16" t="s">
        <v>41</v>
      </c>
      <c r="E266" s="13" t="str">
        <f>+HYPERLINK("http://trademark.i-assist.jp/data/china/image_1891th/77036822.pdf","77036822")</f>
        <v>77036822</v>
      </c>
      <c r="F266" s="16" t="s">
        <v>52</v>
      </c>
      <c r="G266" s="16" t="s">
        <v>714</v>
      </c>
      <c r="H266" s="16" t="s">
        <v>1469</v>
      </c>
      <c r="I266" s="17">
        <v>45351</v>
      </c>
    </row>
    <row r="267" spans="1:9" x14ac:dyDescent="0.15">
      <c r="A267" s="16" t="s">
        <v>1474</v>
      </c>
      <c r="B267" s="7" t="s">
        <v>9</v>
      </c>
      <c r="C267" s="16" t="s">
        <v>40</v>
      </c>
      <c r="D267" s="16" t="s">
        <v>41</v>
      </c>
      <c r="E267" s="13" t="str">
        <f>+HYPERLINK("http://trademark.i-assist.jp/data/china/image_1891th/77037722.pdf","77037722")</f>
        <v>77037722</v>
      </c>
      <c r="F267" s="16" t="s">
        <v>1472</v>
      </c>
      <c r="G267" s="16" t="s">
        <v>1423</v>
      </c>
      <c r="H267" s="16" t="s">
        <v>1473</v>
      </c>
      <c r="I267" s="17">
        <v>45351</v>
      </c>
    </row>
    <row r="268" spans="1:9" x14ac:dyDescent="0.15">
      <c r="A268" s="16" t="s">
        <v>1480</v>
      </c>
      <c r="B268" s="7" t="s">
        <v>9</v>
      </c>
      <c r="C268" s="16" t="s">
        <v>40</v>
      </c>
      <c r="D268" s="16" t="s">
        <v>41</v>
      </c>
      <c r="E268" s="13" t="str">
        <f>+HYPERLINK("http://trademark.i-assist.jp/data/china/image_1891th/77044675.pdf","77044675")</f>
        <v>77044675</v>
      </c>
      <c r="F268" s="16" t="s">
        <v>1477</v>
      </c>
      <c r="G268" s="16" t="s">
        <v>1476</v>
      </c>
      <c r="H268" s="16" t="s">
        <v>1478</v>
      </c>
      <c r="I268" s="17">
        <v>45352</v>
      </c>
    </row>
    <row r="269" spans="1:9" x14ac:dyDescent="0.15">
      <c r="A269" s="16" t="s">
        <v>1485</v>
      </c>
      <c r="B269" s="7" t="s">
        <v>9</v>
      </c>
      <c r="C269" s="16" t="s">
        <v>40</v>
      </c>
      <c r="D269" s="16" t="s">
        <v>41</v>
      </c>
      <c r="E269" s="13" t="str">
        <f>+HYPERLINK("http://trademark.i-assist.jp/data/china/image_1891th/77049517.pdf","77049517")</f>
        <v>77049517</v>
      </c>
      <c r="F269" s="16" t="s">
        <v>1483</v>
      </c>
      <c r="G269" s="16" t="s">
        <v>1482</v>
      </c>
      <c r="H269" s="16" t="s">
        <v>1484</v>
      </c>
      <c r="I269" s="17">
        <v>45352</v>
      </c>
    </row>
    <row r="270" spans="1:9" x14ac:dyDescent="0.15">
      <c r="A270" s="16" t="s">
        <v>1490</v>
      </c>
      <c r="B270" s="7" t="s">
        <v>9</v>
      </c>
      <c r="C270" s="16" t="s">
        <v>40</v>
      </c>
      <c r="D270" s="16" t="s">
        <v>41</v>
      </c>
      <c r="E270" s="13" t="str">
        <f>+HYPERLINK("http://trademark.i-assist.jp/data/china/image_1891th/77052446.pdf","77052446")</f>
        <v>77052446</v>
      </c>
      <c r="F270" s="16" t="s">
        <v>1488</v>
      </c>
      <c r="G270" s="16" t="s">
        <v>1487</v>
      </c>
      <c r="H270" s="16" t="s">
        <v>1489</v>
      </c>
      <c r="I270" s="17">
        <v>45352</v>
      </c>
    </row>
    <row r="271" spans="1:9" x14ac:dyDescent="0.15">
      <c r="A271" s="16" t="s">
        <v>1495</v>
      </c>
      <c r="B271" s="7" t="s">
        <v>9</v>
      </c>
      <c r="C271" s="16" t="s">
        <v>40</v>
      </c>
      <c r="D271" s="16" t="s">
        <v>41</v>
      </c>
      <c r="E271" s="13" t="str">
        <f>+HYPERLINK("http://trademark.i-assist.jp/data/china/image_1891th/77056193.pdf","77056193")</f>
        <v>77056193</v>
      </c>
      <c r="F271" s="16" t="s">
        <v>1493</v>
      </c>
      <c r="G271" s="16" t="s">
        <v>1492</v>
      </c>
      <c r="H271" s="16" t="s">
        <v>1494</v>
      </c>
      <c r="I271" s="17">
        <v>45352</v>
      </c>
    </row>
    <row r="272" spans="1:9" x14ac:dyDescent="0.15">
      <c r="A272" s="16" t="s">
        <v>1499</v>
      </c>
      <c r="B272" s="7" t="s">
        <v>9</v>
      </c>
      <c r="C272" s="16" t="s">
        <v>40</v>
      </c>
      <c r="D272" s="16" t="s">
        <v>41</v>
      </c>
      <c r="E272" s="13" t="str">
        <f>+HYPERLINK("http://trademark.i-assist.jp/data/china/image_1891th/77056948.pdf","77056948")</f>
        <v>77056948</v>
      </c>
      <c r="F272" s="16" t="s">
        <v>1497</v>
      </c>
      <c r="G272" s="16" t="s">
        <v>783</v>
      </c>
      <c r="H272" s="16" t="s">
        <v>1498</v>
      </c>
      <c r="I272" s="17">
        <v>45352</v>
      </c>
    </row>
    <row r="273" spans="1:9" x14ac:dyDescent="0.15">
      <c r="A273" s="16" t="s">
        <v>1504</v>
      </c>
      <c r="B273" s="7" t="s">
        <v>9</v>
      </c>
      <c r="C273" s="16" t="s">
        <v>40</v>
      </c>
      <c r="D273" s="16" t="s">
        <v>41</v>
      </c>
      <c r="E273" s="13" t="str">
        <f>+HYPERLINK("http://trademark.i-assist.jp/data/china/image_1891th/77059425.pdf","77059425")</f>
        <v>77059425</v>
      </c>
      <c r="F273" s="16" t="s">
        <v>1502</v>
      </c>
      <c r="G273" s="16" t="s">
        <v>1501</v>
      </c>
      <c r="H273" s="16" t="s">
        <v>1503</v>
      </c>
      <c r="I273" s="17">
        <v>45352</v>
      </c>
    </row>
    <row r="274" spans="1:9" x14ac:dyDescent="0.15">
      <c r="A274" s="16" t="s">
        <v>1509</v>
      </c>
      <c r="B274" s="7" t="s">
        <v>9</v>
      </c>
      <c r="C274" s="16" t="s">
        <v>40</v>
      </c>
      <c r="D274" s="16" t="s">
        <v>41</v>
      </c>
      <c r="E274" s="13" t="str">
        <f>+HYPERLINK("http://trademark.i-assist.jp/data/china/image_1891th/77059849.pdf","77059849")</f>
        <v>77059849</v>
      </c>
      <c r="F274" s="16" t="s">
        <v>1507</v>
      </c>
      <c r="G274" s="16" t="s">
        <v>1506</v>
      </c>
      <c r="H274" s="16" t="s">
        <v>1508</v>
      </c>
      <c r="I274" s="17">
        <v>45352</v>
      </c>
    </row>
    <row r="275" spans="1:9" x14ac:dyDescent="0.15">
      <c r="A275" s="16" t="s">
        <v>1513</v>
      </c>
      <c r="B275" s="7" t="s">
        <v>9</v>
      </c>
      <c r="C275" s="16" t="s">
        <v>40</v>
      </c>
      <c r="D275" s="16" t="s">
        <v>41</v>
      </c>
      <c r="E275" s="13" t="str">
        <f>+HYPERLINK("http://trademark.i-assist.jp/data/china/image_1891th/77060312.pdf","77060312")</f>
        <v>77060312</v>
      </c>
      <c r="F275" s="16" t="s">
        <v>52</v>
      </c>
      <c r="G275" s="16" t="s">
        <v>1511</v>
      </c>
      <c r="H275" s="16" t="s">
        <v>1512</v>
      </c>
      <c r="I275" s="17">
        <v>45352</v>
      </c>
    </row>
    <row r="276" spans="1:9" x14ac:dyDescent="0.15">
      <c r="A276" s="16" t="s">
        <v>1517</v>
      </c>
      <c r="B276" s="7" t="s">
        <v>9</v>
      </c>
      <c r="C276" s="16" t="s">
        <v>40</v>
      </c>
      <c r="D276" s="16" t="s">
        <v>41</v>
      </c>
      <c r="E276" s="13" t="str">
        <f>+HYPERLINK("http://trademark.i-assist.jp/data/china/image_1891th/77061638.pdf","77061638")</f>
        <v>77061638</v>
      </c>
      <c r="F276" s="16" t="s">
        <v>1515</v>
      </c>
      <c r="G276" s="16" t="s">
        <v>1501</v>
      </c>
      <c r="H276" s="16" t="s">
        <v>1516</v>
      </c>
      <c r="I276" s="17">
        <v>45352</v>
      </c>
    </row>
    <row r="277" spans="1:9" x14ac:dyDescent="0.15">
      <c r="A277" s="16" t="s">
        <v>1520</v>
      </c>
      <c r="B277" s="7" t="s">
        <v>9</v>
      </c>
      <c r="C277" s="16" t="s">
        <v>40</v>
      </c>
      <c r="D277" s="16" t="s">
        <v>41</v>
      </c>
      <c r="E277" s="13" t="str">
        <f>+HYPERLINK("http://trademark.i-assist.jp/data/china/image_1891th/77062364.pdf","77062364")</f>
        <v>77062364</v>
      </c>
      <c r="F277" s="16" t="s">
        <v>52</v>
      </c>
      <c r="G277" s="16" t="s">
        <v>1511</v>
      </c>
      <c r="H277" s="16" t="s">
        <v>1519</v>
      </c>
      <c r="I277" s="17">
        <v>45352</v>
      </c>
    </row>
    <row r="278" spans="1:9" x14ac:dyDescent="0.15">
      <c r="A278" s="16" t="s">
        <v>1525</v>
      </c>
      <c r="B278" s="7" t="s">
        <v>9</v>
      </c>
      <c r="C278" s="16" t="s">
        <v>40</v>
      </c>
      <c r="D278" s="16" t="s">
        <v>41</v>
      </c>
      <c r="E278" s="13" t="str">
        <f>+HYPERLINK("http://trademark.i-assist.jp/data/china/image_1891th/77067442.pdf","77067442")</f>
        <v>77067442</v>
      </c>
      <c r="F278" s="16" t="s">
        <v>52</v>
      </c>
      <c r="G278" s="16" t="s">
        <v>1522</v>
      </c>
      <c r="H278" s="16" t="s">
        <v>1523</v>
      </c>
      <c r="I278" s="17">
        <v>45353</v>
      </c>
    </row>
    <row r="279" spans="1:9" x14ac:dyDescent="0.15">
      <c r="A279" s="16" t="s">
        <v>1530</v>
      </c>
      <c r="B279" s="7" t="s">
        <v>9</v>
      </c>
      <c r="C279" s="16" t="s">
        <v>40</v>
      </c>
      <c r="D279" s="16" t="s">
        <v>41</v>
      </c>
      <c r="E279" s="13" t="str">
        <f>+HYPERLINK("http://trademark.i-assist.jp/data/china/image_1891th/77067557.pdf","77067557")</f>
        <v>77067557</v>
      </c>
      <c r="F279" s="16" t="s">
        <v>1528</v>
      </c>
      <c r="G279" s="16" t="s">
        <v>1527</v>
      </c>
      <c r="H279" s="16" t="s">
        <v>1529</v>
      </c>
      <c r="I279" s="17">
        <v>45353</v>
      </c>
    </row>
    <row r="280" spans="1:9" x14ac:dyDescent="0.15">
      <c r="A280" s="16" t="s">
        <v>1535</v>
      </c>
      <c r="B280" s="7" t="s">
        <v>9</v>
      </c>
      <c r="C280" s="16" t="s">
        <v>40</v>
      </c>
      <c r="D280" s="16" t="s">
        <v>41</v>
      </c>
      <c r="E280" s="13" t="str">
        <f>+HYPERLINK("http://trademark.i-assist.jp/data/china/image_1891th/77068736.pdf","77068736")</f>
        <v>77068736</v>
      </c>
      <c r="F280" s="16" t="s">
        <v>1533</v>
      </c>
      <c r="G280" s="16" t="s">
        <v>1532</v>
      </c>
      <c r="H280" s="16" t="s">
        <v>1534</v>
      </c>
      <c r="I280" s="17">
        <v>45353</v>
      </c>
    </row>
    <row r="281" spans="1:9" x14ac:dyDescent="0.15">
      <c r="A281" s="16" t="s">
        <v>1541</v>
      </c>
      <c r="B281" s="7" t="s">
        <v>9</v>
      </c>
      <c r="C281" s="16" t="s">
        <v>40</v>
      </c>
      <c r="D281" s="16" t="s">
        <v>41</v>
      </c>
      <c r="E281" s="13" t="str">
        <f>+HYPERLINK("http://trademark.i-assist.jp/data/china/image_1891th/77071009.pdf","77071009")</f>
        <v>77071009</v>
      </c>
      <c r="F281" s="16" t="s">
        <v>1538</v>
      </c>
      <c r="G281" s="16" t="s">
        <v>1537</v>
      </c>
      <c r="H281" s="16" t="s">
        <v>1539</v>
      </c>
      <c r="I281" s="17">
        <v>45354</v>
      </c>
    </row>
    <row r="282" spans="1:9" x14ac:dyDescent="0.15">
      <c r="A282" s="16" t="s">
        <v>1547</v>
      </c>
      <c r="B282" s="7" t="s">
        <v>9</v>
      </c>
      <c r="C282" s="16" t="s">
        <v>40</v>
      </c>
      <c r="D282" s="16" t="s">
        <v>41</v>
      </c>
      <c r="E282" s="13" t="str">
        <f>+HYPERLINK("http://trademark.i-assist.jp/data/china/image_1891th/77074397.pdf","77074397")</f>
        <v>77074397</v>
      </c>
      <c r="F282" s="16" t="s">
        <v>1544</v>
      </c>
      <c r="G282" s="16" t="s">
        <v>1543</v>
      </c>
      <c r="H282" s="16" t="s">
        <v>1545</v>
      </c>
      <c r="I282" s="17">
        <v>45355</v>
      </c>
    </row>
    <row r="283" spans="1:9" x14ac:dyDescent="0.15">
      <c r="A283" s="16" t="s">
        <v>1552</v>
      </c>
      <c r="B283" s="7" t="s">
        <v>9</v>
      </c>
      <c r="C283" s="16" t="s">
        <v>40</v>
      </c>
      <c r="D283" s="16" t="s">
        <v>41</v>
      </c>
      <c r="E283" s="13" t="str">
        <f>+HYPERLINK("http://trademark.i-assist.jp/data/china/image_1891th/77075846.pdf","77075846")</f>
        <v>77075846</v>
      </c>
      <c r="F283" s="16" t="s">
        <v>1550</v>
      </c>
      <c r="G283" s="16" t="s">
        <v>1549</v>
      </c>
      <c r="H283" s="16" t="s">
        <v>1551</v>
      </c>
      <c r="I283" s="17">
        <v>45355</v>
      </c>
    </row>
    <row r="284" spans="1:9" x14ac:dyDescent="0.15">
      <c r="A284" s="16" t="s">
        <v>1556</v>
      </c>
      <c r="B284" s="7" t="s">
        <v>9</v>
      </c>
      <c r="C284" s="16" t="s">
        <v>40</v>
      </c>
      <c r="D284" s="16" t="s">
        <v>41</v>
      </c>
      <c r="E284" s="13" t="str">
        <f>+HYPERLINK("http://trademark.i-assist.jp/data/china/image_1891th/77078569.pdf","77078569")</f>
        <v>77078569</v>
      </c>
      <c r="F284" s="16" t="s">
        <v>52</v>
      </c>
      <c r="G284" s="16" t="s">
        <v>1554</v>
      </c>
      <c r="H284" s="16" t="s">
        <v>1555</v>
      </c>
      <c r="I284" s="17">
        <v>45355</v>
      </c>
    </row>
    <row r="285" spans="1:9" x14ac:dyDescent="0.15">
      <c r="A285" s="16" t="s">
        <v>1561</v>
      </c>
      <c r="B285" s="7" t="s">
        <v>9</v>
      </c>
      <c r="C285" s="16" t="s">
        <v>40</v>
      </c>
      <c r="D285" s="16" t="s">
        <v>41</v>
      </c>
      <c r="E285" s="13" t="str">
        <f>+HYPERLINK("http://trademark.i-assist.jp/data/china/image_1891th/77079373.pdf","77079373")</f>
        <v>77079373</v>
      </c>
      <c r="F285" s="16" t="s">
        <v>1559</v>
      </c>
      <c r="G285" s="16" t="s">
        <v>1558</v>
      </c>
      <c r="H285" s="16" t="s">
        <v>1560</v>
      </c>
      <c r="I285" s="17">
        <v>45355</v>
      </c>
    </row>
    <row r="286" spans="1:9" x14ac:dyDescent="0.15">
      <c r="A286" s="16" t="s">
        <v>1565</v>
      </c>
      <c r="B286" s="7" t="s">
        <v>9</v>
      </c>
      <c r="C286" s="16" t="s">
        <v>40</v>
      </c>
      <c r="D286" s="16" t="s">
        <v>41</v>
      </c>
      <c r="E286" s="13" t="str">
        <f>+HYPERLINK("http://trademark.i-assist.jp/data/china/image_1891th/77082516.pdf","77082516")</f>
        <v>77082516</v>
      </c>
      <c r="F286" s="16" t="s">
        <v>1563</v>
      </c>
      <c r="G286" s="16" t="s">
        <v>258</v>
      </c>
      <c r="H286" s="16" t="s">
        <v>1564</v>
      </c>
      <c r="I286" s="17">
        <v>45355</v>
      </c>
    </row>
    <row r="287" spans="1:9" x14ac:dyDescent="0.15">
      <c r="A287" s="16" t="s">
        <v>1570</v>
      </c>
      <c r="B287" s="7" t="s">
        <v>9</v>
      </c>
      <c r="C287" s="16" t="s">
        <v>40</v>
      </c>
      <c r="D287" s="16" t="s">
        <v>41</v>
      </c>
      <c r="E287" s="13" t="str">
        <f>+HYPERLINK("http://trademark.i-assist.jp/data/china/image_1891th/77085841.pdf","77085841")</f>
        <v>77085841</v>
      </c>
      <c r="F287" s="16" t="s">
        <v>1568</v>
      </c>
      <c r="G287" s="16" t="s">
        <v>1567</v>
      </c>
      <c r="H287" s="16" t="s">
        <v>1569</v>
      </c>
      <c r="I287" s="17">
        <v>45355</v>
      </c>
    </row>
    <row r="288" spans="1:9" x14ac:dyDescent="0.15">
      <c r="A288" s="16" t="s">
        <v>1575</v>
      </c>
      <c r="B288" s="7" t="s">
        <v>9</v>
      </c>
      <c r="C288" s="16" t="s">
        <v>40</v>
      </c>
      <c r="D288" s="16" t="s">
        <v>41</v>
      </c>
      <c r="E288" s="13" t="str">
        <f>+HYPERLINK("http://trademark.i-assist.jp/data/china/image_1891th/77087937.pdf","77087937")</f>
        <v>77087937</v>
      </c>
      <c r="F288" s="16" t="s">
        <v>1573</v>
      </c>
      <c r="G288" s="16" t="s">
        <v>1572</v>
      </c>
      <c r="H288" s="16" t="s">
        <v>1574</v>
      </c>
      <c r="I288" s="17">
        <v>45355</v>
      </c>
    </row>
    <row r="289" spans="1:9" x14ac:dyDescent="0.15">
      <c r="A289" s="16" t="s">
        <v>1580</v>
      </c>
      <c r="B289" s="7" t="s">
        <v>9</v>
      </c>
      <c r="C289" s="16" t="s">
        <v>40</v>
      </c>
      <c r="D289" s="16" t="s">
        <v>41</v>
      </c>
      <c r="E289" s="13" t="str">
        <f>+HYPERLINK("http://trademark.i-assist.jp/data/china/image_1891th/77089138.pdf","77089138")</f>
        <v>77089138</v>
      </c>
      <c r="F289" s="16" t="s">
        <v>1578</v>
      </c>
      <c r="G289" s="16" t="s">
        <v>1577</v>
      </c>
      <c r="H289" s="16" t="s">
        <v>1579</v>
      </c>
      <c r="I289" s="17">
        <v>45355</v>
      </c>
    </row>
    <row r="290" spans="1:9" x14ac:dyDescent="0.15">
      <c r="A290" s="16" t="s">
        <v>1585</v>
      </c>
      <c r="B290" s="7" t="s">
        <v>9</v>
      </c>
      <c r="C290" s="16" t="s">
        <v>40</v>
      </c>
      <c r="D290" s="16" t="s">
        <v>41</v>
      </c>
      <c r="E290" s="13" t="str">
        <f>+HYPERLINK("http://trademark.i-assist.jp/data/china/image_1891th/77089161.pdf","77089161")</f>
        <v>77089161</v>
      </c>
      <c r="F290" s="16" t="s">
        <v>1583</v>
      </c>
      <c r="G290" s="16" t="s">
        <v>1582</v>
      </c>
      <c r="H290" s="16" t="s">
        <v>1584</v>
      </c>
      <c r="I290" s="17">
        <v>45355</v>
      </c>
    </row>
    <row r="291" spans="1:9" x14ac:dyDescent="0.15">
      <c r="A291" s="16" t="s">
        <v>1590</v>
      </c>
      <c r="B291" s="7" t="s">
        <v>9</v>
      </c>
      <c r="C291" s="16" t="s">
        <v>40</v>
      </c>
      <c r="D291" s="16" t="s">
        <v>41</v>
      </c>
      <c r="E291" s="13" t="str">
        <f>+HYPERLINK("http://trademark.i-assist.jp/data/china/image_1891th/77090814.pdf","77090814")</f>
        <v>77090814</v>
      </c>
      <c r="F291" s="16" t="s">
        <v>1588</v>
      </c>
      <c r="G291" s="16" t="s">
        <v>1587</v>
      </c>
      <c r="H291" s="16" t="s">
        <v>1589</v>
      </c>
      <c r="I291" s="17">
        <v>45355</v>
      </c>
    </row>
    <row r="292" spans="1:9" x14ac:dyDescent="0.15">
      <c r="A292" s="16" t="s">
        <v>1595</v>
      </c>
      <c r="B292" s="7" t="s">
        <v>9</v>
      </c>
      <c r="C292" s="16" t="s">
        <v>40</v>
      </c>
      <c r="D292" s="16" t="s">
        <v>41</v>
      </c>
      <c r="E292" s="13" t="str">
        <f>+HYPERLINK("http://trademark.i-assist.jp/data/china/image_1891th/77093114.pdf","77093114")</f>
        <v>77093114</v>
      </c>
      <c r="F292" s="16" t="s">
        <v>1593</v>
      </c>
      <c r="G292" s="16" t="s">
        <v>1592</v>
      </c>
      <c r="H292" s="16" t="s">
        <v>1594</v>
      </c>
      <c r="I292" s="17">
        <v>45355</v>
      </c>
    </row>
    <row r="293" spans="1:9" x14ac:dyDescent="0.15">
      <c r="A293" s="16" t="s">
        <v>1600</v>
      </c>
      <c r="B293" s="7" t="s">
        <v>9</v>
      </c>
      <c r="C293" s="16" t="s">
        <v>40</v>
      </c>
      <c r="D293" s="16" t="s">
        <v>41</v>
      </c>
      <c r="E293" s="13" t="str">
        <f>+HYPERLINK("http://trademark.i-assist.jp/data/china/image_1891th/77093722.pdf","77093722")</f>
        <v>77093722</v>
      </c>
      <c r="F293" s="16" t="s">
        <v>1598</v>
      </c>
      <c r="G293" s="16" t="s">
        <v>1597</v>
      </c>
      <c r="H293" s="16" t="s">
        <v>1599</v>
      </c>
      <c r="I293" s="17">
        <v>45355</v>
      </c>
    </row>
    <row r="294" spans="1:9" x14ac:dyDescent="0.15">
      <c r="A294" s="16" t="s">
        <v>1605</v>
      </c>
      <c r="B294" s="7" t="s">
        <v>9</v>
      </c>
      <c r="C294" s="16" t="s">
        <v>40</v>
      </c>
      <c r="D294" s="16" t="s">
        <v>41</v>
      </c>
      <c r="E294" s="13" t="str">
        <f>+HYPERLINK("http://trademark.i-assist.jp/data/china/image_1891th/77096968.pdf","77096968")</f>
        <v>77096968</v>
      </c>
      <c r="F294" s="16" t="s">
        <v>1603</v>
      </c>
      <c r="G294" s="16" t="s">
        <v>1602</v>
      </c>
      <c r="H294" s="16" t="s">
        <v>1604</v>
      </c>
      <c r="I294" s="17">
        <v>45355</v>
      </c>
    </row>
    <row r="295" spans="1:9" x14ac:dyDescent="0.15">
      <c r="A295" s="16" t="s">
        <v>1610</v>
      </c>
      <c r="B295" s="7" t="s">
        <v>9</v>
      </c>
      <c r="C295" s="16" t="s">
        <v>40</v>
      </c>
      <c r="D295" s="16" t="s">
        <v>41</v>
      </c>
      <c r="E295" s="13" t="str">
        <f>+HYPERLINK("http://trademark.i-assist.jp/data/china/image_1891th/77100333.pdf","77100333")</f>
        <v>77100333</v>
      </c>
      <c r="F295" s="16" t="s">
        <v>1608</v>
      </c>
      <c r="G295" s="16" t="s">
        <v>1607</v>
      </c>
      <c r="H295" s="16" t="s">
        <v>1609</v>
      </c>
      <c r="I295" s="17">
        <v>45356</v>
      </c>
    </row>
    <row r="296" spans="1:9" x14ac:dyDescent="0.15">
      <c r="A296" s="16" t="s">
        <v>1615</v>
      </c>
      <c r="B296" s="7" t="s">
        <v>9</v>
      </c>
      <c r="C296" s="16" t="s">
        <v>40</v>
      </c>
      <c r="D296" s="16" t="s">
        <v>41</v>
      </c>
      <c r="E296" s="13" t="str">
        <f>+HYPERLINK("http://trademark.i-assist.jp/data/china/image_1891th/77100656.pdf","77100656")</f>
        <v>77100656</v>
      </c>
      <c r="F296" s="16" t="s">
        <v>1613</v>
      </c>
      <c r="G296" s="16" t="s">
        <v>1612</v>
      </c>
      <c r="H296" s="16" t="s">
        <v>1614</v>
      </c>
      <c r="I296" s="17">
        <v>45356</v>
      </c>
    </row>
    <row r="297" spans="1:9" x14ac:dyDescent="0.15">
      <c r="A297" s="16" t="s">
        <v>1620</v>
      </c>
      <c r="B297" s="7" t="s">
        <v>9</v>
      </c>
      <c r="C297" s="16" t="s">
        <v>40</v>
      </c>
      <c r="D297" s="16" t="s">
        <v>41</v>
      </c>
      <c r="E297" s="13" t="str">
        <f>+HYPERLINK("http://trademark.i-assist.jp/data/china/image_1891th/77104170.pdf","77104170")</f>
        <v>77104170</v>
      </c>
      <c r="F297" s="16" t="s">
        <v>1618</v>
      </c>
      <c r="G297" s="16" t="s">
        <v>1617</v>
      </c>
      <c r="H297" s="16" t="s">
        <v>1619</v>
      </c>
      <c r="I297" s="17">
        <v>45356</v>
      </c>
    </row>
    <row r="298" spans="1:9" x14ac:dyDescent="0.15">
      <c r="A298" s="16" t="s">
        <v>1625</v>
      </c>
      <c r="B298" s="7" t="s">
        <v>9</v>
      </c>
      <c r="C298" s="16" t="s">
        <v>40</v>
      </c>
      <c r="D298" s="16" t="s">
        <v>41</v>
      </c>
      <c r="E298" s="13" t="str">
        <f>+HYPERLINK("http://trademark.i-assist.jp/data/china/image_1891th/77104653.pdf","77104653")</f>
        <v>77104653</v>
      </c>
      <c r="F298" s="16" t="s">
        <v>1623</v>
      </c>
      <c r="G298" s="16" t="s">
        <v>1622</v>
      </c>
      <c r="H298" s="16" t="s">
        <v>1624</v>
      </c>
      <c r="I298" s="17">
        <v>45356</v>
      </c>
    </row>
    <row r="299" spans="1:9" x14ac:dyDescent="0.15">
      <c r="A299" s="16" t="s">
        <v>1630</v>
      </c>
      <c r="B299" s="7" t="s">
        <v>9</v>
      </c>
      <c r="C299" s="16" t="s">
        <v>40</v>
      </c>
      <c r="D299" s="16" t="s">
        <v>41</v>
      </c>
      <c r="E299" s="13" t="str">
        <f>+HYPERLINK("http://trademark.i-assist.jp/data/china/image_1891th/77109435.pdf","77109435")</f>
        <v>77109435</v>
      </c>
      <c r="F299" s="16" t="s">
        <v>1628</v>
      </c>
      <c r="G299" s="16" t="s">
        <v>1627</v>
      </c>
      <c r="H299" s="16" t="s">
        <v>1629</v>
      </c>
      <c r="I299" s="17">
        <v>45356</v>
      </c>
    </row>
    <row r="300" spans="1:9" x14ac:dyDescent="0.15">
      <c r="A300" s="16" t="s">
        <v>1635</v>
      </c>
      <c r="B300" s="7" t="s">
        <v>9</v>
      </c>
      <c r="C300" s="16" t="s">
        <v>40</v>
      </c>
      <c r="D300" s="16" t="s">
        <v>41</v>
      </c>
      <c r="E300" s="13" t="str">
        <f>+HYPERLINK("http://trademark.i-assist.jp/data/china/image_1891th/77111087.pdf","77111087")</f>
        <v>77111087</v>
      </c>
      <c r="F300" s="16" t="s">
        <v>1633</v>
      </c>
      <c r="G300" s="16" t="s">
        <v>1632</v>
      </c>
      <c r="H300" s="16" t="s">
        <v>1634</v>
      </c>
      <c r="I300" s="17">
        <v>45356</v>
      </c>
    </row>
    <row r="301" spans="1:9" x14ac:dyDescent="0.15">
      <c r="A301" s="16" t="s">
        <v>1640</v>
      </c>
      <c r="B301" s="7" t="s">
        <v>9</v>
      </c>
      <c r="C301" s="16" t="s">
        <v>40</v>
      </c>
      <c r="D301" s="16" t="s">
        <v>41</v>
      </c>
      <c r="E301" s="13" t="str">
        <f>+HYPERLINK("http://trademark.i-assist.jp/data/china/image_1891th/77117583.pdf","77117583")</f>
        <v>77117583</v>
      </c>
      <c r="F301" s="16" t="s">
        <v>1638</v>
      </c>
      <c r="G301" s="16" t="s">
        <v>1637</v>
      </c>
      <c r="H301" s="16" t="s">
        <v>1639</v>
      </c>
      <c r="I301" s="17">
        <v>45356</v>
      </c>
    </row>
    <row r="302" spans="1:9" x14ac:dyDescent="0.15">
      <c r="A302" s="16" t="s">
        <v>1645</v>
      </c>
      <c r="B302" s="7" t="s">
        <v>9</v>
      </c>
      <c r="C302" s="16" t="s">
        <v>40</v>
      </c>
      <c r="D302" s="16" t="s">
        <v>41</v>
      </c>
      <c r="E302" s="13" t="str">
        <f>+HYPERLINK("http://trademark.i-assist.jp/data/china/image_1891th/77117919.pdf","77117919")</f>
        <v>77117919</v>
      </c>
      <c r="F302" s="16" t="s">
        <v>1643</v>
      </c>
      <c r="G302" s="16" t="s">
        <v>1642</v>
      </c>
      <c r="H302" s="16" t="s">
        <v>1644</v>
      </c>
      <c r="I302" s="17">
        <v>45356</v>
      </c>
    </row>
    <row r="303" spans="1:9" x14ac:dyDescent="0.15">
      <c r="A303" s="16" t="s">
        <v>1648</v>
      </c>
      <c r="B303" s="7" t="s">
        <v>9</v>
      </c>
      <c r="C303" s="16" t="s">
        <v>40</v>
      </c>
      <c r="D303" s="16" t="s">
        <v>41</v>
      </c>
      <c r="E303" s="13" t="str">
        <f>+HYPERLINK("http://trademark.i-assist.jp/data/china/image_1891th/77118784.pdf","77118784")</f>
        <v>77118784</v>
      </c>
      <c r="F303" s="16" t="s">
        <v>52</v>
      </c>
      <c r="G303" s="16" t="s">
        <v>1612</v>
      </c>
      <c r="H303" s="16" t="s">
        <v>1647</v>
      </c>
      <c r="I303" s="17">
        <v>45356</v>
      </c>
    </row>
    <row r="304" spans="1:9" x14ac:dyDescent="0.15">
      <c r="A304" s="16" t="s">
        <v>38</v>
      </c>
      <c r="B304" s="7" t="s">
        <v>9</v>
      </c>
      <c r="C304" s="16" t="s">
        <v>40</v>
      </c>
      <c r="D304" s="16" t="s">
        <v>41</v>
      </c>
      <c r="E304" s="13" t="str">
        <f>+HYPERLINK("http://trademark.i-assist.jp/data/china/image_1891th/77119759.pdf","77119759")</f>
        <v>77119759</v>
      </c>
      <c r="F304" s="16" t="s">
        <v>1651</v>
      </c>
      <c r="G304" s="16" t="s">
        <v>1650</v>
      </c>
      <c r="H304" s="16" t="s">
        <v>1652</v>
      </c>
      <c r="I304" s="17">
        <v>45356</v>
      </c>
    </row>
    <row r="305" spans="1:9" x14ac:dyDescent="0.15">
      <c r="A305" s="16" t="s">
        <v>48</v>
      </c>
      <c r="B305" s="7" t="s">
        <v>9</v>
      </c>
      <c r="C305" s="16" t="s">
        <v>40</v>
      </c>
      <c r="D305" s="16" t="s">
        <v>41</v>
      </c>
      <c r="E305" s="13" t="str">
        <f>+HYPERLINK("http://trademark.i-assist.jp/data/china/image_1891th/77122794.pdf","77122794")</f>
        <v>77122794</v>
      </c>
      <c r="F305" s="16" t="s">
        <v>44</v>
      </c>
      <c r="G305" s="16" t="s">
        <v>43</v>
      </c>
      <c r="H305" s="16" t="s">
        <v>45</v>
      </c>
      <c r="I305" s="17">
        <v>45356</v>
      </c>
    </row>
    <row r="306" spans="1:9" x14ac:dyDescent="0.15">
      <c r="A306" s="16" t="s">
        <v>55</v>
      </c>
      <c r="B306" s="7" t="s">
        <v>9</v>
      </c>
      <c r="C306" s="16" t="s">
        <v>40</v>
      </c>
      <c r="D306" s="16" t="s">
        <v>41</v>
      </c>
      <c r="E306" s="13" t="str">
        <f>+HYPERLINK("http://trademark.i-assist.jp/data/china/image_1891th/77127102.pdf","77127102")</f>
        <v>77127102</v>
      </c>
      <c r="F306" s="16" t="s">
        <v>52</v>
      </c>
      <c r="G306" s="16" t="s">
        <v>51</v>
      </c>
      <c r="H306" s="16" t="s">
        <v>53</v>
      </c>
      <c r="I306" s="17">
        <v>45357</v>
      </c>
    </row>
    <row r="307" spans="1:9" x14ac:dyDescent="0.15">
      <c r="A307" s="16" t="s">
        <v>61</v>
      </c>
      <c r="B307" s="7" t="s">
        <v>9</v>
      </c>
      <c r="C307" s="16" t="s">
        <v>40</v>
      </c>
      <c r="D307" s="16" t="s">
        <v>41</v>
      </c>
      <c r="E307" s="13" t="str">
        <f>+HYPERLINK("http://trademark.i-assist.jp/data/china/image_1891th/77127955.pdf","77127955")</f>
        <v>77127955</v>
      </c>
      <c r="F307" s="16" t="s">
        <v>59</v>
      </c>
      <c r="G307" s="16" t="s">
        <v>58</v>
      </c>
      <c r="H307" s="16" t="s">
        <v>60</v>
      </c>
      <c r="I307" s="17">
        <v>45357</v>
      </c>
    </row>
    <row r="308" spans="1:9" x14ac:dyDescent="0.15">
      <c r="A308" s="16" t="s">
        <v>68</v>
      </c>
      <c r="B308" s="7" t="s">
        <v>9</v>
      </c>
      <c r="C308" s="16" t="s">
        <v>40</v>
      </c>
      <c r="D308" s="16" t="s">
        <v>41</v>
      </c>
      <c r="E308" s="13" t="str">
        <f>+HYPERLINK("http://trademark.i-assist.jp/data/china/image_1891th/77128509.pdf","77128509")</f>
        <v>77128509</v>
      </c>
      <c r="F308" s="16" t="s">
        <v>65</v>
      </c>
      <c r="G308" s="16" t="s">
        <v>64</v>
      </c>
      <c r="H308" s="16" t="s">
        <v>66</v>
      </c>
      <c r="I308" s="17">
        <v>45357</v>
      </c>
    </row>
    <row r="309" spans="1:9" x14ac:dyDescent="0.15">
      <c r="A309" s="16" t="s">
        <v>73</v>
      </c>
      <c r="B309" s="7" t="s">
        <v>9</v>
      </c>
      <c r="C309" s="16" t="s">
        <v>40</v>
      </c>
      <c r="D309" s="16" t="s">
        <v>41</v>
      </c>
      <c r="E309" s="13" t="str">
        <f>+HYPERLINK("http://trademark.i-assist.jp/data/china/image_1891th/77130601.pdf","77130601")</f>
        <v>77130601</v>
      </c>
      <c r="F309" s="16" t="s">
        <v>52</v>
      </c>
      <c r="G309" s="16" t="s">
        <v>71</v>
      </c>
      <c r="H309" s="16" t="s">
        <v>72</v>
      </c>
      <c r="I309" s="17">
        <v>45357</v>
      </c>
    </row>
    <row r="310" spans="1:9" x14ac:dyDescent="0.15">
      <c r="A310" s="16" t="s">
        <v>79</v>
      </c>
      <c r="B310" s="7" t="s">
        <v>9</v>
      </c>
      <c r="C310" s="16" t="s">
        <v>40</v>
      </c>
      <c r="D310" s="16" t="s">
        <v>41</v>
      </c>
      <c r="E310" s="13" t="str">
        <f>+HYPERLINK("http://trademark.i-assist.jp/data/china/image_1891th/77135464.pdf","77135464")</f>
        <v>77135464</v>
      </c>
      <c r="F310" s="16" t="s">
        <v>77</v>
      </c>
      <c r="G310" s="16" t="s">
        <v>76</v>
      </c>
      <c r="H310" s="16" t="s">
        <v>78</v>
      </c>
      <c r="I310" s="17">
        <v>45357</v>
      </c>
    </row>
    <row r="311" spans="1:9" x14ac:dyDescent="0.15">
      <c r="A311" s="16" t="s">
        <v>84</v>
      </c>
      <c r="B311" s="7" t="s">
        <v>9</v>
      </c>
      <c r="C311" s="16" t="s">
        <v>40</v>
      </c>
      <c r="D311" s="16" t="s">
        <v>41</v>
      </c>
      <c r="E311" s="13" t="str">
        <f>+HYPERLINK("http://trademark.i-assist.jp/data/china/image_1891th/77138006.pdf","77138006")</f>
        <v>77138006</v>
      </c>
      <c r="F311" s="16" t="s">
        <v>82</v>
      </c>
      <c r="G311" s="16" t="s">
        <v>81</v>
      </c>
      <c r="H311" s="16" t="s">
        <v>83</v>
      </c>
      <c r="I311" s="17">
        <v>45357</v>
      </c>
    </row>
    <row r="312" spans="1:9" x14ac:dyDescent="0.15">
      <c r="A312" s="16" t="s">
        <v>90</v>
      </c>
      <c r="B312" s="7" t="s">
        <v>9</v>
      </c>
      <c r="C312" s="16" t="s">
        <v>40</v>
      </c>
      <c r="D312" s="16" t="s">
        <v>41</v>
      </c>
      <c r="E312" s="13" t="str">
        <f>+HYPERLINK("http://trademark.i-assist.jp/data/china/image_1891th/77138300.pdf","77138300")</f>
        <v>77138300</v>
      </c>
      <c r="F312" s="16" t="s">
        <v>88</v>
      </c>
      <c r="G312" s="16" t="s">
        <v>87</v>
      </c>
      <c r="H312" s="16" t="s">
        <v>89</v>
      </c>
      <c r="I312" s="17">
        <v>45357</v>
      </c>
    </row>
    <row r="313" spans="1:9" x14ac:dyDescent="0.15">
      <c r="A313" s="16" t="s">
        <v>96</v>
      </c>
      <c r="B313" s="7" t="s">
        <v>9</v>
      </c>
      <c r="C313" s="16" t="s">
        <v>40</v>
      </c>
      <c r="D313" s="16" t="s">
        <v>41</v>
      </c>
      <c r="E313" s="13" t="str">
        <f>+HYPERLINK("http://trademark.i-assist.jp/data/china/image_1891th/77140103.pdf","77140103")</f>
        <v>77140103</v>
      </c>
      <c r="F313" s="16" t="s">
        <v>94</v>
      </c>
      <c r="G313" s="16" t="s">
        <v>93</v>
      </c>
      <c r="H313" s="16" t="s">
        <v>95</v>
      </c>
      <c r="I313" s="17">
        <v>45357</v>
      </c>
    </row>
    <row r="314" spans="1:9" x14ac:dyDescent="0.15">
      <c r="A314" s="16" t="s">
        <v>102</v>
      </c>
      <c r="B314" s="7" t="s">
        <v>9</v>
      </c>
      <c r="C314" s="16" t="s">
        <v>40</v>
      </c>
      <c r="D314" s="16" t="s">
        <v>41</v>
      </c>
      <c r="E314" s="13" t="str">
        <f>+HYPERLINK("http://trademark.i-assist.jp/data/china/image_1891th/77148180.pdf","77148180")</f>
        <v>77148180</v>
      </c>
      <c r="F314" s="16" t="s">
        <v>100</v>
      </c>
      <c r="G314" s="16" t="s">
        <v>99</v>
      </c>
      <c r="H314" s="16" t="s">
        <v>101</v>
      </c>
      <c r="I314" s="17">
        <v>45357</v>
      </c>
    </row>
    <row r="315" spans="1:9" x14ac:dyDescent="0.15">
      <c r="A315" s="16" t="s">
        <v>108</v>
      </c>
      <c r="B315" s="7" t="s">
        <v>9</v>
      </c>
      <c r="C315" s="16" t="s">
        <v>40</v>
      </c>
      <c r="D315" s="16" t="s">
        <v>41</v>
      </c>
      <c r="E315" s="13" t="str">
        <f>+HYPERLINK("http://trademark.i-assist.jp/data/china/image_1891th/77148337.pdf","77148337")</f>
        <v>77148337</v>
      </c>
      <c r="F315" s="16" t="s">
        <v>106</v>
      </c>
      <c r="G315" s="16" t="s">
        <v>105</v>
      </c>
      <c r="H315" s="16" t="s">
        <v>107</v>
      </c>
      <c r="I315" s="17">
        <v>45357</v>
      </c>
    </row>
    <row r="316" spans="1:9" x14ac:dyDescent="0.15">
      <c r="A316" s="16" t="s">
        <v>115</v>
      </c>
      <c r="B316" s="7" t="s">
        <v>9</v>
      </c>
      <c r="C316" s="16" t="s">
        <v>40</v>
      </c>
      <c r="D316" s="16" t="s">
        <v>41</v>
      </c>
      <c r="E316" s="13" t="str">
        <f>+HYPERLINK("http://trademark.i-assist.jp/data/china/image_1891th/77148872.pdf","77148872")</f>
        <v>77148872</v>
      </c>
      <c r="F316" s="16" t="s">
        <v>112</v>
      </c>
      <c r="G316" s="16" t="s">
        <v>111</v>
      </c>
      <c r="H316" s="16" t="s">
        <v>113</v>
      </c>
      <c r="I316" s="17">
        <v>45358</v>
      </c>
    </row>
    <row r="317" spans="1:9" x14ac:dyDescent="0.15">
      <c r="A317" s="16" t="s">
        <v>121</v>
      </c>
      <c r="B317" s="7" t="s">
        <v>9</v>
      </c>
      <c r="C317" s="16" t="s">
        <v>40</v>
      </c>
      <c r="D317" s="16" t="s">
        <v>41</v>
      </c>
      <c r="E317" s="13" t="str">
        <f>+HYPERLINK("http://trademark.i-assist.jp/data/china/image_1891th/77151296.pdf","77151296")</f>
        <v>77151296</v>
      </c>
      <c r="F317" s="16" t="s">
        <v>119</v>
      </c>
      <c r="G317" s="16" t="s">
        <v>118</v>
      </c>
      <c r="H317" s="16" t="s">
        <v>120</v>
      </c>
      <c r="I317" s="17">
        <v>45358</v>
      </c>
    </row>
    <row r="318" spans="1:9" x14ac:dyDescent="0.15">
      <c r="A318" s="16" t="s">
        <v>127</v>
      </c>
      <c r="B318" s="7" t="s">
        <v>9</v>
      </c>
      <c r="C318" s="16" t="s">
        <v>40</v>
      </c>
      <c r="D318" s="16" t="s">
        <v>41</v>
      </c>
      <c r="E318" s="13" t="str">
        <f>+HYPERLINK("http://trademark.i-assist.jp/data/china/image_1891th/77151384.pdf","77151384")</f>
        <v>77151384</v>
      </c>
      <c r="F318" s="16" t="s">
        <v>125</v>
      </c>
      <c r="G318" s="16" t="s">
        <v>124</v>
      </c>
      <c r="H318" s="16" t="s">
        <v>126</v>
      </c>
      <c r="I318" s="17">
        <v>45358</v>
      </c>
    </row>
    <row r="319" spans="1:9" x14ac:dyDescent="0.15">
      <c r="A319" s="16" t="s">
        <v>133</v>
      </c>
      <c r="B319" s="7" t="s">
        <v>9</v>
      </c>
      <c r="C319" s="16" t="s">
        <v>40</v>
      </c>
      <c r="D319" s="16" t="s">
        <v>41</v>
      </c>
      <c r="E319" s="13" t="str">
        <f>+HYPERLINK("http://trademark.i-assist.jp/data/china/image_1891th/77152663.pdf","77152663")</f>
        <v>77152663</v>
      </c>
      <c r="F319" s="16" t="s">
        <v>131</v>
      </c>
      <c r="G319" s="16" t="s">
        <v>130</v>
      </c>
      <c r="H319" s="16" t="s">
        <v>132</v>
      </c>
      <c r="I319" s="17">
        <v>45358</v>
      </c>
    </row>
    <row r="320" spans="1:9" x14ac:dyDescent="0.15">
      <c r="A320" s="16" t="s">
        <v>139</v>
      </c>
      <c r="B320" s="7" t="s">
        <v>9</v>
      </c>
      <c r="C320" s="16" t="s">
        <v>40</v>
      </c>
      <c r="D320" s="16" t="s">
        <v>41</v>
      </c>
      <c r="E320" s="13" t="str">
        <f>+HYPERLINK("http://trademark.i-assist.jp/data/china/image_1891th/77152998.pdf","77152998")</f>
        <v>77152998</v>
      </c>
      <c r="F320" s="16" t="s">
        <v>137</v>
      </c>
      <c r="G320" s="16" t="s">
        <v>136</v>
      </c>
      <c r="H320" s="16" t="s">
        <v>138</v>
      </c>
      <c r="I320" s="17">
        <v>45358</v>
      </c>
    </row>
    <row r="321" spans="1:9" x14ac:dyDescent="0.15">
      <c r="A321" s="16" t="s">
        <v>145</v>
      </c>
      <c r="B321" s="7" t="s">
        <v>9</v>
      </c>
      <c r="C321" s="16" t="s">
        <v>40</v>
      </c>
      <c r="D321" s="16" t="s">
        <v>41</v>
      </c>
      <c r="E321" s="13" t="str">
        <f>+HYPERLINK("http://trademark.i-assist.jp/data/china/image_1891th/77153102.pdf","77153102")</f>
        <v>77153102</v>
      </c>
      <c r="F321" s="16" t="s">
        <v>143</v>
      </c>
      <c r="G321" s="16" t="s">
        <v>142</v>
      </c>
      <c r="H321" s="16" t="s">
        <v>144</v>
      </c>
      <c r="I321" s="17">
        <v>45358</v>
      </c>
    </row>
    <row r="322" spans="1:9" x14ac:dyDescent="0.15">
      <c r="A322" s="16" t="s">
        <v>150</v>
      </c>
      <c r="B322" s="7" t="s">
        <v>9</v>
      </c>
      <c r="C322" s="16" t="s">
        <v>40</v>
      </c>
      <c r="D322" s="16" t="s">
        <v>41</v>
      </c>
      <c r="E322" s="13" t="str">
        <f>+HYPERLINK("http://trademark.i-assist.jp/data/china/image_1891th/77154299.pdf","77154299")</f>
        <v>77154299</v>
      </c>
      <c r="F322" s="16" t="s">
        <v>148</v>
      </c>
      <c r="G322" s="16" t="s">
        <v>147</v>
      </c>
      <c r="H322" s="16" t="s">
        <v>149</v>
      </c>
      <c r="I322" s="17">
        <v>45358</v>
      </c>
    </row>
    <row r="323" spans="1:9" x14ac:dyDescent="0.15">
      <c r="A323" s="16" t="s">
        <v>156</v>
      </c>
      <c r="B323" s="7" t="s">
        <v>9</v>
      </c>
      <c r="C323" s="16" t="s">
        <v>40</v>
      </c>
      <c r="D323" s="16" t="s">
        <v>41</v>
      </c>
      <c r="E323" s="13" t="str">
        <f>+HYPERLINK("http://trademark.i-assist.jp/data/china/image_1891th/77156252.pdf","77156252")</f>
        <v>77156252</v>
      </c>
      <c r="F323" s="16" t="s">
        <v>154</v>
      </c>
      <c r="G323" s="16" t="s">
        <v>153</v>
      </c>
      <c r="H323" s="16" t="s">
        <v>155</v>
      </c>
      <c r="I323" s="17">
        <v>45358</v>
      </c>
    </row>
    <row r="324" spans="1:9" x14ac:dyDescent="0.15">
      <c r="A324" s="16" t="s">
        <v>162</v>
      </c>
      <c r="B324" s="7" t="s">
        <v>9</v>
      </c>
      <c r="C324" s="16" t="s">
        <v>40</v>
      </c>
      <c r="D324" s="16" t="s">
        <v>41</v>
      </c>
      <c r="E324" s="13" t="str">
        <f>+HYPERLINK("http://trademark.i-assist.jp/data/china/image_1891th/77157764.pdf","77157764")</f>
        <v>77157764</v>
      </c>
      <c r="F324" s="16" t="s">
        <v>160</v>
      </c>
      <c r="G324" s="16" t="s">
        <v>159</v>
      </c>
      <c r="H324" s="16" t="s">
        <v>161</v>
      </c>
      <c r="I324" s="17">
        <v>45358</v>
      </c>
    </row>
    <row r="325" spans="1:9" x14ac:dyDescent="0.15">
      <c r="A325" s="16" t="s">
        <v>167</v>
      </c>
      <c r="B325" s="7" t="s">
        <v>9</v>
      </c>
      <c r="C325" s="16" t="s">
        <v>40</v>
      </c>
      <c r="D325" s="16" t="s">
        <v>41</v>
      </c>
      <c r="E325" s="13" t="str">
        <f>+HYPERLINK("http://trademark.i-assist.jp/data/china/image_1891th/77160162.pdf","77160162")</f>
        <v>77160162</v>
      </c>
      <c r="F325" s="16" t="s">
        <v>165</v>
      </c>
      <c r="G325" s="16" t="s">
        <v>164</v>
      </c>
      <c r="H325" s="16" t="s">
        <v>166</v>
      </c>
      <c r="I325" s="17">
        <v>45358</v>
      </c>
    </row>
    <row r="326" spans="1:9" x14ac:dyDescent="0.15">
      <c r="A326" s="16" t="s">
        <v>172</v>
      </c>
      <c r="B326" s="7" t="s">
        <v>9</v>
      </c>
      <c r="C326" s="16" t="s">
        <v>40</v>
      </c>
      <c r="D326" s="16" t="s">
        <v>41</v>
      </c>
      <c r="E326" s="13" t="str">
        <f>+HYPERLINK("http://trademark.i-assist.jp/data/china/image_1891th/77162821.pdf","77162821")</f>
        <v>77162821</v>
      </c>
      <c r="F326" s="16" t="s">
        <v>170</v>
      </c>
      <c r="G326" s="16" t="s">
        <v>169</v>
      </c>
      <c r="H326" s="16" t="s">
        <v>171</v>
      </c>
      <c r="I326" s="17">
        <v>45358</v>
      </c>
    </row>
    <row r="327" spans="1:9" x14ac:dyDescent="0.15">
      <c r="A327" s="16" t="s">
        <v>177</v>
      </c>
      <c r="B327" s="7" t="s">
        <v>9</v>
      </c>
      <c r="C327" s="16" t="s">
        <v>40</v>
      </c>
      <c r="D327" s="16" t="s">
        <v>41</v>
      </c>
      <c r="E327" s="13" t="str">
        <f>+HYPERLINK("http://trademark.i-assist.jp/data/china/image_1891th/77163406.pdf","77163406")</f>
        <v>77163406</v>
      </c>
      <c r="F327" s="16" t="s">
        <v>175</v>
      </c>
      <c r="G327" s="16" t="s">
        <v>174</v>
      </c>
      <c r="H327" s="16" t="s">
        <v>176</v>
      </c>
      <c r="I327" s="17">
        <v>45358</v>
      </c>
    </row>
    <row r="328" spans="1:9" x14ac:dyDescent="0.15">
      <c r="A328" s="16" t="s">
        <v>182</v>
      </c>
      <c r="B328" s="7" t="s">
        <v>9</v>
      </c>
      <c r="C328" s="16" t="s">
        <v>40</v>
      </c>
      <c r="D328" s="16" t="s">
        <v>41</v>
      </c>
      <c r="E328" s="13" t="str">
        <f>+HYPERLINK("http://trademark.i-assist.jp/data/china/image_1891th/77166476.pdf","77166476")</f>
        <v>77166476</v>
      </c>
      <c r="F328" s="16" t="s">
        <v>180</v>
      </c>
      <c r="G328" s="16" t="s">
        <v>179</v>
      </c>
      <c r="H328" s="16" t="s">
        <v>181</v>
      </c>
      <c r="I328" s="17">
        <v>45358</v>
      </c>
    </row>
    <row r="329" spans="1:9" x14ac:dyDescent="0.15">
      <c r="A329" s="16" t="s">
        <v>187</v>
      </c>
      <c r="B329" s="7" t="s">
        <v>9</v>
      </c>
      <c r="C329" s="16" t="s">
        <v>40</v>
      </c>
      <c r="D329" s="16" t="s">
        <v>41</v>
      </c>
      <c r="E329" s="13" t="str">
        <f>+HYPERLINK("http://trademark.i-assist.jp/data/china/image_1891th/77169904.pdf","77169904")</f>
        <v>77169904</v>
      </c>
      <c r="F329" s="16" t="s">
        <v>185</v>
      </c>
      <c r="G329" s="16" t="s">
        <v>184</v>
      </c>
      <c r="H329" s="16" t="s">
        <v>186</v>
      </c>
      <c r="I329" s="17">
        <v>45358</v>
      </c>
    </row>
    <row r="330" spans="1:9" x14ac:dyDescent="0.15">
      <c r="A330" s="16" t="s">
        <v>192</v>
      </c>
      <c r="B330" s="7" t="s">
        <v>9</v>
      </c>
      <c r="C330" s="16" t="s">
        <v>40</v>
      </c>
      <c r="D330" s="16" t="s">
        <v>41</v>
      </c>
      <c r="E330" s="13" t="str">
        <f>+HYPERLINK("http://trademark.i-assist.jp/data/china/image_1891th/77173860.pdf","77173860")</f>
        <v>77173860</v>
      </c>
      <c r="F330" s="16" t="s">
        <v>190</v>
      </c>
      <c r="G330" s="16" t="s">
        <v>189</v>
      </c>
      <c r="H330" s="16" t="s">
        <v>191</v>
      </c>
      <c r="I330" s="17">
        <v>45358</v>
      </c>
    </row>
    <row r="331" spans="1:9" x14ac:dyDescent="0.15">
      <c r="A331" s="16" t="s">
        <v>198</v>
      </c>
      <c r="B331" s="7" t="s">
        <v>9</v>
      </c>
      <c r="C331" s="16" t="s">
        <v>40</v>
      </c>
      <c r="D331" s="16" t="s">
        <v>41</v>
      </c>
      <c r="E331" s="13" t="str">
        <f>+HYPERLINK("http://trademark.i-assist.jp/data/china/image_1891th/77175924.pdf","77175924")</f>
        <v>77175924</v>
      </c>
      <c r="F331" s="16" t="s">
        <v>195</v>
      </c>
      <c r="G331" s="16" t="s">
        <v>194</v>
      </c>
      <c r="H331" s="16" t="s">
        <v>196</v>
      </c>
      <c r="I331" s="17">
        <v>45359</v>
      </c>
    </row>
    <row r="332" spans="1:9" x14ac:dyDescent="0.15">
      <c r="A332" s="16" t="s">
        <v>203</v>
      </c>
      <c r="B332" s="7" t="s">
        <v>9</v>
      </c>
      <c r="C332" s="16" t="s">
        <v>40</v>
      </c>
      <c r="D332" s="16" t="s">
        <v>41</v>
      </c>
      <c r="E332" s="13" t="str">
        <f>+HYPERLINK("http://trademark.i-assist.jp/data/china/image_1891th/77176247.pdf","77176247")</f>
        <v>77176247</v>
      </c>
      <c r="F332" s="16" t="s">
        <v>201</v>
      </c>
      <c r="G332" s="16" t="s">
        <v>200</v>
      </c>
      <c r="H332" s="16" t="s">
        <v>202</v>
      </c>
      <c r="I332" s="17">
        <v>45359</v>
      </c>
    </row>
    <row r="333" spans="1:9" x14ac:dyDescent="0.15">
      <c r="A333" s="16" t="s">
        <v>208</v>
      </c>
      <c r="B333" s="7" t="s">
        <v>9</v>
      </c>
      <c r="C333" s="16" t="s">
        <v>40</v>
      </c>
      <c r="D333" s="16" t="s">
        <v>41</v>
      </c>
      <c r="E333" s="13" t="str">
        <f>+HYPERLINK("http://trademark.i-assist.jp/data/china/image_1891th/77176716.pdf","77176716")</f>
        <v>77176716</v>
      </c>
      <c r="F333" s="16" t="s">
        <v>206</v>
      </c>
      <c r="G333" s="16" t="s">
        <v>205</v>
      </c>
      <c r="H333" s="16" t="s">
        <v>207</v>
      </c>
      <c r="I333" s="17">
        <v>45359</v>
      </c>
    </row>
    <row r="334" spans="1:9" x14ac:dyDescent="0.15">
      <c r="A334" s="16" t="s">
        <v>213</v>
      </c>
      <c r="B334" s="7" t="s">
        <v>9</v>
      </c>
      <c r="C334" s="16" t="s">
        <v>40</v>
      </c>
      <c r="D334" s="16" t="s">
        <v>41</v>
      </c>
      <c r="E334" s="13" t="str">
        <f>+HYPERLINK("http://trademark.i-assist.jp/data/china/image_1891th/77176881.pdf","77176881")</f>
        <v>77176881</v>
      </c>
      <c r="F334" s="16" t="s">
        <v>211</v>
      </c>
      <c r="G334" s="16" t="s">
        <v>210</v>
      </c>
      <c r="H334" s="16" t="s">
        <v>212</v>
      </c>
      <c r="I334" s="17">
        <v>45359</v>
      </c>
    </row>
    <row r="335" spans="1:9" x14ac:dyDescent="0.15">
      <c r="A335" s="16" t="s">
        <v>218</v>
      </c>
      <c r="B335" s="7" t="s">
        <v>9</v>
      </c>
      <c r="C335" s="16" t="s">
        <v>40</v>
      </c>
      <c r="D335" s="16" t="s">
        <v>41</v>
      </c>
      <c r="E335" s="13" t="str">
        <f>+HYPERLINK("http://trademark.i-assist.jp/data/china/image_1891th/77177082.pdf","77177082")</f>
        <v>77177082</v>
      </c>
      <c r="F335" s="16" t="s">
        <v>216</v>
      </c>
      <c r="G335" s="16" t="s">
        <v>215</v>
      </c>
      <c r="H335" s="16" t="s">
        <v>217</v>
      </c>
      <c r="I335" s="17">
        <v>45359</v>
      </c>
    </row>
    <row r="336" spans="1:9" x14ac:dyDescent="0.15">
      <c r="A336" s="16" t="s">
        <v>224</v>
      </c>
      <c r="B336" s="7" t="s">
        <v>9</v>
      </c>
      <c r="C336" s="16" t="s">
        <v>40</v>
      </c>
      <c r="D336" s="16" t="s">
        <v>41</v>
      </c>
      <c r="E336" s="13" t="str">
        <f>+HYPERLINK("http://trademark.i-assist.jp/data/china/image_1891th/77177821.pdf","77177821")</f>
        <v>77177821</v>
      </c>
      <c r="F336" s="16" t="s">
        <v>221</v>
      </c>
      <c r="G336" s="16" t="s">
        <v>220</v>
      </c>
      <c r="H336" s="16" t="s">
        <v>222</v>
      </c>
      <c r="I336" s="17">
        <v>45359</v>
      </c>
    </row>
    <row r="337" spans="1:9" x14ac:dyDescent="0.15">
      <c r="A337" s="16" t="s">
        <v>228</v>
      </c>
      <c r="B337" s="7" t="s">
        <v>9</v>
      </c>
      <c r="C337" s="16" t="s">
        <v>40</v>
      </c>
      <c r="D337" s="16" t="s">
        <v>41</v>
      </c>
      <c r="E337" s="13" t="str">
        <f>+HYPERLINK("http://trademark.i-assist.jp/data/china/image_1891th/77179672.pdf","77179672")</f>
        <v>77179672</v>
      </c>
      <c r="F337" s="16" t="s">
        <v>226</v>
      </c>
      <c r="G337" s="16" t="s">
        <v>194</v>
      </c>
      <c r="H337" s="16" t="s">
        <v>227</v>
      </c>
      <c r="I337" s="17">
        <v>45359</v>
      </c>
    </row>
    <row r="338" spans="1:9" x14ac:dyDescent="0.15">
      <c r="A338" s="16" t="s">
        <v>233</v>
      </c>
      <c r="B338" s="7" t="s">
        <v>9</v>
      </c>
      <c r="C338" s="16" t="s">
        <v>40</v>
      </c>
      <c r="D338" s="16" t="s">
        <v>41</v>
      </c>
      <c r="E338" s="13" t="str">
        <f>+HYPERLINK("http://trademark.i-assist.jp/data/china/image_1891th/77181596.pdf","77181596")</f>
        <v>77181596</v>
      </c>
      <c r="F338" s="16" t="s">
        <v>231</v>
      </c>
      <c r="G338" s="16" t="s">
        <v>230</v>
      </c>
      <c r="H338" s="16" t="s">
        <v>232</v>
      </c>
      <c r="I338" s="17">
        <v>45359</v>
      </c>
    </row>
    <row r="339" spans="1:9" x14ac:dyDescent="0.15">
      <c r="A339" s="16" t="s">
        <v>238</v>
      </c>
      <c r="B339" s="7" t="s">
        <v>9</v>
      </c>
      <c r="C339" s="16" t="s">
        <v>40</v>
      </c>
      <c r="D339" s="16" t="s">
        <v>41</v>
      </c>
      <c r="E339" s="13" t="str">
        <f>+HYPERLINK("http://trademark.i-assist.jp/data/china/image_1891th/77182757.pdf","77182757")</f>
        <v>77182757</v>
      </c>
      <c r="F339" s="16" t="s">
        <v>236</v>
      </c>
      <c r="G339" s="16" t="s">
        <v>235</v>
      </c>
      <c r="H339" s="16" t="s">
        <v>237</v>
      </c>
      <c r="I339" s="17">
        <v>45359</v>
      </c>
    </row>
    <row r="340" spans="1:9" x14ac:dyDescent="0.15">
      <c r="A340" s="16" t="s">
        <v>242</v>
      </c>
      <c r="B340" s="7" t="s">
        <v>9</v>
      </c>
      <c r="C340" s="16" t="s">
        <v>40</v>
      </c>
      <c r="D340" s="16" t="s">
        <v>41</v>
      </c>
      <c r="E340" s="13" t="str">
        <f>+HYPERLINK("http://trademark.i-assist.jp/data/china/image_1891th/77183800.pdf","77183800")</f>
        <v>77183800</v>
      </c>
      <c r="F340" s="16" t="s">
        <v>240</v>
      </c>
      <c r="G340" s="16" t="s">
        <v>200</v>
      </c>
      <c r="H340" s="16" t="s">
        <v>241</v>
      </c>
      <c r="I340" s="17">
        <v>45359</v>
      </c>
    </row>
    <row r="341" spans="1:9" x14ac:dyDescent="0.15">
      <c r="A341" s="16" t="s">
        <v>247</v>
      </c>
      <c r="B341" s="7" t="s">
        <v>9</v>
      </c>
      <c r="C341" s="16" t="s">
        <v>40</v>
      </c>
      <c r="D341" s="16" t="s">
        <v>41</v>
      </c>
      <c r="E341" s="13" t="str">
        <f>+HYPERLINK("http://trademark.i-assist.jp/data/china/image_1891th/77190905.pdf","77190905")</f>
        <v>77190905</v>
      </c>
      <c r="F341" s="16" t="s">
        <v>245</v>
      </c>
      <c r="G341" s="16" t="s">
        <v>244</v>
      </c>
      <c r="H341" s="16" t="s">
        <v>246</v>
      </c>
      <c r="I341" s="17">
        <v>45359</v>
      </c>
    </row>
    <row r="342" spans="1:9" x14ac:dyDescent="0.15">
      <c r="A342" s="16" t="s">
        <v>251</v>
      </c>
      <c r="B342" s="7" t="s">
        <v>9</v>
      </c>
      <c r="C342" s="16" t="s">
        <v>40</v>
      </c>
      <c r="D342" s="16" t="s">
        <v>41</v>
      </c>
      <c r="E342" s="13" t="str">
        <f>+HYPERLINK("http://trademark.i-assist.jp/data/china/image_1891th/77191382.pdf","77191382")</f>
        <v>77191382</v>
      </c>
      <c r="F342" s="16" t="s">
        <v>249</v>
      </c>
      <c r="G342" s="16" t="s">
        <v>210</v>
      </c>
      <c r="H342" s="16" t="s">
        <v>250</v>
      </c>
      <c r="I342" s="17">
        <v>45359</v>
      </c>
    </row>
    <row r="343" spans="1:9" x14ac:dyDescent="0.15">
      <c r="A343" s="16" t="s">
        <v>256</v>
      </c>
      <c r="B343" s="7" t="s">
        <v>9</v>
      </c>
      <c r="C343" s="16" t="s">
        <v>40</v>
      </c>
      <c r="D343" s="16" t="s">
        <v>41</v>
      </c>
      <c r="E343" s="13" t="str">
        <f>+HYPERLINK("http://trademark.i-assist.jp/data/china/image_1891th/77191537.pdf","77191537")</f>
        <v>77191537</v>
      </c>
      <c r="F343" s="16" t="s">
        <v>254</v>
      </c>
      <c r="G343" s="16" t="s">
        <v>253</v>
      </c>
      <c r="H343" s="16" t="s">
        <v>255</v>
      </c>
      <c r="I343" s="17">
        <v>45359</v>
      </c>
    </row>
    <row r="344" spans="1:9" x14ac:dyDescent="0.15">
      <c r="A344" s="16" t="s">
        <v>261</v>
      </c>
      <c r="B344" s="7" t="s">
        <v>9</v>
      </c>
      <c r="C344" s="16" t="s">
        <v>40</v>
      </c>
      <c r="D344" s="16" t="s">
        <v>41</v>
      </c>
      <c r="E344" s="13" t="str">
        <f>+HYPERLINK("http://trademark.i-assist.jp/data/china/image_1891th/77192093.pdf","77192093")</f>
        <v>77192093</v>
      </c>
      <c r="F344" s="16" t="s">
        <v>259</v>
      </c>
      <c r="G344" s="16" t="s">
        <v>258</v>
      </c>
      <c r="H344" s="16" t="s">
        <v>260</v>
      </c>
      <c r="I344" s="17">
        <v>45359</v>
      </c>
    </row>
    <row r="345" spans="1:9" x14ac:dyDescent="0.15">
      <c r="A345" s="16" t="s">
        <v>266</v>
      </c>
      <c r="B345" s="7" t="s">
        <v>9</v>
      </c>
      <c r="C345" s="16" t="s">
        <v>40</v>
      </c>
      <c r="D345" s="16" t="s">
        <v>41</v>
      </c>
      <c r="E345" s="13" t="str">
        <f>+HYPERLINK("http://trademark.i-assist.jp/data/china/image_1891th/77192431.pdf","77192431")</f>
        <v>77192431</v>
      </c>
      <c r="F345" s="16" t="s">
        <v>264</v>
      </c>
      <c r="G345" s="16" t="s">
        <v>263</v>
      </c>
      <c r="H345" s="16" t="s">
        <v>265</v>
      </c>
      <c r="I345" s="17">
        <v>45359</v>
      </c>
    </row>
    <row r="346" spans="1:9" x14ac:dyDescent="0.15">
      <c r="A346" s="16" t="s">
        <v>2136</v>
      </c>
      <c r="B346" s="7" t="s">
        <v>9</v>
      </c>
      <c r="C346" s="16" t="s">
        <v>40</v>
      </c>
      <c r="D346" s="16" t="s">
        <v>41</v>
      </c>
      <c r="E346" s="13" t="str">
        <f>+HYPERLINK("http://trademark.i-assist.jp/data/china/image_1891th/77195146.pdf","77195146")</f>
        <v>77195146</v>
      </c>
      <c r="F346" s="16" t="s">
        <v>269</v>
      </c>
      <c r="G346" s="16" t="s">
        <v>268</v>
      </c>
      <c r="H346" s="16" t="s">
        <v>270</v>
      </c>
      <c r="I346" s="17">
        <v>45359</v>
      </c>
    </row>
    <row r="347" spans="1:9" x14ac:dyDescent="0.15">
      <c r="A347" s="16" t="s">
        <v>2140</v>
      </c>
      <c r="B347" s="7" t="s">
        <v>9</v>
      </c>
      <c r="C347" s="16" t="s">
        <v>40</v>
      </c>
      <c r="D347" s="16" t="s">
        <v>41</v>
      </c>
      <c r="E347" s="13" t="str">
        <f>+HYPERLINK("http://trademark.i-assist.jp/data/china/image_1891th/77195285.pdf","77195285")</f>
        <v>77195285</v>
      </c>
      <c r="F347" s="16" t="s">
        <v>2138</v>
      </c>
      <c r="G347" s="16" t="s">
        <v>215</v>
      </c>
      <c r="H347" s="16" t="s">
        <v>2139</v>
      </c>
      <c r="I347" s="17">
        <v>45359</v>
      </c>
    </row>
    <row r="348" spans="1:9" x14ac:dyDescent="0.15">
      <c r="A348" s="16" t="s">
        <v>2145</v>
      </c>
      <c r="B348" s="7" t="s">
        <v>9</v>
      </c>
      <c r="C348" s="16" t="s">
        <v>40</v>
      </c>
      <c r="D348" s="16" t="s">
        <v>41</v>
      </c>
      <c r="E348" s="13" t="str">
        <f>+HYPERLINK("http://trademark.i-assist.jp/data/china/image_1891th/77195609.pdf","77195609")</f>
        <v>77195609</v>
      </c>
      <c r="F348" s="16" t="s">
        <v>2143</v>
      </c>
      <c r="G348" s="16" t="s">
        <v>2142</v>
      </c>
      <c r="H348" s="16" t="s">
        <v>2144</v>
      </c>
      <c r="I348" s="17">
        <v>45359</v>
      </c>
    </row>
    <row r="349" spans="1:9" x14ac:dyDescent="0.15">
      <c r="A349" s="16" t="s">
        <v>2150</v>
      </c>
      <c r="B349" s="7" t="s">
        <v>9</v>
      </c>
      <c r="C349" s="16" t="s">
        <v>40</v>
      </c>
      <c r="D349" s="16" t="s">
        <v>41</v>
      </c>
      <c r="E349" s="13" t="str">
        <f>+HYPERLINK("http://trademark.i-assist.jp/data/china/image_1891th/77196513.pdf","77196513")</f>
        <v>77196513</v>
      </c>
      <c r="F349" s="16" t="s">
        <v>2148</v>
      </c>
      <c r="G349" s="16" t="s">
        <v>2147</v>
      </c>
      <c r="H349" s="16" t="s">
        <v>2149</v>
      </c>
      <c r="I349" s="17">
        <v>45359</v>
      </c>
    </row>
    <row r="350" spans="1:9" x14ac:dyDescent="0.15">
      <c r="A350" s="16" t="s">
        <v>2155</v>
      </c>
      <c r="B350" s="7" t="s">
        <v>9</v>
      </c>
      <c r="C350" s="16" t="s">
        <v>40</v>
      </c>
      <c r="D350" s="16" t="s">
        <v>41</v>
      </c>
      <c r="E350" s="13" t="str">
        <f>+HYPERLINK("http://trademark.i-assist.jp/data/china/image_1891th/77197611.pdf","77197611")</f>
        <v>77197611</v>
      </c>
      <c r="F350" s="16" t="s">
        <v>2153</v>
      </c>
      <c r="G350" s="16" t="s">
        <v>2152</v>
      </c>
      <c r="H350" s="16" t="s">
        <v>2154</v>
      </c>
      <c r="I350" s="17">
        <v>45359</v>
      </c>
    </row>
    <row r="351" spans="1:9" x14ac:dyDescent="0.15">
      <c r="A351" s="16" t="s">
        <v>2161</v>
      </c>
      <c r="B351" s="7" t="s">
        <v>9</v>
      </c>
      <c r="C351" s="16" t="s">
        <v>40</v>
      </c>
      <c r="D351" s="16" t="s">
        <v>41</v>
      </c>
      <c r="E351" s="13" t="str">
        <f>+HYPERLINK("http://trademark.i-assist.jp/data/china/image_1891th/77198124.pdf","77198124")</f>
        <v>77198124</v>
      </c>
      <c r="F351" s="16" t="s">
        <v>2158</v>
      </c>
      <c r="G351" s="16" t="s">
        <v>2157</v>
      </c>
      <c r="H351" s="16" t="s">
        <v>2159</v>
      </c>
      <c r="I351" s="17">
        <v>45360</v>
      </c>
    </row>
    <row r="352" spans="1:9" x14ac:dyDescent="0.15">
      <c r="A352" s="16" t="s">
        <v>2166</v>
      </c>
      <c r="B352" s="7" t="s">
        <v>9</v>
      </c>
      <c r="C352" s="16" t="s">
        <v>40</v>
      </c>
      <c r="D352" s="16" t="s">
        <v>41</v>
      </c>
      <c r="E352" s="13" t="str">
        <f>+HYPERLINK("http://trademark.i-assist.jp/data/china/image_1891th/77199569.pdf","77199569")</f>
        <v>77199569</v>
      </c>
      <c r="F352" s="16" t="s">
        <v>2164</v>
      </c>
      <c r="G352" s="16" t="s">
        <v>2163</v>
      </c>
      <c r="H352" s="16" t="s">
        <v>2165</v>
      </c>
      <c r="I352" s="17">
        <v>45360</v>
      </c>
    </row>
    <row r="353" spans="1:9" x14ac:dyDescent="0.15">
      <c r="A353" s="16" t="s">
        <v>2171</v>
      </c>
      <c r="B353" s="7" t="s">
        <v>9</v>
      </c>
      <c r="C353" s="16" t="s">
        <v>40</v>
      </c>
      <c r="D353" s="16" t="s">
        <v>41</v>
      </c>
      <c r="E353" s="13" t="str">
        <f>+HYPERLINK("http://trademark.i-assist.jp/data/china/image_1891th/77200247.pdf","77200247")</f>
        <v>77200247</v>
      </c>
      <c r="F353" s="16" t="s">
        <v>2169</v>
      </c>
      <c r="G353" s="16" t="s">
        <v>2168</v>
      </c>
      <c r="H353" s="16" t="s">
        <v>2170</v>
      </c>
      <c r="I353" s="17">
        <v>45359</v>
      </c>
    </row>
    <row r="354" spans="1:9" x14ac:dyDescent="0.15">
      <c r="A354" s="16" t="s">
        <v>2176</v>
      </c>
      <c r="B354" s="7" t="s">
        <v>9</v>
      </c>
      <c r="C354" s="16" t="s">
        <v>40</v>
      </c>
      <c r="D354" s="16" t="s">
        <v>41</v>
      </c>
      <c r="E354" s="13" t="str">
        <f>+HYPERLINK("http://trademark.i-assist.jp/data/china/image_1891th/77202530.pdf","77202530")</f>
        <v>77202530</v>
      </c>
      <c r="F354" s="16" t="s">
        <v>2174</v>
      </c>
      <c r="G354" s="16" t="s">
        <v>2173</v>
      </c>
      <c r="H354" s="16" t="s">
        <v>2175</v>
      </c>
      <c r="I354" s="17">
        <v>45360</v>
      </c>
    </row>
    <row r="355" spans="1:9" x14ac:dyDescent="0.15">
      <c r="A355" s="16" t="s">
        <v>2182</v>
      </c>
      <c r="B355" s="7" t="s">
        <v>9</v>
      </c>
      <c r="C355" s="16" t="s">
        <v>40</v>
      </c>
      <c r="D355" s="16" t="s">
        <v>41</v>
      </c>
      <c r="E355" s="13" t="str">
        <f>+HYPERLINK("http://trademark.i-assist.jp/data/china/image_1891th/77205952.pdf","77205952")</f>
        <v>77205952</v>
      </c>
      <c r="F355" s="16" t="s">
        <v>2179</v>
      </c>
      <c r="G355" s="16" t="s">
        <v>2178</v>
      </c>
      <c r="H355" s="16" t="s">
        <v>2180</v>
      </c>
      <c r="I355" s="17">
        <v>45361</v>
      </c>
    </row>
    <row r="356" spans="1:9" x14ac:dyDescent="0.15">
      <c r="A356" s="16" t="s">
        <v>2186</v>
      </c>
      <c r="B356" s="7" t="s">
        <v>9</v>
      </c>
      <c r="C356" s="16" t="s">
        <v>40</v>
      </c>
      <c r="D356" s="16" t="s">
        <v>41</v>
      </c>
      <c r="E356" s="13" t="str">
        <f>+HYPERLINK("http://trademark.i-assist.jp/data/china/image_1891th/77205993.pdf","77205993")</f>
        <v>77205993</v>
      </c>
      <c r="F356" s="16" t="s">
        <v>2184</v>
      </c>
      <c r="G356" s="16" t="s">
        <v>14</v>
      </c>
      <c r="H356" s="16" t="s">
        <v>2185</v>
      </c>
      <c r="I356" s="17">
        <v>45361</v>
      </c>
    </row>
    <row r="357" spans="1:9" x14ac:dyDescent="0.15">
      <c r="A357" s="16" t="s">
        <v>2192</v>
      </c>
      <c r="B357" s="7" t="s">
        <v>9</v>
      </c>
      <c r="C357" s="16" t="s">
        <v>40</v>
      </c>
      <c r="D357" s="16" t="s">
        <v>41</v>
      </c>
      <c r="E357" s="13" t="str">
        <f>+HYPERLINK("http://trademark.i-assist.jp/data/china/image_1891th/77208275.pdf","77208275")</f>
        <v>77208275</v>
      </c>
      <c r="F357" s="16" t="s">
        <v>2189</v>
      </c>
      <c r="G357" s="16" t="s">
        <v>2188</v>
      </c>
      <c r="H357" s="16" t="s">
        <v>2190</v>
      </c>
      <c r="I357" s="17">
        <v>45362</v>
      </c>
    </row>
    <row r="358" spans="1:9" x14ac:dyDescent="0.15">
      <c r="A358" s="16" t="s">
        <v>2196</v>
      </c>
      <c r="B358" s="7" t="s">
        <v>9</v>
      </c>
      <c r="C358" s="16" t="s">
        <v>40</v>
      </c>
      <c r="D358" s="16" t="s">
        <v>41</v>
      </c>
      <c r="E358" s="13" t="str">
        <f>+HYPERLINK("http://trademark.i-assist.jp/data/china/image_1891th/77209263.pdf","77209263")</f>
        <v>77209263</v>
      </c>
      <c r="F358" s="16" t="s">
        <v>2194</v>
      </c>
      <c r="G358" s="16" t="s">
        <v>200</v>
      </c>
      <c r="H358" s="16" t="s">
        <v>2195</v>
      </c>
      <c r="I358" s="17">
        <v>45362</v>
      </c>
    </row>
    <row r="359" spans="1:9" x14ac:dyDescent="0.15">
      <c r="A359" s="16" t="s">
        <v>2201</v>
      </c>
      <c r="B359" s="7" t="s">
        <v>9</v>
      </c>
      <c r="C359" s="16" t="s">
        <v>40</v>
      </c>
      <c r="D359" s="16" t="s">
        <v>41</v>
      </c>
      <c r="E359" s="13" t="str">
        <f>+HYPERLINK("http://trademark.i-assist.jp/data/china/image_1891th/77209306.pdf","77209306")</f>
        <v>77209306</v>
      </c>
      <c r="F359" s="16" t="s">
        <v>2199</v>
      </c>
      <c r="G359" s="16" t="s">
        <v>2198</v>
      </c>
      <c r="H359" s="16" t="s">
        <v>2200</v>
      </c>
      <c r="I359" s="17">
        <v>45362</v>
      </c>
    </row>
    <row r="360" spans="1:9" x14ac:dyDescent="0.15">
      <c r="A360" s="16" t="s">
        <v>2205</v>
      </c>
      <c r="B360" s="7" t="s">
        <v>9</v>
      </c>
      <c r="C360" s="16" t="s">
        <v>40</v>
      </c>
      <c r="D360" s="16" t="s">
        <v>41</v>
      </c>
      <c r="E360" s="13" t="str">
        <f>+HYPERLINK("http://trademark.i-assist.jp/data/china/image_1891th/77209494.pdf","77209494")</f>
        <v>77209494</v>
      </c>
      <c r="F360" s="16" t="s">
        <v>2203</v>
      </c>
      <c r="G360" s="16" t="s">
        <v>24</v>
      </c>
      <c r="H360" s="16" t="s">
        <v>2204</v>
      </c>
      <c r="I360" s="17">
        <v>45362</v>
      </c>
    </row>
    <row r="361" spans="1:9" x14ac:dyDescent="0.15">
      <c r="A361" s="16" t="s">
        <v>2210</v>
      </c>
      <c r="B361" s="7" t="s">
        <v>9</v>
      </c>
      <c r="C361" s="16" t="s">
        <v>40</v>
      </c>
      <c r="D361" s="16" t="s">
        <v>41</v>
      </c>
      <c r="E361" s="13" t="str">
        <f>+HYPERLINK("http://trademark.i-assist.jp/data/china/image_1891th/77210231.pdf","77210231")</f>
        <v>77210231</v>
      </c>
      <c r="F361" s="16" t="s">
        <v>2208</v>
      </c>
      <c r="G361" s="16" t="s">
        <v>2207</v>
      </c>
      <c r="H361" s="16" t="s">
        <v>2209</v>
      </c>
      <c r="I361" s="17">
        <v>45362</v>
      </c>
    </row>
    <row r="362" spans="1:9" x14ac:dyDescent="0.15">
      <c r="A362" s="16" t="s">
        <v>2214</v>
      </c>
      <c r="B362" s="7" t="s">
        <v>9</v>
      </c>
      <c r="C362" s="16" t="s">
        <v>40</v>
      </c>
      <c r="D362" s="16" t="s">
        <v>41</v>
      </c>
      <c r="E362" s="13" t="str">
        <f>+HYPERLINK("http://trademark.i-assist.jp/data/china/image_1891th/77210314.pdf","77210314")</f>
        <v>77210314</v>
      </c>
      <c r="F362" s="16" t="s">
        <v>2212</v>
      </c>
      <c r="G362" s="16" t="s">
        <v>189</v>
      </c>
      <c r="H362" s="16" t="s">
        <v>2213</v>
      </c>
      <c r="I362" s="17">
        <v>45362</v>
      </c>
    </row>
    <row r="363" spans="1:9" x14ac:dyDescent="0.15">
      <c r="A363" s="16" t="s">
        <v>2219</v>
      </c>
      <c r="B363" s="7" t="s">
        <v>9</v>
      </c>
      <c r="C363" s="16" t="s">
        <v>40</v>
      </c>
      <c r="D363" s="16" t="s">
        <v>41</v>
      </c>
      <c r="E363" s="13" t="str">
        <f>+HYPERLINK("http://trademark.i-assist.jp/data/china/image_1891th/77210638.pdf","77210638")</f>
        <v>77210638</v>
      </c>
      <c r="F363" s="16" t="s">
        <v>2217</v>
      </c>
      <c r="G363" s="16" t="s">
        <v>2216</v>
      </c>
      <c r="H363" s="16" t="s">
        <v>2218</v>
      </c>
      <c r="I363" s="17">
        <v>45362</v>
      </c>
    </row>
    <row r="364" spans="1:9" x14ac:dyDescent="0.15">
      <c r="A364" s="16" t="s">
        <v>2224</v>
      </c>
      <c r="B364" s="7" t="s">
        <v>9</v>
      </c>
      <c r="C364" s="16" t="s">
        <v>40</v>
      </c>
      <c r="D364" s="16" t="s">
        <v>41</v>
      </c>
      <c r="E364" s="13" t="str">
        <f>+HYPERLINK("http://trademark.i-assist.jp/data/china/image_1891th/77211329.pdf","77211329")</f>
        <v>77211329</v>
      </c>
      <c r="F364" s="16" t="s">
        <v>2222</v>
      </c>
      <c r="G364" s="16" t="s">
        <v>11116</v>
      </c>
      <c r="H364" s="16" t="s">
        <v>2223</v>
      </c>
      <c r="I364" s="17">
        <v>45362</v>
      </c>
    </row>
    <row r="365" spans="1:9" x14ac:dyDescent="0.15">
      <c r="A365" s="16" t="s">
        <v>2228</v>
      </c>
      <c r="B365" s="7" t="s">
        <v>9</v>
      </c>
      <c r="C365" s="16" t="s">
        <v>40</v>
      </c>
      <c r="D365" s="16" t="s">
        <v>41</v>
      </c>
      <c r="E365" s="13" t="str">
        <f>+HYPERLINK("http://trademark.i-assist.jp/data/china/image_1891th/77212324.pdf","77212324")</f>
        <v>77212324</v>
      </c>
      <c r="F365" s="16" t="s">
        <v>52</v>
      </c>
      <c r="G365" s="16" t="s">
        <v>2226</v>
      </c>
      <c r="H365" s="16" t="s">
        <v>2227</v>
      </c>
      <c r="I365" s="17">
        <v>45362</v>
      </c>
    </row>
    <row r="366" spans="1:9" x14ac:dyDescent="0.15">
      <c r="A366" s="16" t="s">
        <v>2233</v>
      </c>
      <c r="B366" s="7" t="s">
        <v>9</v>
      </c>
      <c r="C366" s="16" t="s">
        <v>40</v>
      </c>
      <c r="D366" s="16" t="s">
        <v>41</v>
      </c>
      <c r="E366" s="13" t="str">
        <f>+HYPERLINK("http://trademark.i-assist.jp/data/china/image_1891th/77215503.pdf","77215503")</f>
        <v>77215503</v>
      </c>
      <c r="F366" s="16" t="s">
        <v>2231</v>
      </c>
      <c r="G366" s="16" t="s">
        <v>2230</v>
      </c>
      <c r="H366" s="16" t="s">
        <v>2232</v>
      </c>
      <c r="I366" s="17">
        <v>45362</v>
      </c>
    </row>
    <row r="367" spans="1:9" x14ac:dyDescent="0.15">
      <c r="A367" s="16" t="s">
        <v>2238</v>
      </c>
      <c r="B367" s="7" t="s">
        <v>9</v>
      </c>
      <c r="C367" s="16" t="s">
        <v>40</v>
      </c>
      <c r="D367" s="16" t="s">
        <v>41</v>
      </c>
      <c r="E367" s="13" t="str">
        <f>+HYPERLINK("http://trademark.i-assist.jp/data/china/image_1891th/77215908.pdf","77215908")</f>
        <v>77215908</v>
      </c>
      <c r="F367" s="16" t="s">
        <v>2236</v>
      </c>
      <c r="G367" s="16" t="s">
        <v>2235</v>
      </c>
      <c r="H367" s="16" t="s">
        <v>2237</v>
      </c>
      <c r="I367" s="17">
        <v>45362</v>
      </c>
    </row>
    <row r="368" spans="1:9" x14ac:dyDescent="0.15">
      <c r="A368" s="16" t="s">
        <v>2242</v>
      </c>
      <c r="B368" s="7" t="s">
        <v>9</v>
      </c>
      <c r="C368" s="16" t="s">
        <v>40</v>
      </c>
      <c r="D368" s="16" t="s">
        <v>41</v>
      </c>
      <c r="E368" s="13" t="str">
        <f>+HYPERLINK("http://trademark.i-assist.jp/data/china/image_1891th/77219638.pdf","77219638")</f>
        <v>77219638</v>
      </c>
      <c r="F368" s="16" t="s">
        <v>2240</v>
      </c>
      <c r="G368" s="16" t="s">
        <v>11116</v>
      </c>
      <c r="H368" s="16" t="s">
        <v>2241</v>
      </c>
      <c r="I368" s="17">
        <v>45362</v>
      </c>
    </row>
    <row r="369" spans="1:9" x14ac:dyDescent="0.15">
      <c r="A369" s="16" t="s">
        <v>2247</v>
      </c>
      <c r="B369" s="7" t="s">
        <v>9</v>
      </c>
      <c r="C369" s="16" t="s">
        <v>40</v>
      </c>
      <c r="D369" s="16" t="s">
        <v>41</v>
      </c>
      <c r="E369" s="13" t="str">
        <f>+HYPERLINK("http://trademark.i-assist.jp/data/china/image_1891th/77219933.pdf","77219933")</f>
        <v>77219933</v>
      </c>
      <c r="F369" s="16" t="s">
        <v>2245</v>
      </c>
      <c r="G369" s="16" t="s">
        <v>2244</v>
      </c>
      <c r="H369" s="16" t="s">
        <v>2246</v>
      </c>
      <c r="I369" s="17">
        <v>45362</v>
      </c>
    </row>
    <row r="370" spans="1:9" x14ac:dyDescent="0.15">
      <c r="A370" s="16" t="s">
        <v>2252</v>
      </c>
      <c r="B370" s="7" t="s">
        <v>9</v>
      </c>
      <c r="C370" s="16" t="s">
        <v>40</v>
      </c>
      <c r="D370" s="16" t="s">
        <v>41</v>
      </c>
      <c r="E370" s="13" t="str">
        <f>+HYPERLINK("http://trademark.i-assist.jp/data/china/image_1891th/77221445.pdf","77221445")</f>
        <v>77221445</v>
      </c>
      <c r="F370" s="16" t="s">
        <v>2250</v>
      </c>
      <c r="G370" s="16" t="s">
        <v>2249</v>
      </c>
      <c r="H370" s="16" t="s">
        <v>2251</v>
      </c>
      <c r="I370" s="17">
        <v>45362</v>
      </c>
    </row>
    <row r="371" spans="1:9" x14ac:dyDescent="0.15">
      <c r="A371" s="16" t="s">
        <v>2257</v>
      </c>
      <c r="B371" s="7" t="s">
        <v>9</v>
      </c>
      <c r="C371" s="16" t="s">
        <v>40</v>
      </c>
      <c r="D371" s="16" t="s">
        <v>41</v>
      </c>
      <c r="E371" s="13" t="str">
        <f>+HYPERLINK("http://trademark.i-assist.jp/data/china/image_1891th/77221990.pdf","77221990")</f>
        <v>77221990</v>
      </c>
      <c r="F371" s="16" t="s">
        <v>2255</v>
      </c>
      <c r="G371" s="16" t="s">
        <v>2254</v>
      </c>
      <c r="H371" s="16" t="s">
        <v>2256</v>
      </c>
      <c r="I371" s="17">
        <v>45362</v>
      </c>
    </row>
    <row r="372" spans="1:9" x14ac:dyDescent="0.15">
      <c r="A372" s="16" t="s">
        <v>2262</v>
      </c>
      <c r="B372" s="7" t="s">
        <v>9</v>
      </c>
      <c r="C372" s="16" t="s">
        <v>40</v>
      </c>
      <c r="D372" s="16" t="s">
        <v>41</v>
      </c>
      <c r="E372" s="13" t="str">
        <f>+HYPERLINK("http://trademark.i-assist.jp/data/china/image_1891th/77223928.pdf","77223928")</f>
        <v>77223928</v>
      </c>
      <c r="F372" s="16" t="s">
        <v>2260</v>
      </c>
      <c r="G372" s="16" t="s">
        <v>2259</v>
      </c>
      <c r="H372" s="16" t="s">
        <v>2261</v>
      </c>
      <c r="I372" s="17">
        <v>45362</v>
      </c>
    </row>
    <row r="373" spans="1:9" x14ac:dyDescent="0.15">
      <c r="A373" s="16" t="s">
        <v>2267</v>
      </c>
      <c r="B373" s="7" t="s">
        <v>9</v>
      </c>
      <c r="C373" s="16" t="s">
        <v>40</v>
      </c>
      <c r="D373" s="16" t="s">
        <v>41</v>
      </c>
      <c r="E373" s="13" t="str">
        <f>+HYPERLINK("http://trademark.i-assist.jp/data/china/image_1891th/77224278.pdf","77224278")</f>
        <v>77224278</v>
      </c>
      <c r="F373" s="16" t="s">
        <v>2265</v>
      </c>
      <c r="G373" s="16" t="s">
        <v>2264</v>
      </c>
      <c r="H373" s="16" t="s">
        <v>2266</v>
      </c>
      <c r="I373" s="17">
        <v>45362</v>
      </c>
    </row>
    <row r="374" spans="1:9" x14ac:dyDescent="0.15">
      <c r="A374" s="16" t="s">
        <v>2271</v>
      </c>
      <c r="B374" s="7" t="s">
        <v>9</v>
      </c>
      <c r="C374" s="16" t="s">
        <v>40</v>
      </c>
      <c r="D374" s="16" t="s">
        <v>41</v>
      </c>
      <c r="E374" s="13" t="str">
        <f>+HYPERLINK("http://trademark.i-assist.jp/data/china/image_1891th/77224506.pdf","77224506")</f>
        <v>77224506</v>
      </c>
      <c r="F374" s="16" t="s">
        <v>2269</v>
      </c>
      <c r="G374" s="16" t="s">
        <v>11116</v>
      </c>
      <c r="H374" s="16" t="s">
        <v>2270</v>
      </c>
      <c r="I374" s="17">
        <v>45362</v>
      </c>
    </row>
    <row r="375" spans="1:9" x14ac:dyDescent="0.15">
      <c r="A375" s="16" t="s">
        <v>2276</v>
      </c>
      <c r="B375" s="7" t="s">
        <v>9</v>
      </c>
      <c r="C375" s="16" t="s">
        <v>40</v>
      </c>
      <c r="D375" s="16" t="s">
        <v>41</v>
      </c>
      <c r="E375" s="13" t="str">
        <f>+HYPERLINK("http://trademark.i-assist.jp/data/china/image_1891th/77224643.pdf","77224643")</f>
        <v>77224643</v>
      </c>
      <c r="F375" s="16" t="s">
        <v>2274</v>
      </c>
      <c r="G375" s="16" t="s">
        <v>2273</v>
      </c>
      <c r="H375" s="16" t="s">
        <v>2275</v>
      </c>
      <c r="I375" s="17">
        <v>45362</v>
      </c>
    </row>
    <row r="376" spans="1:9" x14ac:dyDescent="0.15">
      <c r="A376" s="16" t="s">
        <v>2280</v>
      </c>
      <c r="B376" s="7" t="s">
        <v>9</v>
      </c>
      <c r="C376" s="16" t="s">
        <v>40</v>
      </c>
      <c r="D376" s="16" t="s">
        <v>41</v>
      </c>
      <c r="E376" s="13" t="str">
        <f>+HYPERLINK("http://trademark.i-assist.jp/data/china/image_1891th/77225178.pdf","77225178")</f>
        <v>77225178</v>
      </c>
      <c r="F376" s="16" t="s">
        <v>2278</v>
      </c>
      <c r="G376" s="16" t="s">
        <v>200</v>
      </c>
      <c r="H376" s="16" t="s">
        <v>2279</v>
      </c>
      <c r="I376" s="17">
        <v>45362</v>
      </c>
    </row>
    <row r="377" spans="1:9" x14ac:dyDescent="0.15">
      <c r="A377" s="16" t="s">
        <v>2285</v>
      </c>
      <c r="B377" s="7" t="s">
        <v>9</v>
      </c>
      <c r="C377" s="16" t="s">
        <v>40</v>
      </c>
      <c r="D377" s="16" t="s">
        <v>41</v>
      </c>
      <c r="E377" s="13" t="str">
        <f>+HYPERLINK("http://trademark.i-assist.jp/data/china/image_1891th/77225664.pdf","77225664")</f>
        <v>77225664</v>
      </c>
      <c r="F377" s="16" t="s">
        <v>2283</v>
      </c>
      <c r="G377" s="16" t="s">
        <v>2282</v>
      </c>
      <c r="H377" s="16" t="s">
        <v>2284</v>
      </c>
      <c r="I377" s="17">
        <v>45362</v>
      </c>
    </row>
    <row r="378" spans="1:9" x14ac:dyDescent="0.15">
      <c r="A378" s="16" t="s">
        <v>2289</v>
      </c>
      <c r="B378" s="7" t="s">
        <v>9</v>
      </c>
      <c r="C378" s="16" t="s">
        <v>40</v>
      </c>
      <c r="D378" s="16" t="s">
        <v>41</v>
      </c>
      <c r="E378" s="13" t="str">
        <f>+HYPERLINK("http://trademark.i-assist.jp/data/china/image_1891th/77225668.pdf","77225668")</f>
        <v>77225668</v>
      </c>
      <c r="F378" s="16" t="s">
        <v>2287</v>
      </c>
      <c r="G378" s="16" t="s">
        <v>2282</v>
      </c>
      <c r="H378" s="16" t="s">
        <v>2288</v>
      </c>
      <c r="I378" s="17">
        <v>45362</v>
      </c>
    </row>
    <row r="379" spans="1:9" x14ac:dyDescent="0.15">
      <c r="A379" s="16" t="s">
        <v>2293</v>
      </c>
      <c r="B379" s="7" t="s">
        <v>9</v>
      </c>
      <c r="C379" s="16" t="s">
        <v>40</v>
      </c>
      <c r="D379" s="16" t="s">
        <v>41</v>
      </c>
      <c r="E379" s="13" t="str">
        <f>+HYPERLINK("http://trademark.i-assist.jp/data/china/image_1891th/77225893.pdf","77225893")</f>
        <v>77225893</v>
      </c>
      <c r="F379" s="16" t="s">
        <v>2291</v>
      </c>
      <c r="G379" s="16" t="s">
        <v>2273</v>
      </c>
      <c r="H379" s="16" t="s">
        <v>2292</v>
      </c>
      <c r="I379" s="17">
        <v>45362</v>
      </c>
    </row>
    <row r="380" spans="1:9" x14ac:dyDescent="0.15">
      <c r="A380" s="16" t="s">
        <v>2297</v>
      </c>
      <c r="B380" s="7" t="s">
        <v>9</v>
      </c>
      <c r="C380" s="16" t="s">
        <v>40</v>
      </c>
      <c r="D380" s="16" t="s">
        <v>41</v>
      </c>
      <c r="E380" s="13" t="str">
        <f>+HYPERLINK("http://trademark.i-assist.jp/data/china/image_1891th/77227410.pdf","77227410")</f>
        <v>77227410</v>
      </c>
      <c r="F380" s="16" t="s">
        <v>2295</v>
      </c>
      <c r="G380" s="16" t="s">
        <v>11116</v>
      </c>
      <c r="H380" s="16" t="s">
        <v>2296</v>
      </c>
      <c r="I380" s="17">
        <v>45362</v>
      </c>
    </row>
    <row r="381" spans="1:9" x14ac:dyDescent="0.15">
      <c r="A381" s="16" t="s">
        <v>2302</v>
      </c>
      <c r="B381" s="7" t="s">
        <v>9</v>
      </c>
      <c r="C381" s="16" t="s">
        <v>40</v>
      </c>
      <c r="D381" s="16" t="s">
        <v>41</v>
      </c>
      <c r="E381" s="13" t="str">
        <f>+HYPERLINK("http://trademark.i-assist.jp/data/china/image_1891th/77229323.pdf","77229323")</f>
        <v>77229323</v>
      </c>
      <c r="F381" s="16" t="s">
        <v>2300</v>
      </c>
      <c r="G381" s="16" t="s">
        <v>2299</v>
      </c>
      <c r="H381" s="16" t="s">
        <v>2301</v>
      </c>
      <c r="I381" s="17">
        <v>45362</v>
      </c>
    </row>
    <row r="382" spans="1:9" x14ac:dyDescent="0.15">
      <c r="A382" s="16" t="s">
        <v>2305</v>
      </c>
      <c r="B382" s="7" t="s">
        <v>9</v>
      </c>
      <c r="C382" s="16" t="s">
        <v>40</v>
      </c>
      <c r="D382" s="16" t="s">
        <v>41</v>
      </c>
      <c r="E382" s="13" t="str">
        <f>+HYPERLINK("http://trademark.i-assist.jp/data/china/image_1891th/77230484.pdf","77230484")</f>
        <v>77230484</v>
      </c>
      <c r="F382" s="16" t="s">
        <v>2245</v>
      </c>
      <c r="G382" s="16" t="s">
        <v>2244</v>
      </c>
      <c r="H382" s="16" t="s">
        <v>2304</v>
      </c>
      <c r="I382" s="17">
        <v>45362</v>
      </c>
    </row>
    <row r="383" spans="1:9" x14ac:dyDescent="0.15">
      <c r="A383" s="16" t="s">
        <v>2310</v>
      </c>
      <c r="B383" s="7" t="s">
        <v>9</v>
      </c>
      <c r="C383" s="16" t="s">
        <v>40</v>
      </c>
      <c r="D383" s="16" t="s">
        <v>41</v>
      </c>
      <c r="E383" s="13" t="str">
        <f>+HYPERLINK("http://trademark.i-assist.jp/data/china/image_1891th/77230560.pdf","77230560")</f>
        <v>77230560</v>
      </c>
      <c r="F383" s="16" t="s">
        <v>2308</v>
      </c>
      <c r="G383" s="16" t="s">
        <v>2307</v>
      </c>
      <c r="H383" s="16" t="s">
        <v>2309</v>
      </c>
      <c r="I383" s="17">
        <v>45362</v>
      </c>
    </row>
    <row r="384" spans="1:9" x14ac:dyDescent="0.15">
      <c r="A384" s="16" t="s">
        <v>2315</v>
      </c>
      <c r="B384" s="7" t="s">
        <v>9</v>
      </c>
      <c r="C384" s="16" t="s">
        <v>40</v>
      </c>
      <c r="D384" s="16" t="s">
        <v>41</v>
      </c>
      <c r="E384" s="13" t="str">
        <f>+HYPERLINK("http://trademark.i-assist.jp/data/china/image_1891th/77230571.pdf","77230571")</f>
        <v>77230571</v>
      </c>
      <c r="F384" s="16" t="s">
        <v>2313</v>
      </c>
      <c r="G384" s="16" t="s">
        <v>2312</v>
      </c>
      <c r="H384" s="16" t="s">
        <v>2314</v>
      </c>
      <c r="I384" s="17">
        <v>45362</v>
      </c>
    </row>
    <row r="385" spans="1:9" x14ac:dyDescent="0.15">
      <c r="A385" s="16" t="s">
        <v>2320</v>
      </c>
      <c r="B385" s="7" t="s">
        <v>9</v>
      </c>
      <c r="C385" s="16" t="s">
        <v>40</v>
      </c>
      <c r="D385" s="16" t="s">
        <v>41</v>
      </c>
      <c r="E385" s="13" t="str">
        <f>+HYPERLINK("http://trademark.i-assist.jp/data/china/image_1891th/77230630.pdf","77230630")</f>
        <v>77230630</v>
      </c>
      <c r="F385" s="16" t="s">
        <v>2318</v>
      </c>
      <c r="G385" s="16" t="s">
        <v>2317</v>
      </c>
      <c r="H385" s="16" t="s">
        <v>2319</v>
      </c>
      <c r="I385" s="17">
        <v>45362</v>
      </c>
    </row>
    <row r="386" spans="1:9" x14ac:dyDescent="0.15">
      <c r="A386" s="16" t="s">
        <v>2325</v>
      </c>
      <c r="B386" s="7" t="s">
        <v>9</v>
      </c>
      <c r="C386" s="16" t="s">
        <v>40</v>
      </c>
      <c r="D386" s="16" t="s">
        <v>41</v>
      </c>
      <c r="E386" s="13" t="str">
        <f>+HYPERLINK("http://trademark.i-assist.jp/data/china/image_1891th/77231211.pdf","77231211")</f>
        <v>77231211</v>
      </c>
      <c r="F386" s="16" t="s">
        <v>2323</v>
      </c>
      <c r="G386" s="16" t="s">
        <v>2322</v>
      </c>
      <c r="H386" s="16" t="s">
        <v>2324</v>
      </c>
      <c r="I386" s="17">
        <v>45362</v>
      </c>
    </row>
    <row r="387" spans="1:9" x14ac:dyDescent="0.15">
      <c r="A387" s="16" t="s">
        <v>2330</v>
      </c>
      <c r="B387" s="7" t="s">
        <v>9</v>
      </c>
      <c r="C387" s="16" t="s">
        <v>40</v>
      </c>
      <c r="D387" s="16" t="s">
        <v>41</v>
      </c>
      <c r="E387" s="13" t="str">
        <f>+HYPERLINK("http://trademark.i-assist.jp/data/china/image_1891th/77231508.pdf","77231508")</f>
        <v>77231508</v>
      </c>
      <c r="F387" s="16" t="s">
        <v>2328</v>
      </c>
      <c r="G387" s="16" t="s">
        <v>2327</v>
      </c>
      <c r="H387" s="16" t="s">
        <v>2329</v>
      </c>
      <c r="I387" s="17">
        <v>45362</v>
      </c>
    </row>
    <row r="388" spans="1:9" x14ac:dyDescent="0.15">
      <c r="A388" s="16" t="s">
        <v>2335</v>
      </c>
      <c r="B388" s="7" t="s">
        <v>9</v>
      </c>
      <c r="C388" s="16" t="s">
        <v>40</v>
      </c>
      <c r="D388" s="16" t="s">
        <v>41</v>
      </c>
      <c r="E388" s="13" t="str">
        <f>+HYPERLINK("http://trademark.i-assist.jp/data/china/image_1891th/77231548.pdf","77231548")</f>
        <v>77231548</v>
      </c>
      <c r="F388" s="16" t="s">
        <v>2333</v>
      </c>
      <c r="G388" s="16" t="s">
        <v>2332</v>
      </c>
      <c r="H388" s="16" t="s">
        <v>2334</v>
      </c>
      <c r="I388" s="17">
        <v>45362</v>
      </c>
    </row>
    <row r="389" spans="1:9" x14ac:dyDescent="0.15">
      <c r="A389" s="16" t="s">
        <v>2340</v>
      </c>
      <c r="B389" s="7" t="s">
        <v>9</v>
      </c>
      <c r="C389" s="16" t="s">
        <v>40</v>
      </c>
      <c r="D389" s="16" t="s">
        <v>41</v>
      </c>
      <c r="E389" s="13" t="str">
        <f>+HYPERLINK("http://trademark.i-assist.jp/data/china/image_1891th/77231636.pdf","77231636")</f>
        <v>77231636</v>
      </c>
      <c r="F389" s="16" t="s">
        <v>2338</v>
      </c>
      <c r="G389" s="16" t="s">
        <v>2337</v>
      </c>
      <c r="H389" s="16" t="s">
        <v>2339</v>
      </c>
      <c r="I389" s="17">
        <v>45362</v>
      </c>
    </row>
    <row r="390" spans="1:9" x14ac:dyDescent="0.15">
      <c r="A390" s="16" t="s">
        <v>2344</v>
      </c>
      <c r="B390" s="7" t="s">
        <v>9</v>
      </c>
      <c r="C390" s="16" t="s">
        <v>40</v>
      </c>
      <c r="D390" s="16" t="s">
        <v>41</v>
      </c>
      <c r="E390" s="13" t="str">
        <f>+HYPERLINK("http://trademark.i-assist.jp/data/china/image_1891th/77231747.pdf","77231747")</f>
        <v>77231747</v>
      </c>
      <c r="F390" s="16" t="s">
        <v>2342</v>
      </c>
      <c r="G390" s="16" t="s">
        <v>11116</v>
      </c>
      <c r="H390" s="16" t="s">
        <v>2343</v>
      </c>
      <c r="I390" s="17">
        <v>45362</v>
      </c>
    </row>
    <row r="391" spans="1:9" x14ac:dyDescent="0.15">
      <c r="A391" s="16" t="s">
        <v>2349</v>
      </c>
      <c r="B391" s="7" t="s">
        <v>9</v>
      </c>
      <c r="C391" s="16" t="s">
        <v>40</v>
      </c>
      <c r="D391" s="16" t="s">
        <v>41</v>
      </c>
      <c r="E391" s="13" t="str">
        <f>+HYPERLINK("http://trademark.i-assist.jp/data/china/image_1891th/77231811.pdf","77231811")</f>
        <v>77231811</v>
      </c>
      <c r="F391" s="16" t="s">
        <v>2347</v>
      </c>
      <c r="G391" s="16" t="s">
        <v>2346</v>
      </c>
      <c r="H391" s="16" t="s">
        <v>2348</v>
      </c>
      <c r="I391" s="17">
        <v>45362</v>
      </c>
    </row>
    <row r="392" spans="1:9" x14ac:dyDescent="0.15">
      <c r="A392" s="16" t="s">
        <v>2354</v>
      </c>
      <c r="B392" s="7" t="s">
        <v>9</v>
      </c>
      <c r="C392" s="16" t="s">
        <v>40</v>
      </c>
      <c r="D392" s="16" t="s">
        <v>41</v>
      </c>
      <c r="E392" s="13" t="str">
        <f>+HYPERLINK("http://trademark.i-assist.jp/data/china/image_1891th/77232213.pdf","77232213")</f>
        <v>77232213</v>
      </c>
      <c r="F392" s="16" t="s">
        <v>2352</v>
      </c>
      <c r="G392" s="16" t="s">
        <v>2351</v>
      </c>
      <c r="H392" s="16" t="s">
        <v>2353</v>
      </c>
      <c r="I392" s="17">
        <v>45362</v>
      </c>
    </row>
    <row r="393" spans="1:9" x14ac:dyDescent="0.15">
      <c r="A393" s="16" t="s">
        <v>2359</v>
      </c>
      <c r="B393" s="7" t="s">
        <v>9</v>
      </c>
      <c r="C393" s="16" t="s">
        <v>40</v>
      </c>
      <c r="D393" s="16" t="s">
        <v>41</v>
      </c>
      <c r="E393" s="13" t="str">
        <f>+HYPERLINK("http://trademark.i-assist.jp/data/china/image_1891th/77232717.pdf","77232717")</f>
        <v>77232717</v>
      </c>
      <c r="F393" s="16" t="s">
        <v>2357</v>
      </c>
      <c r="G393" s="16" t="s">
        <v>2356</v>
      </c>
      <c r="H393" s="16" t="s">
        <v>2358</v>
      </c>
      <c r="I393" s="17">
        <v>45362</v>
      </c>
    </row>
    <row r="394" spans="1:9" x14ac:dyDescent="0.15">
      <c r="A394" s="16" t="s">
        <v>2364</v>
      </c>
      <c r="B394" s="7" t="s">
        <v>9</v>
      </c>
      <c r="C394" s="16" t="s">
        <v>40</v>
      </c>
      <c r="D394" s="16" t="s">
        <v>41</v>
      </c>
      <c r="E394" s="13" t="str">
        <f>+HYPERLINK("http://trademark.i-assist.jp/data/china/image_1891th/77233001.pdf","77233001")</f>
        <v>77233001</v>
      </c>
      <c r="F394" s="16" t="s">
        <v>2362</v>
      </c>
      <c r="G394" s="16" t="s">
        <v>2361</v>
      </c>
      <c r="H394" s="16" t="s">
        <v>2363</v>
      </c>
      <c r="I394" s="17">
        <v>45362</v>
      </c>
    </row>
    <row r="395" spans="1:9" x14ac:dyDescent="0.15">
      <c r="A395" s="16" t="s">
        <v>2368</v>
      </c>
      <c r="B395" s="7" t="s">
        <v>9</v>
      </c>
      <c r="C395" s="16" t="s">
        <v>40</v>
      </c>
      <c r="D395" s="16" t="s">
        <v>41</v>
      </c>
      <c r="E395" s="13" t="str">
        <f>+HYPERLINK("http://trademark.i-assist.jp/data/china/image_1891th/77233222.pdf","77233222")</f>
        <v>77233222</v>
      </c>
      <c r="F395" s="16" t="s">
        <v>2366</v>
      </c>
      <c r="G395" s="16" t="s">
        <v>11116</v>
      </c>
      <c r="H395" s="16" t="s">
        <v>2367</v>
      </c>
      <c r="I395" s="17">
        <v>45362</v>
      </c>
    </row>
    <row r="396" spans="1:9" x14ac:dyDescent="0.15">
      <c r="A396" s="16" t="s">
        <v>2373</v>
      </c>
      <c r="B396" s="7" t="s">
        <v>9</v>
      </c>
      <c r="C396" s="16" t="s">
        <v>40</v>
      </c>
      <c r="D396" s="16" t="s">
        <v>41</v>
      </c>
      <c r="E396" s="13" t="str">
        <f>+HYPERLINK("http://trademark.i-assist.jp/data/china/image_1891th/77233801.pdf","77233801")</f>
        <v>77233801</v>
      </c>
      <c r="F396" s="16" t="s">
        <v>2371</v>
      </c>
      <c r="G396" s="16" t="s">
        <v>2370</v>
      </c>
      <c r="H396" s="16" t="s">
        <v>2372</v>
      </c>
      <c r="I396" s="17">
        <v>45362</v>
      </c>
    </row>
    <row r="397" spans="1:9" x14ac:dyDescent="0.15">
      <c r="A397" s="16" t="s">
        <v>2378</v>
      </c>
      <c r="B397" s="7" t="s">
        <v>9</v>
      </c>
      <c r="C397" s="16" t="s">
        <v>40</v>
      </c>
      <c r="D397" s="16" t="s">
        <v>41</v>
      </c>
      <c r="E397" s="13" t="str">
        <f>+HYPERLINK("http://trademark.i-assist.jp/data/china/image_1891th/77234041.pdf","77234041")</f>
        <v>77234041</v>
      </c>
      <c r="F397" s="16" t="s">
        <v>2376</v>
      </c>
      <c r="G397" s="16" t="s">
        <v>2375</v>
      </c>
      <c r="H397" s="16" t="s">
        <v>2377</v>
      </c>
      <c r="I397" s="17">
        <v>45362</v>
      </c>
    </row>
    <row r="398" spans="1:9" x14ac:dyDescent="0.15">
      <c r="A398" s="16" t="s">
        <v>2384</v>
      </c>
      <c r="B398" s="7" t="s">
        <v>9</v>
      </c>
      <c r="C398" s="16" t="s">
        <v>40</v>
      </c>
      <c r="D398" s="16" t="s">
        <v>41</v>
      </c>
      <c r="E398" s="13" t="str">
        <f>+HYPERLINK("http://trademark.i-assist.jp/data/china/image_1891th/77235659.pdf","77235659")</f>
        <v>77235659</v>
      </c>
      <c r="F398" s="16" t="s">
        <v>2381</v>
      </c>
      <c r="G398" s="16" t="s">
        <v>2380</v>
      </c>
      <c r="H398" s="16" t="s">
        <v>2382</v>
      </c>
      <c r="I398" s="17">
        <v>45363</v>
      </c>
    </row>
    <row r="399" spans="1:9" x14ac:dyDescent="0.15">
      <c r="A399" s="16" t="s">
        <v>2389</v>
      </c>
      <c r="B399" s="7" t="s">
        <v>9</v>
      </c>
      <c r="C399" s="16" t="s">
        <v>40</v>
      </c>
      <c r="D399" s="16" t="s">
        <v>41</v>
      </c>
      <c r="E399" s="13" t="str">
        <f>+HYPERLINK("http://trademark.i-assist.jp/data/china/image_1891th/77236257.pdf","77236257")</f>
        <v>77236257</v>
      </c>
      <c r="F399" s="16" t="s">
        <v>2387</v>
      </c>
      <c r="G399" s="16" t="s">
        <v>2386</v>
      </c>
      <c r="H399" s="16" t="s">
        <v>2388</v>
      </c>
      <c r="I399" s="17">
        <v>45363</v>
      </c>
    </row>
    <row r="400" spans="1:9" x14ac:dyDescent="0.15">
      <c r="A400" s="16" t="s">
        <v>2394</v>
      </c>
      <c r="B400" s="7" t="s">
        <v>9</v>
      </c>
      <c r="C400" s="16" t="s">
        <v>40</v>
      </c>
      <c r="D400" s="16" t="s">
        <v>41</v>
      </c>
      <c r="E400" s="13" t="str">
        <f>+HYPERLINK("http://trademark.i-assist.jp/data/china/image_1891th/77236547.pdf","77236547")</f>
        <v>77236547</v>
      </c>
      <c r="F400" s="16" t="s">
        <v>2392</v>
      </c>
      <c r="G400" s="16" t="s">
        <v>2391</v>
      </c>
      <c r="H400" s="16" t="s">
        <v>2393</v>
      </c>
      <c r="I400" s="17">
        <v>45363</v>
      </c>
    </row>
    <row r="401" spans="1:9" x14ac:dyDescent="0.15">
      <c r="A401" s="16" t="s">
        <v>2399</v>
      </c>
      <c r="B401" s="7" t="s">
        <v>9</v>
      </c>
      <c r="C401" s="16" t="s">
        <v>40</v>
      </c>
      <c r="D401" s="16" t="s">
        <v>41</v>
      </c>
      <c r="E401" s="13" t="str">
        <f>+HYPERLINK("http://trademark.i-assist.jp/data/china/image_1891th/77237099.pdf","77237099")</f>
        <v>77237099</v>
      </c>
      <c r="F401" s="16" t="s">
        <v>2397</v>
      </c>
      <c r="G401" s="16" t="s">
        <v>2396</v>
      </c>
      <c r="H401" s="16" t="s">
        <v>2398</v>
      </c>
      <c r="I401" s="17">
        <v>45363</v>
      </c>
    </row>
    <row r="402" spans="1:9" x14ac:dyDescent="0.15">
      <c r="A402" s="16" t="s">
        <v>2404</v>
      </c>
      <c r="B402" s="7" t="s">
        <v>9</v>
      </c>
      <c r="C402" s="16" t="s">
        <v>40</v>
      </c>
      <c r="D402" s="16" t="s">
        <v>41</v>
      </c>
      <c r="E402" s="13" t="str">
        <f>+HYPERLINK("http://trademark.i-assist.jp/data/china/image_1891th/77237103.pdf","77237103")</f>
        <v>77237103</v>
      </c>
      <c r="F402" s="16" t="s">
        <v>2402</v>
      </c>
      <c r="G402" s="16" t="s">
        <v>2401</v>
      </c>
      <c r="H402" s="16" t="s">
        <v>2403</v>
      </c>
      <c r="I402" s="17">
        <v>45363</v>
      </c>
    </row>
    <row r="403" spans="1:9" x14ac:dyDescent="0.15">
      <c r="A403" s="16" t="s">
        <v>2409</v>
      </c>
      <c r="B403" s="7" t="s">
        <v>9</v>
      </c>
      <c r="C403" s="16" t="s">
        <v>40</v>
      </c>
      <c r="D403" s="16" t="s">
        <v>41</v>
      </c>
      <c r="E403" s="13" t="str">
        <f>+HYPERLINK("http://trademark.i-assist.jp/data/china/image_1891th/77237202.pdf","77237202")</f>
        <v>77237202</v>
      </c>
      <c r="F403" s="16" t="s">
        <v>2407</v>
      </c>
      <c r="G403" s="16" t="s">
        <v>2406</v>
      </c>
      <c r="H403" s="16" t="s">
        <v>2408</v>
      </c>
      <c r="I403" s="17">
        <v>45363</v>
      </c>
    </row>
    <row r="404" spans="1:9" x14ac:dyDescent="0.15">
      <c r="A404" s="16" t="s">
        <v>2414</v>
      </c>
      <c r="B404" s="7" t="s">
        <v>9</v>
      </c>
      <c r="C404" s="16" t="s">
        <v>40</v>
      </c>
      <c r="D404" s="16" t="s">
        <v>41</v>
      </c>
      <c r="E404" s="13" t="str">
        <f>+HYPERLINK("http://trademark.i-assist.jp/data/china/image_1891th/77238967.pdf","77238967")</f>
        <v>77238967</v>
      </c>
      <c r="F404" s="16" t="s">
        <v>2412</v>
      </c>
      <c r="G404" s="16" t="s">
        <v>2411</v>
      </c>
      <c r="H404" s="16" t="s">
        <v>2413</v>
      </c>
      <c r="I404" s="17">
        <v>45363</v>
      </c>
    </row>
    <row r="405" spans="1:9" x14ac:dyDescent="0.15">
      <c r="A405" s="16" t="s">
        <v>2418</v>
      </c>
      <c r="B405" s="7" t="s">
        <v>9</v>
      </c>
      <c r="C405" s="16" t="s">
        <v>40</v>
      </c>
      <c r="D405" s="16" t="s">
        <v>41</v>
      </c>
      <c r="E405" s="13" t="str">
        <f>+HYPERLINK("http://trademark.i-assist.jp/data/china/image_1891th/77239571.pdf","77239571")</f>
        <v>77239571</v>
      </c>
      <c r="F405" s="16" t="s">
        <v>2416</v>
      </c>
      <c r="G405" s="16" t="s">
        <v>2396</v>
      </c>
      <c r="H405" s="16" t="s">
        <v>2417</v>
      </c>
      <c r="I405" s="17">
        <v>45363</v>
      </c>
    </row>
    <row r="406" spans="1:9" x14ac:dyDescent="0.15">
      <c r="A406" s="16" t="s">
        <v>2423</v>
      </c>
      <c r="B406" s="7" t="s">
        <v>9</v>
      </c>
      <c r="C406" s="16" t="s">
        <v>40</v>
      </c>
      <c r="D406" s="16" t="s">
        <v>41</v>
      </c>
      <c r="E406" s="13" t="str">
        <f>+HYPERLINK("http://trademark.i-assist.jp/data/china/image_1891th/77239835.pdf","77239835")</f>
        <v>77239835</v>
      </c>
      <c r="F406" s="16" t="s">
        <v>2421</v>
      </c>
      <c r="G406" s="16" t="s">
        <v>2420</v>
      </c>
      <c r="H406" s="16" t="s">
        <v>2422</v>
      </c>
      <c r="I406" s="17">
        <v>45363</v>
      </c>
    </row>
    <row r="407" spans="1:9" x14ac:dyDescent="0.15">
      <c r="A407" s="16" t="s">
        <v>2428</v>
      </c>
      <c r="B407" s="7" t="s">
        <v>9</v>
      </c>
      <c r="C407" s="16" t="s">
        <v>40</v>
      </c>
      <c r="D407" s="16" t="s">
        <v>41</v>
      </c>
      <c r="E407" s="13" t="str">
        <f>+HYPERLINK("http://trademark.i-assist.jp/data/china/image_1891th/77240634.pdf","77240634")</f>
        <v>77240634</v>
      </c>
      <c r="F407" s="16" t="s">
        <v>2426</v>
      </c>
      <c r="G407" s="16" t="s">
        <v>2425</v>
      </c>
      <c r="H407" s="16" t="s">
        <v>2427</v>
      </c>
      <c r="I407" s="17">
        <v>45363</v>
      </c>
    </row>
    <row r="408" spans="1:9" x14ac:dyDescent="0.15">
      <c r="A408" s="16" t="s">
        <v>2433</v>
      </c>
      <c r="B408" s="7" t="s">
        <v>9</v>
      </c>
      <c r="C408" s="16" t="s">
        <v>40</v>
      </c>
      <c r="D408" s="16" t="s">
        <v>41</v>
      </c>
      <c r="E408" s="13" t="str">
        <f>+HYPERLINK("http://trademark.i-assist.jp/data/china/image_1891th/77242726.pdf","77242726")</f>
        <v>77242726</v>
      </c>
      <c r="F408" s="16" t="s">
        <v>2431</v>
      </c>
      <c r="G408" s="16" t="s">
        <v>2430</v>
      </c>
      <c r="H408" s="16" t="s">
        <v>2432</v>
      </c>
      <c r="I408" s="17">
        <v>45363</v>
      </c>
    </row>
    <row r="409" spans="1:9" x14ac:dyDescent="0.15">
      <c r="A409" s="16" t="s">
        <v>2438</v>
      </c>
      <c r="B409" s="7" t="s">
        <v>9</v>
      </c>
      <c r="C409" s="16" t="s">
        <v>40</v>
      </c>
      <c r="D409" s="16" t="s">
        <v>41</v>
      </c>
      <c r="E409" s="13" t="str">
        <f>+HYPERLINK("http://trademark.i-assist.jp/data/china/image_1891th/77244094.pdf","77244094")</f>
        <v>77244094</v>
      </c>
      <c r="F409" s="16" t="s">
        <v>2436</v>
      </c>
      <c r="G409" s="16" t="s">
        <v>2435</v>
      </c>
      <c r="H409" s="16" t="s">
        <v>2437</v>
      </c>
      <c r="I409" s="17">
        <v>45363</v>
      </c>
    </row>
    <row r="410" spans="1:9" x14ac:dyDescent="0.15">
      <c r="A410" s="16" t="s">
        <v>2443</v>
      </c>
      <c r="B410" s="7" t="s">
        <v>9</v>
      </c>
      <c r="C410" s="16" t="s">
        <v>40</v>
      </c>
      <c r="D410" s="16" t="s">
        <v>41</v>
      </c>
      <c r="E410" s="13" t="str">
        <f>+HYPERLINK("http://trademark.i-assist.jp/data/china/image_1891th/77244905.pdf","77244905")</f>
        <v>77244905</v>
      </c>
      <c r="F410" s="16" t="s">
        <v>2441</v>
      </c>
      <c r="G410" s="16" t="s">
        <v>2440</v>
      </c>
      <c r="H410" s="16" t="s">
        <v>2442</v>
      </c>
      <c r="I410" s="17">
        <v>45363</v>
      </c>
    </row>
    <row r="411" spans="1:9" x14ac:dyDescent="0.15">
      <c r="A411" s="16" t="s">
        <v>2446</v>
      </c>
      <c r="B411" s="7" t="s">
        <v>9</v>
      </c>
      <c r="C411" s="16" t="s">
        <v>40</v>
      </c>
      <c r="D411" s="16" t="s">
        <v>41</v>
      </c>
      <c r="E411" s="13" t="str">
        <f>+HYPERLINK("http://trademark.i-assist.jp/data/china/image_1891th/77245648.pdf","77245648")</f>
        <v>77245648</v>
      </c>
      <c r="F411" s="16" t="s">
        <v>52</v>
      </c>
      <c r="G411" s="16" t="s">
        <v>714</v>
      </c>
      <c r="H411" s="16" t="s">
        <v>2445</v>
      </c>
      <c r="I411" s="17">
        <v>45363</v>
      </c>
    </row>
    <row r="412" spans="1:9" x14ac:dyDescent="0.15">
      <c r="A412" s="16" t="s">
        <v>2451</v>
      </c>
      <c r="B412" s="7" t="s">
        <v>9</v>
      </c>
      <c r="C412" s="16" t="s">
        <v>40</v>
      </c>
      <c r="D412" s="16" t="s">
        <v>41</v>
      </c>
      <c r="E412" s="13" t="str">
        <f>+HYPERLINK("http://trademark.i-assist.jp/data/china/image_1891th/77245842.pdf","77245842")</f>
        <v>77245842</v>
      </c>
      <c r="F412" s="16" t="s">
        <v>2449</v>
      </c>
      <c r="G412" s="16" t="s">
        <v>2448</v>
      </c>
      <c r="H412" s="16" t="s">
        <v>2450</v>
      </c>
      <c r="I412" s="17">
        <v>45363</v>
      </c>
    </row>
    <row r="413" spans="1:9" x14ac:dyDescent="0.15">
      <c r="A413" s="16" t="s">
        <v>2456</v>
      </c>
      <c r="B413" s="7" t="s">
        <v>9</v>
      </c>
      <c r="C413" s="16" t="s">
        <v>40</v>
      </c>
      <c r="D413" s="16" t="s">
        <v>41</v>
      </c>
      <c r="E413" s="13" t="str">
        <f>+HYPERLINK("http://trademark.i-assist.jp/data/china/image_1891th/77248052.pdf","77248052")</f>
        <v>77248052</v>
      </c>
      <c r="F413" s="16" t="s">
        <v>2454</v>
      </c>
      <c r="G413" s="16" t="s">
        <v>2453</v>
      </c>
      <c r="H413" s="16" t="s">
        <v>2455</v>
      </c>
      <c r="I413" s="17">
        <v>45363</v>
      </c>
    </row>
    <row r="414" spans="1:9" x14ac:dyDescent="0.15">
      <c r="A414" s="16" t="s">
        <v>2461</v>
      </c>
      <c r="B414" s="7" t="s">
        <v>9</v>
      </c>
      <c r="C414" s="16" t="s">
        <v>40</v>
      </c>
      <c r="D414" s="16" t="s">
        <v>41</v>
      </c>
      <c r="E414" s="13" t="str">
        <f>+HYPERLINK("http://trademark.i-assist.jp/data/china/image_1891th/77248285.pdf","77248285")</f>
        <v>77248285</v>
      </c>
      <c r="F414" s="16" t="s">
        <v>2459</v>
      </c>
      <c r="G414" s="16" t="s">
        <v>2458</v>
      </c>
      <c r="H414" s="16" t="s">
        <v>2460</v>
      </c>
      <c r="I414" s="17">
        <v>45363</v>
      </c>
    </row>
    <row r="415" spans="1:9" x14ac:dyDescent="0.15">
      <c r="A415" s="16" t="s">
        <v>2466</v>
      </c>
      <c r="B415" s="7" t="s">
        <v>9</v>
      </c>
      <c r="C415" s="16" t="s">
        <v>40</v>
      </c>
      <c r="D415" s="16" t="s">
        <v>41</v>
      </c>
      <c r="E415" s="13" t="str">
        <f>+HYPERLINK("http://trademark.i-assist.jp/data/china/image_1891th/77248502.pdf","77248502")</f>
        <v>77248502</v>
      </c>
      <c r="F415" s="16" t="s">
        <v>2464</v>
      </c>
      <c r="G415" s="16" t="s">
        <v>2463</v>
      </c>
      <c r="H415" s="16" t="s">
        <v>2465</v>
      </c>
      <c r="I415" s="17">
        <v>45363</v>
      </c>
    </row>
    <row r="416" spans="1:9" x14ac:dyDescent="0.15">
      <c r="A416" s="16" t="s">
        <v>2471</v>
      </c>
      <c r="B416" s="7" t="s">
        <v>9</v>
      </c>
      <c r="C416" s="16" t="s">
        <v>40</v>
      </c>
      <c r="D416" s="16" t="s">
        <v>41</v>
      </c>
      <c r="E416" s="13" t="str">
        <f>+HYPERLINK("http://trademark.i-assist.jp/data/china/image_1891th/77249390.pdf","77249390")</f>
        <v>77249390</v>
      </c>
      <c r="F416" s="16" t="s">
        <v>2469</v>
      </c>
      <c r="G416" s="16" t="s">
        <v>2468</v>
      </c>
      <c r="H416" s="16" t="s">
        <v>2470</v>
      </c>
      <c r="I416" s="17">
        <v>45363</v>
      </c>
    </row>
    <row r="417" spans="1:9" x14ac:dyDescent="0.15">
      <c r="A417" s="16" t="s">
        <v>2476</v>
      </c>
      <c r="B417" s="7" t="s">
        <v>9</v>
      </c>
      <c r="C417" s="16" t="s">
        <v>40</v>
      </c>
      <c r="D417" s="16" t="s">
        <v>41</v>
      </c>
      <c r="E417" s="13" t="str">
        <f>+HYPERLINK("http://trademark.i-assist.jp/data/china/image_1891th/77249486.pdf","77249486")</f>
        <v>77249486</v>
      </c>
      <c r="F417" s="16" t="s">
        <v>2474</v>
      </c>
      <c r="G417" s="16" t="s">
        <v>2473</v>
      </c>
      <c r="H417" s="16" t="s">
        <v>2475</v>
      </c>
      <c r="I417" s="17">
        <v>45363</v>
      </c>
    </row>
    <row r="418" spans="1:9" x14ac:dyDescent="0.15">
      <c r="A418" s="16" t="s">
        <v>2481</v>
      </c>
      <c r="B418" s="7" t="s">
        <v>9</v>
      </c>
      <c r="C418" s="16" t="s">
        <v>40</v>
      </c>
      <c r="D418" s="16" t="s">
        <v>41</v>
      </c>
      <c r="E418" s="13" t="str">
        <f>+HYPERLINK("http://trademark.i-assist.jp/data/china/image_1891th/77249729.pdf","77249729")</f>
        <v>77249729</v>
      </c>
      <c r="F418" s="16" t="s">
        <v>2479</v>
      </c>
      <c r="G418" s="16" t="s">
        <v>2478</v>
      </c>
      <c r="H418" s="16" t="s">
        <v>2480</v>
      </c>
      <c r="I418" s="17">
        <v>45363</v>
      </c>
    </row>
    <row r="419" spans="1:9" x14ac:dyDescent="0.15">
      <c r="A419" s="16" t="s">
        <v>2486</v>
      </c>
      <c r="B419" s="7" t="s">
        <v>9</v>
      </c>
      <c r="C419" s="16" t="s">
        <v>40</v>
      </c>
      <c r="D419" s="16" t="s">
        <v>41</v>
      </c>
      <c r="E419" s="13" t="str">
        <f>+HYPERLINK("http://trademark.i-assist.jp/data/china/image_1891th/77251267.pdf","77251267")</f>
        <v>77251267</v>
      </c>
      <c r="F419" s="16" t="s">
        <v>2484</v>
      </c>
      <c r="G419" s="16" t="s">
        <v>2483</v>
      </c>
      <c r="H419" s="16" t="s">
        <v>2485</v>
      </c>
      <c r="I419" s="17">
        <v>45363</v>
      </c>
    </row>
    <row r="420" spans="1:9" x14ac:dyDescent="0.15">
      <c r="A420" s="16" t="s">
        <v>2491</v>
      </c>
      <c r="B420" s="7" t="s">
        <v>9</v>
      </c>
      <c r="C420" s="16" t="s">
        <v>40</v>
      </c>
      <c r="D420" s="16" t="s">
        <v>41</v>
      </c>
      <c r="E420" s="13" t="str">
        <f>+HYPERLINK("http://trademark.i-assist.jp/data/china/image_1891th/77251294.pdf","77251294")</f>
        <v>77251294</v>
      </c>
      <c r="F420" s="16" t="s">
        <v>2489</v>
      </c>
      <c r="G420" s="16" t="s">
        <v>2488</v>
      </c>
      <c r="H420" s="16" t="s">
        <v>2490</v>
      </c>
      <c r="I420" s="17">
        <v>45363</v>
      </c>
    </row>
    <row r="421" spans="1:9" x14ac:dyDescent="0.15">
      <c r="A421" s="16" t="s">
        <v>2496</v>
      </c>
      <c r="B421" s="7" t="s">
        <v>9</v>
      </c>
      <c r="C421" s="16" t="s">
        <v>40</v>
      </c>
      <c r="D421" s="16" t="s">
        <v>41</v>
      </c>
      <c r="E421" s="13" t="str">
        <f>+HYPERLINK("http://trademark.i-assist.jp/data/china/image_1891th/77251724.pdf","77251724")</f>
        <v>77251724</v>
      </c>
      <c r="F421" s="16" t="s">
        <v>2494</v>
      </c>
      <c r="G421" s="16" t="s">
        <v>2493</v>
      </c>
      <c r="H421" s="16" t="s">
        <v>2495</v>
      </c>
      <c r="I421" s="17">
        <v>45363</v>
      </c>
    </row>
    <row r="422" spans="1:9" x14ac:dyDescent="0.15">
      <c r="A422" s="16" t="s">
        <v>2501</v>
      </c>
      <c r="B422" s="7" t="s">
        <v>9</v>
      </c>
      <c r="C422" s="16" t="s">
        <v>40</v>
      </c>
      <c r="D422" s="16" t="s">
        <v>41</v>
      </c>
      <c r="E422" s="13" t="str">
        <f>+HYPERLINK("http://trademark.i-assist.jp/data/china/image_1891th/77252325.pdf","77252325")</f>
        <v>77252325</v>
      </c>
      <c r="F422" s="16" t="s">
        <v>2499</v>
      </c>
      <c r="G422" s="16" t="s">
        <v>2498</v>
      </c>
      <c r="H422" s="16" t="s">
        <v>2500</v>
      </c>
      <c r="I422" s="17">
        <v>45363</v>
      </c>
    </row>
    <row r="423" spans="1:9" x14ac:dyDescent="0.15">
      <c r="A423" s="16" t="s">
        <v>2506</v>
      </c>
      <c r="B423" s="7" t="s">
        <v>9</v>
      </c>
      <c r="C423" s="16" t="s">
        <v>40</v>
      </c>
      <c r="D423" s="16" t="s">
        <v>41</v>
      </c>
      <c r="E423" s="13" t="str">
        <f>+HYPERLINK("http://trademark.i-assist.jp/data/china/image_1891th/77252583.pdf","77252583")</f>
        <v>77252583</v>
      </c>
      <c r="F423" s="16" t="s">
        <v>2504</v>
      </c>
      <c r="G423" s="16" t="s">
        <v>2503</v>
      </c>
      <c r="H423" s="16" t="s">
        <v>2505</v>
      </c>
      <c r="I423" s="17">
        <v>45363</v>
      </c>
    </row>
    <row r="424" spans="1:9" x14ac:dyDescent="0.15">
      <c r="A424" s="16" t="s">
        <v>2511</v>
      </c>
      <c r="B424" s="7" t="s">
        <v>9</v>
      </c>
      <c r="C424" s="16" t="s">
        <v>40</v>
      </c>
      <c r="D424" s="16" t="s">
        <v>41</v>
      </c>
      <c r="E424" s="13" t="str">
        <f>+HYPERLINK("http://trademark.i-assist.jp/data/china/image_1891th/77252610.pdf","77252610")</f>
        <v>77252610</v>
      </c>
      <c r="F424" s="16" t="s">
        <v>2509</v>
      </c>
      <c r="G424" s="16" t="s">
        <v>2508</v>
      </c>
      <c r="H424" s="16" t="s">
        <v>2510</v>
      </c>
      <c r="I424" s="17">
        <v>45363</v>
      </c>
    </row>
    <row r="425" spans="1:9" x14ac:dyDescent="0.15">
      <c r="A425" s="16" t="s">
        <v>2516</v>
      </c>
      <c r="B425" s="7" t="s">
        <v>9</v>
      </c>
      <c r="C425" s="16" t="s">
        <v>40</v>
      </c>
      <c r="D425" s="16" t="s">
        <v>41</v>
      </c>
      <c r="E425" s="13" t="str">
        <f>+HYPERLINK("http://trademark.i-assist.jp/data/china/image_1891th/77252805.pdf","77252805")</f>
        <v>77252805</v>
      </c>
      <c r="F425" s="16" t="s">
        <v>2514</v>
      </c>
      <c r="G425" s="16" t="s">
        <v>2513</v>
      </c>
      <c r="H425" s="16" t="s">
        <v>2515</v>
      </c>
      <c r="I425" s="17">
        <v>45363</v>
      </c>
    </row>
    <row r="426" spans="1:9" x14ac:dyDescent="0.15">
      <c r="A426" s="16" t="s">
        <v>2520</v>
      </c>
      <c r="B426" s="7" t="s">
        <v>9</v>
      </c>
      <c r="C426" s="16" t="s">
        <v>40</v>
      </c>
      <c r="D426" s="16" t="s">
        <v>41</v>
      </c>
      <c r="E426" s="13" t="str">
        <f>+HYPERLINK("http://trademark.i-assist.jp/data/china/image_1891th/77253773.pdf","77253773")</f>
        <v>77253773</v>
      </c>
      <c r="F426" s="16" t="s">
        <v>2518</v>
      </c>
      <c r="G426" s="16" t="s">
        <v>2440</v>
      </c>
      <c r="H426" s="16" t="s">
        <v>2519</v>
      </c>
      <c r="I426" s="17">
        <v>45363</v>
      </c>
    </row>
    <row r="427" spans="1:9" x14ac:dyDescent="0.15">
      <c r="A427" s="16" t="s">
        <v>2525</v>
      </c>
      <c r="B427" s="7" t="s">
        <v>9</v>
      </c>
      <c r="C427" s="16" t="s">
        <v>40</v>
      </c>
      <c r="D427" s="16" t="s">
        <v>41</v>
      </c>
      <c r="E427" s="13" t="str">
        <f>+HYPERLINK("http://trademark.i-assist.jp/data/china/image_1891th/77253837.pdf","77253837")</f>
        <v>77253837</v>
      </c>
      <c r="F427" s="16" t="s">
        <v>2523</v>
      </c>
      <c r="G427" s="16" t="s">
        <v>2522</v>
      </c>
      <c r="H427" s="16" t="s">
        <v>2524</v>
      </c>
      <c r="I427" s="17">
        <v>45363</v>
      </c>
    </row>
    <row r="428" spans="1:9" x14ac:dyDescent="0.15">
      <c r="A428" s="16" t="s">
        <v>2530</v>
      </c>
      <c r="B428" s="7" t="s">
        <v>9</v>
      </c>
      <c r="C428" s="16" t="s">
        <v>40</v>
      </c>
      <c r="D428" s="16" t="s">
        <v>41</v>
      </c>
      <c r="E428" s="13" t="str">
        <f>+HYPERLINK("http://trademark.i-assist.jp/data/china/image_1891th/77253868.pdf","77253868")</f>
        <v>77253868</v>
      </c>
      <c r="F428" s="16" t="s">
        <v>2528</v>
      </c>
      <c r="G428" s="16" t="s">
        <v>2527</v>
      </c>
      <c r="H428" s="16" t="s">
        <v>2529</v>
      </c>
      <c r="I428" s="17">
        <v>45363</v>
      </c>
    </row>
    <row r="429" spans="1:9" x14ac:dyDescent="0.15">
      <c r="A429" s="16" t="s">
        <v>2535</v>
      </c>
      <c r="B429" s="7" t="s">
        <v>9</v>
      </c>
      <c r="C429" s="16" t="s">
        <v>40</v>
      </c>
      <c r="D429" s="16" t="s">
        <v>41</v>
      </c>
      <c r="E429" s="13" t="str">
        <f>+HYPERLINK("http://trademark.i-assist.jp/data/china/image_1891th/77254960.pdf","77254960")</f>
        <v>77254960</v>
      </c>
      <c r="F429" s="16" t="s">
        <v>2533</v>
      </c>
      <c r="G429" s="16" t="s">
        <v>2532</v>
      </c>
      <c r="H429" s="16" t="s">
        <v>2534</v>
      </c>
      <c r="I429" s="17">
        <v>45363</v>
      </c>
    </row>
    <row r="430" spans="1:9" x14ac:dyDescent="0.15">
      <c r="A430" s="16" t="s">
        <v>2540</v>
      </c>
      <c r="B430" s="7" t="s">
        <v>9</v>
      </c>
      <c r="C430" s="16" t="s">
        <v>40</v>
      </c>
      <c r="D430" s="16" t="s">
        <v>41</v>
      </c>
      <c r="E430" s="13" t="str">
        <f>+HYPERLINK("http://trademark.i-assist.jp/data/china/image_1891th/77254986.pdf","77254986")</f>
        <v>77254986</v>
      </c>
      <c r="F430" s="16" t="s">
        <v>2538</v>
      </c>
      <c r="G430" s="16" t="s">
        <v>2537</v>
      </c>
      <c r="H430" s="16" t="s">
        <v>2539</v>
      </c>
      <c r="I430" s="17">
        <v>45363</v>
      </c>
    </row>
    <row r="431" spans="1:9" x14ac:dyDescent="0.15">
      <c r="A431" s="16" t="s">
        <v>2545</v>
      </c>
      <c r="B431" s="7" t="s">
        <v>9</v>
      </c>
      <c r="C431" s="16" t="s">
        <v>40</v>
      </c>
      <c r="D431" s="16" t="s">
        <v>41</v>
      </c>
      <c r="E431" s="13" t="str">
        <f>+HYPERLINK("http://trademark.i-assist.jp/data/china/image_1891th/77255499.pdf","77255499")</f>
        <v>77255499</v>
      </c>
      <c r="F431" s="16" t="s">
        <v>2543</v>
      </c>
      <c r="G431" s="16" t="s">
        <v>2542</v>
      </c>
      <c r="H431" s="16" t="s">
        <v>2544</v>
      </c>
      <c r="I431" s="17">
        <v>45363</v>
      </c>
    </row>
    <row r="432" spans="1:9" x14ac:dyDescent="0.15">
      <c r="A432" s="16" t="s">
        <v>2549</v>
      </c>
      <c r="B432" s="7" t="s">
        <v>9</v>
      </c>
      <c r="C432" s="16" t="s">
        <v>40</v>
      </c>
      <c r="D432" s="16" t="s">
        <v>41</v>
      </c>
      <c r="E432" s="13" t="str">
        <f>+HYPERLINK("http://trademark.i-assist.jp/data/china/image_1891th/77258705.pdf","77258705")</f>
        <v>77258705</v>
      </c>
      <c r="F432" s="16" t="s">
        <v>2547</v>
      </c>
      <c r="G432" s="16" t="s">
        <v>2406</v>
      </c>
      <c r="H432" s="16" t="s">
        <v>2548</v>
      </c>
      <c r="I432" s="17">
        <v>45363</v>
      </c>
    </row>
    <row r="433" spans="1:9" x14ac:dyDescent="0.15">
      <c r="A433" s="16" t="s">
        <v>2554</v>
      </c>
      <c r="B433" s="7" t="s">
        <v>9</v>
      </c>
      <c r="C433" s="16" t="s">
        <v>40</v>
      </c>
      <c r="D433" s="16" t="s">
        <v>41</v>
      </c>
      <c r="E433" s="13" t="str">
        <f>+HYPERLINK("http://trademark.i-assist.jp/data/china/image_1891th/77259161.pdf","77259161")</f>
        <v>77259161</v>
      </c>
      <c r="F433" s="16" t="s">
        <v>2552</v>
      </c>
      <c r="G433" s="16" t="s">
        <v>2551</v>
      </c>
      <c r="H433" s="16" t="s">
        <v>2553</v>
      </c>
      <c r="I433" s="17">
        <v>45363</v>
      </c>
    </row>
    <row r="434" spans="1:9" x14ac:dyDescent="0.15">
      <c r="A434" s="16" t="s">
        <v>2559</v>
      </c>
      <c r="B434" s="7" t="s">
        <v>9</v>
      </c>
      <c r="C434" s="16" t="s">
        <v>40</v>
      </c>
      <c r="D434" s="16" t="s">
        <v>41</v>
      </c>
      <c r="E434" s="13" t="str">
        <f>+HYPERLINK("http://trademark.i-assist.jp/data/china/image_1891th/77260793.pdf","77260793")</f>
        <v>77260793</v>
      </c>
      <c r="F434" s="16" t="s">
        <v>2557</v>
      </c>
      <c r="G434" s="16" t="s">
        <v>2556</v>
      </c>
      <c r="H434" s="16" t="s">
        <v>2558</v>
      </c>
      <c r="I434" s="17">
        <v>45363</v>
      </c>
    </row>
    <row r="435" spans="1:9" x14ac:dyDescent="0.15">
      <c r="A435" s="16" t="s">
        <v>2564</v>
      </c>
      <c r="B435" s="7" t="s">
        <v>9</v>
      </c>
      <c r="C435" s="16" t="s">
        <v>40</v>
      </c>
      <c r="D435" s="16" t="s">
        <v>41</v>
      </c>
      <c r="E435" s="13" t="str">
        <f>+HYPERLINK("http://trademark.i-assist.jp/data/china/image_1891th/77260806.pdf","77260806")</f>
        <v>77260806</v>
      </c>
      <c r="F435" s="16" t="s">
        <v>2562</v>
      </c>
      <c r="G435" s="16" t="s">
        <v>2561</v>
      </c>
      <c r="H435" s="16" t="s">
        <v>2563</v>
      </c>
      <c r="I435" s="17">
        <v>45363</v>
      </c>
    </row>
    <row r="436" spans="1:9" x14ac:dyDescent="0.15">
      <c r="A436" s="16" t="s">
        <v>2569</v>
      </c>
      <c r="B436" s="7" t="s">
        <v>9</v>
      </c>
      <c r="C436" s="16" t="s">
        <v>40</v>
      </c>
      <c r="D436" s="16" t="s">
        <v>41</v>
      </c>
      <c r="E436" s="13" t="str">
        <f>+HYPERLINK("http://trademark.i-assist.jp/data/china/image_1891th/77261369.pdf","77261369")</f>
        <v>77261369</v>
      </c>
      <c r="F436" s="16" t="s">
        <v>2567</v>
      </c>
      <c r="G436" s="16" t="s">
        <v>2566</v>
      </c>
      <c r="H436" s="16" t="s">
        <v>2568</v>
      </c>
      <c r="I436" s="17">
        <v>45363</v>
      </c>
    </row>
    <row r="437" spans="1:9" x14ac:dyDescent="0.15">
      <c r="A437" s="16" t="s">
        <v>10361</v>
      </c>
      <c r="B437" s="7" t="s">
        <v>9</v>
      </c>
      <c r="C437" s="16" t="s">
        <v>40</v>
      </c>
      <c r="D437" s="16" t="s">
        <v>41</v>
      </c>
      <c r="E437" s="13" t="str">
        <f>+HYPERLINK("http://trademark.i-assist.jp/data/china/image_1891th/77261646.pdf","77261646")</f>
        <v>77261646</v>
      </c>
      <c r="F437" s="16" t="s">
        <v>2572</v>
      </c>
      <c r="G437" s="16" t="s">
        <v>2571</v>
      </c>
      <c r="H437" s="16" t="s">
        <v>2573</v>
      </c>
      <c r="I437" s="17">
        <v>45363</v>
      </c>
    </row>
    <row r="438" spans="1:9" x14ac:dyDescent="0.15">
      <c r="A438" s="16" t="s">
        <v>10366</v>
      </c>
      <c r="B438" s="7" t="s">
        <v>9</v>
      </c>
      <c r="C438" s="16" t="s">
        <v>40</v>
      </c>
      <c r="D438" s="16" t="s">
        <v>41</v>
      </c>
      <c r="E438" s="13" t="str">
        <f>+HYPERLINK("http://trademark.i-assist.jp/data/china/image_1891th/77263060.pdf","77263060")</f>
        <v>77263060</v>
      </c>
      <c r="F438" s="16" t="s">
        <v>10363</v>
      </c>
      <c r="G438" s="16" t="s">
        <v>2152</v>
      </c>
      <c r="H438" s="16" t="s">
        <v>10364</v>
      </c>
      <c r="I438" s="17">
        <v>45364</v>
      </c>
    </row>
    <row r="439" spans="1:9" x14ac:dyDescent="0.15">
      <c r="A439" s="16" t="s">
        <v>10370</v>
      </c>
      <c r="B439" s="7" t="s">
        <v>9</v>
      </c>
      <c r="C439" s="16" t="s">
        <v>40</v>
      </c>
      <c r="D439" s="16" t="s">
        <v>41</v>
      </c>
      <c r="E439" s="13" t="str">
        <f>+HYPERLINK("http://trademark.i-assist.jp/data/china/image_1891th/77263872.pdf","77263872")</f>
        <v>77263872</v>
      </c>
      <c r="F439" s="16" t="s">
        <v>10368</v>
      </c>
      <c r="G439" s="16" t="s">
        <v>27</v>
      </c>
      <c r="H439" s="16" t="s">
        <v>10369</v>
      </c>
      <c r="I439" s="17">
        <v>45364</v>
      </c>
    </row>
    <row r="440" spans="1:9" x14ac:dyDescent="0.15">
      <c r="A440" s="16" t="s">
        <v>10375</v>
      </c>
      <c r="B440" s="7" t="s">
        <v>9</v>
      </c>
      <c r="C440" s="16" t="s">
        <v>40</v>
      </c>
      <c r="D440" s="16" t="s">
        <v>41</v>
      </c>
      <c r="E440" s="13" t="str">
        <f>+HYPERLINK("http://trademark.i-assist.jp/data/china/image_1891th/77265836.pdf","77265836")</f>
        <v>77265836</v>
      </c>
      <c r="F440" s="16" t="s">
        <v>10373</v>
      </c>
      <c r="G440" s="16" t="s">
        <v>10372</v>
      </c>
      <c r="H440" s="16" t="s">
        <v>10374</v>
      </c>
      <c r="I440" s="17">
        <v>45364</v>
      </c>
    </row>
    <row r="441" spans="1:9" x14ac:dyDescent="0.15">
      <c r="A441" s="16" t="s">
        <v>10380</v>
      </c>
      <c r="B441" s="7" t="s">
        <v>9</v>
      </c>
      <c r="C441" s="16" t="s">
        <v>40</v>
      </c>
      <c r="D441" s="16" t="s">
        <v>41</v>
      </c>
      <c r="E441" s="13" t="str">
        <f>+HYPERLINK("http://trademark.i-assist.jp/data/china/image_1891th/77266391.pdf","77266391")</f>
        <v>77266391</v>
      </c>
      <c r="F441" s="16" t="s">
        <v>10378</v>
      </c>
      <c r="G441" s="16" t="s">
        <v>10377</v>
      </c>
      <c r="H441" s="16" t="s">
        <v>10379</v>
      </c>
      <c r="I441" s="17">
        <v>45364</v>
      </c>
    </row>
    <row r="442" spans="1:9" x14ac:dyDescent="0.15">
      <c r="A442" s="16" t="s">
        <v>10385</v>
      </c>
      <c r="B442" s="7" t="s">
        <v>9</v>
      </c>
      <c r="C442" s="16" t="s">
        <v>40</v>
      </c>
      <c r="D442" s="16" t="s">
        <v>41</v>
      </c>
      <c r="E442" s="13" t="str">
        <f>+HYPERLINK("http://trademark.i-assist.jp/data/china/image_1891th/77266855.pdf","77266855")</f>
        <v>77266855</v>
      </c>
      <c r="F442" s="16" t="s">
        <v>10383</v>
      </c>
      <c r="G442" s="16" t="s">
        <v>10382</v>
      </c>
      <c r="H442" s="16" t="s">
        <v>10384</v>
      </c>
      <c r="I442" s="17">
        <v>45364</v>
      </c>
    </row>
    <row r="443" spans="1:9" x14ac:dyDescent="0.15">
      <c r="A443" s="16" t="s">
        <v>10390</v>
      </c>
      <c r="B443" s="7" t="s">
        <v>9</v>
      </c>
      <c r="C443" s="16" t="s">
        <v>40</v>
      </c>
      <c r="D443" s="16" t="s">
        <v>41</v>
      </c>
      <c r="E443" s="13" t="str">
        <f>+HYPERLINK("http://trademark.i-assist.jp/data/china/image_1891th/77267297.pdf","77267297")</f>
        <v>77267297</v>
      </c>
      <c r="F443" s="16" t="s">
        <v>10388</v>
      </c>
      <c r="G443" s="16" t="s">
        <v>10387</v>
      </c>
      <c r="H443" s="16" t="s">
        <v>10389</v>
      </c>
      <c r="I443" s="17">
        <v>45364</v>
      </c>
    </row>
    <row r="444" spans="1:9" x14ac:dyDescent="0.15">
      <c r="A444" s="16" t="s">
        <v>10395</v>
      </c>
      <c r="B444" s="7" t="s">
        <v>9</v>
      </c>
      <c r="C444" s="16" t="s">
        <v>40</v>
      </c>
      <c r="D444" s="16" t="s">
        <v>41</v>
      </c>
      <c r="E444" s="13" t="str">
        <f>+HYPERLINK("http://trademark.i-assist.jp/data/china/image_1891th/77267303.pdf","77267303")</f>
        <v>77267303</v>
      </c>
      <c r="F444" s="16" t="s">
        <v>10393</v>
      </c>
      <c r="G444" s="16" t="s">
        <v>10392</v>
      </c>
      <c r="H444" s="16" t="s">
        <v>10394</v>
      </c>
      <c r="I444" s="17">
        <v>45364</v>
      </c>
    </row>
    <row r="445" spans="1:9" x14ac:dyDescent="0.15">
      <c r="A445" s="16" t="s">
        <v>10400</v>
      </c>
      <c r="B445" s="7" t="s">
        <v>9</v>
      </c>
      <c r="C445" s="16" t="s">
        <v>40</v>
      </c>
      <c r="D445" s="16" t="s">
        <v>41</v>
      </c>
      <c r="E445" s="13" t="str">
        <f>+HYPERLINK("http://trademark.i-assist.jp/data/china/image_1891th/77268698.pdf","77268698")</f>
        <v>77268698</v>
      </c>
      <c r="F445" s="16" t="s">
        <v>10398</v>
      </c>
      <c r="G445" s="16" t="s">
        <v>10397</v>
      </c>
      <c r="H445" s="16" t="s">
        <v>10399</v>
      </c>
      <c r="I445" s="17">
        <v>45364</v>
      </c>
    </row>
    <row r="446" spans="1:9" x14ac:dyDescent="0.15">
      <c r="A446" s="16" t="s">
        <v>10405</v>
      </c>
      <c r="B446" s="7" t="s">
        <v>9</v>
      </c>
      <c r="C446" s="16" t="s">
        <v>40</v>
      </c>
      <c r="D446" s="16" t="s">
        <v>41</v>
      </c>
      <c r="E446" s="13" t="str">
        <f>+HYPERLINK("http://trademark.i-assist.jp/data/china/image_1891th/77268787.pdf","77268787")</f>
        <v>77268787</v>
      </c>
      <c r="F446" s="16" t="s">
        <v>10403</v>
      </c>
      <c r="G446" s="16" t="s">
        <v>10402</v>
      </c>
      <c r="H446" s="16" t="s">
        <v>10404</v>
      </c>
      <c r="I446" s="17">
        <v>45364</v>
      </c>
    </row>
    <row r="447" spans="1:9" x14ac:dyDescent="0.15">
      <c r="A447" s="16" t="s">
        <v>10409</v>
      </c>
      <c r="B447" s="7" t="s">
        <v>9</v>
      </c>
      <c r="C447" s="16" t="s">
        <v>40</v>
      </c>
      <c r="D447" s="16" t="s">
        <v>41</v>
      </c>
      <c r="E447" s="13" t="str">
        <f>+HYPERLINK("http://trademark.i-assist.jp/data/china/image_1891th/77269445.pdf","77269445")</f>
        <v>77269445</v>
      </c>
      <c r="F447" s="16" t="s">
        <v>10407</v>
      </c>
      <c r="G447" s="16" t="s">
        <v>28</v>
      </c>
      <c r="H447" s="16" t="s">
        <v>10408</v>
      </c>
      <c r="I447" s="17">
        <v>45364</v>
      </c>
    </row>
    <row r="448" spans="1:9" x14ac:dyDescent="0.15">
      <c r="A448" s="16" t="s">
        <v>10413</v>
      </c>
      <c r="B448" s="7" t="s">
        <v>9</v>
      </c>
      <c r="C448" s="16" t="s">
        <v>40</v>
      </c>
      <c r="D448" s="16" t="s">
        <v>41</v>
      </c>
      <c r="E448" s="13" t="str">
        <f>+HYPERLINK("http://trademark.i-assist.jp/data/china/image_1891th/77270371.pdf","77270371")</f>
        <v>77270371</v>
      </c>
      <c r="F448" s="16" t="s">
        <v>10411</v>
      </c>
      <c r="G448" s="16" t="s">
        <v>5577</v>
      </c>
      <c r="H448" s="16" t="s">
        <v>10412</v>
      </c>
      <c r="I448" s="17">
        <v>45364</v>
      </c>
    </row>
    <row r="449" spans="1:9" x14ac:dyDescent="0.15">
      <c r="A449" s="16" t="s">
        <v>10418</v>
      </c>
      <c r="B449" s="7" t="s">
        <v>9</v>
      </c>
      <c r="C449" s="16" t="s">
        <v>40</v>
      </c>
      <c r="D449" s="16" t="s">
        <v>41</v>
      </c>
      <c r="E449" s="13" t="str">
        <f>+HYPERLINK("http://trademark.i-assist.jp/data/china/image_1891th/77271658.pdf","77271658")</f>
        <v>77271658</v>
      </c>
      <c r="F449" s="16" t="s">
        <v>10416</v>
      </c>
      <c r="G449" s="16" t="s">
        <v>10415</v>
      </c>
      <c r="H449" s="16" t="s">
        <v>10417</v>
      </c>
      <c r="I449" s="17">
        <v>45364</v>
      </c>
    </row>
    <row r="450" spans="1:9" x14ac:dyDescent="0.15">
      <c r="A450" s="16" t="s">
        <v>10423</v>
      </c>
      <c r="B450" s="7" t="s">
        <v>9</v>
      </c>
      <c r="C450" s="16" t="s">
        <v>40</v>
      </c>
      <c r="D450" s="16" t="s">
        <v>41</v>
      </c>
      <c r="E450" s="13" t="str">
        <f>+HYPERLINK("http://trademark.i-assist.jp/data/china/image_1891th/77275008.pdf","77275008")</f>
        <v>77275008</v>
      </c>
      <c r="F450" s="16" t="s">
        <v>10421</v>
      </c>
      <c r="G450" s="16" t="s">
        <v>10420</v>
      </c>
      <c r="H450" s="16" t="s">
        <v>10422</v>
      </c>
      <c r="I450" s="17">
        <v>45364</v>
      </c>
    </row>
    <row r="451" spans="1:9" x14ac:dyDescent="0.15">
      <c r="A451" s="16" t="s">
        <v>10428</v>
      </c>
      <c r="B451" s="7" t="s">
        <v>9</v>
      </c>
      <c r="C451" s="16" t="s">
        <v>40</v>
      </c>
      <c r="D451" s="16" t="s">
        <v>41</v>
      </c>
      <c r="E451" s="13" t="str">
        <f>+HYPERLINK("http://trademark.i-assist.jp/data/china/image_1891th/77275131.pdf","77275131")</f>
        <v>77275131</v>
      </c>
      <c r="F451" s="16" t="s">
        <v>10426</v>
      </c>
      <c r="G451" s="16" t="s">
        <v>10425</v>
      </c>
      <c r="H451" s="16" t="s">
        <v>10427</v>
      </c>
      <c r="I451" s="17">
        <v>45364</v>
      </c>
    </row>
    <row r="452" spans="1:9" x14ac:dyDescent="0.15">
      <c r="A452" s="16" t="s">
        <v>10433</v>
      </c>
      <c r="B452" s="7" t="s">
        <v>9</v>
      </c>
      <c r="C452" s="16" t="s">
        <v>40</v>
      </c>
      <c r="D452" s="16" t="s">
        <v>41</v>
      </c>
      <c r="E452" s="13" t="str">
        <f>+HYPERLINK("http://trademark.i-assist.jp/data/china/image_1891th/77275738.pdf","77275738")</f>
        <v>77275738</v>
      </c>
      <c r="F452" s="16" t="s">
        <v>10431</v>
      </c>
      <c r="G452" s="16" t="s">
        <v>10430</v>
      </c>
      <c r="H452" s="16" t="s">
        <v>10432</v>
      </c>
      <c r="I452" s="17">
        <v>45364</v>
      </c>
    </row>
    <row r="453" spans="1:9" x14ac:dyDescent="0.15">
      <c r="A453" s="16" t="s">
        <v>10438</v>
      </c>
      <c r="B453" s="7" t="s">
        <v>9</v>
      </c>
      <c r="C453" s="16" t="s">
        <v>40</v>
      </c>
      <c r="D453" s="16" t="s">
        <v>41</v>
      </c>
      <c r="E453" s="13" t="str">
        <f>+HYPERLINK("http://trademark.i-assist.jp/data/china/image_1891th/77276046.pdf","77276046")</f>
        <v>77276046</v>
      </c>
      <c r="F453" s="16" t="s">
        <v>10436</v>
      </c>
      <c r="G453" s="16" t="s">
        <v>10435</v>
      </c>
      <c r="H453" s="16" t="s">
        <v>10437</v>
      </c>
      <c r="I453" s="17">
        <v>45364</v>
      </c>
    </row>
    <row r="454" spans="1:9" x14ac:dyDescent="0.15">
      <c r="A454" s="16" t="s">
        <v>10442</v>
      </c>
      <c r="B454" s="7" t="s">
        <v>9</v>
      </c>
      <c r="C454" s="16" t="s">
        <v>40</v>
      </c>
      <c r="D454" s="16" t="s">
        <v>41</v>
      </c>
      <c r="E454" s="13" t="str">
        <f>+HYPERLINK("http://trademark.i-assist.jp/data/china/image_1891th/77276417.pdf","77276417")</f>
        <v>77276417</v>
      </c>
      <c r="F454" s="16" t="s">
        <v>10440</v>
      </c>
      <c r="G454" s="16" t="s">
        <v>10415</v>
      </c>
      <c r="H454" s="16" t="s">
        <v>10441</v>
      </c>
      <c r="I454" s="17">
        <v>45364</v>
      </c>
    </row>
    <row r="455" spans="1:9" x14ac:dyDescent="0.15">
      <c r="A455" s="16" t="s">
        <v>10447</v>
      </c>
      <c r="B455" s="7" t="s">
        <v>9</v>
      </c>
      <c r="C455" s="16" t="s">
        <v>40</v>
      </c>
      <c r="D455" s="16" t="s">
        <v>41</v>
      </c>
      <c r="E455" s="13" t="str">
        <f>+HYPERLINK("http://trademark.i-assist.jp/data/china/image_1891th/77276815.pdf","77276815")</f>
        <v>77276815</v>
      </c>
      <c r="F455" s="16" t="s">
        <v>10445</v>
      </c>
      <c r="G455" s="16" t="s">
        <v>11117</v>
      </c>
      <c r="H455" s="16" t="s">
        <v>10446</v>
      </c>
      <c r="I455" s="17">
        <v>45364</v>
      </c>
    </row>
    <row r="456" spans="1:9" x14ac:dyDescent="0.15">
      <c r="A456" s="16" t="s">
        <v>10451</v>
      </c>
      <c r="B456" s="7" t="s">
        <v>9</v>
      </c>
      <c r="C456" s="16" t="s">
        <v>40</v>
      </c>
      <c r="D456" s="16" t="s">
        <v>41</v>
      </c>
      <c r="E456" s="13" t="str">
        <f>+HYPERLINK("http://trademark.i-assist.jp/data/china/image_1891th/77277594.pdf","77277594")</f>
        <v>77277594</v>
      </c>
      <c r="F456" s="16" t="s">
        <v>10449</v>
      </c>
      <c r="G456" s="16" t="s">
        <v>10402</v>
      </c>
      <c r="H456" s="16" t="s">
        <v>10450</v>
      </c>
      <c r="I456" s="17">
        <v>45364</v>
      </c>
    </row>
    <row r="457" spans="1:9" x14ac:dyDescent="0.15">
      <c r="A457" s="16" t="s">
        <v>10455</v>
      </c>
      <c r="B457" s="7" t="s">
        <v>9</v>
      </c>
      <c r="C457" s="16" t="s">
        <v>40</v>
      </c>
      <c r="D457" s="16" t="s">
        <v>41</v>
      </c>
      <c r="E457" s="13" t="str">
        <f>+HYPERLINK("http://trademark.i-assist.jp/data/china/image_1891th/77280360.pdf","77280360")</f>
        <v>77280360</v>
      </c>
      <c r="F457" s="16" t="s">
        <v>10453</v>
      </c>
      <c r="G457" s="16" t="s">
        <v>10415</v>
      </c>
      <c r="H457" s="16" t="s">
        <v>10454</v>
      </c>
      <c r="I457" s="17">
        <v>45364</v>
      </c>
    </row>
    <row r="458" spans="1:9" x14ac:dyDescent="0.15">
      <c r="A458" s="16" t="s">
        <v>10459</v>
      </c>
      <c r="B458" s="7" t="s">
        <v>9</v>
      </c>
      <c r="C458" s="16" t="s">
        <v>40</v>
      </c>
      <c r="D458" s="16" t="s">
        <v>41</v>
      </c>
      <c r="E458" s="13" t="str">
        <f>+HYPERLINK("http://trademark.i-assist.jp/data/china/image_1891th/77280365.pdf","77280365")</f>
        <v>77280365</v>
      </c>
      <c r="F458" s="16" t="s">
        <v>10457</v>
      </c>
      <c r="G458" s="16" t="s">
        <v>10415</v>
      </c>
      <c r="H458" s="16" t="s">
        <v>10458</v>
      </c>
      <c r="I458" s="17">
        <v>45364</v>
      </c>
    </row>
    <row r="459" spans="1:9" x14ac:dyDescent="0.15">
      <c r="A459" s="16" t="s">
        <v>10464</v>
      </c>
      <c r="B459" s="7" t="s">
        <v>9</v>
      </c>
      <c r="C459" s="16" t="s">
        <v>40</v>
      </c>
      <c r="D459" s="16" t="s">
        <v>41</v>
      </c>
      <c r="E459" s="13" t="str">
        <f>+HYPERLINK("http://trademark.i-assist.jp/data/china/image_1891th/77281916.pdf","77281916")</f>
        <v>77281916</v>
      </c>
      <c r="F459" s="16" t="s">
        <v>10462</v>
      </c>
      <c r="G459" s="16" t="s">
        <v>10461</v>
      </c>
      <c r="H459" s="16" t="s">
        <v>10463</v>
      </c>
      <c r="I459" s="17">
        <v>45364</v>
      </c>
    </row>
    <row r="460" spans="1:9" x14ac:dyDescent="0.15">
      <c r="A460" s="16" t="s">
        <v>10469</v>
      </c>
      <c r="B460" s="7" t="s">
        <v>9</v>
      </c>
      <c r="C460" s="16" t="s">
        <v>40</v>
      </c>
      <c r="D460" s="16" t="s">
        <v>41</v>
      </c>
      <c r="E460" s="13" t="str">
        <f>+HYPERLINK("http://trademark.i-assist.jp/data/china/image_1891th/77282832.pdf","77282832")</f>
        <v>77282832</v>
      </c>
      <c r="F460" s="16" t="s">
        <v>10467</v>
      </c>
      <c r="G460" s="16" t="s">
        <v>10466</v>
      </c>
      <c r="H460" s="16" t="s">
        <v>10468</v>
      </c>
      <c r="I460" s="17">
        <v>45364</v>
      </c>
    </row>
    <row r="461" spans="1:9" x14ac:dyDescent="0.15">
      <c r="A461" s="16" t="s">
        <v>10474</v>
      </c>
      <c r="B461" s="7" t="s">
        <v>9</v>
      </c>
      <c r="C461" s="16" t="s">
        <v>40</v>
      </c>
      <c r="D461" s="16" t="s">
        <v>41</v>
      </c>
      <c r="E461" s="13" t="str">
        <f>+HYPERLINK("http://trademark.i-assist.jp/data/china/image_1891th/77282934.pdf","77282934")</f>
        <v>77282934</v>
      </c>
      <c r="F461" s="16" t="s">
        <v>10472</v>
      </c>
      <c r="G461" s="16" t="s">
        <v>10471</v>
      </c>
      <c r="H461" s="16" t="s">
        <v>10473</v>
      </c>
      <c r="I461" s="17">
        <v>45364</v>
      </c>
    </row>
    <row r="462" spans="1:9" x14ac:dyDescent="0.15">
      <c r="A462" s="16" t="s">
        <v>10479</v>
      </c>
      <c r="B462" s="7" t="s">
        <v>9</v>
      </c>
      <c r="C462" s="16" t="s">
        <v>40</v>
      </c>
      <c r="D462" s="16" t="s">
        <v>41</v>
      </c>
      <c r="E462" s="13" t="str">
        <f>+HYPERLINK("http://trademark.i-assist.jp/data/china/image_1891th/77283252.pdf","77283252")</f>
        <v>77283252</v>
      </c>
      <c r="F462" s="16" t="s">
        <v>10477</v>
      </c>
      <c r="G462" s="16" t="s">
        <v>10476</v>
      </c>
      <c r="H462" s="16" t="s">
        <v>10478</v>
      </c>
      <c r="I462" s="17">
        <v>45364</v>
      </c>
    </row>
    <row r="463" spans="1:9" x14ac:dyDescent="0.15">
      <c r="A463" s="16" t="s">
        <v>10484</v>
      </c>
      <c r="B463" s="7" t="s">
        <v>9</v>
      </c>
      <c r="C463" s="16" t="s">
        <v>40</v>
      </c>
      <c r="D463" s="16" t="s">
        <v>41</v>
      </c>
      <c r="E463" s="13" t="str">
        <f>+HYPERLINK("http://trademark.i-assist.jp/data/china/image_1891th/77283548.pdf","77283548")</f>
        <v>77283548</v>
      </c>
      <c r="F463" s="16" t="s">
        <v>10482</v>
      </c>
      <c r="G463" s="16" t="s">
        <v>10481</v>
      </c>
      <c r="H463" s="16" t="s">
        <v>10483</v>
      </c>
      <c r="I463" s="17">
        <v>45364</v>
      </c>
    </row>
    <row r="464" spans="1:9" x14ac:dyDescent="0.15">
      <c r="A464" s="16" t="s">
        <v>10489</v>
      </c>
      <c r="B464" s="7" t="s">
        <v>9</v>
      </c>
      <c r="C464" s="16" t="s">
        <v>40</v>
      </c>
      <c r="D464" s="16" t="s">
        <v>41</v>
      </c>
      <c r="E464" s="13" t="str">
        <f>+HYPERLINK("http://trademark.i-assist.jp/data/china/image_1891th/77283616.pdf","77283616")</f>
        <v>77283616</v>
      </c>
      <c r="F464" s="16" t="s">
        <v>10487</v>
      </c>
      <c r="G464" s="16" t="s">
        <v>10486</v>
      </c>
      <c r="H464" s="16" t="s">
        <v>10488</v>
      </c>
      <c r="I464" s="17">
        <v>45364</v>
      </c>
    </row>
    <row r="465" spans="1:9" x14ac:dyDescent="0.15">
      <c r="A465" s="16" t="s">
        <v>10494</v>
      </c>
      <c r="B465" s="7" t="s">
        <v>9</v>
      </c>
      <c r="C465" s="16" t="s">
        <v>40</v>
      </c>
      <c r="D465" s="16" t="s">
        <v>41</v>
      </c>
      <c r="E465" s="13" t="str">
        <f>+HYPERLINK("http://trademark.i-assist.jp/data/china/image_1891th/77283698.pdf","77283698")</f>
        <v>77283698</v>
      </c>
      <c r="F465" s="16" t="s">
        <v>10492</v>
      </c>
      <c r="G465" s="16" t="s">
        <v>10491</v>
      </c>
      <c r="H465" s="16" t="s">
        <v>10493</v>
      </c>
      <c r="I465" s="17">
        <v>45364</v>
      </c>
    </row>
    <row r="466" spans="1:9" x14ac:dyDescent="0.15">
      <c r="A466" s="16" t="s">
        <v>10499</v>
      </c>
      <c r="B466" s="7" t="s">
        <v>9</v>
      </c>
      <c r="C466" s="16" t="s">
        <v>40</v>
      </c>
      <c r="D466" s="16" t="s">
        <v>41</v>
      </c>
      <c r="E466" s="13" t="str">
        <f>+HYPERLINK("http://trademark.i-assist.jp/data/china/image_1891th/77283857.pdf","77283857")</f>
        <v>77283857</v>
      </c>
      <c r="F466" s="16" t="s">
        <v>10497</v>
      </c>
      <c r="G466" s="16" t="s">
        <v>10496</v>
      </c>
      <c r="H466" s="16" t="s">
        <v>10498</v>
      </c>
      <c r="I466" s="17">
        <v>45364</v>
      </c>
    </row>
    <row r="467" spans="1:9" x14ac:dyDescent="0.15">
      <c r="A467" s="16" t="s">
        <v>10504</v>
      </c>
      <c r="B467" s="7" t="s">
        <v>9</v>
      </c>
      <c r="C467" s="16" t="s">
        <v>40</v>
      </c>
      <c r="D467" s="16" t="s">
        <v>41</v>
      </c>
      <c r="E467" s="13" t="str">
        <f>+HYPERLINK("http://trademark.i-assist.jp/data/china/image_1891th/77283902.pdf","77283902")</f>
        <v>77283902</v>
      </c>
      <c r="F467" s="16" t="s">
        <v>10502</v>
      </c>
      <c r="G467" s="16" t="s">
        <v>10501</v>
      </c>
      <c r="H467" s="16" t="s">
        <v>10503</v>
      </c>
      <c r="I467" s="17">
        <v>45364</v>
      </c>
    </row>
    <row r="468" spans="1:9" x14ac:dyDescent="0.15">
      <c r="A468" s="16" t="s">
        <v>10509</v>
      </c>
      <c r="B468" s="7" t="s">
        <v>9</v>
      </c>
      <c r="C468" s="16" t="s">
        <v>40</v>
      </c>
      <c r="D468" s="16" t="s">
        <v>41</v>
      </c>
      <c r="E468" s="13" t="str">
        <f>+HYPERLINK("http://trademark.i-assist.jp/data/china/image_1891th/77284217.pdf","77284217")</f>
        <v>77284217</v>
      </c>
      <c r="F468" s="16" t="s">
        <v>10507</v>
      </c>
      <c r="G468" s="16" t="s">
        <v>10506</v>
      </c>
      <c r="H468" s="16" t="s">
        <v>10508</v>
      </c>
      <c r="I468" s="17">
        <v>45364</v>
      </c>
    </row>
    <row r="469" spans="1:9" x14ac:dyDescent="0.15">
      <c r="A469" s="16" t="s">
        <v>10514</v>
      </c>
      <c r="B469" s="7" t="s">
        <v>9</v>
      </c>
      <c r="C469" s="16" t="s">
        <v>40</v>
      </c>
      <c r="D469" s="16" t="s">
        <v>41</v>
      </c>
      <c r="E469" s="13" t="str">
        <f>+HYPERLINK("http://trademark.i-assist.jp/data/china/image_1891th/77284586.pdf","77284586")</f>
        <v>77284586</v>
      </c>
      <c r="F469" s="16" t="s">
        <v>10512</v>
      </c>
      <c r="G469" s="16" t="s">
        <v>10511</v>
      </c>
      <c r="H469" s="16" t="s">
        <v>10513</v>
      </c>
      <c r="I469" s="17">
        <v>45364</v>
      </c>
    </row>
    <row r="470" spans="1:9" x14ac:dyDescent="0.15">
      <c r="A470" s="16" t="s">
        <v>10518</v>
      </c>
      <c r="B470" s="7" t="s">
        <v>9</v>
      </c>
      <c r="C470" s="16" t="s">
        <v>40</v>
      </c>
      <c r="D470" s="16" t="s">
        <v>41</v>
      </c>
      <c r="E470" s="13" t="str">
        <f>+HYPERLINK("http://trademark.i-assist.jp/data/china/image_1891th/77285523.pdf","77285523")</f>
        <v>77285523</v>
      </c>
      <c r="F470" s="16" t="s">
        <v>10516</v>
      </c>
      <c r="G470" s="16" t="s">
        <v>10415</v>
      </c>
      <c r="H470" s="16" t="s">
        <v>10517</v>
      </c>
      <c r="I470" s="17">
        <v>45364</v>
      </c>
    </row>
    <row r="471" spans="1:9" x14ac:dyDescent="0.15">
      <c r="A471" s="16" t="s">
        <v>10523</v>
      </c>
      <c r="B471" s="7" t="s">
        <v>9</v>
      </c>
      <c r="C471" s="16" t="s">
        <v>40</v>
      </c>
      <c r="D471" s="16" t="s">
        <v>41</v>
      </c>
      <c r="E471" s="13" t="str">
        <f>+HYPERLINK("http://trademark.i-assist.jp/data/china/image_1891th/77287467.pdf","77287467")</f>
        <v>77287467</v>
      </c>
      <c r="F471" s="16" t="s">
        <v>10521</v>
      </c>
      <c r="G471" s="16" t="s">
        <v>10520</v>
      </c>
      <c r="H471" s="16" t="s">
        <v>10522</v>
      </c>
      <c r="I471" s="17">
        <v>45364</v>
      </c>
    </row>
    <row r="472" spans="1:9" x14ac:dyDescent="0.15">
      <c r="A472" s="16" t="s">
        <v>10528</v>
      </c>
      <c r="B472" s="7" t="s">
        <v>9</v>
      </c>
      <c r="C472" s="16" t="s">
        <v>40</v>
      </c>
      <c r="D472" s="16" t="s">
        <v>41</v>
      </c>
      <c r="E472" s="13" t="str">
        <f>+HYPERLINK("http://trademark.i-assist.jp/data/china/image_1891th/77288025.pdf","77288025")</f>
        <v>77288025</v>
      </c>
      <c r="F472" s="16" t="s">
        <v>10526</v>
      </c>
      <c r="G472" s="16" t="s">
        <v>10525</v>
      </c>
      <c r="H472" s="16" t="s">
        <v>10527</v>
      </c>
      <c r="I472" s="17">
        <v>45364</v>
      </c>
    </row>
    <row r="473" spans="1:9" x14ac:dyDescent="0.15">
      <c r="A473" s="16" t="s">
        <v>10533</v>
      </c>
      <c r="B473" s="7" t="s">
        <v>9</v>
      </c>
      <c r="C473" s="16" t="s">
        <v>40</v>
      </c>
      <c r="D473" s="16" t="s">
        <v>41</v>
      </c>
      <c r="E473" s="13" t="str">
        <f>+HYPERLINK("http://trademark.i-assist.jp/data/china/image_1891th/77289566.pdf","77289566")</f>
        <v>77289566</v>
      </c>
      <c r="F473" s="16" t="s">
        <v>10531</v>
      </c>
      <c r="G473" s="16" t="s">
        <v>10530</v>
      </c>
      <c r="H473" s="16" t="s">
        <v>10532</v>
      </c>
      <c r="I473" s="17">
        <v>45364</v>
      </c>
    </row>
    <row r="474" spans="1:9" x14ac:dyDescent="0.15">
      <c r="A474" s="16" t="s">
        <v>10538</v>
      </c>
      <c r="B474" s="7" t="s">
        <v>9</v>
      </c>
      <c r="C474" s="16" t="s">
        <v>40</v>
      </c>
      <c r="D474" s="16" t="s">
        <v>41</v>
      </c>
      <c r="E474" s="13" t="str">
        <f>+HYPERLINK("http://trademark.i-assist.jp/data/china/image_1891th/77289928.pdf","77289928")</f>
        <v>77289928</v>
      </c>
      <c r="F474" s="16" t="s">
        <v>10536</v>
      </c>
      <c r="G474" s="16" t="s">
        <v>10535</v>
      </c>
      <c r="H474" s="16" t="s">
        <v>10537</v>
      </c>
      <c r="I474" s="17">
        <v>45364</v>
      </c>
    </row>
    <row r="475" spans="1:9" x14ac:dyDescent="0.15">
      <c r="A475" s="16" t="s">
        <v>10542</v>
      </c>
      <c r="B475" s="7" t="s">
        <v>9</v>
      </c>
      <c r="C475" s="16" t="s">
        <v>40</v>
      </c>
      <c r="D475" s="16" t="s">
        <v>41</v>
      </c>
      <c r="E475" s="13" t="str">
        <f>+HYPERLINK("http://trademark.i-assist.jp/data/china/image_1891th/77290498.pdf","77290498")</f>
        <v>77290498</v>
      </c>
      <c r="F475" s="16" t="s">
        <v>3767</v>
      </c>
      <c r="G475" s="16" t="s">
        <v>3766</v>
      </c>
      <c r="H475" s="16" t="s">
        <v>10540</v>
      </c>
      <c r="I475" s="17">
        <v>45365</v>
      </c>
    </row>
    <row r="476" spans="1:9" x14ac:dyDescent="0.15">
      <c r="A476" s="16" t="s">
        <v>10547</v>
      </c>
      <c r="B476" s="7" t="s">
        <v>9</v>
      </c>
      <c r="C476" s="16" t="s">
        <v>40</v>
      </c>
      <c r="D476" s="16" t="s">
        <v>41</v>
      </c>
      <c r="E476" s="13" t="str">
        <f>+HYPERLINK("http://trademark.i-assist.jp/data/china/image_1891th/77290951.pdf","77290951")</f>
        <v>77290951</v>
      </c>
      <c r="F476" s="16" t="s">
        <v>10545</v>
      </c>
      <c r="G476" s="16" t="s">
        <v>10544</v>
      </c>
      <c r="H476" s="16" t="s">
        <v>10546</v>
      </c>
      <c r="I476" s="17">
        <v>45365</v>
      </c>
    </row>
    <row r="477" spans="1:9" x14ac:dyDescent="0.15">
      <c r="A477" s="16" t="s">
        <v>10552</v>
      </c>
      <c r="B477" s="7" t="s">
        <v>9</v>
      </c>
      <c r="C477" s="16" t="s">
        <v>40</v>
      </c>
      <c r="D477" s="16" t="s">
        <v>41</v>
      </c>
      <c r="E477" s="13" t="str">
        <f>+HYPERLINK("http://trademark.i-assist.jp/data/china/image_1891th/77291490.pdf","77291490")</f>
        <v>77291490</v>
      </c>
      <c r="F477" s="16" t="s">
        <v>10550</v>
      </c>
      <c r="G477" s="16" t="s">
        <v>10549</v>
      </c>
      <c r="H477" s="16" t="s">
        <v>10551</v>
      </c>
      <c r="I477" s="17">
        <v>45365</v>
      </c>
    </row>
    <row r="478" spans="1:9" x14ac:dyDescent="0.15">
      <c r="A478" s="16" t="s">
        <v>10557</v>
      </c>
      <c r="B478" s="7" t="s">
        <v>9</v>
      </c>
      <c r="C478" s="16" t="s">
        <v>40</v>
      </c>
      <c r="D478" s="16" t="s">
        <v>41</v>
      </c>
      <c r="E478" s="13" t="str">
        <f>+HYPERLINK("http://trademark.i-assist.jp/data/china/image_1891th/77293033.pdf","77293033")</f>
        <v>77293033</v>
      </c>
      <c r="F478" s="16" t="s">
        <v>10555</v>
      </c>
      <c r="G478" s="16" t="s">
        <v>10554</v>
      </c>
      <c r="H478" s="16" t="s">
        <v>10556</v>
      </c>
      <c r="I478" s="17">
        <v>45365</v>
      </c>
    </row>
    <row r="479" spans="1:9" x14ac:dyDescent="0.15">
      <c r="A479" s="16" t="s">
        <v>10562</v>
      </c>
      <c r="B479" s="7" t="s">
        <v>9</v>
      </c>
      <c r="C479" s="16" t="s">
        <v>40</v>
      </c>
      <c r="D479" s="16" t="s">
        <v>41</v>
      </c>
      <c r="E479" s="13" t="str">
        <f>+HYPERLINK("http://trademark.i-assist.jp/data/china/image_1891th/77293378.pdf","77293378")</f>
        <v>77293378</v>
      </c>
      <c r="F479" s="16" t="s">
        <v>10560</v>
      </c>
      <c r="G479" s="16" t="s">
        <v>10559</v>
      </c>
      <c r="H479" s="16" t="s">
        <v>10561</v>
      </c>
      <c r="I479" s="17">
        <v>45365</v>
      </c>
    </row>
    <row r="480" spans="1:9" x14ac:dyDescent="0.15">
      <c r="A480" s="16" t="s">
        <v>10567</v>
      </c>
      <c r="B480" s="7" t="s">
        <v>9</v>
      </c>
      <c r="C480" s="16" t="s">
        <v>40</v>
      </c>
      <c r="D480" s="16" t="s">
        <v>41</v>
      </c>
      <c r="E480" s="13" t="str">
        <f>+HYPERLINK("http://trademark.i-assist.jp/data/china/image_1891th/77294953.pdf","77294953")</f>
        <v>77294953</v>
      </c>
      <c r="F480" s="16" t="s">
        <v>10565</v>
      </c>
      <c r="G480" s="16" t="s">
        <v>10564</v>
      </c>
      <c r="H480" s="16" t="s">
        <v>10566</v>
      </c>
      <c r="I480" s="17">
        <v>45365</v>
      </c>
    </row>
    <row r="481" spans="1:9" x14ac:dyDescent="0.15">
      <c r="A481" s="16" t="s">
        <v>10572</v>
      </c>
      <c r="B481" s="7" t="s">
        <v>9</v>
      </c>
      <c r="C481" s="16" t="s">
        <v>40</v>
      </c>
      <c r="D481" s="16" t="s">
        <v>41</v>
      </c>
      <c r="E481" s="13" t="str">
        <f>+HYPERLINK("http://trademark.i-assist.jp/data/china/image_1891th/77296742.pdf","77296742")</f>
        <v>77296742</v>
      </c>
      <c r="F481" s="16" t="s">
        <v>10570</v>
      </c>
      <c r="G481" s="16" t="s">
        <v>10569</v>
      </c>
      <c r="H481" s="16" t="s">
        <v>10571</v>
      </c>
      <c r="I481" s="17">
        <v>45365</v>
      </c>
    </row>
    <row r="482" spans="1:9" x14ac:dyDescent="0.15">
      <c r="A482" s="16" t="s">
        <v>10577</v>
      </c>
      <c r="B482" s="7" t="s">
        <v>9</v>
      </c>
      <c r="C482" s="16" t="s">
        <v>40</v>
      </c>
      <c r="D482" s="16" t="s">
        <v>41</v>
      </c>
      <c r="E482" s="13" t="str">
        <f>+HYPERLINK("http://trademark.i-assist.jp/data/china/image_1891th/77297666.pdf","77297666")</f>
        <v>77297666</v>
      </c>
      <c r="F482" s="16" t="s">
        <v>10575</v>
      </c>
      <c r="G482" s="16" t="s">
        <v>10574</v>
      </c>
      <c r="H482" s="16" t="s">
        <v>10576</v>
      </c>
      <c r="I482" s="17">
        <v>45365</v>
      </c>
    </row>
    <row r="483" spans="1:9" x14ac:dyDescent="0.15">
      <c r="A483" s="16" t="s">
        <v>10582</v>
      </c>
      <c r="B483" s="7" t="s">
        <v>9</v>
      </c>
      <c r="C483" s="16" t="s">
        <v>40</v>
      </c>
      <c r="D483" s="16" t="s">
        <v>41</v>
      </c>
      <c r="E483" s="13" t="str">
        <f>+HYPERLINK("http://trademark.i-assist.jp/data/china/image_1891th/77301065.pdf","77301065")</f>
        <v>77301065</v>
      </c>
      <c r="F483" s="16" t="s">
        <v>10580</v>
      </c>
      <c r="G483" s="16" t="s">
        <v>10579</v>
      </c>
      <c r="H483" s="16" t="s">
        <v>10581</v>
      </c>
      <c r="I483" s="17">
        <v>45365</v>
      </c>
    </row>
    <row r="484" spans="1:9" x14ac:dyDescent="0.15">
      <c r="A484" s="16" t="s">
        <v>10586</v>
      </c>
      <c r="B484" s="7" t="s">
        <v>9</v>
      </c>
      <c r="C484" s="16" t="s">
        <v>40</v>
      </c>
      <c r="D484" s="16" t="s">
        <v>41</v>
      </c>
      <c r="E484" s="13" t="str">
        <f>+HYPERLINK("http://trademark.i-assist.jp/data/china/image_1891th/77301564.pdf","77301564")</f>
        <v>77301564</v>
      </c>
      <c r="F484" s="16" t="s">
        <v>10584</v>
      </c>
      <c r="G484" s="16" t="s">
        <v>3640</v>
      </c>
      <c r="H484" s="16" t="s">
        <v>10585</v>
      </c>
      <c r="I484" s="17">
        <v>45365</v>
      </c>
    </row>
    <row r="485" spans="1:9" x14ac:dyDescent="0.15">
      <c r="A485" s="16" t="s">
        <v>10591</v>
      </c>
      <c r="B485" s="7" t="s">
        <v>9</v>
      </c>
      <c r="C485" s="16" t="s">
        <v>40</v>
      </c>
      <c r="D485" s="16" t="s">
        <v>41</v>
      </c>
      <c r="E485" s="13" t="str">
        <f>+HYPERLINK("http://trademark.i-assist.jp/data/china/image_1891th/77301742.pdf","77301742")</f>
        <v>77301742</v>
      </c>
      <c r="F485" s="16" t="s">
        <v>10589</v>
      </c>
      <c r="G485" s="16" t="s">
        <v>10588</v>
      </c>
      <c r="H485" s="16" t="s">
        <v>10590</v>
      </c>
      <c r="I485" s="17">
        <v>45365</v>
      </c>
    </row>
    <row r="486" spans="1:9" x14ac:dyDescent="0.15">
      <c r="A486" s="16" t="s">
        <v>10596</v>
      </c>
      <c r="B486" s="7" t="s">
        <v>9</v>
      </c>
      <c r="C486" s="16" t="s">
        <v>40</v>
      </c>
      <c r="D486" s="16" t="s">
        <v>41</v>
      </c>
      <c r="E486" s="13" t="str">
        <f>+HYPERLINK("http://trademark.i-assist.jp/data/china/image_1891th/77304119.pdf","77304119")</f>
        <v>77304119</v>
      </c>
      <c r="F486" s="16" t="s">
        <v>10594</v>
      </c>
      <c r="G486" s="16" t="s">
        <v>10593</v>
      </c>
      <c r="H486" s="16" t="s">
        <v>10595</v>
      </c>
      <c r="I486" s="17">
        <v>45365</v>
      </c>
    </row>
    <row r="487" spans="1:9" x14ac:dyDescent="0.15">
      <c r="A487" s="16" t="s">
        <v>10601</v>
      </c>
      <c r="B487" s="7" t="s">
        <v>9</v>
      </c>
      <c r="C487" s="16" t="s">
        <v>40</v>
      </c>
      <c r="D487" s="16" t="s">
        <v>41</v>
      </c>
      <c r="E487" s="13" t="str">
        <f>+HYPERLINK("http://trademark.i-assist.jp/data/china/image_1891th/77304715.pdf","77304715")</f>
        <v>77304715</v>
      </c>
      <c r="F487" s="16" t="s">
        <v>10599</v>
      </c>
      <c r="G487" s="16" t="s">
        <v>10598</v>
      </c>
      <c r="H487" s="16" t="s">
        <v>10600</v>
      </c>
      <c r="I487" s="17">
        <v>45365</v>
      </c>
    </row>
    <row r="488" spans="1:9" x14ac:dyDescent="0.15">
      <c r="A488" s="16" t="s">
        <v>10605</v>
      </c>
      <c r="B488" s="7" t="s">
        <v>9</v>
      </c>
      <c r="C488" s="16" t="s">
        <v>40</v>
      </c>
      <c r="D488" s="16" t="s">
        <v>41</v>
      </c>
      <c r="E488" s="13" t="str">
        <f>+HYPERLINK("http://trademark.i-assist.jp/data/china/image_1891th/77305608.pdf","77305608")</f>
        <v>77305608</v>
      </c>
      <c r="F488" s="16" t="s">
        <v>52</v>
      </c>
      <c r="G488" s="16" t="s">
        <v>10603</v>
      </c>
      <c r="H488" s="16" t="s">
        <v>10604</v>
      </c>
      <c r="I488" s="17">
        <v>45365</v>
      </c>
    </row>
    <row r="489" spans="1:9" x14ac:dyDescent="0.15">
      <c r="A489" s="16" t="s">
        <v>10610</v>
      </c>
      <c r="B489" s="7" t="s">
        <v>9</v>
      </c>
      <c r="C489" s="16" t="s">
        <v>40</v>
      </c>
      <c r="D489" s="16" t="s">
        <v>41</v>
      </c>
      <c r="E489" s="13" t="str">
        <f>+HYPERLINK("http://trademark.i-assist.jp/data/china/image_1891th/77306794.pdf","77306794")</f>
        <v>77306794</v>
      </c>
      <c r="F489" s="16" t="s">
        <v>10608</v>
      </c>
      <c r="G489" s="16" t="s">
        <v>10607</v>
      </c>
      <c r="H489" s="16" t="s">
        <v>10609</v>
      </c>
      <c r="I489" s="17">
        <v>45365</v>
      </c>
    </row>
    <row r="490" spans="1:9" x14ac:dyDescent="0.15">
      <c r="A490" s="16" t="s">
        <v>10614</v>
      </c>
      <c r="B490" s="7" t="s">
        <v>9</v>
      </c>
      <c r="C490" s="16" t="s">
        <v>40</v>
      </c>
      <c r="D490" s="16" t="s">
        <v>41</v>
      </c>
      <c r="E490" s="13" t="str">
        <f>+HYPERLINK("http://trademark.i-assist.jp/data/china/image_1891th/77307183.pdf","77307183")</f>
        <v>77307183</v>
      </c>
      <c r="F490" s="16" t="s">
        <v>10612</v>
      </c>
      <c r="G490" s="16" t="s">
        <v>10158</v>
      </c>
      <c r="H490" s="16" t="s">
        <v>10613</v>
      </c>
      <c r="I490" s="17">
        <v>45365</v>
      </c>
    </row>
    <row r="491" spans="1:9" x14ac:dyDescent="0.15">
      <c r="A491" s="16" t="s">
        <v>10619</v>
      </c>
      <c r="B491" s="7" t="s">
        <v>9</v>
      </c>
      <c r="C491" s="16" t="s">
        <v>40</v>
      </c>
      <c r="D491" s="16" t="s">
        <v>41</v>
      </c>
      <c r="E491" s="13" t="str">
        <f>+HYPERLINK("http://trademark.i-assist.jp/data/china/image_1891th/77307771.pdf","77307771")</f>
        <v>77307771</v>
      </c>
      <c r="F491" s="16" t="s">
        <v>10617</v>
      </c>
      <c r="G491" s="16" t="s">
        <v>10616</v>
      </c>
      <c r="H491" s="16" t="s">
        <v>10618</v>
      </c>
      <c r="I491" s="17">
        <v>45365</v>
      </c>
    </row>
    <row r="492" spans="1:9" x14ac:dyDescent="0.15">
      <c r="A492" s="16" t="s">
        <v>10624</v>
      </c>
      <c r="B492" s="7" t="s">
        <v>9</v>
      </c>
      <c r="C492" s="16" t="s">
        <v>40</v>
      </c>
      <c r="D492" s="16" t="s">
        <v>41</v>
      </c>
      <c r="E492" s="13" t="str">
        <f>+HYPERLINK("http://trademark.i-assist.jp/data/china/image_1891th/77308436.pdf","77308436")</f>
        <v>77308436</v>
      </c>
      <c r="F492" s="16" t="s">
        <v>10622</v>
      </c>
      <c r="G492" s="16" t="s">
        <v>10621</v>
      </c>
      <c r="H492" s="16" t="s">
        <v>10623</v>
      </c>
      <c r="I492" s="17">
        <v>45365</v>
      </c>
    </row>
    <row r="493" spans="1:9" x14ac:dyDescent="0.15">
      <c r="A493" s="16" t="s">
        <v>10629</v>
      </c>
      <c r="B493" s="7" t="s">
        <v>9</v>
      </c>
      <c r="C493" s="16" t="s">
        <v>40</v>
      </c>
      <c r="D493" s="16" t="s">
        <v>41</v>
      </c>
      <c r="E493" s="13" t="str">
        <f>+HYPERLINK("http://trademark.i-assist.jp/data/china/image_1891th/77308588.pdf","77308588")</f>
        <v>77308588</v>
      </c>
      <c r="F493" s="16" t="s">
        <v>10627</v>
      </c>
      <c r="G493" s="16" t="s">
        <v>10626</v>
      </c>
      <c r="H493" s="16" t="s">
        <v>10628</v>
      </c>
      <c r="I493" s="17">
        <v>45365</v>
      </c>
    </row>
    <row r="494" spans="1:9" x14ac:dyDescent="0.15">
      <c r="A494" s="16" t="s">
        <v>10633</v>
      </c>
      <c r="B494" s="7" t="s">
        <v>9</v>
      </c>
      <c r="C494" s="16" t="s">
        <v>40</v>
      </c>
      <c r="D494" s="16" t="s">
        <v>41</v>
      </c>
      <c r="E494" s="13" t="str">
        <f>+HYPERLINK("http://trademark.i-assist.jp/data/china/image_1891th/77309480.pdf","77309480")</f>
        <v>77309480</v>
      </c>
      <c r="F494" s="16" t="s">
        <v>10631</v>
      </c>
      <c r="G494" s="16" t="s">
        <v>10544</v>
      </c>
      <c r="H494" s="16" t="s">
        <v>10632</v>
      </c>
      <c r="I494" s="17">
        <v>45365</v>
      </c>
    </row>
    <row r="495" spans="1:9" x14ac:dyDescent="0.15">
      <c r="A495" s="16" t="s">
        <v>10638</v>
      </c>
      <c r="B495" s="7" t="s">
        <v>9</v>
      </c>
      <c r="C495" s="16" t="s">
        <v>40</v>
      </c>
      <c r="D495" s="16" t="s">
        <v>41</v>
      </c>
      <c r="E495" s="13" t="str">
        <f>+HYPERLINK("http://trademark.i-assist.jp/data/china/image_1891th/77309912.pdf","77309912")</f>
        <v>77309912</v>
      </c>
      <c r="F495" s="16" t="s">
        <v>10636</v>
      </c>
      <c r="G495" s="16" t="s">
        <v>10635</v>
      </c>
      <c r="H495" s="16" t="s">
        <v>10637</v>
      </c>
      <c r="I495" s="17">
        <v>45365</v>
      </c>
    </row>
    <row r="496" spans="1:9" x14ac:dyDescent="0.15">
      <c r="A496" s="16" t="s">
        <v>10643</v>
      </c>
      <c r="B496" s="7" t="s">
        <v>9</v>
      </c>
      <c r="C496" s="16" t="s">
        <v>40</v>
      </c>
      <c r="D496" s="16" t="s">
        <v>41</v>
      </c>
      <c r="E496" s="13" t="str">
        <f>+HYPERLINK("http://trademark.i-assist.jp/data/china/image_1891th/77310066.pdf","77310066")</f>
        <v>77310066</v>
      </c>
      <c r="F496" s="16" t="s">
        <v>10641</v>
      </c>
      <c r="G496" s="16" t="s">
        <v>10640</v>
      </c>
      <c r="H496" s="16" t="s">
        <v>10642</v>
      </c>
      <c r="I496" s="17">
        <v>45365</v>
      </c>
    </row>
    <row r="497" spans="1:9" x14ac:dyDescent="0.15">
      <c r="A497" s="16" t="s">
        <v>10648</v>
      </c>
      <c r="B497" s="7" t="s">
        <v>9</v>
      </c>
      <c r="C497" s="16" t="s">
        <v>40</v>
      </c>
      <c r="D497" s="16" t="s">
        <v>41</v>
      </c>
      <c r="E497" s="13" t="str">
        <f>+HYPERLINK("http://trademark.i-assist.jp/data/china/image_1891th/77310319.pdf","77310319")</f>
        <v>77310319</v>
      </c>
      <c r="F497" s="16" t="s">
        <v>10646</v>
      </c>
      <c r="G497" s="16" t="s">
        <v>10645</v>
      </c>
      <c r="H497" s="16" t="s">
        <v>10647</v>
      </c>
      <c r="I497" s="17">
        <v>45365</v>
      </c>
    </row>
    <row r="498" spans="1:9" x14ac:dyDescent="0.15">
      <c r="A498" s="16" t="s">
        <v>10653</v>
      </c>
      <c r="B498" s="7" t="s">
        <v>9</v>
      </c>
      <c r="C498" s="16" t="s">
        <v>40</v>
      </c>
      <c r="D498" s="16" t="s">
        <v>41</v>
      </c>
      <c r="E498" s="13" t="str">
        <f>+HYPERLINK("http://trademark.i-assist.jp/data/china/image_1891th/77310890.pdf","77310890")</f>
        <v>77310890</v>
      </c>
      <c r="F498" s="16" t="s">
        <v>10651</v>
      </c>
      <c r="G498" s="16" t="s">
        <v>10650</v>
      </c>
      <c r="H498" s="16" t="s">
        <v>10652</v>
      </c>
      <c r="I498" s="17">
        <v>45365</v>
      </c>
    </row>
    <row r="499" spans="1:9" x14ac:dyDescent="0.15">
      <c r="A499" s="16" t="s">
        <v>10657</v>
      </c>
      <c r="B499" s="7" t="s">
        <v>9</v>
      </c>
      <c r="C499" s="16" t="s">
        <v>40</v>
      </c>
      <c r="D499" s="16" t="s">
        <v>41</v>
      </c>
      <c r="E499" s="13" t="str">
        <f>+HYPERLINK("http://trademark.i-assist.jp/data/china/image_1891th/77313705.pdf","77313705")</f>
        <v>77313705</v>
      </c>
      <c r="F499" s="16" t="s">
        <v>10655</v>
      </c>
      <c r="G499" s="16" t="s">
        <v>10593</v>
      </c>
      <c r="H499" s="16" t="s">
        <v>10656</v>
      </c>
      <c r="I499" s="17">
        <v>45365</v>
      </c>
    </row>
    <row r="500" spans="1:9" x14ac:dyDescent="0.15">
      <c r="A500" s="16" t="s">
        <v>10662</v>
      </c>
      <c r="B500" s="7" t="s">
        <v>9</v>
      </c>
      <c r="C500" s="16" t="s">
        <v>40</v>
      </c>
      <c r="D500" s="16" t="s">
        <v>41</v>
      </c>
      <c r="E500" s="13" t="str">
        <f>+HYPERLINK("http://trademark.i-assist.jp/data/china/image_1891th/77315821.pdf","77315821")</f>
        <v>77315821</v>
      </c>
      <c r="F500" s="16" t="s">
        <v>10660</v>
      </c>
      <c r="G500" s="16" t="s">
        <v>10659</v>
      </c>
      <c r="H500" s="16" t="s">
        <v>10661</v>
      </c>
      <c r="I500" s="17">
        <v>45365</v>
      </c>
    </row>
    <row r="501" spans="1:9" x14ac:dyDescent="0.15">
      <c r="A501" s="16" t="s">
        <v>10667</v>
      </c>
      <c r="B501" s="7" t="s">
        <v>9</v>
      </c>
      <c r="C501" s="16" t="s">
        <v>40</v>
      </c>
      <c r="D501" s="16" t="s">
        <v>41</v>
      </c>
      <c r="E501" s="13" t="str">
        <f>+HYPERLINK("http://trademark.i-assist.jp/data/china/image_1891th/77316171.pdf","77316171")</f>
        <v>77316171</v>
      </c>
      <c r="F501" s="16" t="s">
        <v>10665</v>
      </c>
      <c r="G501" s="16" t="s">
        <v>10664</v>
      </c>
      <c r="H501" s="16" t="s">
        <v>10666</v>
      </c>
      <c r="I501" s="17">
        <v>45365</v>
      </c>
    </row>
    <row r="502" spans="1:9" x14ac:dyDescent="0.15">
      <c r="A502" s="16" t="s">
        <v>10671</v>
      </c>
      <c r="B502" s="7" t="s">
        <v>9</v>
      </c>
      <c r="C502" s="16" t="s">
        <v>40</v>
      </c>
      <c r="D502" s="16" t="s">
        <v>41</v>
      </c>
      <c r="E502" s="13" t="str">
        <f>+HYPERLINK("http://trademark.i-assist.jp/data/china/image_1891th/77316370.pdf","77316370")</f>
        <v>77316370</v>
      </c>
      <c r="F502" s="16" t="s">
        <v>10669</v>
      </c>
      <c r="G502" s="16" t="s">
        <v>10554</v>
      </c>
      <c r="H502" s="16" t="s">
        <v>10670</v>
      </c>
      <c r="I502" s="17">
        <v>45365</v>
      </c>
    </row>
    <row r="503" spans="1:9" x14ac:dyDescent="0.15">
      <c r="A503" s="16" t="s">
        <v>10676</v>
      </c>
      <c r="B503" s="7" t="s">
        <v>9</v>
      </c>
      <c r="C503" s="16" t="s">
        <v>40</v>
      </c>
      <c r="D503" s="16" t="s">
        <v>41</v>
      </c>
      <c r="E503" s="13" t="str">
        <f>+HYPERLINK("http://trademark.i-assist.jp/data/china/image_1891th/77316673.pdf","77316673")</f>
        <v>77316673</v>
      </c>
      <c r="F503" s="16" t="s">
        <v>10674</v>
      </c>
      <c r="G503" s="16" t="s">
        <v>10673</v>
      </c>
      <c r="H503" s="16" t="s">
        <v>10675</v>
      </c>
      <c r="I503" s="17">
        <v>45365</v>
      </c>
    </row>
    <row r="504" spans="1:9" x14ac:dyDescent="0.15">
      <c r="A504" s="16" t="s">
        <v>10681</v>
      </c>
      <c r="B504" s="7" t="s">
        <v>9</v>
      </c>
      <c r="C504" s="16" t="s">
        <v>40</v>
      </c>
      <c r="D504" s="16" t="s">
        <v>41</v>
      </c>
      <c r="E504" s="13" t="str">
        <f>+HYPERLINK("http://trademark.i-assist.jp/data/china/image_1891th/77316797.pdf","77316797")</f>
        <v>77316797</v>
      </c>
      <c r="F504" s="16" t="s">
        <v>10679</v>
      </c>
      <c r="G504" s="16" t="s">
        <v>10678</v>
      </c>
      <c r="H504" s="16" t="s">
        <v>10680</v>
      </c>
      <c r="I504" s="17">
        <v>45365</v>
      </c>
    </row>
    <row r="505" spans="1:9" x14ac:dyDescent="0.15">
      <c r="A505" s="16" t="s">
        <v>10686</v>
      </c>
      <c r="B505" s="7" t="s">
        <v>9</v>
      </c>
      <c r="C505" s="16" t="s">
        <v>40</v>
      </c>
      <c r="D505" s="16" t="s">
        <v>41</v>
      </c>
      <c r="E505" s="13" t="str">
        <f>+HYPERLINK("http://trademark.i-assist.jp/data/china/image_1891th/77317101.pdf","77317101")</f>
        <v>77317101</v>
      </c>
      <c r="F505" s="16" t="s">
        <v>10684</v>
      </c>
      <c r="G505" s="16" t="s">
        <v>10683</v>
      </c>
      <c r="H505" s="16" t="s">
        <v>10685</v>
      </c>
      <c r="I505" s="17">
        <v>45365</v>
      </c>
    </row>
    <row r="506" spans="1:9" x14ac:dyDescent="0.15">
      <c r="A506" s="16" t="s">
        <v>10692</v>
      </c>
      <c r="B506" s="7" t="s">
        <v>9</v>
      </c>
      <c r="C506" s="16" t="s">
        <v>40</v>
      </c>
      <c r="D506" s="16" t="s">
        <v>41</v>
      </c>
      <c r="E506" s="13" t="str">
        <f>+HYPERLINK("http://trademark.i-assist.jp/data/china/image_1891th/77317886.pdf","77317886")</f>
        <v>77317886</v>
      </c>
      <c r="F506" s="16" t="s">
        <v>10689</v>
      </c>
      <c r="G506" s="16" t="s">
        <v>10688</v>
      </c>
      <c r="H506" s="16" t="s">
        <v>10690</v>
      </c>
      <c r="I506" s="17">
        <v>45366</v>
      </c>
    </row>
    <row r="507" spans="1:9" x14ac:dyDescent="0.15">
      <c r="A507" s="16" t="s">
        <v>10696</v>
      </c>
      <c r="B507" s="7" t="s">
        <v>9</v>
      </c>
      <c r="C507" s="16" t="s">
        <v>40</v>
      </c>
      <c r="D507" s="16" t="s">
        <v>41</v>
      </c>
      <c r="E507" s="13" t="str">
        <f>+HYPERLINK("http://trademark.i-assist.jp/data/china/image_1891th/77320787.pdf","77320787")</f>
        <v>77320787</v>
      </c>
      <c r="F507" s="16" t="s">
        <v>52</v>
      </c>
      <c r="G507" s="16" t="s">
        <v>11134</v>
      </c>
      <c r="H507" s="16" t="s">
        <v>10695</v>
      </c>
      <c r="I507" s="17">
        <v>45366</v>
      </c>
    </row>
    <row r="508" spans="1:9" x14ac:dyDescent="0.15">
      <c r="A508" s="16" t="s">
        <v>10701</v>
      </c>
      <c r="B508" s="7" t="s">
        <v>9</v>
      </c>
      <c r="C508" s="16" t="s">
        <v>40</v>
      </c>
      <c r="D508" s="16" t="s">
        <v>41</v>
      </c>
      <c r="E508" s="13" t="str">
        <f>+HYPERLINK("http://trademark.i-assist.jp/data/china/image_1891th/77321822.pdf","77321822")</f>
        <v>77321822</v>
      </c>
      <c r="F508" s="16" t="s">
        <v>10699</v>
      </c>
      <c r="G508" s="16" t="s">
        <v>10698</v>
      </c>
      <c r="H508" s="16" t="s">
        <v>10700</v>
      </c>
      <c r="I508" s="17">
        <v>45366</v>
      </c>
    </row>
    <row r="509" spans="1:9" x14ac:dyDescent="0.15">
      <c r="A509" s="16" t="s">
        <v>10706</v>
      </c>
      <c r="B509" s="7" t="s">
        <v>9</v>
      </c>
      <c r="C509" s="16" t="s">
        <v>40</v>
      </c>
      <c r="D509" s="16" t="s">
        <v>41</v>
      </c>
      <c r="E509" s="13" t="str">
        <f>+HYPERLINK("http://trademark.i-assist.jp/data/china/image_1891th/77324267.pdf","77324267")</f>
        <v>77324267</v>
      </c>
      <c r="F509" s="16" t="s">
        <v>10704</v>
      </c>
      <c r="G509" s="16" t="s">
        <v>10703</v>
      </c>
      <c r="H509" s="16" t="s">
        <v>10705</v>
      </c>
      <c r="I509" s="17">
        <v>45366</v>
      </c>
    </row>
    <row r="510" spans="1:9" x14ac:dyDescent="0.15">
      <c r="A510" s="16" t="s">
        <v>10711</v>
      </c>
      <c r="B510" s="7" t="s">
        <v>9</v>
      </c>
      <c r="C510" s="16" t="s">
        <v>40</v>
      </c>
      <c r="D510" s="16" t="s">
        <v>41</v>
      </c>
      <c r="E510" s="13" t="str">
        <f>+HYPERLINK("http://trademark.i-assist.jp/data/china/image_1891th/77329664.pdf","77329664")</f>
        <v>77329664</v>
      </c>
      <c r="F510" s="16" t="s">
        <v>10709</v>
      </c>
      <c r="G510" s="16" t="s">
        <v>10708</v>
      </c>
      <c r="H510" s="16" t="s">
        <v>10710</v>
      </c>
      <c r="I510" s="17">
        <v>45366</v>
      </c>
    </row>
    <row r="511" spans="1:9" x14ac:dyDescent="0.15">
      <c r="A511" s="16" t="s">
        <v>10716</v>
      </c>
      <c r="B511" s="7" t="s">
        <v>9</v>
      </c>
      <c r="C511" s="16" t="s">
        <v>40</v>
      </c>
      <c r="D511" s="16" t="s">
        <v>41</v>
      </c>
      <c r="E511" s="13" t="str">
        <f>+HYPERLINK("http://trademark.i-assist.jp/data/china/image_1891th/77330595.pdf","77330595")</f>
        <v>77330595</v>
      </c>
      <c r="F511" s="16" t="s">
        <v>10714</v>
      </c>
      <c r="G511" s="16" t="s">
        <v>10713</v>
      </c>
      <c r="H511" s="16" t="s">
        <v>10715</v>
      </c>
      <c r="I511" s="17">
        <v>45366</v>
      </c>
    </row>
    <row r="512" spans="1:9" x14ac:dyDescent="0.15">
      <c r="A512" s="16" t="s">
        <v>10721</v>
      </c>
      <c r="B512" s="7" t="s">
        <v>9</v>
      </c>
      <c r="C512" s="16" t="s">
        <v>40</v>
      </c>
      <c r="D512" s="16" t="s">
        <v>41</v>
      </c>
      <c r="E512" s="13" t="str">
        <f>+HYPERLINK("http://trademark.i-assist.jp/data/china/image_1891th/77333768.pdf","77333768")</f>
        <v>77333768</v>
      </c>
      <c r="F512" s="16" t="s">
        <v>10719</v>
      </c>
      <c r="G512" s="16" t="s">
        <v>10718</v>
      </c>
      <c r="H512" s="16" t="s">
        <v>10720</v>
      </c>
      <c r="I512" s="17">
        <v>45366</v>
      </c>
    </row>
    <row r="513" spans="1:9" x14ac:dyDescent="0.15">
      <c r="A513" s="16" t="s">
        <v>10726</v>
      </c>
      <c r="B513" s="7" t="s">
        <v>9</v>
      </c>
      <c r="C513" s="16" t="s">
        <v>40</v>
      </c>
      <c r="D513" s="16" t="s">
        <v>41</v>
      </c>
      <c r="E513" s="13" t="str">
        <f>+HYPERLINK("http://trademark.i-assist.jp/data/china/image_1891th/77335288.pdf","77335288")</f>
        <v>77335288</v>
      </c>
      <c r="F513" s="16" t="s">
        <v>10724</v>
      </c>
      <c r="G513" s="16" t="s">
        <v>10723</v>
      </c>
      <c r="H513" s="16" t="s">
        <v>10725</v>
      </c>
      <c r="I513" s="17">
        <v>45366</v>
      </c>
    </row>
    <row r="514" spans="1:9" x14ac:dyDescent="0.15">
      <c r="A514" s="16" t="s">
        <v>10731</v>
      </c>
      <c r="B514" s="7" t="s">
        <v>9</v>
      </c>
      <c r="C514" s="16" t="s">
        <v>40</v>
      </c>
      <c r="D514" s="16" t="s">
        <v>41</v>
      </c>
      <c r="E514" s="13" t="str">
        <f>+HYPERLINK("http://trademark.i-assist.jp/data/china/image_1891th/77335446.pdf","77335446")</f>
        <v>77335446</v>
      </c>
      <c r="F514" s="16" t="s">
        <v>10729</v>
      </c>
      <c r="G514" s="16" t="s">
        <v>10728</v>
      </c>
      <c r="H514" s="16" t="s">
        <v>10730</v>
      </c>
      <c r="I514" s="17">
        <v>45366</v>
      </c>
    </row>
    <row r="515" spans="1:9" x14ac:dyDescent="0.15">
      <c r="A515" s="16" t="s">
        <v>10736</v>
      </c>
      <c r="B515" s="7" t="s">
        <v>9</v>
      </c>
      <c r="C515" s="16" t="s">
        <v>40</v>
      </c>
      <c r="D515" s="16" t="s">
        <v>41</v>
      </c>
      <c r="E515" s="13" t="str">
        <f>+HYPERLINK("http://trademark.i-assist.jp/data/china/image_1891th/77335485.pdf","77335485")</f>
        <v>77335485</v>
      </c>
      <c r="F515" s="16" t="s">
        <v>10734</v>
      </c>
      <c r="G515" s="16" t="s">
        <v>10733</v>
      </c>
      <c r="H515" s="16" t="s">
        <v>10735</v>
      </c>
      <c r="I515" s="17">
        <v>45366</v>
      </c>
    </row>
    <row r="516" spans="1:9" x14ac:dyDescent="0.15">
      <c r="A516" s="16" t="s">
        <v>10741</v>
      </c>
      <c r="B516" s="7" t="s">
        <v>9</v>
      </c>
      <c r="C516" s="16" t="s">
        <v>40</v>
      </c>
      <c r="D516" s="16" t="s">
        <v>41</v>
      </c>
      <c r="E516" s="13" t="str">
        <f>+HYPERLINK("http://trademark.i-assist.jp/data/china/image_1891th/77336017.pdf","77336017")</f>
        <v>77336017</v>
      </c>
      <c r="F516" s="16" t="s">
        <v>10739</v>
      </c>
      <c r="G516" s="16" t="s">
        <v>10738</v>
      </c>
      <c r="H516" s="16" t="s">
        <v>10740</v>
      </c>
      <c r="I516" s="17">
        <v>45366</v>
      </c>
    </row>
    <row r="517" spans="1:9" x14ac:dyDescent="0.15">
      <c r="A517" s="16" t="s">
        <v>10746</v>
      </c>
      <c r="B517" s="7" t="s">
        <v>9</v>
      </c>
      <c r="C517" s="16" t="s">
        <v>40</v>
      </c>
      <c r="D517" s="16" t="s">
        <v>41</v>
      </c>
      <c r="E517" s="13" t="str">
        <f>+HYPERLINK("http://trademark.i-assist.jp/data/china/image_1891th/77337590.pdf","77337590")</f>
        <v>77337590</v>
      </c>
      <c r="F517" s="16" t="s">
        <v>10744</v>
      </c>
      <c r="G517" s="16" t="s">
        <v>10743</v>
      </c>
      <c r="H517" s="16" t="s">
        <v>10745</v>
      </c>
      <c r="I517" s="17">
        <v>45366</v>
      </c>
    </row>
    <row r="518" spans="1:9" x14ac:dyDescent="0.15">
      <c r="A518" s="16" t="s">
        <v>10750</v>
      </c>
      <c r="B518" s="7" t="s">
        <v>9</v>
      </c>
      <c r="C518" s="16" t="s">
        <v>40</v>
      </c>
      <c r="D518" s="16" t="s">
        <v>41</v>
      </c>
      <c r="E518" s="13" t="str">
        <f>+HYPERLINK("http://trademark.i-assist.jp/data/china/image_1891th/77338302.pdf","77338302")</f>
        <v>77338302</v>
      </c>
      <c r="F518" s="16" t="s">
        <v>10748</v>
      </c>
      <c r="G518" s="16" t="s">
        <v>9305</v>
      </c>
      <c r="H518" s="16" t="s">
        <v>10749</v>
      </c>
      <c r="I518" s="17">
        <v>45366</v>
      </c>
    </row>
    <row r="519" spans="1:9" x14ac:dyDescent="0.15">
      <c r="A519" s="16" t="s">
        <v>10755</v>
      </c>
      <c r="B519" s="7" t="s">
        <v>9</v>
      </c>
      <c r="C519" s="16" t="s">
        <v>40</v>
      </c>
      <c r="D519" s="16" t="s">
        <v>41</v>
      </c>
      <c r="E519" s="13" t="str">
        <f>+HYPERLINK("http://trademark.i-assist.jp/data/china/image_1891th/77339529.pdf","77339529")</f>
        <v>77339529</v>
      </c>
      <c r="F519" s="16" t="s">
        <v>10753</v>
      </c>
      <c r="G519" s="16" t="s">
        <v>10752</v>
      </c>
      <c r="H519" s="16" t="s">
        <v>10754</v>
      </c>
      <c r="I519" s="17">
        <v>45366</v>
      </c>
    </row>
    <row r="520" spans="1:9" x14ac:dyDescent="0.15">
      <c r="A520" s="16" t="s">
        <v>10759</v>
      </c>
      <c r="B520" s="7" t="s">
        <v>9</v>
      </c>
      <c r="C520" s="16" t="s">
        <v>40</v>
      </c>
      <c r="D520" s="16" t="s">
        <v>41</v>
      </c>
      <c r="E520" s="13" t="str">
        <f>+HYPERLINK("http://trademark.i-assist.jp/data/china/image_1891th/77339533.pdf","77339533")</f>
        <v>77339533</v>
      </c>
      <c r="F520" s="16" t="s">
        <v>10757</v>
      </c>
      <c r="G520" s="16" t="s">
        <v>10752</v>
      </c>
      <c r="H520" s="16" t="s">
        <v>10758</v>
      </c>
      <c r="I520" s="17">
        <v>45366</v>
      </c>
    </row>
    <row r="521" spans="1:9" x14ac:dyDescent="0.15">
      <c r="A521" s="16" t="s">
        <v>10764</v>
      </c>
      <c r="B521" s="7" t="s">
        <v>9</v>
      </c>
      <c r="C521" s="16" t="s">
        <v>40</v>
      </c>
      <c r="D521" s="16" t="s">
        <v>41</v>
      </c>
      <c r="E521" s="13" t="str">
        <f>+HYPERLINK("http://trademark.i-assist.jp/data/china/image_1891th/77340273.pdf","77340273")</f>
        <v>77340273</v>
      </c>
      <c r="F521" s="16" t="s">
        <v>10762</v>
      </c>
      <c r="G521" s="16" t="s">
        <v>10761</v>
      </c>
      <c r="H521" s="16" t="s">
        <v>10763</v>
      </c>
      <c r="I521" s="17">
        <v>45366</v>
      </c>
    </row>
    <row r="522" spans="1:9" x14ac:dyDescent="0.15">
      <c r="A522" s="16" t="s">
        <v>10769</v>
      </c>
      <c r="B522" s="7" t="s">
        <v>9</v>
      </c>
      <c r="C522" s="16" t="s">
        <v>40</v>
      </c>
      <c r="D522" s="16" t="s">
        <v>41</v>
      </c>
      <c r="E522" s="13" t="str">
        <f>+HYPERLINK("http://trademark.i-assist.jp/data/china/image_1891th/77341855.pdf","77341855")</f>
        <v>77341855</v>
      </c>
      <c r="F522" s="16" t="s">
        <v>10767</v>
      </c>
      <c r="G522" s="16" t="s">
        <v>10766</v>
      </c>
      <c r="H522" s="16" t="s">
        <v>10768</v>
      </c>
      <c r="I522" s="17">
        <v>45366</v>
      </c>
    </row>
    <row r="523" spans="1:9" x14ac:dyDescent="0.15">
      <c r="A523" s="16" t="s">
        <v>10774</v>
      </c>
      <c r="B523" s="7" t="s">
        <v>9</v>
      </c>
      <c r="C523" s="16" t="s">
        <v>40</v>
      </c>
      <c r="D523" s="16" t="s">
        <v>41</v>
      </c>
      <c r="E523" s="13" t="str">
        <f>+HYPERLINK("http://trademark.i-assist.jp/data/china/image_1891th/77341914.pdf","77341914")</f>
        <v>77341914</v>
      </c>
      <c r="F523" s="16" t="s">
        <v>10772</v>
      </c>
      <c r="G523" s="16" t="s">
        <v>10771</v>
      </c>
      <c r="H523" s="16" t="s">
        <v>10773</v>
      </c>
      <c r="I523" s="17">
        <v>45366</v>
      </c>
    </row>
    <row r="524" spans="1:9" x14ac:dyDescent="0.15">
      <c r="A524" s="16" t="s">
        <v>10779</v>
      </c>
      <c r="B524" s="7" t="s">
        <v>9</v>
      </c>
      <c r="C524" s="16" t="s">
        <v>40</v>
      </c>
      <c r="D524" s="16" t="s">
        <v>41</v>
      </c>
      <c r="E524" s="13" t="str">
        <f>+HYPERLINK("http://trademark.i-assist.jp/data/china/image_1891th/77342096.pdf","77342096")</f>
        <v>77342096</v>
      </c>
      <c r="F524" s="16" t="s">
        <v>10777</v>
      </c>
      <c r="G524" s="16" t="s">
        <v>10776</v>
      </c>
      <c r="H524" s="16" t="s">
        <v>10778</v>
      </c>
      <c r="I524" s="17">
        <v>45366</v>
      </c>
    </row>
    <row r="525" spans="1:9" x14ac:dyDescent="0.15">
      <c r="A525" s="16" t="s">
        <v>10783</v>
      </c>
      <c r="B525" s="7" t="s">
        <v>9</v>
      </c>
      <c r="C525" s="16" t="s">
        <v>40</v>
      </c>
      <c r="D525" s="16" t="s">
        <v>41</v>
      </c>
      <c r="E525" s="13" t="str">
        <f>+HYPERLINK("http://trademark.i-assist.jp/data/china/image_1891th/77342658.pdf","77342658")</f>
        <v>77342658</v>
      </c>
      <c r="F525" s="16" t="s">
        <v>10781</v>
      </c>
      <c r="G525" s="16" t="s">
        <v>2597</v>
      </c>
      <c r="H525" s="16" t="s">
        <v>10782</v>
      </c>
      <c r="I525" s="17">
        <v>45367</v>
      </c>
    </row>
    <row r="526" spans="1:9" x14ac:dyDescent="0.15">
      <c r="A526" s="16" t="s">
        <v>2574</v>
      </c>
      <c r="B526" s="7" t="s">
        <v>9</v>
      </c>
      <c r="C526" s="16" t="s">
        <v>40</v>
      </c>
      <c r="D526" s="16" t="s">
        <v>41</v>
      </c>
      <c r="E526" s="13" t="str">
        <f>+HYPERLINK("http://trademark.i-assist.jp/data/china/image_1891th/77342661.pdf","77342661")</f>
        <v>77342661</v>
      </c>
      <c r="F526" s="16" t="s">
        <v>10785</v>
      </c>
      <c r="G526" s="16" t="s">
        <v>2597</v>
      </c>
      <c r="H526" s="16" t="s">
        <v>10786</v>
      </c>
      <c r="I526" s="17">
        <v>45367</v>
      </c>
    </row>
    <row r="527" spans="1:9" x14ac:dyDescent="0.15">
      <c r="A527" s="16" t="s">
        <v>2580</v>
      </c>
      <c r="B527" s="7" t="s">
        <v>9</v>
      </c>
      <c r="C527" s="16" t="s">
        <v>40</v>
      </c>
      <c r="D527" s="16" t="s">
        <v>41</v>
      </c>
      <c r="E527" s="13" t="str">
        <f>+HYPERLINK("http://trademark.i-assist.jp/data/china/image_1891th/77342681.pdf","77342681")</f>
        <v>77342681</v>
      </c>
      <c r="F527" s="16" t="s">
        <v>2577</v>
      </c>
      <c r="G527" s="16" t="s">
        <v>2576</v>
      </c>
      <c r="H527" s="16" t="s">
        <v>2578</v>
      </c>
      <c r="I527" s="17">
        <v>45367</v>
      </c>
    </row>
    <row r="528" spans="1:9" x14ac:dyDescent="0.15">
      <c r="A528" s="16" t="s">
        <v>2585</v>
      </c>
      <c r="B528" s="7" t="s">
        <v>9</v>
      </c>
      <c r="C528" s="16" t="s">
        <v>40</v>
      </c>
      <c r="D528" s="16" t="s">
        <v>41</v>
      </c>
      <c r="E528" s="13" t="str">
        <f>+HYPERLINK("http://trademark.i-assist.jp/data/china/image_1891th/77343512.pdf","77343512")</f>
        <v>77343512</v>
      </c>
      <c r="F528" s="16" t="s">
        <v>2583</v>
      </c>
      <c r="G528" s="16" t="s">
        <v>2582</v>
      </c>
      <c r="H528" s="16" t="s">
        <v>2584</v>
      </c>
      <c r="I528" s="17">
        <v>45367</v>
      </c>
    </row>
    <row r="529" spans="1:9" x14ac:dyDescent="0.15">
      <c r="A529" s="16" t="s">
        <v>2590</v>
      </c>
      <c r="B529" s="7" t="s">
        <v>9</v>
      </c>
      <c r="C529" s="16" t="s">
        <v>40</v>
      </c>
      <c r="D529" s="16" t="s">
        <v>41</v>
      </c>
      <c r="E529" s="13" t="str">
        <f>+HYPERLINK("http://trademark.i-assist.jp/data/china/image_1891th/77343763.pdf","77343763")</f>
        <v>77343763</v>
      </c>
      <c r="F529" s="16" t="s">
        <v>2588</v>
      </c>
      <c r="G529" s="16" t="s">
        <v>2587</v>
      </c>
      <c r="H529" s="16" t="s">
        <v>2589</v>
      </c>
      <c r="I529" s="17">
        <v>45367</v>
      </c>
    </row>
    <row r="530" spans="1:9" x14ac:dyDescent="0.15">
      <c r="A530" s="16" t="s">
        <v>2595</v>
      </c>
      <c r="B530" s="7" t="s">
        <v>9</v>
      </c>
      <c r="C530" s="16" t="s">
        <v>40</v>
      </c>
      <c r="D530" s="16" t="s">
        <v>41</v>
      </c>
      <c r="E530" s="13" t="str">
        <f>+HYPERLINK("http://trademark.i-assist.jp/data/china/image_1891th/77344523.pdf","77344523")</f>
        <v>77344523</v>
      </c>
      <c r="F530" s="16" t="s">
        <v>2593</v>
      </c>
      <c r="G530" s="16" t="s">
        <v>2592</v>
      </c>
      <c r="H530" s="16" t="s">
        <v>2594</v>
      </c>
      <c r="I530" s="17">
        <v>45367</v>
      </c>
    </row>
    <row r="531" spans="1:9" x14ac:dyDescent="0.15">
      <c r="A531" s="16" t="s">
        <v>2600</v>
      </c>
      <c r="B531" s="7" t="s">
        <v>9</v>
      </c>
      <c r="C531" s="16" t="s">
        <v>40</v>
      </c>
      <c r="D531" s="16" t="s">
        <v>41</v>
      </c>
      <c r="E531" s="13" t="str">
        <f>+HYPERLINK("http://trademark.i-assist.jp/data/china/image_1891th/77344881.pdf","77344881")</f>
        <v>77344881</v>
      </c>
      <c r="F531" s="16" t="s">
        <v>2598</v>
      </c>
      <c r="G531" s="16" t="s">
        <v>2597</v>
      </c>
      <c r="H531" s="16" t="s">
        <v>2599</v>
      </c>
      <c r="I531" s="17">
        <v>45367</v>
      </c>
    </row>
    <row r="532" spans="1:9" x14ac:dyDescent="0.15">
      <c r="A532" s="16" t="s">
        <v>2605</v>
      </c>
      <c r="B532" s="7" t="s">
        <v>9</v>
      </c>
      <c r="C532" s="16" t="s">
        <v>40</v>
      </c>
      <c r="D532" s="16" t="s">
        <v>41</v>
      </c>
      <c r="E532" s="13" t="str">
        <f>+HYPERLINK("http://trademark.i-assist.jp/data/china/image_1891th/77345163.pdf","77345163")</f>
        <v>77345163</v>
      </c>
      <c r="F532" s="16" t="s">
        <v>2603</v>
      </c>
      <c r="G532" s="16" t="s">
        <v>2602</v>
      </c>
      <c r="H532" s="16" t="s">
        <v>2604</v>
      </c>
      <c r="I532" s="17">
        <v>45367</v>
      </c>
    </row>
    <row r="533" spans="1:9" x14ac:dyDescent="0.15">
      <c r="A533" s="16" t="s">
        <v>2610</v>
      </c>
      <c r="B533" s="7" t="s">
        <v>9</v>
      </c>
      <c r="C533" s="16" t="s">
        <v>40</v>
      </c>
      <c r="D533" s="16" t="s">
        <v>41</v>
      </c>
      <c r="E533" s="13" t="str">
        <f>+HYPERLINK("http://trademark.i-assist.jp/data/china/image_1891th/77345985.pdf","77345985")</f>
        <v>77345985</v>
      </c>
      <c r="F533" s="16" t="s">
        <v>2608</v>
      </c>
      <c r="G533" s="16" t="s">
        <v>2607</v>
      </c>
      <c r="H533" s="16" t="s">
        <v>2609</v>
      </c>
      <c r="I533" s="17">
        <v>45367</v>
      </c>
    </row>
    <row r="534" spans="1:9" x14ac:dyDescent="0.15">
      <c r="A534" s="16" t="s">
        <v>2615</v>
      </c>
      <c r="B534" s="7" t="s">
        <v>9</v>
      </c>
      <c r="C534" s="16" t="s">
        <v>40</v>
      </c>
      <c r="D534" s="16" t="s">
        <v>41</v>
      </c>
      <c r="E534" s="13" t="str">
        <f>+HYPERLINK("http://trademark.i-assist.jp/data/china/image_1891th/77346454.pdf","77346454")</f>
        <v>77346454</v>
      </c>
      <c r="F534" s="16" t="s">
        <v>2613</v>
      </c>
      <c r="G534" s="16" t="s">
        <v>2612</v>
      </c>
      <c r="H534" s="16" t="s">
        <v>2614</v>
      </c>
      <c r="I534" s="17">
        <v>45367</v>
      </c>
    </row>
    <row r="535" spans="1:9" x14ac:dyDescent="0.15">
      <c r="A535" s="16" t="s">
        <v>2619</v>
      </c>
      <c r="B535" s="7" t="s">
        <v>9</v>
      </c>
      <c r="C535" s="16" t="s">
        <v>40</v>
      </c>
      <c r="D535" s="16" t="s">
        <v>41</v>
      </c>
      <c r="E535" s="13" t="str">
        <f>+HYPERLINK("http://trademark.i-assist.jp/data/china/image_1891th/77346587.pdf","77346587")</f>
        <v>77346587</v>
      </c>
      <c r="F535" s="16" t="s">
        <v>2617</v>
      </c>
      <c r="G535" s="16" t="s">
        <v>2597</v>
      </c>
      <c r="H535" s="16" t="s">
        <v>2618</v>
      </c>
      <c r="I535" s="17">
        <v>45367</v>
      </c>
    </row>
    <row r="536" spans="1:9" x14ac:dyDescent="0.15">
      <c r="A536" s="16" t="s">
        <v>2624</v>
      </c>
      <c r="B536" s="7" t="s">
        <v>9</v>
      </c>
      <c r="C536" s="16" t="s">
        <v>40</v>
      </c>
      <c r="D536" s="16" t="s">
        <v>41</v>
      </c>
      <c r="E536" s="13" t="str">
        <f>+HYPERLINK("http://trademark.i-assist.jp/data/china/image_1891th/77347921.pdf","77347921")</f>
        <v>77347921</v>
      </c>
      <c r="F536" s="16" t="s">
        <v>2622</v>
      </c>
      <c r="G536" s="16" t="s">
        <v>2621</v>
      </c>
      <c r="H536" s="16" t="s">
        <v>2623</v>
      </c>
      <c r="I536" s="17">
        <v>45367</v>
      </c>
    </row>
    <row r="537" spans="1:9" x14ac:dyDescent="0.15">
      <c r="A537" s="16" t="s">
        <v>2628</v>
      </c>
      <c r="B537" s="7" t="s">
        <v>9</v>
      </c>
      <c r="C537" s="16" t="s">
        <v>40</v>
      </c>
      <c r="D537" s="16" t="s">
        <v>41</v>
      </c>
      <c r="E537" s="13" t="str">
        <f>+HYPERLINK("http://trademark.i-assist.jp/data/china/image_1891th/77347986.pdf","77347986")</f>
        <v>77347986</v>
      </c>
      <c r="F537" s="16" t="s">
        <v>2626</v>
      </c>
      <c r="G537" s="16" t="s">
        <v>2597</v>
      </c>
      <c r="H537" s="16" t="s">
        <v>2627</v>
      </c>
      <c r="I537" s="17">
        <v>45367</v>
      </c>
    </row>
    <row r="538" spans="1:9" x14ac:dyDescent="0.15">
      <c r="A538" s="16" t="s">
        <v>2632</v>
      </c>
      <c r="B538" s="7" t="s">
        <v>9</v>
      </c>
      <c r="C538" s="16" t="s">
        <v>40</v>
      </c>
      <c r="D538" s="16" t="s">
        <v>41</v>
      </c>
      <c r="E538" s="13" t="str">
        <f>+HYPERLINK("http://trademark.i-assist.jp/data/china/image_1891th/77348002.pdf","77348002")</f>
        <v>77348002</v>
      </c>
      <c r="F538" s="16" t="s">
        <v>2630</v>
      </c>
      <c r="G538" s="16" t="s">
        <v>2597</v>
      </c>
      <c r="H538" s="16" t="s">
        <v>2631</v>
      </c>
      <c r="I538" s="17">
        <v>45367</v>
      </c>
    </row>
    <row r="539" spans="1:9" x14ac:dyDescent="0.15">
      <c r="A539" s="16" t="s">
        <v>2636</v>
      </c>
      <c r="B539" s="7" t="s">
        <v>9</v>
      </c>
      <c r="C539" s="16" t="s">
        <v>40</v>
      </c>
      <c r="D539" s="16" t="s">
        <v>41</v>
      </c>
      <c r="E539" s="13" t="str">
        <f>+HYPERLINK("http://trademark.i-assist.jp/data/china/image_1891th/77348868.pdf","77348868")</f>
        <v>77348868</v>
      </c>
      <c r="F539" s="16" t="s">
        <v>2634</v>
      </c>
      <c r="G539" s="16" t="s">
        <v>2597</v>
      </c>
      <c r="H539" s="16" t="s">
        <v>2635</v>
      </c>
      <c r="I539" s="17">
        <v>45367</v>
      </c>
    </row>
    <row r="540" spans="1:9" x14ac:dyDescent="0.15">
      <c r="A540" s="16" t="s">
        <v>2640</v>
      </c>
      <c r="B540" s="7" t="s">
        <v>9</v>
      </c>
      <c r="C540" s="16" t="s">
        <v>40</v>
      </c>
      <c r="D540" s="16" t="s">
        <v>41</v>
      </c>
      <c r="E540" s="13" t="str">
        <f>+HYPERLINK("http://trademark.i-assist.jp/data/china/image_1891th/77349556.pdf","77349556")</f>
        <v>77349556</v>
      </c>
      <c r="F540" s="16" t="s">
        <v>2638</v>
      </c>
      <c r="G540" s="16" t="s">
        <v>2602</v>
      </c>
      <c r="H540" s="16" t="s">
        <v>2639</v>
      </c>
      <c r="I540" s="17">
        <v>45367</v>
      </c>
    </row>
    <row r="541" spans="1:9" x14ac:dyDescent="0.15">
      <c r="A541" s="16" t="s">
        <v>2645</v>
      </c>
      <c r="B541" s="7" t="s">
        <v>9</v>
      </c>
      <c r="C541" s="16" t="s">
        <v>40</v>
      </c>
      <c r="D541" s="16" t="s">
        <v>41</v>
      </c>
      <c r="E541" s="13" t="str">
        <f>+HYPERLINK("http://trademark.i-assist.jp/data/china/image_1891th/77350914.pdf","77350914")</f>
        <v>77350914</v>
      </c>
      <c r="F541" s="16" t="s">
        <v>2643</v>
      </c>
      <c r="G541" s="16" t="s">
        <v>11103</v>
      </c>
      <c r="H541" s="16" t="s">
        <v>2644</v>
      </c>
      <c r="I541" s="17">
        <v>45367</v>
      </c>
    </row>
    <row r="542" spans="1:9" x14ac:dyDescent="0.15">
      <c r="A542" s="16" t="s">
        <v>2651</v>
      </c>
      <c r="B542" s="7" t="s">
        <v>9</v>
      </c>
      <c r="C542" s="16" t="s">
        <v>40</v>
      </c>
      <c r="D542" s="16" t="s">
        <v>41</v>
      </c>
      <c r="E542" s="13" t="str">
        <f>+HYPERLINK("http://trademark.i-assist.jp/data/china/image_1891th/77351887.pdf","77351887")</f>
        <v>77351887</v>
      </c>
      <c r="F542" s="16" t="s">
        <v>2648</v>
      </c>
      <c r="G542" s="16" t="s">
        <v>2647</v>
      </c>
      <c r="H542" s="16" t="s">
        <v>2649</v>
      </c>
      <c r="I542" s="17">
        <v>45368</v>
      </c>
    </row>
    <row r="543" spans="1:9" x14ac:dyDescent="0.15">
      <c r="A543" s="16" t="s">
        <v>2656</v>
      </c>
      <c r="B543" s="7" t="s">
        <v>9</v>
      </c>
      <c r="C543" s="16" t="s">
        <v>40</v>
      </c>
      <c r="D543" s="16" t="s">
        <v>41</v>
      </c>
      <c r="E543" s="13" t="str">
        <f>+HYPERLINK("http://trademark.i-assist.jp/data/china/image_1891th/77351911.pdf","77351911")</f>
        <v>77351911</v>
      </c>
      <c r="F543" s="16" t="s">
        <v>11094</v>
      </c>
      <c r="G543" s="16" t="s">
        <v>2653</v>
      </c>
      <c r="H543" s="16" t="s">
        <v>2655</v>
      </c>
      <c r="I543" s="17">
        <v>45368</v>
      </c>
    </row>
    <row r="544" spans="1:9" x14ac:dyDescent="0.15">
      <c r="A544" s="16" t="s">
        <v>2661</v>
      </c>
      <c r="B544" s="7" t="s">
        <v>9</v>
      </c>
      <c r="C544" s="16" t="s">
        <v>40</v>
      </c>
      <c r="D544" s="16" t="s">
        <v>41</v>
      </c>
      <c r="E544" s="13" t="str">
        <f>+HYPERLINK("http://trademark.i-assist.jp/data/china/image_1891th/77352222.pdf","77352222")</f>
        <v>77352222</v>
      </c>
      <c r="F544" s="16" t="s">
        <v>2659</v>
      </c>
      <c r="G544" s="16" t="s">
        <v>2658</v>
      </c>
      <c r="H544" s="16" t="s">
        <v>2660</v>
      </c>
      <c r="I544" s="17">
        <v>45368</v>
      </c>
    </row>
    <row r="545" spans="1:9" x14ac:dyDescent="0.15">
      <c r="A545" s="16" t="s">
        <v>2666</v>
      </c>
      <c r="B545" s="7" t="s">
        <v>9</v>
      </c>
      <c r="C545" s="16" t="s">
        <v>40</v>
      </c>
      <c r="D545" s="16" t="s">
        <v>41</v>
      </c>
      <c r="E545" s="13" t="str">
        <f>+HYPERLINK("http://trademark.i-assist.jp/data/china/image_1891th/77352982.pdf","77352982")</f>
        <v>77352982</v>
      </c>
      <c r="F545" s="16" t="s">
        <v>2664</v>
      </c>
      <c r="G545" s="16" t="s">
        <v>2663</v>
      </c>
      <c r="H545" s="16" t="s">
        <v>2665</v>
      </c>
      <c r="I545" s="17">
        <v>45368</v>
      </c>
    </row>
    <row r="546" spans="1:9" x14ac:dyDescent="0.15">
      <c r="A546" s="16" t="s">
        <v>2671</v>
      </c>
      <c r="B546" s="7" t="s">
        <v>9</v>
      </c>
      <c r="C546" s="16" t="s">
        <v>40</v>
      </c>
      <c r="D546" s="16" t="s">
        <v>41</v>
      </c>
      <c r="E546" s="13" t="str">
        <f>+HYPERLINK("http://trademark.i-assist.jp/data/china/image_1891th/77353451.pdf","77353451")</f>
        <v>77353451</v>
      </c>
      <c r="F546" s="16" t="s">
        <v>2669</v>
      </c>
      <c r="G546" s="16" t="s">
        <v>2668</v>
      </c>
      <c r="H546" s="16" t="s">
        <v>2670</v>
      </c>
      <c r="I546" s="17">
        <v>45368</v>
      </c>
    </row>
    <row r="547" spans="1:9" x14ac:dyDescent="0.15">
      <c r="A547" s="16" t="s">
        <v>2676</v>
      </c>
      <c r="B547" s="7" t="s">
        <v>9</v>
      </c>
      <c r="C547" s="16" t="s">
        <v>40</v>
      </c>
      <c r="D547" s="16" t="s">
        <v>41</v>
      </c>
      <c r="E547" s="13" t="str">
        <f>+HYPERLINK("http://trademark.i-assist.jp/data/china/image_1891th/77353661.pdf","77353661")</f>
        <v>77353661</v>
      </c>
      <c r="F547" s="16" t="s">
        <v>2674</v>
      </c>
      <c r="G547" s="16" t="s">
        <v>2673</v>
      </c>
      <c r="H547" s="16" t="s">
        <v>2675</v>
      </c>
      <c r="I547" s="17">
        <v>45368</v>
      </c>
    </row>
    <row r="548" spans="1:9" x14ac:dyDescent="0.15">
      <c r="A548" s="16" t="s">
        <v>2681</v>
      </c>
      <c r="B548" s="7" t="s">
        <v>9</v>
      </c>
      <c r="C548" s="16" t="s">
        <v>40</v>
      </c>
      <c r="D548" s="16" t="s">
        <v>41</v>
      </c>
      <c r="E548" s="13" t="str">
        <f>+HYPERLINK("http://trademark.i-assist.jp/data/china/image_1891th/77353664.pdf","77353664")</f>
        <v>77353664</v>
      </c>
      <c r="F548" s="16" t="s">
        <v>2679</v>
      </c>
      <c r="G548" s="16" t="s">
        <v>2678</v>
      </c>
      <c r="H548" s="16" t="s">
        <v>2680</v>
      </c>
      <c r="I548" s="17">
        <v>45368</v>
      </c>
    </row>
    <row r="549" spans="1:9" x14ac:dyDescent="0.15">
      <c r="A549" s="16" t="s">
        <v>3033</v>
      </c>
      <c r="B549" s="7" t="s">
        <v>9</v>
      </c>
      <c r="C549" s="16" t="s">
        <v>40</v>
      </c>
      <c r="D549" s="16" t="s">
        <v>41</v>
      </c>
      <c r="E549" s="13" t="str">
        <f>+HYPERLINK("http://trademark.i-assist.jp/data/china/image_1891th/77355667.pdf","77355667")</f>
        <v>77355667</v>
      </c>
      <c r="F549" s="16" t="s">
        <v>2684</v>
      </c>
      <c r="G549" s="16" t="s">
        <v>2683</v>
      </c>
      <c r="H549" s="16" t="s">
        <v>2685</v>
      </c>
      <c r="I549" s="17">
        <v>45369</v>
      </c>
    </row>
    <row r="550" spans="1:9" x14ac:dyDescent="0.15">
      <c r="A550" s="16" t="s">
        <v>3038</v>
      </c>
      <c r="B550" s="7" t="s">
        <v>9</v>
      </c>
      <c r="C550" s="16" t="s">
        <v>40</v>
      </c>
      <c r="D550" s="16" t="s">
        <v>41</v>
      </c>
      <c r="E550" s="13" t="str">
        <f>+HYPERLINK("http://trademark.i-assist.jp/data/china/image_1891th/77357113.pdf","77357113")</f>
        <v>77357113</v>
      </c>
      <c r="F550" s="16" t="s">
        <v>3036</v>
      </c>
      <c r="G550" s="16" t="s">
        <v>3035</v>
      </c>
      <c r="H550" s="16" t="s">
        <v>3037</v>
      </c>
      <c r="I550" s="17">
        <v>45369</v>
      </c>
    </row>
    <row r="551" spans="1:9" x14ac:dyDescent="0.15">
      <c r="A551" s="16" t="s">
        <v>3043</v>
      </c>
      <c r="B551" s="7" t="s">
        <v>9</v>
      </c>
      <c r="C551" s="16" t="s">
        <v>40</v>
      </c>
      <c r="D551" s="16" t="s">
        <v>41</v>
      </c>
      <c r="E551" s="13" t="str">
        <f>+HYPERLINK("http://trademark.i-assist.jp/data/china/image_1891th/77358687.pdf","77358687")</f>
        <v>77358687</v>
      </c>
      <c r="F551" s="16" t="s">
        <v>3041</v>
      </c>
      <c r="G551" s="16" t="s">
        <v>3040</v>
      </c>
      <c r="H551" s="16" t="s">
        <v>3042</v>
      </c>
      <c r="I551" s="17">
        <v>45369</v>
      </c>
    </row>
    <row r="552" spans="1:9" x14ac:dyDescent="0.15">
      <c r="A552" s="16" t="s">
        <v>3048</v>
      </c>
      <c r="B552" s="7" t="s">
        <v>9</v>
      </c>
      <c r="C552" s="16" t="s">
        <v>40</v>
      </c>
      <c r="D552" s="16" t="s">
        <v>41</v>
      </c>
      <c r="E552" s="13" t="str">
        <f>+HYPERLINK("http://trademark.i-assist.jp/data/china/image_1891th/77359205.pdf","77359205")</f>
        <v>77359205</v>
      </c>
      <c r="F552" s="16" t="s">
        <v>3046</v>
      </c>
      <c r="G552" s="16" t="s">
        <v>3045</v>
      </c>
      <c r="H552" s="16" t="s">
        <v>3047</v>
      </c>
      <c r="I552" s="17">
        <v>45369</v>
      </c>
    </row>
    <row r="553" spans="1:9" x14ac:dyDescent="0.15">
      <c r="A553" s="16" t="s">
        <v>3053</v>
      </c>
      <c r="B553" s="7" t="s">
        <v>9</v>
      </c>
      <c r="C553" s="16" t="s">
        <v>40</v>
      </c>
      <c r="D553" s="16" t="s">
        <v>41</v>
      </c>
      <c r="E553" s="13" t="str">
        <f>+HYPERLINK("http://trademark.i-assist.jp/data/china/image_1891th/77359724.pdf","77359724")</f>
        <v>77359724</v>
      </c>
      <c r="F553" s="16" t="s">
        <v>3051</v>
      </c>
      <c r="G553" s="16" t="s">
        <v>3050</v>
      </c>
      <c r="H553" s="16" t="s">
        <v>3052</v>
      </c>
      <c r="I553" s="17">
        <v>45369</v>
      </c>
    </row>
    <row r="554" spans="1:9" x14ac:dyDescent="0.15">
      <c r="A554" s="16" t="s">
        <v>3058</v>
      </c>
      <c r="B554" s="7" t="s">
        <v>9</v>
      </c>
      <c r="C554" s="16" t="s">
        <v>40</v>
      </c>
      <c r="D554" s="16" t="s">
        <v>41</v>
      </c>
      <c r="E554" s="13" t="str">
        <f>+HYPERLINK("http://trademark.i-assist.jp/data/china/image_1891th/77360761.pdf","77360761")</f>
        <v>77360761</v>
      </c>
      <c r="F554" s="16" t="s">
        <v>3056</v>
      </c>
      <c r="G554" s="16" t="s">
        <v>3055</v>
      </c>
      <c r="H554" s="16" t="s">
        <v>3057</v>
      </c>
      <c r="I554" s="17">
        <v>45369</v>
      </c>
    </row>
    <row r="555" spans="1:9" x14ac:dyDescent="0.15">
      <c r="A555" s="16" t="s">
        <v>3063</v>
      </c>
      <c r="B555" s="7" t="s">
        <v>9</v>
      </c>
      <c r="C555" s="16" t="s">
        <v>40</v>
      </c>
      <c r="D555" s="16" t="s">
        <v>41</v>
      </c>
      <c r="E555" s="13" t="str">
        <f>+HYPERLINK("http://trademark.i-assist.jp/data/china/image_1891th/77362573.pdf","77362573")</f>
        <v>77362573</v>
      </c>
      <c r="F555" s="16" t="s">
        <v>3061</v>
      </c>
      <c r="G555" s="16" t="s">
        <v>3060</v>
      </c>
      <c r="H555" s="16" t="s">
        <v>3062</v>
      </c>
      <c r="I555" s="17">
        <v>45369</v>
      </c>
    </row>
    <row r="556" spans="1:9" x14ac:dyDescent="0.15">
      <c r="A556" s="16" t="s">
        <v>3068</v>
      </c>
      <c r="B556" s="7" t="s">
        <v>9</v>
      </c>
      <c r="C556" s="16" t="s">
        <v>40</v>
      </c>
      <c r="D556" s="16" t="s">
        <v>41</v>
      </c>
      <c r="E556" s="13" t="str">
        <f>+HYPERLINK("http://trademark.i-assist.jp/data/china/image_1891th/77362661.pdf","77362661")</f>
        <v>77362661</v>
      </c>
      <c r="F556" s="16" t="s">
        <v>3066</v>
      </c>
      <c r="G556" s="16" t="s">
        <v>3065</v>
      </c>
      <c r="H556" s="16" t="s">
        <v>3067</v>
      </c>
      <c r="I556" s="17">
        <v>45369</v>
      </c>
    </row>
    <row r="557" spans="1:9" x14ac:dyDescent="0.15">
      <c r="A557" s="16" t="s">
        <v>3073</v>
      </c>
      <c r="B557" s="7" t="s">
        <v>9</v>
      </c>
      <c r="C557" s="16" t="s">
        <v>40</v>
      </c>
      <c r="D557" s="16" t="s">
        <v>41</v>
      </c>
      <c r="E557" s="13" t="str">
        <f>+HYPERLINK("http://trademark.i-assist.jp/data/china/image_1891th/77363417.pdf","77363417")</f>
        <v>77363417</v>
      </c>
      <c r="F557" s="16" t="s">
        <v>3071</v>
      </c>
      <c r="G557" s="16" t="s">
        <v>3070</v>
      </c>
      <c r="H557" s="16" t="s">
        <v>3072</v>
      </c>
      <c r="I557" s="17">
        <v>45369</v>
      </c>
    </row>
    <row r="558" spans="1:9" x14ac:dyDescent="0.15">
      <c r="A558" s="16" t="s">
        <v>3078</v>
      </c>
      <c r="B558" s="7" t="s">
        <v>9</v>
      </c>
      <c r="C558" s="16" t="s">
        <v>40</v>
      </c>
      <c r="D558" s="16" t="s">
        <v>41</v>
      </c>
      <c r="E558" s="13" t="str">
        <f>+HYPERLINK("http://trademark.i-assist.jp/data/china/image_1891th/77363816.pdf","77363816")</f>
        <v>77363816</v>
      </c>
      <c r="F558" s="16" t="s">
        <v>3076</v>
      </c>
      <c r="G558" s="16" t="s">
        <v>3075</v>
      </c>
      <c r="H558" s="16" t="s">
        <v>3077</v>
      </c>
      <c r="I558" s="17">
        <v>45369</v>
      </c>
    </row>
    <row r="559" spans="1:9" x14ac:dyDescent="0.15">
      <c r="A559" s="16" t="s">
        <v>3083</v>
      </c>
      <c r="B559" s="7" t="s">
        <v>9</v>
      </c>
      <c r="C559" s="16" t="s">
        <v>40</v>
      </c>
      <c r="D559" s="16" t="s">
        <v>41</v>
      </c>
      <c r="E559" s="13" t="str">
        <f>+HYPERLINK("http://trademark.i-assist.jp/data/china/image_1891th/77364884.pdf","77364884")</f>
        <v>77364884</v>
      </c>
      <c r="F559" s="16" t="s">
        <v>3081</v>
      </c>
      <c r="G559" s="16" t="s">
        <v>3080</v>
      </c>
      <c r="H559" s="16" t="s">
        <v>3082</v>
      </c>
      <c r="I559" s="17">
        <v>45369</v>
      </c>
    </row>
    <row r="560" spans="1:9" x14ac:dyDescent="0.15">
      <c r="A560" s="16" t="s">
        <v>3088</v>
      </c>
      <c r="B560" s="7" t="s">
        <v>9</v>
      </c>
      <c r="C560" s="16" t="s">
        <v>40</v>
      </c>
      <c r="D560" s="16" t="s">
        <v>41</v>
      </c>
      <c r="E560" s="13" t="str">
        <f>+HYPERLINK("http://trademark.i-assist.jp/data/china/image_1891th/77366193.pdf","77366193")</f>
        <v>77366193</v>
      </c>
      <c r="F560" s="16" t="s">
        <v>3086</v>
      </c>
      <c r="G560" s="16" t="s">
        <v>3085</v>
      </c>
      <c r="H560" s="16" t="s">
        <v>3087</v>
      </c>
      <c r="I560" s="17">
        <v>45369</v>
      </c>
    </row>
    <row r="561" spans="1:9" x14ac:dyDescent="0.15">
      <c r="A561" s="16" t="s">
        <v>3093</v>
      </c>
      <c r="B561" s="7" t="s">
        <v>9</v>
      </c>
      <c r="C561" s="16" t="s">
        <v>40</v>
      </c>
      <c r="D561" s="16" t="s">
        <v>41</v>
      </c>
      <c r="E561" s="13" t="str">
        <f>+HYPERLINK("http://trademark.i-assist.jp/data/china/image_1891th/77366840.pdf","77366840")</f>
        <v>77366840</v>
      </c>
      <c r="F561" s="16" t="s">
        <v>3091</v>
      </c>
      <c r="G561" s="16" t="s">
        <v>3090</v>
      </c>
      <c r="H561" s="16" t="s">
        <v>3092</v>
      </c>
      <c r="I561" s="17">
        <v>45369</v>
      </c>
    </row>
    <row r="562" spans="1:9" x14ac:dyDescent="0.15">
      <c r="A562" s="16" t="s">
        <v>3098</v>
      </c>
      <c r="B562" s="7" t="s">
        <v>9</v>
      </c>
      <c r="C562" s="16" t="s">
        <v>40</v>
      </c>
      <c r="D562" s="16" t="s">
        <v>41</v>
      </c>
      <c r="E562" s="13" t="str">
        <f>+HYPERLINK("http://trademark.i-assist.jp/data/china/image_1891th/77367567.pdf","77367567")</f>
        <v>77367567</v>
      </c>
      <c r="F562" s="16" t="s">
        <v>3096</v>
      </c>
      <c r="G562" s="16" t="s">
        <v>3095</v>
      </c>
      <c r="H562" s="16" t="s">
        <v>3097</v>
      </c>
      <c r="I562" s="17">
        <v>45369</v>
      </c>
    </row>
    <row r="563" spans="1:9" x14ac:dyDescent="0.15">
      <c r="A563" s="16" t="s">
        <v>3103</v>
      </c>
      <c r="B563" s="7" t="s">
        <v>9</v>
      </c>
      <c r="C563" s="16" t="s">
        <v>40</v>
      </c>
      <c r="D563" s="16" t="s">
        <v>41</v>
      </c>
      <c r="E563" s="13" t="str">
        <f>+HYPERLINK("http://trademark.i-assist.jp/data/china/image_1891th/77367631.pdf","77367631")</f>
        <v>77367631</v>
      </c>
      <c r="F563" s="16" t="s">
        <v>3101</v>
      </c>
      <c r="G563" s="16" t="s">
        <v>3100</v>
      </c>
      <c r="H563" s="16" t="s">
        <v>3102</v>
      </c>
      <c r="I563" s="17">
        <v>45369</v>
      </c>
    </row>
    <row r="564" spans="1:9" x14ac:dyDescent="0.15">
      <c r="A564" s="16" t="s">
        <v>3107</v>
      </c>
      <c r="B564" s="7" t="s">
        <v>9</v>
      </c>
      <c r="C564" s="16" t="s">
        <v>40</v>
      </c>
      <c r="D564" s="16" t="s">
        <v>41</v>
      </c>
      <c r="E564" s="13" t="str">
        <f>+HYPERLINK("http://trademark.i-assist.jp/data/china/image_1891th/77367849.pdf","77367849")</f>
        <v>77367849</v>
      </c>
      <c r="F564" s="16" t="s">
        <v>3105</v>
      </c>
      <c r="G564" s="16" t="s">
        <v>3090</v>
      </c>
      <c r="H564" s="16" t="s">
        <v>3106</v>
      </c>
      <c r="I564" s="17">
        <v>45369</v>
      </c>
    </row>
    <row r="565" spans="1:9" x14ac:dyDescent="0.15">
      <c r="A565" s="16" t="s">
        <v>3111</v>
      </c>
      <c r="B565" s="7" t="s">
        <v>9</v>
      </c>
      <c r="C565" s="16" t="s">
        <v>40</v>
      </c>
      <c r="D565" s="16" t="s">
        <v>41</v>
      </c>
      <c r="E565" s="13" t="str">
        <f>+HYPERLINK("http://trademark.i-assist.jp/data/china/image_1891th/77367986.pdf","77367986")</f>
        <v>77367986</v>
      </c>
      <c r="F565" s="16" t="s">
        <v>52</v>
      </c>
      <c r="G565" s="16" t="s">
        <v>3109</v>
      </c>
      <c r="H565" s="16" t="s">
        <v>3110</v>
      </c>
      <c r="I565" s="17">
        <v>45369</v>
      </c>
    </row>
    <row r="566" spans="1:9" x14ac:dyDescent="0.15">
      <c r="A566" s="16" t="s">
        <v>3116</v>
      </c>
      <c r="B566" s="7" t="s">
        <v>9</v>
      </c>
      <c r="C566" s="16" t="s">
        <v>40</v>
      </c>
      <c r="D566" s="16" t="s">
        <v>41</v>
      </c>
      <c r="E566" s="13" t="str">
        <f>+HYPERLINK("http://trademark.i-assist.jp/data/china/image_1891th/77368048.pdf","77368048")</f>
        <v>77368048</v>
      </c>
      <c r="F566" s="16" t="s">
        <v>3114</v>
      </c>
      <c r="G566" s="16" t="s">
        <v>3113</v>
      </c>
      <c r="H566" s="16" t="s">
        <v>3115</v>
      </c>
      <c r="I566" s="17">
        <v>45369</v>
      </c>
    </row>
    <row r="567" spans="1:9" x14ac:dyDescent="0.15">
      <c r="A567" s="16" t="s">
        <v>3119</v>
      </c>
      <c r="B567" s="7" t="s">
        <v>9</v>
      </c>
      <c r="C567" s="16" t="s">
        <v>40</v>
      </c>
      <c r="D567" s="16" t="s">
        <v>41</v>
      </c>
      <c r="E567" s="13" t="str">
        <f>+HYPERLINK("http://trademark.i-assist.jp/data/china/image_1891th/77368209.pdf","77368209")</f>
        <v>77368209</v>
      </c>
      <c r="F567" s="16" t="s">
        <v>52</v>
      </c>
      <c r="G567" s="16" t="s">
        <v>14</v>
      </c>
      <c r="H567" s="16" t="s">
        <v>3118</v>
      </c>
      <c r="I567" s="17">
        <v>45369</v>
      </c>
    </row>
    <row r="568" spans="1:9" x14ac:dyDescent="0.15">
      <c r="A568" s="16" t="s">
        <v>3123</v>
      </c>
      <c r="B568" s="7" t="s">
        <v>9</v>
      </c>
      <c r="C568" s="16" t="s">
        <v>40</v>
      </c>
      <c r="D568" s="16" t="s">
        <v>41</v>
      </c>
      <c r="E568" s="13" t="str">
        <f>+HYPERLINK("http://trademark.i-assist.jp/data/china/image_1891th/77368296.pdf","77368296")</f>
        <v>77368296</v>
      </c>
      <c r="F568" s="16" t="s">
        <v>3121</v>
      </c>
      <c r="G568" s="16" t="s">
        <v>3055</v>
      </c>
      <c r="H568" s="16" t="s">
        <v>3122</v>
      </c>
      <c r="I568" s="17">
        <v>45369</v>
      </c>
    </row>
    <row r="569" spans="1:9" x14ac:dyDescent="0.15">
      <c r="A569" s="16" t="s">
        <v>3128</v>
      </c>
      <c r="B569" s="7" t="s">
        <v>9</v>
      </c>
      <c r="C569" s="16" t="s">
        <v>40</v>
      </c>
      <c r="D569" s="16" t="s">
        <v>41</v>
      </c>
      <c r="E569" s="13" t="str">
        <f>+HYPERLINK("http://trademark.i-assist.jp/data/china/image_1891th/77368511.pdf","77368511")</f>
        <v>77368511</v>
      </c>
      <c r="F569" s="16" t="s">
        <v>3126</v>
      </c>
      <c r="G569" s="16" t="s">
        <v>3125</v>
      </c>
      <c r="H569" s="16" t="s">
        <v>3127</v>
      </c>
      <c r="I569" s="17">
        <v>45369</v>
      </c>
    </row>
    <row r="570" spans="1:9" x14ac:dyDescent="0.15">
      <c r="A570" s="16" t="s">
        <v>3133</v>
      </c>
      <c r="B570" s="7" t="s">
        <v>9</v>
      </c>
      <c r="C570" s="16" t="s">
        <v>40</v>
      </c>
      <c r="D570" s="16" t="s">
        <v>41</v>
      </c>
      <c r="E570" s="13" t="str">
        <f>+HYPERLINK("http://trademark.i-assist.jp/data/china/image_1891th/77369423.pdf","77369423")</f>
        <v>77369423</v>
      </c>
      <c r="F570" s="16" t="s">
        <v>3131</v>
      </c>
      <c r="G570" s="16" t="s">
        <v>3130</v>
      </c>
      <c r="H570" s="16" t="s">
        <v>3132</v>
      </c>
      <c r="I570" s="17">
        <v>45369</v>
      </c>
    </row>
    <row r="571" spans="1:9" x14ac:dyDescent="0.15">
      <c r="A571" s="16" t="s">
        <v>3138</v>
      </c>
      <c r="B571" s="7" t="s">
        <v>9</v>
      </c>
      <c r="C571" s="16" t="s">
        <v>40</v>
      </c>
      <c r="D571" s="16" t="s">
        <v>41</v>
      </c>
      <c r="E571" s="13" t="str">
        <f>+HYPERLINK("http://trademark.i-assist.jp/data/china/image_1891th/77369480.pdf","77369480")</f>
        <v>77369480</v>
      </c>
      <c r="F571" s="16" t="s">
        <v>3136</v>
      </c>
      <c r="G571" s="16" t="s">
        <v>3135</v>
      </c>
      <c r="H571" s="16" t="s">
        <v>3137</v>
      </c>
      <c r="I571" s="17">
        <v>45369</v>
      </c>
    </row>
    <row r="572" spans="1:9" x14ac:dyDescent="0.15">
      <c r="A572" s="16" t="s">
        <v>3143</v>
      </c>
      <c r="B572" s="7" t="s">
        <v>9</v>
      </c>
      <c r="C572" s="16" t="s">
        <v>40</v>
      </c>
      <c r="D572" s="16" t="s">
        <v>41</v>
      </c>
      <c r="E572" s="13" t="str">
        <f>+HYPERLINK("http://trademark.i-assist.jp/data/china/image_1891th/77370092.pdf","77370092")</f>
        <v>77370092</v>
      </c>
      <c r="F572" s="16" t="s">
        <v>3141</v>
      </c>
      <c r="G572" s="16" t="s">
        <v>3140</v>
      </c>
      <c r="H572" s="16" t="s">
        <v>3142</v>
      </c>
      <c r="I572" s="17">
        <v>45369</v>
      </c>
    </row>
    <row r="573" spans="1:9" x14ac:dyDescent="0.15">
      <c r="A573" s="16" t="s">
        <v>3148</v>
      </c>
      <c r="B573" s="7" t="s">
        <v>9</v>
      </c>
      <c r="C573" s="16" t="s">
        <v>40</v>
      </c>
      <c r="D573" s="16" t="s">
        <v>41</v>
      </c>
      <c r="E573" s="13" t="str">
        <f>+HYPERLINK("http://trademark.i-assist.jp/data/china/image_1891th/77371198.pdf","77371198")</f>
        <v>77371198</v>
      </c>
      <c r="F573" s="16" t="s">
        <v>3146</v>
      </c>
      <c r="G573" s="16" t="s">
        <v>3145</v>
      </c>
      <c r="H573" s="16" t="s">
        <v>3147</v>
      </c>
      <c r="I573" s="17">
        <v>45369</v>
      </c>
    </row>
    <row r="574" spans="1:9" x14ac:dyDescent="0.15">
      <c r="A574" s="16" t="s">
        <v>3153</v>
      </c>
      <c r="B574" s="7" t="s">
        <v>9</v>
      </c>
      <c r="C574" s="16" t="s">
        <v>40</v>
      </c>
      <c r="D574" s="16" t="s">
        <v>41</v>
      </c>
      <c r="E574" s="13" t="str">
        <f>+HYPERLINK("http://trademark.i-assist.jp/data/china/image_1891th/77371215.pdf","77371215")</f>
        <v>77371215</v>
      </c>
      <c r="F574" s="16" t="s">
        <v>3151</v>
      </c>
      <c r="G574" s="16" t="s">
        <v>3150</v>
      </c>
      <c r="H574" s="16" t="s">
        <v>3152</v>
      </c>
      <c r="I574" s="17">
        <v>45369</v>
      </c>
    </row>
    <row r="575" spans="1:9" x14ac:dyDescent="0.15">
      <c r="A575" s="16" t="s">
        <v>3158</v>
      </c>
      <c r="B575" s="7" t="s">
        <v>9</v>
      </c>
      <c r="C575" s="16" t="s">
        <v>40</v>
      </c>
      <c r="D575" s="16" t="s">
        <v>41</v>
      </c>
      <c r="E575" s="13" t="str">
        <f>+HYPERLINK("http://trademark.i-assist.jp/data/china/image_1891th/77372910.pdf","77372910")</f>
        <v>77372910</v>
      </c>
      <c r="F575" s="16" t="s">
        <v>3156</v>
      </c>
      <c r="G575" s="16" t="s">
        <v>3155</v>
      </c>
      <c r="H575" s="16" t="s">
        <v>3157</v>
      </c>
      <c r="I575" s="17">
        <v>45369</v>
      </c>
    </row>
    <row r="576" spans="1:9" x14ac:dyDescent="0.15">
      <c r="A576" s="16" t="s">
        <v>3163</v>
      </c>
      <c r="B576" s="7" t="s">
        <v>9</v>
      </c>
      <c r="C576" s="16" t="s">
        <v>40</v>
      </c>
      <c r="D576" s="16" t="s">
        <v>41</v>
      </c>
      <c r="E576" s="13" t="str">
        <f>+HYPERLINK("http://trademark.i-assist.jp/data/china/image_1891th/77372928.pdf","77372928")</f>
        <v>77372928</v>
      </c>
      <c r="F576" s="16" t="s">
        <v>3161</v>
      </c>
      <c r="G576" s="16" t="s">
        <v>3160</v>
      </c>
      <c r="H576" s="16" t="s">
        <v>3162</v>
      </c>
      <c r="I576" s="17">
        <v>45369</v>
      </c>
    </row>
    <row r="577" spans="1:9" x14ac:dyDescent="0.15">
      <c r="A577" s="16" t="s">
        <v>3167</v>
      </c>
      <c r="B577" s="7" t="s">
        <v>9</v>
      </c>
      <c r="C577" s="16" t="s">
        <v>40</v>
      </c>
      <c r="D577" s="16" t="s">
        <v>41</v>
      </c>
      <c r="E577" s="13" t="str">
        <f>+HYPERLINK("http://trademark.i-assist.jp/data/china/image_1891th/77373059.pdf","77373059")</f>
        <v>77373059</v>
      </c>
      <c r="F577" s="16" t="s">
        <v>3165</v>
      </c>
      <c r="G577" s="16" t="s">
        <v>3130</v>
      </c>
      <c r="H577" s="16" t="s">
        <v>3166</v>
      </c>
      <c r="I577" s="17">
        <v>45369</v>
      </c>
    </row>
    <row r="578" spans="1:9" x14ac:dyDescent="0.15">
      <c r="A578" s="16" t="s">
        <v>3171</v>
      </c>
      <c r="B578" s="7" t="s">
        <v>9</v>
      </c>
      <c r="C578" s="16" t="s">
        <v>40</v>
      </c>
      <c r="D578" s="16" t="s">
        <v>41</v>
      </c>
      <c r="E578" s="13" t="str">
        <f>+HYPERLINK("http://trademark.i-assist.jp/data/china/image_1891th/77373073.pdf","77373073")</f>
        <v>77373073</v>
      </c>
      <c r="F578" s="16" t="s">
        <v>3169</v>
      </c>
      <c r="G578" s="16" t="s">
        <v>3130</v>
      </c>
      <c r="H578" s="16" t="s">
        <v>3170</v>
      </c>
      <c r="I578" s="17">
        <v>45369</v>
      </c>
    </row>
    <row r="579" spans="1:9" x14ac:dyDescent="0.15">
      <c r="A579" s="16" t="s">
        <v>3176</v>
      </c>
      <c r="B579" s="7" t="s">
        <v>9</v>
      </c>
      <c r="C579" s="16" t="s">
        <v>40</v>
      </c>
      <c r="D579" s="16" t="s">
        <v>41</v>
      </c>
      <c r="E579" s="13" t="str">
        <f>+HYPERLINK("http://trademark.i-assist.jp/data/china/image_1891th/77373283.pdf","77373283")</f>
        <v>77373283</v>
      </c>
      <c r="F579" s="16" t="s">
        <v>3174</v>
      </c>
      <c r="G579" s="16" t="s">
        <v>3173</v>
      </c>
      <c r="H579" s="16" t="s">
        <v>3175</v>
      </c>
      <c r="I579" s="17">
        <v>45369</v>
      </c>
    </row>
    <row r="580" spans="1:9" x14ac:dyDescent="0.15">
      <c r="A580" s="16" t="s">
        <v>3181</v>
      </c>
      <c r="B580" s="7" t="s">
        <v>9</v>
      </c>
      <c r="C580" s="16" t="s">
        <v>40</v>
      </c>
      <c r="D580" s="16" t="s">
        <v>41</v>
      </c>
      <c r="E580" s="13" t="str">
        <f>+HYPERLINK("http://trademark.i-assist.jp/data/china/image_1891th/77374381.pdf","77374381")</f>
        <v>77374381</v>
      </c>
      <c r="F580" s="16" t="s">
        <v>3179</v>
      </c>
      <c r="G580" s="16" t="s">
        <v>3178</v>
      </c>
      <c r="H580" s="16" t="s">
        <v>3180</v>
      </c>
      <c r="I580" s="17">
        <v>45369</v>
      </c>
    </row>
    <row r="581" spans="1:9" x14ac:dyDescent="0.15">
      <c r="A581" s="16" t="s">
        <v>3186</v>
      </c>
      <c r="B581" s="7" t="s">
        <v>9</v>
      </c>
      <c r="C581" s="16" t="s">
        <v>40</v>
      </c>
      <c r="D581" s="16" t="s">
        <v>41</v>
      </c>
      <c r="E581" s="13" t="str">
        <f>+HYPERLINK("http://trademark.i-assist.jp/data/china/image_1891th/77375803.pdf","77375803")</f>
        <v>77375803</v>
      </c>
      <c r="F581" s="16" t="s">
        <v>3184</v>
      </c>
      <c r="G581" s="16" t="s">
        <v>3183</v>
      </c>
      <c r="H581" s="16" t="s">
        <v>3185</v>
      </c>
      <c r="I581" s="17">
        <v>45369</v>
      </c>
    </row>
    <row r="582" spans="1:9" x14ac:dyDescent="0.15">
      <c r="A582" s="16" t="s">
        <v>3191</v>
      </c>
      <c r="B582" s="7" t="s">
        <v>9</v>
      </c>
      <c r="C582" s="16" t="s">
        <v>40</v>
      </c>
      <c r="D582" s="16" t="s">
        <v>41</v>
      </c>
      <c r="E582" s="13" t="str">
        <f>+HYPERLINK("http://trademark.i-assist.jp/data/china/image_1891th/77376086.pdf","77376086")</f>
        <v>77376086</v>
      </c>
      <c r="F582" s="16" t="s">
        <v>3189</v>
      </c>
      <c r="G582" s="16" t="s">
        <v>3188</v>
      </c>
      <c r="H582" s="16" t="s">
        <v>3190</v>
      </c>
      <c r="I582" s="17">
        <v>45369</v>
      </c>
    </row>
    <row r="583" spans="1:9" x14ac:dyDescent="0.15">
      <c r="A583" s="16" t="s">
        <v>3195</v>
      </c>
      <c r="B583" s="7" t="s">
        <v>9</v>
      </c>
      <c r="C583" s="16" t="s">
        <v>40</v>
      </c>
      <c r="D583" s="16" t="s">
        <v>41</v>
      </c>
      <c r="E583" s="13" t="str">
        <f>+HYPERLINK("http://trademark.i-assist.jp/data/china/image_1891th/77376660.pdf","77376660")</f>
        <v>77376660</v>
      </c>
      <c r="F583" s="16" t="s">
        <v>52</v>
      </c>
      <c r="G583" s="16" t="s">
        <v>3193</v>
      </c>
      <c r="H583" s="16" t="s">
        <v>3194</v>
      </c>
      <c r="I583" s="17">
        <v>45369</v>
      </c>
    </row>
    <row r="584" spans="1:9" x14ac:dyDescent="0.15">
      <c r="A584" s="16" t="s">
        <v>3200</v>
      </c>
      <c r="B584" s="7" t="s">
        <v>9</v>
      </c>
      <c r="C584" s="16" t="s">
        <v>40</v>
      </c>
      <c r="D584" s="16" t="s">
        <v>41</v>
      </c>
      <c r="E584" s="13" t="str">
        <f>+HYPERLINK("http://trademark.i-assist.jp/data/china/image_1891th/77376703.pdf","77376703")</f>
        <v>77376703</v>
      </c>
      <c r="F584" s="16" t="s">
        <v>3198</v>
      </c>
      <c r="G584" s="16" t="s">
        <v>3197</v>
      </c>
      <c r="H584" s="16" t="s">
        <v>3199</v>
      </c>
      <c r="I584" s="17">
        <v>45369</v>
      </c>
    </row>
    <row r="585" spans="1:9" x14ac:dyDescent="0.15">
      <c r="A585" s="16" t="s">
        <v>3204</v>
      </c>
      <c r="B585" s="7" t="s">
        <v>9</v>
      </c>
      <c r="C585" s="16" t="s">
        <v>40</v>
      </c>
      <c r="D585" s="16" t="s">
        <v>41</v>
      </c>
      <c r="E585" s="13" t="str">
        <f>+HYPERLINK("http://trademark.i-assist.jp/data/china/image_1891th/77376729.pdf","77376729")</f>
        <v>77376729</v>
      </c>
      <c r="F585" s="16" t="s">
        <v>3202</v>
      </c>
      <c r="G585" s="16" t="s">
        <v>3130</v>
      </c>
      <c r="H585" s="16" t="s">
        <v>3203</v>
      </c>
      <c r="I585" s="17">
        <v>45369</v>
      </c>
    </row>
    <row r="586" spans="1:9" x14ac:dyDescent="0.15">
      <c r="A586" s="16" t="s">
        <v>3209</v>
      </c>
      <c r="B586" s="7" t="s">
        <v>9</v>
      </c>
      <c r="C586" s="16" t="s">
        <v>40</v>
      </c>
      <c r="D586" s="16" t="s">
        <v>41</v>
      </c>
      <c r="E586" s="13" t="str">
        <f>+HYPERLINK("http://trademark.i-assist.jp/data/china/image_1891th/77376857.pdf","77376857")</f>
        <v>77376857</v>
      </c>
      <c r="F586" s="16" t="s">
        <v>3207</v>
      </c>
      <c r="G586" s="16" t="s">
        <v>3206</v>
      </c>
      <c r="H586" s="16" t="s">
        <v>3208</v>
      </c>
      <c r="I586" s="17">
        <v>45369</v>
      </c>
    </row>
    <row r="587" spans="1:9" x14ac:dyDescent="0.15">
      <c r="A587" s="16" t="s">
        <v>3214</v>
      </c>
      <c r="B587" s="7" t="s">
        <v>9</v>
      </c>
      <c r="C587" s="16" t="s">
        <v>40</v>
      </c>
      <c r="D587" s="16" t="s">
        <v>41</v>
      </c>
      <c r="E587" s="13" t="str">
        <f>+HYPERLINK("http://trademark.i-assist.jp/data/china/image_1891th/77376944.pdf","77376944")</f>
        <v>77376944</v>
      </c>
      <c r="F587" s="16" t="s">
        <v>3212</v>
      </c>
      <c r="G587" s="16" t="s">
        <v>3211</v>
      </c>
      <c r="H587" s="16" t="s">
        <v>3213</v>
      </c>
      <c r="I587" s="17">
        <v>45369</v>
      </c>
    </row>
    <row r="588" spans="1:9" x14ac:dyDescent="0.15">
      <c r="A588" s="16" t="s">
        <v>3218</v>
      </c>
      <c r="B588" s="7" t="s">
        <v>9</v>
      </c>
      <c r="C588" s="16" t="s">
        <v>40</v>
      </c>
      <c r="D588" s="16" t="s">
        <v>41</v>
      </c>
      <c r="E588" s="13" t="str">
        <f>+HYPERLINK("http://trademark.i-assist.jp/data/china/image_1891th/77377073.pdf","77377073")</f>
        <v>77377073</v>
      </c>
      <c r="F588" s="16" t="s">
        <v>3216</v>
      </c>
      <c r="G588" s="16" t="s">
        <v>3085</v>
      </c>
      <c r="H588" s="16" t="s">
        <v>3217</v>
      </c>
      <c r="I588" s="17">
        <v>45369</v>
      </c>
    </row>
    <row r="589" spans="1:9" x14ac:dyDescent="0.15">
      <c r="A589" s="16" t="s">
        <v>3368</v>
      </c>
      <c r="B589" s="7" t="s">
        <v>9</v>
      </c>
      <c r="C589" s="16" t="s">
        <v>40</v>
      </c>
      <c r="D589" s="16" t="s">
        <v>41</v>
      </c>
      <c r="E589" s="13" t="str">
        <f>+HYPERLINK("http://trademark.i-assist.jp/data/china/image_1891th/77377788.pdf","77377788")</f>
        <v>77377788</v>
      </c>
      <c r="F589" s="16" t="s">
        <v>3221</v>
      </c>
      <c r="G589" s="16" t="s">
        <v>3220</v>
      </c>
      <c r="H589" s="16" t="s">
        <v>3222</v>
      </c>
      <c r="I589" s="17">
        <v>45369</v>
      </c>
    </row>
    <row r="590" spans="1:9" x14ac:dyDescent="0.15">
      <c r="A590" s="16" t="s">
        <v>3373</v>
      </c>
      <c r="B590" s="7" t="s">
        <v>9</v>
      </c>
      <c r="C590" s="16" t="s">
        <v>40</v>
      </c>
      <c r="D590" s="16" t="s">
        <v>41</v>
      </c>
      <c r="E590" s="13" t="str">
        <f>+HYPERLINK("http://trademark.i-assist.jp/data/china/image_1891th/77378398.pdf","77378398")</f>
        <v>77378398</v>
      </c>
      <c r="F590" s="16" t="s">
        <v>3371</v>
      </c>
      <c r="G590" s="16" t="s">
        <v>3370</v>
      </c>
      <c r="H590" s="16" t="s">
        <v>3372</v>
      </c>
      <c r="I590" s="17">
        <v>45369</v>
      </c>
    </row>
    <row r="591" spans="1:9" x14ac:dyDescent="0.15">
      <c r="A591" s="16" t="s">
        <v>3378</v>
      </c>
      <c r="B591" s="7" t="s">
        <v>9</v>
      </c>
      <c r="C591" s="16" t="s">
        <v>40</v>
      </c>
      <c r="D591" s="16" t="s">
        <v>41</v>
      </c>
      <c r="E591" s="13" t="str">
        <f>+HYPERLINK("http://trademark.i-assist.jp/data/china/image_1891th/77378562.pdf","77378562")</f>
        <v>77378562</v>
      </c>
      <c r="F591" s="16" t="s">
        <v>3376</v>
      </c>
      <c r="G591" s="16" t="s">
        <v>3375</v>
      </c>
      <c r="H591" s="16" t="s">
        <v>3377</v>
      </c>
      <c r="I591" s="17">
        <v>45369</v>
      </c>
    </row>
    <row r="592" spans="1:9" x14ac:dyDescent="0.15">
      <c r="A592" s="16" t="s">
        <v>3383</v>
      </c>
      <c r="B592" s="7" t="s">
        <v>9</v>
      </c>
      <c r="C592" s="16" t="s">
        <v>40</v>
      </c>
      <c r="D592" s="16" t="s">
        <v>41</v>
      </c>
      <c r="E592" s="13" t="str">
        <f>+HYPERLINK("http://trademark.i-assist.jp/data/china/image_1891th/77379025.pdf","77379025")</f>
        <v>77379025</v>
      </c>
      <c r="F592" s="16" t="s">
        <v>3381</v>
      </c>
      <c r="G592" s="16" t="s">
        <v>3380</v>
      </c>
      <c r="H592" s="16" t="s">
        <v>3382</v>
      </c>
      <c r="I592" s="17">
        <v>45369</v>
      </c>
    </row>
    <row r="593" spans="1:9" x14ac:dyDescent="0.15">
      <c r="A593" s="16" t="s">
        <v>3388</v>
      </c>
      <c r="B593" s="7" t="s">
        <v>9</v>
      </c>
      <c r="C593" s="16" t="s">
        <v>40</v>
      </c>
      <c r="D593" s="16" t="s">
        <v>41</v>
      </c>
      <c r="E593" s="13" t="str">
        <f>+HYPERLINK("http://trademark.i-assist.jp/data/china/image_1891th/77379110.pdf","77379110")</f>
        <v>77379110</v>
      </c>
      <c r="F593" s="16" t="s">
        <v>3386</v>
      </c>
      <c r="G593" s="16" t="s">
        <v>3385</v>
      </c>
      <c r="H593" s="16" t="s">
        <v>3387</v>
      </c>
      <c r="I593" s="17">
        <v>45369</v>
      </c>
    </row>
    <row r="594" spans="1:9" x14ac:dyDescent="0.15">
      <c r="A594" s="16" t="s">
        <v>3393</v>
      </c>
      <c r="B594" s="7" t="s">
        <v>9</v>
      </c>
      <c r="C594" s="16" t="s">
        <v>40</v>
      </c>
      <c r="D594" s="16" t="s">
        <v>41</v>
      </c>
      <c r="E594" s="13" t="str">
        <f>+HYPERLINK("http://trademark.i-assist.jp/data/china/image_1891th/77379263.pdf","77379263")</f>
        <v>77379263</v>
      </c>
      <c r="F594" s="16" t="s">
        <v>3391</v>
      </c>
      <c r="G594" s="16" t="s">
        <v>3390</v>
      </c>
      <c r="H594" s="16" t="s">
        <v>3392</v>
      </c>
      <c r="I594" s="17">
        <v>45369</v>
      </c>
    </row>
    <row r="595" spans="1:9" x14ac:dyDescent="0.15">
      <c r="A595" s="16" t="s">
        <v>3397</v>
      </c>
      <c r="B595" s="7" t="s">
        <v>9</v>
      </c>
      <c r="C595" s="16" t="s">
        <v>40</v>
      </c>
      <c r="D595" s="16" t="s">
        <v>41</v>
      </c>
      <c r="E595" s="13" t="str">
        <f>+HYPERLINK("http://trademark.i-assist.jp/data/china/image_1891th/77380232.pdf","77380232")</f>
        <v>77380232</v>
      </c>
      <c r="F595" s="16" t="s">
        <v>3395</v>
      </c>
      <c r="G595" s="16" t="s">
        <v>3130</v>
      </c>
      <c r="H595" s="16" t="s">
        <v>3396</v>
      </c>
      <c r="I595" s="17">
        <v>45369</v>
      </c>
    </row>
    <row r="596" spans="1:9" x14ac:dyDescent="0.15">
      <c r="A596" s="16" t="s">
        <v>3402</v>
      </c>
      <c r="B596" s="7" t="s">
        <v>9</v>
      </c>
      <c r="C596" s="16" t="s">
        <v>40</v>
      </c>
      <c r="D596" s="16" t="s">
        <v>41</v>
      </c>
      <c r="E596" s="13" t="str">
        <f>+HYPERLINK("http://trademark.i-assist.jp/data/china/image_1891th/77381021.pdf","77381021")</f>
        <v>77381021</v>
      </c>
      <c r="F596" s="16" t="s">
        <v>3400</v>
      </c>
      <c r="G596" s="16" t="s">
        <v>3399</v>
      </c>
      <c r="H596" s="16" t="s">
        <v>3401</v>
      </c>
      <c r="I596" s="17">
        <v>45369</v>
      </c>
    </row>
    <row r="597" spans="1:9" x14ac:dyDescent="0.15">
      <c r="A597" s="16" t="s">
        <v>3407</v>
      </c>
      <c r="B597" s="7" t="s">
        <v>9</v>
      </c>
      <c r="C597" s="16" t="s">
        <v>40</v>
      </c>
      <c r="D597" s="16" t="s">
        <v>41</v>
      </c>
      <c r="E597" s="13" t="str">
        <f>+HYPERLINK("http://trademark.i-assist.jp/data/china/image_1891th/77381319.pdf","77381319")</f>
        <v>77381319</v>
      </c>
      <c r="F597" s="16" t="s">
        <v>3405</v>
      </c>
      <c r="G597" s="16" t="s">
        <v>3404</v>
      </c>
      <c r="H597" s="16" t="s">
        <v>3406</v>
      </c>
      <c r="I597" s="17">
        <v>45369</v>
      </c>
    </row>
    <row r="598" spans="1:9" x14ac:dyDescent="0.15">
      <c r="A598" s="16" t="s">
        <v>3412</v>
      </c>
      <c r="B598" s="7" t="s">
        <v>9</v>
      </c>
      <c r="C598" s="16" t="s">
        <v>40</v>
      </c>
      <c r="D598" s="16" t="s">
        <v>41</v>
      </c>
      <c r="E598" s="13" t="str">
        <f>+HYPERLINK("http://trademark.i-assist.jp/data/china/image_1891th/77381371.pdf","77381371")</f>
        <v>77381371</v>
      </c>
      <c r="F598" s="16" t="s">
        <v>3410</v>
      </c>
      <c r="G598" s="16" t="s">
        <v>3409</v>
      </c>
      <c r="H598" s="16" t="s">
        <v>3411</v>
      </c>
      <c r="I598" s="17">
        <v>45369</v>
      </c>
    </row>
    <row r="599" spans="1:9" x14ac:dyDescent="0.15">
      <c r="A599" s="16" t="s">
        <v>3416</v>
      </c>
      <c r="B599" s="7" t="s">
        <v>9</v>
      </c>
      <c r="C599" s="16" t="s">
        <v>40</v>
      </c>
      <c r="D599" s="16" t="s">
        <v>41</v>
      </c>
      <c r="E599" s="13" t="str">
        <f>+HYPERLINK("http://trademark.i-assist.jp/data/china/image_1891th/77381384.pdf","77381384")</f>
        <v>77381384</v>
      </c>
      <c r="F599" s="16" t="s">
        <v>3414</v>
      </c>
      <c r="G599" s="16" t="s">
        <v>3409</v>
      </c>
      <c r="H599" s="16" t="s">
        <v>3415</v>
      </c>
      <c r="I599" s="17">
        <v>45369</v>
      </c>
    </row>
    <row r="600" spans="1:9" x14ac:dyDescent="0.15">
      <c r="A600" s="16" t="s">
        <v>3420</v>
      </c>
      <c r="B600" s="7" t="s">
        <v>9</v>
      </c>
      <c r="C600" s="16" t="s">
        <v>40</v>
      </c>
      <c r="D600" s="16" t="s">
        <v>41</v>
      </c>
      <c r="E600" s="13" t="str">
        <f>+HYPERLINK("http://trademark.i-assist.jp/data/china/image_1891th/77381645.pdf","77381645")</f>
        <v>77381645</v>
      </c>
      <c r="F600" s="16" t="s">
        <v>3418</v>
      </c>
      <c r="G600" s="16" t="s">
        <v>3090</v>
      </c>
      <c r="H600" s="16" t="s">
        <v>3419</v>
      </c>
      <c r="I600" s="17">
        <v>45369</v>
      </c>
    </row>
    <row r="601" spans="1:9" x14ac:dyDescent="0.15">
      <c r="A601" s="16" t="s">
        <v>3424</v>
      </c>
      <c r="B601" s="7" t="s">
        <v>9</v>
      </c>
      <c r="C601" s="16" t="s">
        <v>40</v>
      </c>
      <c r="D601" s="16" t="s">
        <v>41</v>
      </c>
      <c r="E601" s="13" t="str">
        <f>+HYPERLINK("http://trademark.i-assist.jp/data/china/image_1891th/77381961.pdf","77381961")</f>
        <v>77381961</v>
      </c>
      <c r="F601" s="16" t="s">
        <v>52</v>
      </c>
      <c r="G601" s="16" t="s">
        <v>3422</v>
      </c>
      <c r="H601" s="16" t="s">
        <v>3423</v>
      </c>
      <c r="I601" s="17">
        <v>45369</v>
      </c>
    </row>
    <row r="602" spans="1:9" x14ac:dyDescent="0.15">
      <c r="A602" s="16" t="s">
        <v>3429</v>
      </c>
      <c r="B602" s="7" t="s">
        <v>9</v>
      </c>
      <c r="C602" s="16" t="s">
        <v>40</v>
      </c>
      <c r="D602" s="16" t="s">
        <v>41</v>
      </c>
      <c r="E602" s="13" t="str">
        <f>+HYPERLINK("http://trademark.i-assist.jp/data/china/image_1891th/77382090.pdf","77382090")</f>
        <v>77382090</v>
      </c>
      <c r="F602" s="16" t="s">
        <v>3427</v>
      </c>
      <c r="G602" s="16" t="s">
        <v>3426</v>
      </c>
      <c r="H602" s="16" t="s">
        <v>3428</v>
      </c>
      <c r="I602" s="17">
        <v>45369</v>
      </c>
    </row>
    <row r="603" spans="1:9" x14ac:dyDescent="0.15">
      <c r="A603" s="16" t="s">
        <v>3434</v>
      </c>
      <c r="B603" s="7" t="s">
        <v>9</v>
      </c>
      <c r="C603" s="16" t="s">
        <v>40</v>
      </c>
      <c r="D603" s="16" t="s">
        <v>41</v>
      </c>
      <c r="E603" s="13" t="str">
        <f>+HYPERLINK("http://trademark.i-assist.jp/data/china/image_1891th/77383047.pdf","77383047")</f>
        <v>77383047</v>
      </c>
      <c r="F603" s="16" t="s">
        <v>3432</v>
      </c>
      <c r="G603" s="16" t="s">
        <v>3431</v>
      </c>
      <c r="H603" s="16" t="s">
        <v>3433</v>
      </c>
      <c r="I603" s="17">
        <v>45369</v>
      </c>
    </row>
    <row r="604" spans="1:9" x14ac:dyDescent="0.15">
      <c r="A604" s="16" t="s">
        <v>3439</v>
      </c>
      <c r="B604" s="7" t="s">
        <v>9</v>
      </c>
      <c r="C604" s="16" t="s">
        <v>40</v>
      </c>
      <c r="D604" s="16" t="s">
        <v>41</v>
      </c>
      <c r="E604" s="13" t="str">
        <f>+HYPERLINK("http://trademark.i-assist.jp/data/china/image_1891th/77383080.pdf","77383080")</f>
        <v>77383080</v>
      </c>
      <c r="F604" s="16" t="s">
        <v>3437</v>
      </c>
      <c r="G604" s="16" t="s">
        <v>3436</v>
      </c>
      <c r="H604" s="16" t="s">
        <v>3438</v>
      </c>
      <c r="I604" s="17">
        <v>45369</v>
      </c>
    </row>
    <row r="605" spans="1:9" x14ac:dyDescent="0.15">
      <c r="A605" s="16" t="s">
        <v>3444</v>
      </c>
      <c r="B605" s="7" t="s">
        <v>9</v>
      </c>
      <c r="C605" s="16" t="s">
        <v>40</v>
      </c>
      <c r="D605" s="16" t="s">
        <v>41</v>
      </c>
      <c r="E605" s="13" t="str">
        <f>+HYPERLINK("http://trademark.i-assist.jp/data/china/image_1891th/77383640.pdf","77383640")</f>
        <v>77383640</v>
      </c>
      <c r="F605" s="16" t="s">
        <v>3442</v>
      </c>
      <c r="G605" s="16" t="s">
        <v>3441</v>
      </c>
      <c r="H605" s="16" t="s">
        <v>3443</v>
      </c>
      <c r="I605" s="17">
        <v>45369</v>
      </c>
    </row>
    <row r="606" spans="1:9" x14ac:dyDescent="0.15">
      <c r="A606" s="16" t="s">
        <v>3449</v>
      </c>
      <c r="B606" s="7" t="s">
        <v>9</v>
      </c>
      <c r="C606" s="16" t="s">
        <v>40</v>
      </c>
      <c r="D606" s="16" t="s">
        <v>41</v>
      </c>
      <c r="E606" s="13" t="str">
        <f>+HYPERLINK("http://trademark.i-assist.jp/data/china/image_1891th/77383887.pdf","77383887")</f>
        <v>77383887</v>
      </c>
      <c r="F606" s="16" t="s">
        <v>3447</v>
      </c>
      <c r="G606" s="16" t="s">
        <v>3446</v>
      </c>
      <c r="H606" s="16" t="s">
        <v>3448</v>
      </c>
      <c r="I606" s="17">
        <v>45369</v>
      </c>
    </row>
    <row r="607" spans="1:9" x14ac:dyDescent="0.15">
      <c r="A607" s="16" t="s">
        <v>3453</v>
      </c>
      <c r="B607" s="7" t="s">
        <v>9</v>
      </c>
      <c r="C607" s="16" t="s">
        <v>40</v>
      </c>
      <c r="D607" s="16" t="s">
        <v>41</v>
      </c>
      <c r="E607" s="13" t="str">
        <f>+HYPERLINK("http://trademark.i-assist.jp/data/china/image_1891th/77383899.pdf","77383899")</f>
        <v>77383899</v>
      </c>
      <c r="F607" s="16" t="s">
        <v>3451</v>
      </c>
      <c r="G607" s="16" t="s">
        <v>3375</v>
      </c>
      <c r="H607" s="16" t="s">
        <v>3452</v>
      </c>
      <c r="I607" s="17">
        <v>45369</v>
      </c>
    </row>
    <row r="608" spans="1:9" x14ac:dyDescent="0.15">
      <c r="A608" s="16" t="s">
        <v>3458</v>
      </c>
      <c r="B608" s="7" t="s">
        <v>9</v>
      </c>
      <c r="C608" s="16" t="s">
        <v>40</v>
      </c>
      <c r="D608" s="16" t="s">
        <v>41</v>
      </c>
      <c r="E608" s="13" t="str">
        <f>+HYPERLINK("http://trademark.i-assist.jp/data/china/image_1891th/77383908.pdf","77383908")</f>
        <v>77383908</v>
      </c>
      <c r="F608" s="16" t="s">
        <v>3456</v>
      </c>
      <c r="G608" s="16" t="s">
        <v>3455</v>
      </c>
      <c r="H608" s="16" t="s">
        <v>3457</v>
      </c>
      <c r="I608" s="17">
        <v>45369</v>
      </c>
    </row>
    <row r="609" spans="1:9" x14ac:dyDescent="0.15">
      <c r="A609" s="16" t="s">
        <v>3463</v>
      </c>
      <c r="B609" s="7" t="s">
        <v>9</v>
      </c>
      <c r="C609" s="16" t="s">
        <v>40</v>
      </c>
      <c r="D609" s="16" t="s">
        <v>41</v>
      </c>
      <c r="E609" s="13" t="str">
        <f>+HYPERLINK("http://trademark.i-assist.jp/data/china/image_1891th/77385195.pdf","77385195")</f>
        <v>77385195</v>
      </c>
      <c r="F609" s="16" t="s">
        <v>3461</v>
      </c>
      <c r="G609" s="16" t="s">
        <v>3460</v>
      </c>
      <c r="H609" s="16" t="s">
        <v>3462</v>
      </c>
      <c r="I609" s="17">
        <v>45369</v>
      </c>
    </row>
    <row r="610" spans="1:9" x14ac:dyDescent="0.15">
      <c r="A610" s="16" t="s">
        <v>3468</v>
      </c>
      <c r="B610" s="7" t="s">
        <v>9</v>
      </c>
      <c r="C610" s="16" t="s">
        <v>40</v>
      </c>
      <c r="D610" s="16" t="s">
        <v>41</v>
      </c>
      <c r="E610" s="13" t="str">
        <f>+HYPERLINK("http://trademark.i-assist.jp/data/china/image_1891th/77386008.pdf","77386008")</f>
        <v>77386008</v>
      </c>
      <c r="F610" s="16" t="s">
        <v>3466</v>
      </c>
      <c r="G610" s="16" t="s">
        <v>3465</v>
      </c>
      <c r="H610" s="16" t="s">
        <v>3467</v>
      </c>
      <c r="I610" s="17">
        <v>45370</v>
      </c>
    </row>
    <row r="611" spans="1:9" x14ac:dyDescent="0.15">
      <c r="A611" s="16" t="s">
        <v>3472</v>
      </c>
      <c r="B611" s="7" t="s">
        <v>9</v>
      </c>
      <c r="C611" s="16" t="s">
        <v>40</v>
      </c>
      <c r="D611" s="16" t="s">
        <v>41</v>
      </c>
      <c r="E611" s="13" t="str">
        <f>+HYPERLINK("http://trademark.i-assist.jp/data/china/image_1891th/77386128.pdf","77386128")</f>
        <v>77386128</v>
      </c>
      <c r="F611" s="16" t="s">
        <v>52</v>
      </c>
      <c r="G611" s="16" t="s">
        <v>3470</v>
      </c>
      <c r="H611" s="16" t="s">
        <v>3471</v>
      </c>
      <c r="I611" s="17">
        <v>45370</v>
      </c>
    </row>
    <row r="612" spans="1:9" x14ac:dyDescent="0.15">
      <c r="A612" s="16" t="s">
        <v>3477</v>
      </c>
      <c r="B612" s="7" t="s">
        <v>9</v>
      </c>
      <c r="C612" s="16" t="s">
        <v>40</v>
      </c>
      <c r="D612" s="16" t="s">
        <v>41</v>
      </c>
      <c r="E612" s="13" t="str">
        <f>+HYPERLINK("http://trademark.i-assist.jp/data/china/image_1891th/77386845.pdf","77386845")</f>
        <v>77386845</v>
      </c>
      <c r="F612" s="16" t="s">
        <v>3475</v>
      </c>
      <c r="G612" s="16" t="s">
        <v>3474</v>
      </c>
      <c r="H612" s="16" t="s">
        <v>3476</v>
      </c>
      <c r="I612" s="17">
        <v>45370</v>
      </c>
    </row>
    <row r="613" spans="1:9" x14ac:dyDescent="0.15">
      <c r="A613" s="16" t="s">
        <v>3482</v>
      </c>
      <c r="B613" s="7" t="s">
        <v>9</v>
      </c>
      <c r="C613" s="16" t="s">
        <v>40</v>
      </c>
      <c r="D613" s="16" t="s">
        <v>41</v>
      </c>
      <c r="E613" s="13" t="str">
        <f>+HYPERLINK("http://trademark.i-assist.jp/data/china/image_1891th/77387111.pdf","77387111")</f>
        <v>77387111</v>
      </c>
      <c r="F613" s="16" t="s">
        <v>3480</v>
      </c>
      <c r="G613" s="16" t="s">
        <v>3479</v>
      </c>
      <c r="H613" s="16" t="s">
        <v>3481</v>
      </c>
      <c r="I613" s="17">
        <v>45370</v>
      </c>
    </row>
    <row r="614" spans="1:9" x14ac:dyDescent="0.15">
      <c r="A614" s="16" t="s">
        <v>3486</v>
      </c>
      <c r="B614" s="7" t="s">
        <v>9</v>
      </c>
      <c r="C614" s="16" t="s">
        <v>40</v>
      </c>
      <c r="D614" s="16" t="s">
        <v>41</v>
      </c>
      <c r="E614" s="13" t="str">
        <f>+HYPERLINK("http://trademark.i-assist.jp/data/china/image_1891th/77388361.pdf","77388361")</f>
        <v>77388361</v>
      </c>
      <c r="F614" s="16" t="s">
        <v>52</v>
      </c>
      <c r="G614" s="16" t="s">
        <v>3484</v>
      </c>
      <c r="H614" s="16" t="s">
        <v>3485</v>
      </c>
      <c r="I614" s="17">
        <v>45370</v>
      </c>
    </row>
    <row r="615" spans="1:9" x14ac:dyDescent="0.15">
      <c r="A615" s="16" t="s">
        <v>3491</v>
      </c>
      <c r="B615" s="7" t="s">
        <v>9</v>
      </c>
      <c r="C615" s="16" t="s">
        <v>40</v>
      </c>
      <c r="D615" s="16" t="s">
        <v>41</v>
      </c>
      <c r="E615" s="13" t="str">
        <f>+HYPERLINK("http://trademark.i-assist.jp/data/china/image_1891th/77388529.pdf","77388529")</f>
        <v>77388529</v>
      </c>
      <c r="F615" s="16" t="s">
        <v>3489</v>
      </c>
      <c r="G615" s="16" t="s">
        <v>3488</v>
      </c>
      <c r="H615" s="16" t="s">
        <v>3490</v>
      </c>
      <c r="I615" s="17">
        <v>45370</v>
      </c>
    </row>
    <row r="616" spans="1:9" x14ac:dyDescent="0.15">
      <c r="A616" s="16" t="s">
        <v>3496</v>
      </c>
      <c r="B616" s="7" t="s">
        <v>9</v>
      </c>
      <c r="C616" s="16" t="s">
        <v>40</v>
      </c>
      <c r="D616" s="16" t="s">
        <v>41</v>
      </c>
      <c r="E616" s="13" t="str">
        <f>+HYPERLINK("http://trademark.i-assist.jp/data/china/image_1891th/77389279.pdf","77389279")</f>
        <v>77389279</v>
      </c>
      <c r="F616" s="16" t="s">
        <v>3494</v>
      </c>
      <c r="G616" s="16" t="s">
        <v>3493</v>
      </c>
      <c r="H616" s="16" t="s">
        <v>3495</v>
      </c>
      <c r="I616" s="17">
        <v>45370</v>
      </c>
    </row>
    <row r="617" spans="1:9" x14ac:dyDescent="0.15">
      <c r="A617" s="16" t="s">
        <v>3501</v>
      </c>
      <c r="B617" s="7" t="s">
        <v>9</v>
      </c>
      <c r="C617" s="16" t="s">
        <v>40</v>
      </c>
      <c r="D617" s="16" t="s">
        <v>41</v>
      </c>
      <c r="E617" s="13" t="str">
        <f>+HYPERLINK("http://trademark.i-assist.jp/data/china/image_1891th/77389297.pdf","77389297")</f>
        <v>77389297</v>
      </c>
      <c r="F617" s="16" t="s">
        <v>3499</v>
      </c>
      <c r="G617" s="16" t="s">
        <v>3498</v>
      </c>
      <c r="H617" s="16" t="s">
        <v>3500</v>
      </c>
      <c r="I617" s="17">
        <v>45370</v>
      </c>
    </row>
    <row r="618" spans="1:9" x14ac:dyDescent="0.15">
      <c r="A618" s="16" t="s">
        <v>3506</v>
      </c>
      <c r="B618" s="7" t="s">
        <v>9</v>
      </c>
      <c r="C618" s="16" t="s">
        <v>40</v>
      </c>
      <c r="D618" s="16" t="s">
        <v>41</v>
      </c>
      <c r="E618" s="13" t="str">
        <f>+HYPERLINK("http://trademark.i-assist.jp/data/china/image_1891th/77390007.pdf","77390007")</f>
        <v>77390007</v>
      </c>
      <c r="F618" s="16" t="s">
        <v>3504</v>
      </c>
      <c r="G618" s="16" t="s">
        <v>3503</v>
      </c>
      <c r="H618" s="16" t="s">
        <v>3505</v>
      </c>
      <c r="I618" s="17">
        <v>45370</v>
      </c>
    </row>
    <row r="619" spans="1:9" x14ac:dyDescent="0.15">
      <c r="A619" s="16" t="s">
        <v>3511</v>
      </c>
      <c r="B619" s="7" t="s">
        <v>9</v>
      </c>
      <c r="C619" s="16" t="s">
        <v>40</v>
      </c>
      <c r="D619" s="16" t="s">
        <v>41</v>
      </c>
      <c r="E619" s="13" t="str">
        <f>+HYPERLINK("http://trademark.i-assist.jp/data/china/image_1891th/77391228.pdf","77391228")</f>
        <v>77391228</v>
      </c>
      <c r="F619" s="16" t="s">
        <v>11095</v>
      </c>
      <c r="G619" s="16" t="s">
        <v>3508</v>
      </c>
      <c r="H619" s="16" t="s">
        <v>3510</v>
      </c>
      <c r="I619" s="17">
        <v>45370</v>
      </c>
    </row>
    <row r="620" spans="1:9" x14ac:dyDescent="0.15">
      <c r="A620" s="16" t="s">
        <v>3516</v>
      </c>
      <c r="B620" s="7" t="s">
        <v>9</v>
      </c>
      <c r="C620" s="16" t="s">
        <v>40</v>
      </c>
      <c r="D620" s="16" t="s">
        <v>41</v>
      </c>
      <c r="E620" s="13" t="str">
        <f>+HYPERLINK("http://trademark.i-assist.jp/data/china/image_1891th/77391352.pdf","77391352")</f>
        <v>77391352</v>
      </c>
      <c r="F620" s="16" t="s">
        <v>3514</v>
      </c>
      <c r="G620" s="16" t="s">
        <v>3513</v>
      </c>
      <c r="H620" s="16" t="s">
        <v>3515</v>
      </c>
      <c r="I620" s="17">
        <v>45370</v>
      </c>
    </row>
    <row r="621" spans="1:9" x14ac:dyDescent="0.15">
      <c r="A621" s="16" t="s">
        <v>3521</v>
      </c>
      <c r="B621" s="7" t="s">
        <v>9</v>
      </c>
      <c r="C621" s="16" t="s">
        <v>40</v>
      </c>
      <c r="D621" s="16" t="s">
        <v>41</v>
      </c>
      <c r="E621" s="13" t="str">
        <f>+HYPERLINK("http://trademark.i-assist.jp/data/china/image_1891th/77391551.pdf","77391551")</f>
        <v>77391551</v>
      </c>
      <c r="F621" s="16" t="s">
        <v>3519</v>
      </c>
      <c r="G621" s="16" t="s">
        <v>3518</v>
      </c>
      <c r="H621" s="16" t="s">
        <v>3520</v>
      </c>
      <c r="I621" s="17">
        <v>45370</v>
      </c>
    </row>
    <row r="622" spans="1:9" x14ac:dyDescent="0.15">
      <c r="A622" s="16" t="s">
        <v>3526</v>
      </c>
      <c r="B622" s="7" t="s">
        <v>9</v>
      </c>
      <c r="C622" s="16" t="s">
        <v>40</v>
      </c>
      <c r="D622" s="16" t="s">
        <v>41</v>
      </c>
      <c r="E622" s="13" t="str">
        <f>+HYPERLINK("http://trademark.i-assist.jp/data/china/image_1891th/77391576.pdf","77391576")</f>
        <v>77391576</v>
      </c>
      <c r="F622" s="16" t="s">
        <v>3524</v>
      </c>
      <c r="G622" s="16" t="s">
        <v>3523</v>
      </c>
      <c r="H622" s="16" t="s">
        <v>3525</v>
      </c>
      <c r="I622" s="17">
        <v>45370</v>
      </c>
    </row>
    <row r="623" spans="1:9" x14ac:dyDescent="0.15">
      <c r="A623" s="16" t="s">
        <v>3530</v>
      </c>
      <c r="B623" s="7" t="s">
        <v>9</v>
      </c>
      <c r="C623" s="16" t="s">
        <v>40</v>
      </c>
      <c r="D623" s="16" t="s">
        <v>41</v>
      </c>
      <c r="E623" s="13" t="str">
        <f>+HYPERLINK("http://trademark.i-assist.jp/data/china/image_1891th/77391939.pdf","77391939")</f>
        <v>77391939</v>
      </c>
      <c r="F623" s="16" t="s">
        <v>3528</v>
      </c>
      <c r="G623" s="16" t="s">
        <v>323</v>
      </c>
      <c r="H623" s="16" t="s">
        <v>3529</v>
      </c>
      <c r="I623" s="17">
        <v>45370</v>
      </c>
    </row>
    <row r="624" spans="1:9" x14ac:dyDescent="0.15">
      <c r="A624" s="16" t="s">
        <v>3535</v>
      </c>
      <c r="B624" s="7" t="s">
        <v>9</v>
      </c>
      <c r="C624" s="16" t="s">
        <v>40</v>
      </c>
      <c r="D624" s="16" t="s">
        <v>41</v>
      </c>
      <c r="E624" s="13" t="str">
        <f>+HYPERLINK("http://trademark.i-assist.jp/data/china/image_1891th/77392222.pdf","77392222")</f>
        <v>77392222</v>
      </c>
      <c r="F624" s="16" t="s">
        <v>3533</v>
      </c>
      <c r="G624" s="16" t="s">
        <v>3532</v>
      </c>
      <c r="H624" s="16" t="s">
        <v>3534</v>
      </c>
      <c r="I624" s="17">
        <v>45370</v>
      </c>
    </row>
    <row r="625" spans="1:9" x14ac:dyDescent="0.15">
      <c r="A625" s="16" t="s">
        <v>3539</v>
      </c>
      <c r="B625" s="7" t="s">
        <v>9</v>
      </c>
      <c r="C625" s="16" t="s">
        <v>40</v>
      </c>
      <c r="D625" s="16" t="s">
        <v>41</v>
      </c>
      <c r="E625" s="13" t="str">
        <f>+HYPERLINK("http://trademark.i-assist.jp/data/china/image_1891th/77392518.pdf","77392518")</f>
        <v>77392518</v>
      </c>
      <c r="F625" s="16" t="s">
        <v>52</v>
      </c>
      <c r="G625" s="16" t="s">
        <v>3537</v>
      </c>
      <c r="H625" s="16" t="s">
        <v>3538</v>
      </c>
      <c r="I625" s="17">
        <v>45370</v>
      </c>
    </row>
    <row r="626" spans="1:9" x14ac:dyDescent="0.15">
      <c r="A626" s="16" t="s">
        <v>3544</v>
      </c>
      <c r="B626" s="7" t="s">
        <v>9</v>
      </c>
      <c r="C626" s="16" t="s">
        <v>40</v>
      </c>
      <c r="D626" s="16" t="s">
        <v>41</v>
      </c>
      <c r="E626" s="13" t="str">
        <f>+HYPERLINK("http://trademark.i-assist.jp/data/china/image_1891th/77393551.pdf","77393551")</f>
        <v>77393551</v>
      </c>
      <c r="F626" s="16" t="s">
        <v>3542</v>
      </c>
      <c r="G626" s="16" t="s">
        <v>3541</v>
      </c>
      <c r="H626" s="16" t="s">
        <v>3543</v>
      </c>
      <c r="I626" s="17">
        <v>45370</v>
      </c>
    </row>
    <row r="627" spans="1:9" x14ac:dyDescent="0.15">
      <c r="A627" s="16" t="s">
        <v>3549</v>
      </c>
      <c r="B627" s="7" t="s">
        <v>9</v>
      </c>
      <c r="C627" s="16" t="s">
        <v>40</v>
      </c>
      <c r="D627" s="16" t="s">
        <v>41</v>
      </c>
      <c r="E627" s="13" t="str">
        <f>+HYPERLINK("http://trademark.i-assist.jp/data/china/image_1891th/77393669.pdf","77393669")</f>
        <v>77393669</v>
      </c>
      <c r="F627" s="16" t="s">
        <v>3547</v>
      </c>
      <c r="G627" s="16" t="s">
        <v>3546</v>
      </c>
      <c r="H627" s="16" t="s">
        <v>3548</v>
      </c>
      <c r="I627" s="17">
        <v>45370</v>
      </c>
    </row>
    <row r="628" spans="1:9" x14ac:dyDescent="0.15">
      <c r="A628" s="16" t="s">
        <v>3554</v>
      </c>
      <c r="B628" s="7" t="s">
        <v>9</v>
      </c>
      <c r="C628" s="16" t="s">
        <v>40</v>
      </c>
      <c r="D628" s="16" t="s">
        <v>41</v>
      </c>
      <c r="E628" s="13" t="str">
        <f>+HYPERLINK("http://trademark.i-assist.jp/data/china/image_1891th/77393714.pdf","77393714")</f>
        <v>77393714</v>
      </c>
      <c r="F628" s="16" t="s">
        <v>3552</v>
      </c>
      <c r="G628" s="16" t="s">
        <v>3551</v>
      </c>
      <c r="H628" s="16" t="s">
        <v>3553</v>
      </c>
      <c r="I628" s="17">
        <v>45370</v>
      </c>
    </row>
    <row r="629" spans="1:9" x14ac:dyDescent="0.15">
      <c r="A629" s="16" t="s">
        <v>3559</v>
      </c>
      <c r="B629" s="7" t="s">
        <v>9</v>
      </c>
      <c r="C629" s="16" t="s">
        <v>40</v>
      </c>
      <c r="D629" s="16" t="s">
        <v>41</v>
      </c>
      <c r="E629" s="13" t="str">
        <f>+HYPERLINK("http://trademark.i-assist.jp/data/china/image_1891th/77394162.pdf","77394162")</f>
        <v>77394162</v>
      </c>
      <c r="F629" s="16" t="s">
        <v>3557</v>
      </c>
      <c r="G629" s="16" t="s">
        <v>3556</v>
      </c>
      <c r="H629" s="16" t="s">
        <v>3558</v>
      </c>
      <c r="I629" s="17">
        <v>45370</v>
      </c>
    </row>
    <row r="630" spans="1:9" x14ac:dyDescent="0.15">
      <c r="A630" s="16" t="s">
        <v>3564</v>
      </c>
      <c r="B630" s="7" t="s">
        <v>9</v>
      </c>
      <c r="C630" s="16" t="s">
        <v>40</v>
      </c>
      <c r="D630" s="16" t="s">
        <v>41</v>
      </c>
      <c r="E630" s="13" t="str">
        <f>+HYPERLINK("http://trademark.i-assist.jp/data/china/image_1891th/77394643.pdf","77394643")</f>
        <v>77394643</v>
      </c>
      <c r="F630" s="16" t="s">
        <v>3562</v>
      </c>
      <c r="G630" s="16" t="s">
        <v>3561</v>
      </c>
      <c r="H630" s="16" t="s">
        <v>3563</v>
      </c>
      <c r="I630" s="17">
        <v>45370</v>
      </c>
    </row>
    <row r="631" spans="1:9" x14ac:dyDescent="0.15">
      <c r="A631" s="16" t="s">
        <v>3568</v>
      </c>
      <c r="B631" s="7" t="s">
        <v>9</v>
      </c>
      <c r="C631" s="16" t="s">
        <v>40</v>
      </c>
      <c r="D631" s="16" t="s">
        <v>41</v>
      </c>
      <c r="E631" s="13" t="str">
        <f>+HYPERLINK("http://trademark.i-assist.jp/data/china/image_1891th/77394682.pdf","77394682")</f>
        <v>77394682</v>
      </c>
      <c r="F631" s="16" t="s">
        <v>3566</v>
      </c>
      <c r="G631" s="16" t="s">
        <v>3508</v>
      </c>
      <c r="H631" s="16" t="s">
        <v>3567</v>
      </c>
      <c r="I631" s="17">
        <v>45370</v>
      </c>
    </row>
    <row r="632" spans="1:9" x14ac:dyDescent="0.15">
      <c r="A632" s="16" t="s">
        <v>3573</v>
      </c>
      <c r="B632" s="7" t="s">
        <v>9</v>
      </c>
      <c r="C632" s="16" t="s">
        <v>40</v>
      </c>
      <c r="D632" s="16" t="s">
        <v>41</v>
      </c>
      <c r="E632" s="13" t="str">
        <f>+HYPERLINK("http://trademark.i-assist.jp/data/china/image_1891th/77394683.pdf","77394683")</f>
        <v>77394683</v>
      </c>
      <c r="F632" s="16" t="s">
        <v>3571</v>
      </c>
      <c r="G632" s="16" t="s">
        <v>3570</v>
      </c>
      <c r="H632" s="16" t="s">
        <v>3572</v>
      </c>
      <c r="I632" s="17">
        <v>45370</v>
      </c>
    </row>
    <row r="633" spans="1:9" x14ac:dyDescent="0.15">
      <c r="A633" s="16" t="s">
        <v>3578</v>
      </c>
      <c r="B633" s="7" t="s">
        <v>9</v>
      </c>
      <c r="C633" s="16" t="s">
        <v>40</v>
      </c>
      <c r="D633" s="16" t="s">
        <v>41</v>
      </c>
      <c r="E633" s="13" t="str">
        <f>+HYPERLINK("http://trademark.i-assist.jp/data/china/image_1891th/77394909.pdf","77394909")</f>
        <v>77394909</v>
      </c>
      <c r="F633" s="16" t="s">
        <v>3576</v>
      </c>
      <c r="G633" s="16" t="s">
        <v>3575</v>
      </c>
      <c r="H633" s="16" t="s">
        <v>3577</v>
      </c>
      <c r="I633" s="17">
        <v>45370</v>
      </c>
    </row>
    <row r="634" spans="1:9" x14ac:dyDescent="0.15">
      <c r="A634" s="16" t="s">
        <v>3582</v>
      </c>
      <c r="B634" s="7" t="s">
        <v>9</v>
      </c>
      <c r="C634" s="16" t="s">
        <v>40</v>
      </c>
      <c r="D634" s="16" t="s">
        <v>41</v>
      </c>
      <c r="E634" s="13" t="str">
        <f>+HYPERLINK("http://trademark.i-assist.jp/data/china/image_1891th/77396729.pdf","77396729")</f>
        <v>77396729</v>
      </c>
      <c r="F634" s="16" t="s">
        <v>3580</v>
      </c>
      <c r="G634" s="16" t="s">
        <v>313</v>
      </c>
      <c r="H634" s="16" t="s">
        <v>3581</v>
      </c>
      <c r="I634" s="17">
        <v>45370</v>
      </c>
    </row>
    <row r="635" spans="1:9" x14ac:dyDescent="0.15">
      <c r="A635" s="16" t="s">
        <v>3586</v>
      </c>
      <c r="B635" s="7" t="s">
        <v>9</v>
      </c>
      <c r="C635" s="16" t="s">
        <v>40</v>
      </c>
      <c r="D635" s="16" t="s">
        <v>41</v>
      </c>
      <c r="E635" s="13" t="str">
        <f>+HYPERLINK("http://trademark.i-assist.jp/data/china/image_1891th/77396774.pdf","77396774")</f>
        <v>77396774</v>
      </c>
      <c r="F635" s="16" t="s">
        <v>3584</v>
      </c>
      <c r="G635" s="16" t="s">
        <v>1183</v>
      </c>
      <c r="H635" s="16" t="s">
        <v>3585</v>
      </c>
      <c r="I635" s="17">
        <v>45370</v>
      </c>
    </row>
    <row r="636" spans="1:9" x14ac:dyDescent="0.15">
      <c r="A636" s="16" t="s">
        <v>3590</v>
      </c>
      <c r="B636" s="7" t="s">
        <v>9</v>
      </c>
      <c r="C636" s="16" t="s">
        <v>40</v>
      </c>
      <c r="D636" s="16" t="s">
        <v>41</v>
      </c>
      <c r="E636" s="13" t="str">
        <f>+HYPERLINK("http://trademark.i-assist.jp/data/china/image_1891th/77396793.pdf","77396793")</f>
        <v>77396793</v>
      </c>
      <c r="F636" s="16" t="s">
        <v>3588</v>
      </c>
      <c r="G636" s="16" t="s">
        <v>1183</v>
      </c>
      <c r="H636" s="16" t="s">
        <v>3589</v>
      </c>
      <c r="I636" s="17">
        <v>45370</v>
      </c>
    </row>
    <row r="637" spans="1:9" x14ac:dyDescent="0.15">
      <c r="A637" s="16" t="s">
        <v>3595</v>
      </c>
      <c r="B637" s="7" t="s">
        <v>9</v>
      </c>
      <c r="C637" s="16" t="s">
        <v>40</v>
      </c>
      <c r="D637" s="16" t="s">
        <v>41</v>
      </c>
      <c r="E637" s="13" t="str">
        <f>+HYPERLINK("http://trademark.i-assist.jp/data/china/image_1891th/77398338.pdf","77398338")</f>
        <v>77398338</v>
      </c>
      <c r="F637" s="16" t="s">
        <v>3593</v>
      </c>
      <c r="G637" s="16" t="s">
        <v>3592</v>
      </c>
      <c r="H637" s="16" t="s">
        <v>3594</v>
      </c>
      <c r="I637" s="17">
        <v>45370</v>
      </c>
    </row>
    <row r="638" spans="1:9" x14ac:dyDescent="0.15">
      <c r="A638" s="16" t="s">
        <v>3600</v>
      </c>
      <c r="B638" s="7" t="s">
        <v>9</v>
      </c>
      <c r="C638" s="16" t="s">
        <v>40</v>
      </c>
      <c r="D638" s="16" t="s">
        <v>41</v>
      </c>
      <c r="E638" s="13" t="str">
        <f>+HYPERLINK("http://trademark.i-assist.jp/data/china/image_1891th/77399475.pdf","77399475")</f>
        <v>77399475</v>
      </c>
      <c r="F638" s="16" t="s">
        <v>3598</v>
      </c>
      <c r="G638" s="16" t="s">
        <v>3597</v>
      </c>
      <c r="H638" s="16" t="s">
        <v>3599</v>
      </c>
      <c r="I638" s="17">
        <v>45370</v>
      </c>
    </row>
    <row r="639" spans="1:9" x14ac:dyDescent="0.15">
      <c r="A639" s="16" t="s">
        <v>3605</v>
      </c>
      <c r="B639" s="7" t="s">
        <v>9</v>
      </c>
      <c r="C639" s="16" t="s">
        <v>40</v>
      </c>
      <c r="D639" s="16" t="s">
        <v>41</v>
      </c>
      <c r="E639" s="13" t="str">
        <f>+HYPERLINK("http://trademark.i-assist.jp/data/china/image_1891th/77400290.pdf","77400290")</f>
        <v>77400290</v>
      </c>
      <c r="F639" s="16" t="s">
        <v>3603</v>
      </c>
      <c r="G639" s="16" t="s">
        <v>3602</v>
      </c>
      <c r="H639" s="16" t="s">
        <v>3604</v>
      </c>
      <c r="I639" s="17">
        <v>45370</v>
      </c>
    </row>
    <row r="640" spans="1:9" x14ac:dyDescent="0.15">
      <c r="A640" s="16" t="s">
        <v>3610</v>
      </c>
      <c r="B640" s="7" t="s">
        <v>9</v>
      </c>
      <c r="C640" s="16" t="s">
        <v>40</v>
      </c>
      <c r="D640" s="16" t="s">
        <v>41</v>
      </c>
      <c r="E640" s="13" t="str">
        <f>+HYPERLINK("http://trademark.i-assist.jp/data/china/image_1891th/77400619.pdf","77400619")</f>
        <v>77400619</v>
      </c>
      <c r="F640" s="16" t="s">
        <v>3608</v>
      </c>
      <c r="G640" s="16" t="s">
        <v>3607</v>
      </c>
      <c r="H640" s="16" t="s">
        <v>3609</v>
      </c>
      <c r="I640" s="17">
        <v>45370</v>
      </c>
    </row>
    <row r="641" spans="1:9" x14ac:dyDescent="0.15">
      <c r="A641" s="16" t="s">
        <v>3615</v>
      </c>
      <c r="B641" s="7" t="s">
        <v>9</v>
      </c>
      <c r="C641" s="16" t="s">
        <v>40</v>
      </c>
      <c r="D641" s="16" t="s">
        <v>41</v>
      </c>
      <c r="E641" s="13" t="str">
        <f>+HYPERLINK("http://trademark.i-assist.jp/data/china/image_1891th/77400774.pdf","77400774")</f>
        <v>77400774</v>
      </c>
      <c r="F641" s="16" t="s">
        <v>3613</v>
      </c>
      <c r="G641" s="16" t="s">
        <v>3612</v>
      </c>
      <c r="H641" s="16" t="s">
        <v>3614</v>
      </c>
      <c r="I641" s="17">
        <v>45370</v>
      </c>
    </row>
    <row r="642" spans="1:9" x14ac:dyDescent="0.15">
      <c r="A642" s="16" t="s">
        <v>3620</v>
      </c>
      <c r="B642" s="7" t="s">
        <v>9</v>
      </c>
      <c r="C642" s="16" t="s">
        <v>40</v>
      </c>
      <c r="D642" s="16" t="s">
        <v>41</v>
      </c>
      <c r="E642" s="13" t="str">
        <f>+HYPERLINK("http://trademark.i-assist.jp/data/china/image_1891th/77400990.pdf","77400990")</f>
        <v>77400990</v>
      </c>
      <c r="F642" s="16" t="s">
        <v>3618</v>
      </c>
      <c r="G642" s="16" t="s">
        <v>3617</v>
      </c>
      <c r="H642" s="16" t="s">
        <v>3619</v>
      </c>
      <c r="I642" s="17">
        <v>45370</v>
      </c>
    </row>
    <row r="643" spans="1:9" x14ac:dyDescent="0.15">
      <c r="A643" s="16" t="s">
        <v>3625</v>
      </c>
      <c r="B643" s="7" t="s">
        <v>9</v>
      </c>
      <c r="C643" s="16" t="s">
        <v>40</v>
      </c>
      <c r="D643" s="16" t="s">
        <v>41</v>
      </c>
      <c r="E643" s="13" t="str">
        <f>+HYPERLINK("http://trademark.i-assist.jp/data/china/image_1891th/77401425.pdf","77401425")</f>
        <v>77401425</v>
      </c>
      <c r="F643" s="16" t="s">
        <v>3623</v>
      </c>
      <c r="G643" s="16" t="s">
        <v>3622</v>
      </c>
      <c r="H643" s="16" t="s">
        <v>3624</v>
      </c>
      <c r="I643" s="17">
        <v>45370</v>
      </c>
    </row>
    <row r="644" spans="1:9" x14ac:dyDescent="0.15">
      <c r="A644" s="16" t="s">
        <v>3629</v>
      </c>
      <c r="B644" s="7" t="s">
        <v>9</v>
      </c>
      <c r="C644" s="16" t="s">
        <v>40</v>
      </c>
      <c r="D644" s="16" t="s">
        <v>41</v>
      </c>
      <c r="E644" s="13" t="str">
        <f>+HYPERLINK("http://trademark.i-assist.jp/data/china/image_1891th/77401755.pdf","77401755")</f>
        <v>77401755</v>
      </c>
      <c r="F644" s="16" t="s">
        <v>3627</v>
      </c>
      <c r="G644" s="16" t="s">
        <v>273</v>
      </c>
      <c r="H644" s="16" t="s">
        <v>3628</v>
      </c>
      <c r="I644" s="17">
        <v>45370</v>
      </c>
    </row>
    <row r="645" spans="1:9" x14ac:dyDescent="0.15">
      <c r="A645" s="16" t="s">
        <v>3633</v>
      </c>
      <c r="B645" s="7" t="s">
        <v>9</v>
      </c>
      <c r="C645" s="16" t="s">
        <v>40</v>
      </c>
      <c r="D645" s="16" t="s">
        <v>41</v>
      </c>
      <c r="E645" s="13" t="str">
        <f>+HYPERLINK("http://trademark.i-assist.jp/data/china/image_1891th/77402812.pdf","77402812")</f>
        <v>77402812</v>
      </c>
      <c r="F645" s="16" t="s">
        <v>52</v>
      </c>
      <c r="G645" s="16" t="s">
        <v>3631</v>
      </c>
      <c r="H645" s="16" t="s">
        <v>3632</v>
      </c>
      <c r="I645" s="17">
        <v>45370</v>
      </c>
    </row>
    <row r="646" spans="1:9" x14ac:dyDescent="0.15">
      <c r="A646" s="16" t="s">
        <v>3638</v>
      </c>
      <c r="B646" s="7" t="s">
        <v>9</v>
      </c>
      <c r="C646" s="16" t="s">
        <v>40</v>
      </c>
      <c r="D646" s="16" t="s">
        <v>41</v>
      </c>
      <c r="E646" s="13" t="str">
        <f>+HYPERLINK("http://trademark.i-assist.jp/data/china/image_1891th/77402825.pdf","77402825")</f>
        <v>77402825</v>
      </c>
      <c r="F646" s="16" t="s">
        <v>3636</v>
      </c>
      <c r="G646" s="16" t="s">
        <v>3635</v>
      </c>
      <c r="H646" s="16" t="s">
        <v>3637</v>
      </c>
      <c r="I646" s="17">
        <v>45370</v>
      </c>
    </row>
    <row r="647" spans="1:9" x14ac:dyDescent="0.15">
      <c r="A647" s="16" t="s">
        <v>3643</v>
      </c>
      <c r="B647" s="7" t="s">
        <v>9</v>
      </c>
      <c r="C647" s="16" t="s">
        <v>40</v>
      </c>
      <c r="D647" s="16" t="s">
        <v>41</v>
      </c>
      <c r="E647" s="13" t="str">
        <f>+HYPERLINK("http://trademark.i-assist.jp/data/china/image_1891th/77403716.pdf","77403716")</f>
        <v>77403716</v>
      </c>
      <c r="F647" s="16" t="s">
        <v>3641</v>
      </c>
      <c r="G647" s="16" t="s">
        <v>3640</v>
      </c>
      <c r="H647" s="16" t="s">
        <v>3642</v>
      </c>
      <c r="I647" s="17">
        <v>45370</v>
      </c>
    </row>
    <row r="648" spans="1:9" x14ac:dyDescent="0.15">
      <c r="A648" s="16" t="s">
        <v>3648</v>
      </c>
      <c r="B648" s="7" t="s">
        <v>9</v>
      </c>
      <c r="C648" s="16" t="s">
        <v>40</v>
      </c>
      <c r="D648" s="16" t="s">
        <v>41</v>
      </c>
      <c r="E648" s="13" t="str">
        <f>+HYPERLINK("http://trademark.i-assist.jp/data/china/image_1891th/77404638.pdf","77404638")</f>
        <v>77404638</v>
      </c>
      <c r="F648" s="16" t="s">
        <v>3646</v>
      </c>
      <c r="G648" s="16" t="s">
        <v>3645</v>
      </c>
      <c r="H648" s="16" t="s">
        <v>3647</v>
      </c>
      <c r="I648" s="17">
        <v>45370</v>
      </c>
    </row>
    <row r="649" spans="1:9" x14ac:dyDescent="0.15">
      <c r="A649" s="16" t="s">
        <v>3653</v>
      </c>
      <c r="B649" s="7" t="s">
        <v>9</v>
      </c>
      <c r="C649" s="16" t="s">
        <v>40</v>
      </c>
      <c r="D649" s="16" t="s">
        <v>41</v>
      </c>
      <c r="E649" s="13" t="str">
        <f>+HYPERLINK("http://trademark.i-assist.jp/data/china/image_1891th/77404865.pdf","77404865")</f>
        <v>77404865</v>
      </c>
      <c r="F649" s="16" t="s">
        <v>3651</v>
      </c>
      <c r="G649" s="16" t="s">
        <v>3650</v>
      </c>
      <c r="H649" s="16" t="s">
        <v>3652</v>
      </c>
      <c r="I649" s="17">
        <v>45370</v>
      </c>
    </row>
    <row r="650" spans="1:9" x14ac:dyDescent="0.15">
      <c r="A650" s="16" t="s">
        <v>3658</v>
      </c>
      <c r="B650" s="7" t="s">
        <v>9</v>
      </c>
      <c r="C650" s="16" t="s">
        <v>40</v>
      </c>
      <c r="D650" s="16" t="s">
        <v>41</v>
      </c>
      <c r="E650" s="13" t="str">
        <f>+HYPERLINK("http://trademark.i-assist.jp/data/china/image_1891th/77404948.pdf","77404948")</f>
        <v>77404948</v>
      </c>
      <c r="F650" s="16" t="s">
        <v>3656</v>
      </c>
      <c r="G650" s="16" t="s">
        <v>3655</v>
      </c>
      <c r="H650" s="16" t="s">
        <v>3657</v>
      </c>
      <c r="I650" s="17">
        <v>45370</v>
      </c>
    </row>
    <row r="651" spans="1:9" x14ac:dyDescent="0.15">
      <c r="A651" s="16" t="s">
        <v>3662</v>
      </c>
      <c r="B651" s="7" t="s">
        <v>9</v>
      </c>
      <c r="C651" s="16" t="s">
        <v>40</v>
      </c>
      <c r="D651" s="16" t="s">
        <v>41</v>
      </c>
      <c r="E651" s="13" t="str">
        <f>+HYPERLINK("http://trademark.i-assist.jp/data/china/image_1891th/77404977.pdf","77404977")</f>
        <v>77404977</v>
      </c>
      <c r="F651" s="16" t="s">
        <v>3660</v>
      </c>
      <c r="G651" s="16" t="s">
        <v>18</v>
      </c>
      <c r="H651" s="16" t="s">
        <v>3661</v>
      </c>
      <c r="I651" s="17">
        <v>45370</v>
      </c>
    </row>
    <row r="652" spans="1:9" x14ac:dyDescent="0.15">
      <c r="A652" s="16" t="s">
        <v>3667</v>
      </c>
      <c r="B652" s="7" t="s">
        <v>9</v>
      </c>
      <c r="C652" s="16" t="s">
        <v>40</v>
      </c>
      <c r="D652" s="16" t="s">
        <v>41</v>
      </c>
      <c r="E652" s="13" t="str">
        <f>+HYPERLINK("http://trademark.i-assist.jp/data/china/image_1891th/77405068.pdf","77405068")</f>
        <v>77405068</v>
      </c>
      <c r="F652" s="16" t="s">
        <v>3665</v>
      </c>
      <c r="G652" s="16" t="s">
        <v>3664</v>
      </c>
      <c r="H652" s="16" t="s">
        <v>3666</v>
      </c>
      <c r="I652" s="17">
        <v>45370</v>
      </c>
    </row>
    <row r="653" spans="1:9" x14ac:dyDescent="0.15">
      <c r="A653" s="16" t="s">
        <v>3672</v>
      </c>
      <c r="B653" s="7" t="s">
        <v>9</v>
      </c>
      <c r="C653" s="16" t="s">
        <v>40</v>
      </c>
      <c r="D653" s="16" t="s">
        <v>41</v>
      </c>
      <c r="E653" s="13" t="str">
        <f>+HYPERLINK("http://trademark.i-assist.jp/data/china/image_1891th/77405600.pdf","77405600")</f>
        <v>77405600</v>
      </c>
      <c r="F653" s="16" t="s">
        <v>3670</v>
      </c>
      <c r="G653" s="16" t="s">
        <v>3669</v>
      </c>
      <c r="H653" s="16" t="s">
        <v>3671</v>
      </c>
      <c r="I653" s="17">
        <v>45370</v>
      </c>
    </row>
    <row r="654" spans="1:9" x14ac:dyDescent="0.15">
      <c r="A654" s="16" t="s">
        <v>3677</v>
      </c>
      <c r="B654" s="7" t="s">
        <v>9</v>
      </c>
      <c r="C654" s="16" t="s">
        <v>40</v>
      </c>
      <c r="D654" s="16" t="s">
        <v>41</v>
      </c>
      <c r="E654" s="13" t="str">
        <f>+HYPERLINK("http://trademark.i-assist.jp/data/china/image_1891th/77406098.pdf","77406098")</f>
        <v>77406098</v>
      </c>
      <c r="F654" s="16" t="s">
        <v>3675</v>
      </c>
      <c r="G654" s="16" t="s">
        <v>3674</v>
      </c>
      <c r="H654" s="16" t="s">
        <v>3676</v>
      </c>
      <c r="I654" s="17">
        <v>45370</v>
      </c>
    </row>
    <row r="655" spans="1:9" x14ac:dyDescent="0.15">
      <c r="A655" s="16" t="s">
        <v>3682</v>
      </c>
      <c r="B655" s="7" t="s">
        <v>9</v>
      </c>
      <c r="C655" s="16" t="s">
        <v>40</v>
      </c>
      <c r="D655" s="16" t="s">
        <v>41</v>
      </c>
      <c r="E655" s="13" t="str">
        <f>+HYPERLINK("http://trademark.i-assist.jp/data/china/image_1891th/77406156.pdf","77406156")</f>
        <v>77406156</v>
      </c>
      <c r="F655" s="16" t="s">
        <v>3680</v>
      </c>
      <c r="G655" s="16" t="s">
        <v>3679</v>
      </c>
      <c r="H655" s="16" t="s">
        <v>3681</v>
      </c>
      <c r="I655" s="17">
        <v>45370</v>
      </c>
    </row>
    <row r="656" spans="1:9" x14ac:dyDescent="0.15">
      <c r="A656" s="16" t="s">
        <v>3687</v>
      </c>
      <c r="B656" s="7" t="s">
        <v>9</v>
      </c>
      <c r="C656" s="16" t="s">
        <v>40</v>
      </c>
      <c r="D656" s="16" t="s">
        <v>41</v>
      </c>
      <c r="E656" s="13" t="str">
        <f>+HYPERLINK("http://trademark.i-assist.jp/data/china/image_1891th/77406343.pdf","77406343")</f>
        <v>77406343</v>
      </c>
      <c r="F656" s="16" t="s">
        <v>3685</v>
      </c>
      <c r="G656" s="16" t="s">
        <v>3684</v>
      </c>
      <c r="H656" s="16" t="s">
        <v>3686</v>
      </c>
      <c r="I656" s="17">
        <v>45370</v>
      </c>
    </row>
    <row r="657" spans="1:9" x14ac:dyDescent="0.15">
      <c r="A657" s="16" t="s">
        <v>3692</v>
      </c>
      <c r="B657" s="7" t="s">
        <v>9</v>
      </c>
      <c r="C657" s="16" t="s">
        <v>40</v>
      </c>
      <c r="D657" s="16" t="s">
        <v>41</v>
      </c>
      <c r="E657" s="13" t="str">
        <f>+HYPERLINK("http://trademark.i-assist.jp/data/china/image_1891th/77406418.pdf","77406418")</f>
        <v>77406418</v>
      </c>
      <c r="F657" s="16" t="s">
        <v>3690</v>
      </c>
      <c r="G657" s="16" t="s">
        <v>3689</v>
      </c>
      <c r="H657" s="16" t="s">
        <v>3691</v>
      </c>
      <c r="I657" s="17">
        <v>45370</v>
      </c>
    </row>
    <row r="658" spans="1:9" x14ac:dyDescent="0.15">
      <c r="A658" s="16" t="s">
        <v>3697</v>
      </c>
      <c r="B658" s="7" t="s">
        <v>9</v>
      </c>
      <c r="C658" s="16" t="s">
        <v>40</v>
      </c>
      <c r="D658" s="16" t="s">
        <v>41</v>
      </c>
      <c r="E658" s="13" t="str">
        <f>+HYPERLINK("http://trademark.i-assist.jp/data/china/image_1891th/77406433.pdf","77406433")</f>
        <v>77406433</v>
      </c>
      <c r="F658" s="16" t="s">
        <v>3695</v>
      </c>
      <c r="G658" s="16" t="s">
        <v>3694</v>
      </c>
      <c r="H658" s="16" t="s">
        <v>3696</v>
      </c>
      <c r="I658" s="17">
        <v>45370</v>
      </c>
    </row>
    <row r="659" spans="1:9" x14ac:dyDescent="0.15">
      <c r="A659" s="16" t="s">
        <v>3702</v>
      </c>
      <c r="B659" s="7" t="s">
        <v>9</v>
      </c>
      <c r="C659" s="16" t="s">
        <v>40</v>
      </c>
      <c r="D659" s="16" t="s">
        <v>41</v>
      </c>
      <c r="E659" s="13" t="str">
        <f>+HYPERLINK("http://trademark.i-assist.jp/data/china/image_1891th/77406899.pdf","77406899")</f>
        <v>77406899</v>
      </c>
      <c r="F659" s="16" t="s">
        <v>3700</v>
      </c>
      <c r="G659" s="16" t="s">
        <v>3699</v>
      </c>
      <c r="H659" s="16" t="s">
        <v>3701</v>
      </c>
      <c r="I659" s="17">
        <v>45370</v>
      </c>
    </row>
    <row r="660" spans="1:9" x14ac:dyDescent="0.15">
      <c r="A660" s="16" t="s">
        <v>3707</v>
      </c>
      <c r="B660" s="7" t="s">
        <v>9</v>
      </c>
      <c r="C660" s="16" t="s">
        <v>40</v>
      </c>
      <c r="D660" s="16" t="s">
        <v>41</v>
      </c>
      <c r="E660" s="13" t="str">
        <f>+HYPERLINK("http://trademark.i-assist.jp/data/china/image_1891th/77406905.pdf","77406905")</f>
        <v>77406905</v>
      </c>
      <c r="F660" s="16" t="s">
        <v>3705</v>
      </c>
      <c r="G660" s="16" t="s">
        <v>11104</v>
      </c>
      <c r="H660" s="16" t="s">
        <v>3706</v>
      </c>
      <c r="I660" s="17">
        <v>45370</v>
      </c>
    </row>
    <row r="661" spans="1:9" x14ac:dyDescent="0.15">
      <c r="A661" s="16" t="s">
        <v>3712</v>
      </c>
      <c r="B661" s="7" t="s">
        <v>9</v>
      </c>
      <c r="C661" s="16" t="s">
        <v>40</v>
      </c>
      <c r="D661" s="16" t="s">
        <v>41</v>
      </c>
      <c r="E661" s="13" t="str">
        <f>+HYPERLINK("http://trademark.i-assist.jp/data/china/image_1891th/77407005.pdf","77407005")</f>
        <v>77407005</v>
      </c>
      <c r="F661" s="16" t="s">
        <v>3710</v>
      </c>
      <c r="G661" s="16" t="s">
        <v>3709</v>
      </c>
      <c r="H661" s="16" t="s">
        <v>3711</v>
      </c>
      <c r="I661" s="17">
        <v>45370</v>
      </c>
    </row>
    <row r="662" spans="1:9" x14ac:dyDescent="0.15">
      <c r="A662" s="16" t="s">
        <v>271</v>
      </c>
      <c r="B662" s="7" t="s">
        <v>9</v>
      </c>
      <c r="C662" s="16" t="s">
        <v>40</v>
      </c>
      <c r="D662" s="16" t="s">
        <v>41</v>
      </c>
      <c r="E662" s="13" t="str">
        <f>+HYPERLINK("http://trademark.i-assist.jp/data/china/image_1891th/77407127.pdf","77407127")</f>
        <v>77407127</v>
      </c>
      <c r="F662" s="16" t="s">
        <v>3715</v>
      </c>
      <c r="G662" s="16" t="s">
        <v>3714</v>
      </c>
      <c r="H662" s="16" t="s">
        <v>3716</v>
      </c>
      <c r="I662" s="17">
        <v>45370</v>
      </c>
    </row>
    <row r="663" spans="1:9" x14ac:dyDescent="0.15">
      <c r="A663" s="16" t="s">
        <v>277</v>
      </c>
      <c r="B663" s="7" t="s">
        <v>9</v>
      </c>
      <c r="C663" s="16" t="s">
        <v>40</v>
      </c>
      <c r="D663" s="16" t="s">
        <v>41</v>
      </c>
      <c r="E663" s="13" t="str">
        <f>+HYPERLINK("http://trademark.i-assist.jp/data/china/image_1891th/77407146.pdf","77407146")</f>
        <v>77407146</v>
      </c>
      <c r="F663" s="16" t="s">
        <v>274</v>
      </c>
      <c r="G663" s="16" t="s">
        <v>273</v>
      </c>
      <c r="H663" s="16" t="s">
        <v>275</v>
      </c>
      <c r="I663" s="17">
        <v>45370</v>
      </c>
    </row>
    <row r="664" spans="1:9" x14ac:dyDescent="0.15">
      <c r="A664" s="16" t="s">
        <v>282</v>
      </c>
      <c r="B664" s="7" t="s">
        <v>9</v>
      </c>
      <c r="C664" s="16" t="s">
        <v>40</v>
      </c>
      <c r="D664" s="16" t="s">
        <v>41</v>
      </c>
      <c r="E664" s="13" t="str">
        <f>+HYPERLINK("http://trademark.i-assist.jp/data/china/image_1891th/77407323.pdf","77407323")</f>
        <v>77407323</v>
      </c>
      <c r="F664" s="16" t="s">
        <v>280</v>
      </c>
      <c r="G664" s="16" t="s">
        <v>279</v>
      </c>
      <c r="H664" s="16" t="s">
        <v>281</v>
      </c>
      <c r="I664" s="17">
        <v>45370</v>
      </c>
    </row>
    <row r="665" spans="1:9" x14ac:dyDescent="0.15">
      <c r="A665" s="16" t="s">
        <v>287</v>
      </c>
      <c r="B665" s="7" t="s">
        <v>9</v>
      </c>
      <c r="C665" s="16" t="s">
        <v>40</v>
      </c>
      <c r="D665" s="16" t="s">
        <v>41</v>
      </c>
      <c r="E665" s="13" t="str">
        <f>+HYPERLINK("http://trademark.i-assist.jp/data/china/image_1891th/77407352.pdf","77407352")</f>
        <v>77407352</v>
      </c>
      <c r="F665" s="16" t="s">
        <v>285</v>
      </c>
      <c r="G665" s="16" t="s">
        <v>284</v>
      </c>
      <c r="H665" s="16" t="s">
        <v>286</v>
      </c>
      <c r="I665" s="17">
        <v>45370</v>
      </c>
    </row>
    <row r="666" spans="1:9" x14ac:dyDescent="0.15">
      <c r="A666" s="16" t="s">
        <v>292</v>
      </c>
      <c r="B666" s="7" t="s">
        <v>9</v>
      </c>
      <c r="C666" s="16" t="s">
        <v>40</v>
      </c>
      <c r="D666" s="16" t="s">
        <v>41</v>
      </c>
      <c r="E666" s="13" t="str">
        <f>+HYPERLINK("http://trademark.i-assist.jp/data/china/image_1891th/77407824.pdf","77407824")</f>
        <v>77407824</v>
      </c>
      <c r="F666" s="16" t="s">
        <v>290</v>
      </c>
      <c r="G666" s="16" t="s">
        <v>289</v>
      </c>
      <c r="H666" s="16" t="s">
        <v>291</v>
      </c>
      <c r="I666" s="17">
        <v>45370</v>
      </c>
    </row>
    <row r="667" spans="1:9" x14ac:dyDescent="0.15">
      <c r="A667" s="16" t="s">
        <v>297</v>
      </c>
      <c r="B667" s="7" t="s">
        <v>9</v>
      </c>
      <c r="C667" s="16" t="s">
        <v>40</v>
      </c>
      <c r="D667" s="16" t="s">
        <v>41</v>
      </c>
      <c r="E667" s="13" t="str">
        <f>+HYPERLINK("http://trademark.i-assist.jp/data/china/image_1891th/77407923.pdf","77407923")</f>
        <v>77407923</v>
      </c>
      <c r="F667" s="16" t="s">
        <v>295</v>
      </c>
      <c r="G667" s="16" t="s">
        <v>294</v>
      </c>
      <c r="H667" s="16" t="s">
        <v>296</v>
      </c>
      <c r="I667" s="17">
        <v>45370</v>
      </c>
    </row>
    <row r="668" spans="1:9" x14ac:dyDescent="0.15">
      <c r="A668" s="16" t="s">
        <v>301</v>
      </c>
      <c r="B668" s="7" t="s">
        <v>9</v>
      </c>
      <c r="C668" s="16" t="s">
        <v>40</v>
      </c>
      <c r="D668" s="16" t="s">
        <v>41</v>
      </c>
      <c r="E668" s="13" t="str">
        <f>+HYPERLINK("http://trademark.i-assist.jp/data/china/image_1891th/77407951.pdf","77407951")</f>
        <v>77407951</v>
      </c>
      <c r="F668" s="16" t="s">
        <v>52</v>
      </c>
      <c r="G668" s="16" t="s">
        <v>299</v>
      </c>
      <c r="H668" s="16" t="s">
        <v>300</v>
      </c>
      <c r="I668" s="17">
        <v>45370</v>
      </c>
    </row>
    <row r="669" spans="1:9" x14ac:dyDescent="0.15">
      <c r="A669" s="16" t="s">
        <v>306</v>
      </c>
      <c r="B669" s="7" t="s">
        <v>9</v>
      </c>
      <c r="C669" s="16" t="s">
        <v>40</v>
      </c>
      <c r="D669" s="16" t="s">
        <v>41</v>
      </c>
      <c r="E669" s="13" t="str">
        <f>+HYPERLINK("http://trademark.i-assist.jp/data/china/image_1891th/77407965.pdf","77407965")</f>
        <v>77407965</v>
      </c>
      <c r="F669" s="16" t="s">
        <v>304</v>
      </c>
      <c r="G669" s="16" t="s">
        <v>303</v>
      </c>
      <c r="H669" s="16" t="s">
        <v>305</v>
      </c>
      <c r="I669" s="17">
        <v>45370</v>
      </c>
    </row>
    <row r="670" spans="1:9" x14ac:dyDescent="0.15">
      <c r="A670" s="16" t="s">
        <v>311</v>
      </c>
      <c r="B670" s="7" t="s">
        <v>9</v>
      </c>
      <c r="C670" s="16" t="s">
        <v>40</v>
      </c>
      <c r="D670" s="16" t="s">
        <v>41</v>
      </c>
      <c r="E670" s="13" t="str">
        <f>+HYPERLINK("http://trademark.i-assist.jp/data/china/image_1891th/77408277.pdf","77408277")</f>
        <v>77408277</v>
      </c>
      <c r="F670" s="16" t="s">
        <v>309</v>
      </c>
      <c r="G670" s="16" t="s">
        <v>308</v>
      </c>
      <c r="H670" s="16" t="s">
        <v>310</v>
      </c>
      <c r="I670" s="17">
        <v>45370</v>
      </c>
    </row>
    <row r="671" spans="1:9" x14ac:dyDescent="0.15">
      <c r="A671" s="16" t="s">
        <v>316</v>
      </c>
      <c r="B671" s="7" t="s">
        <v>9</v>
      </c>
      <c r="C671" s="16" t="s">
        <v>40</v>
      </c>
      <c r="D671" s="16" t="s">
        <v>41</v>
      </c>
      <c r="E671" s="13" t="str">
        <f>+HYPERLINK("http://trademark.i-assist.jp/data/china/image_1891th/77408586.pdf","77408586")</f>
        <v>77408586</v>
      </c>
      <c r="F671" s="16" t="s">
        <v>314</v>
      </c>
      <c r="G671" s="16" t="s">
        <v>313</v>
      </c>
      <c r="H671" s="16" t="s">
        <v>315</v>
      </c>
      <c r="I671" s="17">
        <v>45370</v>
      </c>
    </row>
    <row r="672" spans="1:9" x14ac:dyDescent="0.15">
      <c r="A672" s="16" t="s">
        <v>321</v>
      </c>
      <c r="B672" s="7" t="s">
        <v>9</v>
      </c>
      <c r="C672" s="16" t="s">
        <v>40</v>
      </c>
      <c r="D672" s="16" t="s">
        <v>41</v>
      </c>
      <c r="E672" s="13" t="str">
        <f>+HYPERLINK("http://trademark.i-assist.jp/data/china/image_1891th/77408634.pdf","77408634")</f>
        <v>77408634</v>
      </c>
      <c r="F672" s="16" t="s">
        <v>319</v>
      </c>
      <c r="G672" s="16" t="s">
        <v>318</v>
      </c>
      <c r="H672" s="16" t="s">
        <v>320</v>
      </c>
      <c r="I672" s="17">
        <v>45370</v>
      </c>
    </row>
    <row r="673" spans="1:9" x14ac:dyDescent="0.15">
      <c r="A673" s="16" t="s">
        <v>326</v>
      </c>
      <c r="B673" s="7" t="s">
        <v>9</v>
      </c>
      <c r="C673" s="16" t="s">
        <v>40</v>
      </c>
      <c r="D673" s="16" t="s">
        <v>41</v>
      </c>
      <c r="E673" s="13" t="str">
        <f>+HYPERLINK("http://trademark.i-assist.jp/data/china/image_1891th/77408641.pdf","77408641")</f>
        <v>77408641</v>
      </c>
      <c r="F673" s="16" t="s">
        <v>324</v>
      </c>
      <c r="G673" s="16" t="s">
        <v>323</v>
      </c>
      <c r="H673" s="16" t="s">
        <v>325</v>
      </c>
      <c r="I673" s="17">
        <v>45370</v>
      </c>
    </row>
    <row r="674" spans="1:9" x14ac:dyDescent="0.15">
      <c r="A674" s="16" t="s">
        <v>331</v>
      </c>
      <c r="B674" s="7" t="s">
        <v>9</v>
      </c>
      <c r="C674" s="16" t="s">
        <v>40</v>
      </c>
      <c r="D674" s="16" t="s">
        <v>41</v>
      </c>
      <c r="E674" s="13" t="str">
        <f>+HYPERLINK("http://trademark.i-assist.jp/data/china/image_1891th/77409256.pdf","77409256")</f>
        <v>77409256</v>
      </c>
      <c r="F674" s="16" t="s">
        <v>329</v>
      </c>
      <c r="G674" s="16" t="s">
        <v>328</v>
      </c>
      <c r="H674" s="16" t="s">
        <v>330</v>
      </c>
      <c r="I674" s="17">
        <v>45370</v>
      </c>
    </row>
    <row r="675" spans="1:9" x14ac:dyDescent="0.15">
      <c r="A675" s="16" t="s">
        <v>336</v>
      </c>
      <c r="B675" s="7" t="s">
        <v>9</v>
      </c>
      <c r="C675" s="16" t="s">
        <v>40</v>
      </c>
      <c r="D675" s="16" t="s">
        <v>41</v>
      </c>
      <c r="E675" s="13" t="str">
        <f>+HYPERLINK("http://trademark.i-assist.jp/data/china/image_1891th/77409372.pdf","77409372")</f>
        <v>77409372</v>
      </c>
      <c r="F675" s="16" t="s">
        <v>334</v>
      </c>
      <c r="G675" s="16" t="s">
        <v>333</v>
      </c>
      <c r="H675" s="16" t="s">
        <v>335</v>
      </c>
      <c r="I675" s="17">
        <v>45370</v>
      </c>
    </row>
    <row r="676" spans="1:9" x14ac:dyDescent="0.15">
      <c r="A676" s="16" t="s">
        <v>3717</v>
      </c>
      <c r="B676" s="7" t="s">
        <v>9</v>
      </c>
      <c r="C676" s="16" t="s">
        <v>40</v>
      </c>
      <c r="D676" s="16" t="s">
        <v>41</v>
      </c>
      <c r="E676" s="13" t="str">
        <f>+HYPERLINK("http://trademark.i-assist.jp/data/china/image_1891th/77409406.pdf","77409406")</f>
        <v>77409406</v>
      </c>
      <c r="F676" s="16" t="s">
        <v>339</v>
      </c>
      <c r="G676" s="16" t="s">
        <v>338</v>
      </c>
      <c r="H676" s="16" t="s">
        <v>340</v>
      </c>
      <c r="I676" s="17">
        <v>45370</v>
      </c>
    </row>
    <row r="677" spans="1:9" x14ac:dyDescent="0.15">
      <c r="A677" s="16" t="s">
        <v>3722</v>
      </c>
      <c r="B677" s="7" t="s">
        <v>9</v>
      </c>
      <c r="C677" s="16" t="s">
        <v>40</v>
      </c>
      <c r="D677" s="16" t="s">
        <v>41</v>
      </c>
      <c r="E677" s="13" t="str">
        <f>+HYPERLINK("http://trademark.i-assist.jp/data/china/image_1891th/77409436.pdf","77409436")</f>
        <v>77409436</v>
      </c>
      <c r="F677" s="16" t="s">
        <v>3720</v>
      </c>
      <c r="G677" s="16" t="s">
        <v>3719</v>
      </c>
      <c r="H677" s="16" t="s">
        <v>3721</v>
      </c>
      <c r="I677" s="17">
        <v>45370</v>
      </c>
    </row>
    <row r="678" spans="1:9" x14ac:dyDescent="0.15">
      <c r="A678" s="16" t="s">
        <v>3727</v>
      </c>
      <c r="B678" s="7" t="s">
        <v>9</v>
      </c>
      <c r="C678" s="16" t="s">
        <v>40</v>
      </c>
      <c r="D678" s="16" t="s">
        <v>41</v>
      </c>
      <c r="E678" s="13" t="str">
        <f>+HYPERLINK("http://trademark.i-assist.jp/data/china/image_1891th/77409570.pdf","77409570")</f>
        <v>77409570</v>
      </c>
      <c r="F678" s="16" t="s">
        <v>3725</v>
      </c>
      <c r="G678" s="16" t="s">
        <v>3724</v>
      </c>
      <c r="H678" s="16" t="s">
        <v>3726</v>
      </c>
      <c r="I678" s="17">
        <v>45370</v>
      </c>
    </row>
    <row r="679" spans="1:9" x14ac:dyDescent="0.15">
      <c r="A679" s="16" t="s">
        <v>3732</v>
      </c>
      <c r="B679" s="7" t="s">
        <v>9</v>
      </c>
      <c r="C679" s="16" t="s">
        <v>40</v>
      </c>
      <c r="D679" s="16" t="s">
        <v>41</v>
      </c>
      <c r="E679" s="13" t="str">
        <f>+HYPERLINK("http://trademark.i-assist.jp/data/china/image_1891th/77409727.pdf","77409727")</f>
        <v>77409727</v>
      </c>
      <c r="F679" s="16" t="s">
        <v>3730</v>
      </c>
      <c r="G679" s="16" t="s">
        <v>3729</v>
      </c>
      <c r="H679" s="16" t="s">
        <v>3731</v>
      </c>
      <c r="I679" s="17">
        <v>45370</v>
      </c>
    </row>
    <row r="680" spans="1:9" x14ac:dyDescent="0.15">
      <c r="A680" s="16" t="s">
        <v>3737</v>
      </c>
      <c r="B680" s="7" t="s">
        <v>9</v>
      </c>
      <c r="C680" s="16" t="s">
        <v>40</v>
      </c>
      <c r="D680" s="16" t="s">
        <v>41</v>
      </c>
      <c r="E680" s="13" t="str">
        <f>+HYPERLINK("http://trademark.i-assist.jp/data/china/image_1891th/77410484.pdf","77410484")</f>
        <v>77410484</v>
      </c>
      <c r="F680" s="16" t="s">
        <v>3735</v>
      </c>
      <c r="G680" s="16" t="s">
        <v>3734</v>
      </c>
      <c r="H680" s="16" t="s">
        <v>3736</v>
      </c>
      <c r="I680" s="17">
        <v>45370</v>
      </c>
    </row>
    <row r="681" spans="1:9" x14ac:dyDescent="0.15">
      <c r="A681" s="16" t="s">
        <v>3742</v>
      </c>
      <c r="B681" s="7" t="s">
        <v>9</v>
      </c>
      <c r="C681" s="16" t="s">
        <v>40</v>
      </c>
      <c r="D681" s="16" t="s">
        <v>41</v>
      </c>
      <c r="E681" s="13" t="str">
        <f>+HYPERLINK("http://trademark.i-assist.jp/data/china/image_1891th/77411288.pdf","77411288")</f>
        <v>77411288</v>
      </c>
      <c r="F681" s="16" t="s">
        <v>3740</v>
      </c>
      <c r="G681" s="16" t="s">
        <v>3739</v>
      </c>
      <c r="H681" s="16" t="s">
        <v>3741</v>
      </c>
      <c r="I681" s="17">
        <v>45370</v>
      </c>
    </row>
    <row r="682" spans="1:9" x14ac:dyDescent="0.15">
      <c r="A682" s="16" t="s">
        <v>3746</v>
      </c>
      <c r="B682" s="7" t="s">
        <v>9</v>
      </c>
      <c r="C682" s="16" t="s">
        <v>40</v>
      </c>
      <c r="D682" s="16" t="s">
        <v>41</v>
      </c>
      <c r="E682" s="13" t="str">
        <f>+HYPERLINK("http://trademark.i-assist.jp/data/china/image_1891th/77411290.pdf","77411290")</f>
        <v>77411290</v>
      </c>
      <c r="F682" s="16" t="s">
        <v>3744</v>
      </c>
      <c r="G682" s="16" t="s">
        <v>3650</v>
      </c>
      <c r="H682" s="16" t="s">
        <v>3745</v>
      </c>
      <c r="I682" s="17">
        <v>45370</v>
      </c>
    </row>
    <row r="683" spans="1:9" x14ac:dyDescent="0.15">
      <c r="A683" s="16" t="s">
        <v>3751</v>
      </c>
      <c r="B683" s="7" t="s">
        <v>9</v>
      </c>
      <c r="C683" s="16" t="s">
        <v>40</v>
      </c>
      <c r="D683" s="16" t="s">
        <v>41</v>
      </c>
      <c r="E683" s="13" t="str">
        <f>+HYPERLINK("http://trademark.i-assist.jp/data/china/image_1891th/77411318.pdf","77411318")</f>
        <v>77411318</v>
      </c>
      <c r="F683" s="16" t="s">
        <v>3749</v>
      </c>
      <c r="G683" s="16" t="s">
        <v>3748</v>
      </c>
      <c r="H683" s="16" t="s">
        <v>3750</v>
      </c>
      <c r="I683" s="17">
        <v>45370</v>
      </c>
    </row>
    <row r="684" spans="1:9" x14ac:dyDescent="0.15">
      <c r="A684" s="16" t="s">
        <v>3756</v>
      </c>
      <c r="B684" s="7" t="s">
        <v>9</v>
      </c>
      <c r="C684" s="16" t="s">
        <v>40</v>
      </c>
      <c r="D684" s="16" t="s">
        <v>41</v>
      </c>
      <c r="E684" s="13" t="str">
        <f>+HYPERLINK("http://trademark.i-assist.jp/data/china/image_1891th/77411646.pdf","77411646")</f>
        <v>77411646</v>
      </c>
      <c r="F684" s="16" t="s">
        <v>3754</v>
      </c>
      <c r="G684" s="16" t="s">
        <v>3753</v>
      </c>
      <c r="H684" s="16" t="s">
        <v>3755</v>
      </c>
      <c r="I684" s="17">
        <v>45370</v>
      </c>
    </row>
    <row r="685" spans="1:9" x14ac:dyDescent="0.15">
      <c r="A685" s="16" t="s">
        <v>3760</v>
      </c>
      <c r="B685" s="7" t="s">
        <v>9</v>
      </c>
      <c r="C685" s="16" t="s">
        <v>40</v>
      </c>
      <c r="D685" s="16" t="s">
        <v>41</v>
      </c>
      <c r="E685" s="13" t="str">
        <f>+HYPERLINK("http://trademark.i-assist.jp/data/china/image_1891th/77412024.pdf","77412024")</f>
        <v>77412024</v>
      </c>
      <c r="F685" s="16" t="s">
        <v>11096</v>
      </c>
      <c r="G685" s="16" t="s">
        <v>3508</v>
      </c>
      <c r="H685" s="16" t="s">
        <v>3759</v>
      </c>
      <c r="I685" s="17">
        <v>45370</v>
      </c>
    </row>
    <row r="686" spans="1:9" x14ac:dyDescent="0.15">
      <c r="A686" s="16" t="s">
        <v>3764</v>
      </c>
      <c r="B686" s="7" t="s">
        <v>9</v>
      </c>
      <c r="C686" s="16" t="s">
        <v>40</v>
      </c>
      <c r="D686" s="16" t="s">
        <v>41</v>
      </c>
      <c r="E686" s="13" t="str">
        <f>+HYPERLINK("http://trademark.i-assist.jp/data/china/image_1891th/77412656.pdf","77412656")</f>
        <v>77412656</v>
      </c>
      <c r="F686" s="16" t="s">
        <v>3762</v>
      </c>
      <c r="G686" s="16" t="s">
        <v>3498</v>
      </c>
      <c r="H686" s="16" t="s">
        <v>3763</v>
      </c>
      <c r="I686" s="17">
        <v>45370</v>
      </c>
    </row>
    <row r="687" spans="1:9" x14ac:dyDescent="0.15">
      <c r="A687" s="16" t="s">
        <v>3769</v>
      </c>
      <c r="B687" s="7" t="s">
        <v>9</v>
      </c>
      <c r="C687" s="16" t="s">
        <v>40</v>
      </c>
      <c r="D687" s="16" t="s">
        <v>41</v>
      </c>
      <c r="E687" s="13" t="str">
        <f>+HYPERLINK("http://trademark.i-assist.jp/data/china/image_1891th/77412828.pdf","77412828")</f>
        <v>77412828</v>
      </c>
      <c r="F687" s="16" t="s">
        <v>3767</v>
      </c>
      <c r="G687" s="16" t="s">
        <v>3766</v>
      </c>
      <c r="H687" s="16" t="s">
        <v>3768</v>
      </c>
      <c r="I687" s="17">
        <v>45370</v>
      </c>
    </row>
    <row r="688" spans="1:9" x14ac:dyDescent="0.15">
      <c r="A688" s="16" t="s">
        <v>3774</v>
      </c>
      <c r="B688" s="7" t="s">
        <v>9</v>
      </c>
      <c r="C688" s="16" t="s">
        <v>40</v>
      </c>
      <c r="D688" s="16" t="s">
        <v>41</v>
      </c>
      <c r="E688" s="13" t="str">
        <f>+HYPERLINK("http://trademark.i-assist.jp/data/china/image_1891th/77413227.pdf","77413227")</f>
        <v>77413227</v>
      </c>
      <c r="F688" s="16" t="s">
        <v>3772</v>
      </c>
      <c r="G688" s="16" t="s">
        <v>11135</v>
      </c>
      <c r="H688" s="16" t="s">
        <v>3773</v>
      </c>
      <c r="I688" s="17">
        <v>45370</v>
      </c>
    </row>
    <row r="689" spans="1:9" x14ac:dyDescent="0.15">
      <c r="A689" s="16" t="s">
        <v>3779</v>
      </c>
      <c r="B689" s="7" t="s">
        <v>9</v>
      </c>
      <c r="C689" s="16" t="s">
        <v>40</v>
      </c>
      <c r="D689" s="16" t="s">
        <v>41</v>
      </c>
      <c r="E689" s="13" t="str">
        <f>+HYPERLINK("http://trademark.i-assist.jp/data/china/image_1891th/77413652.pdf","77413652")</f>
        <v>77413652</v>
      </c>
      <c r="F689" s="16" t="s">
        <v>3777</v>
      </c>
      <c r="G689" s="16" t="s">
        <v>3776</v>
      </c>
      <c r="H689" s="16" t="s">
        <v>3778</v>
      </c>
      <c r="I689" s="17">
        <v>45370</v>
      </c>
    </row>
    <row r="690" spans="1:9" x14ac:dyDescent="0.15">
      <c r="A690" s="16" t="s">
        <v>3784</v>
      </c>
      <c r="B690" s="7" t="s">
        <v>9</v>
      </c>
      <c r="C690" s="16" t="s">
        <v>40</v>
      </c>
      <c r="D690" s="16" t="s">
        <v>41</v>
      </c>
      <c r="E690" s="13" t="str">
        <f>+HYPERLINK("http://trademark.i-assist.jp/data/china/image_1891th/77413777.pdf","77413777")</f>
        <v>77413777</v>
      </c>
      <c r="F690" s="16" t="s">
        <v>3782</v>
      </c>
      <c r="G690" s="16" t="s">
        <v>3781</v>
      </c>
      <c r="H690" s="16" t="s">
        <v>3783</v>
      </c>
      <c r="I690" s="17">
        <v>45370</v>
      </c>
    </row>
    <row r="691" spans="1:9" x14ac:dyDescent="0.15">
      <c r="A691" s="16" t="s">
        <v>3787</v>
      </c>
      <c r="B691" s="7" t="s">
        <v>9</v>
      </c>
      <c r="C691" s="16" t="s">
        <v>40</v>
      </c>
      <c r="D691" s="16" t="s">
        <v>41</v>
      </c>
      <c r="E691" s="13" t="str">
        <f>+HYPERLINK("http://trademark.i-assist.jp/data/china/image_1891th/77414996.pdf","77414996")</f>
        <v>77414996</v>
      </c>
      <c r="F691" s="16" t="s">
        <v>52</v>
      </c>
      <c r="G691" s="16" t="s">
        <v>3484</v>
      </c>
      <c r="H691" s="16" t="s">
        <v>3786</v>
      </c>
      <c r="I691" s="17">
        <v>45370</v>
      </c>
    </row>
    <row r="692" spans="1:9" x14ac:dyDescent="0.15">
      <c r="A692" s="16" t="s">
        <v>3792</v>
      </c>
      <c r="B692" s="7" t="s">
        <v>9</v>
      </c>
      <c r="C692" s="16" t="s">
        <v>40</v>
      </c>
      <c r="D692" s="16" t="s">
        <v>41</v>
      </c>
      <c r="E692" s="13" t="str">
        <f>+HYPERLINK("http://trademark.i-assist.jp/data/china/image_1891th/77415573.pdf","77415573")</f>
        <v>77415573</v>
      </c>
      <c r="F692" s="16" t="s">
        <v>3790</v>
      </c>
      <c r="G692" s="16" t="s">
        <v>3789</v>
      </c>
      <c r="H692" s="16" t="s">
        <v>3791</v>
      </c>
      <c r="I692" s="17">
        <v>45371</v>
      </c>
    </row>
    <row r="693" spans="1:9" x14ac:dyDescent="0.15">
      <c r="A693" s="16" t="s">
        <v>3797</v>
      </c>
      <c r="B693" s="7" t="s">
        <v>9</v>
      </c>
      <c r="C693" s="16" t="s">
        <v>40</v>
      </c>
      <c r="D693" s="16" t="s">
        <v>41</v>
      </c>
      <c r="E693" s="13" t="str">
        <f>+HYPERLINK("http://trademark.i-assist.jp/data/china/image_1891th/77415747.pdf","77415747")</f>
        <v>77415747</v>
      </c>
      <c r="F693" s="16" t="s">
        <v>3795</v>
      </c>
      <c r="G693" s="16" t="s">
        <v>3794</v>
      </c>
      <c r="H693" s="16" t="s">
        <v>3796</v>
      </c>
      <c r="I693" s="17">
        <v>45371</v>
      </c>
    </row>
    <row r="694" spans="1:9" x14ac:dyDescent="0.15">
      <c r="A694" s="16" t="s">
        <v>3802</v>
      </c>
      <c r="B694" s="7" t="s">
        <v>9</v>
      </c>
      <c r="C694" s="16" t="s">
        <v>40</v>
      </c>
      <c r="D694" s="16" t="s">
        <v>41</v>
      </c>
      <c r="E694" s="13" t="str">
        <f>+HYPERLINK("http://trademark.i-assist.jp/data/china/image_1891th/77415831.pdf","77415831")</f>
        <v>77415831</v>
      </c>
      <c r="F694" s="16" t="s">
        <v>3800</v>
      </c>
      <c r="G694" s="16" t="s">
        <v>3799</v>
      </c>
      <c r="H694" s="16" t="s">
        <v>3801</v>
      </c>
      <c r="I694" s="17">
        <v>45371</v>
      </c>
    </row>
    <row r="695" spans="1:9" x14ac:dyDescent="0.15">
      <c r="A695" s="16" t="s">
        <v>3807</v>
      </c>
      <c r="B695" s="7" t="s">
        <v>9</v>
      </c>
      <c r="C695" s="16" t="s">
        <v>40</v>
      </c>
      <c r="D695" s="16" t="s">
        <v>41</v>
      </c>
      <c r="E695" s="13" t="str">
        <f>+HYPERLINK("http://trademark.i-assist.jp/data/china/image_1891th/77416252.pdf","77416252")</f>
        <v>77416252</v>
      </c>
      <c r="F695" s="16" t="s">
        <v>3805</v>
      </c>
      <c r="G695" s="16" t="s">
        <v>3804</v>
      </c>
      <c r="H695" s="16" t="s">
        <v>3806</v>
      </c>
      <c r="I695" s="17">
        <v>45371</v>
      </c>
    </row>
    <row r="696" spans="1:9" x14ac:dyDescent="0.15">
      <c r="A696" s="16" t="s">
        <v>3812</v>
      </c>
      <c r="B696" s="7" t="s">
        <v>9</v>
      </c>
      <c r="C696" s="16" t="s">
        <v>40</v>
      </c>
      <c r="D696" s="16" t="s">
        <v>41</v>
      </c>
      <c r="E696" s="13" t="str">
        <f>+HYPERLINK("http://trademark.i-assist.jp/data/china/image_1891th/77417331.pdf","77417331")</f>
        <v>77417331</v>
      </c>
      <c r="F696" s="16" t="s">
        <v>3810</v>
      </c>
      <c r="G696" s="16" t="s">
        <v>3809</v>
      </c>
      <c r="H696" s="16" t="s">
        <v>3811</v>
      </c>
      <c r="I696" s="17">
        <v>45371</v>
      </c>
    </row>
    <row r="697" spans="1:9" x14ac:dyDescent="0.15">
      <c r="A697" s="16" t="s">
        <v>3817</v>
      </c>
      <c r="B697" s="7" t="s">
        <v>9</v>
      </c>
      <c r="C697" s="16" t="s">
        <v>40</v>
      </c>
      <c r="D697" s="16" t="s">
        <v>41</v>
      </c>
      <c r="E697" s="13" t="str">
        <f>+HYPERLINK("http://trademark.i-assist.jp/data/china/image_1891th/77417466.pdf","77417466")</f>
        <v>77417466</v>
      </c>
      <c r="F697" s="16" t="s">
        <v>3815</v>
      </c>
      <c r="G697" s="16" t="s">
        <v>3814</v>
      </c>
      <c r="H697" s="16" t="s">
        <v>3816</v>
      </c>
      <c r="I697" s="17">
        <v>45371</v>
      </c>
    </row>
    <row r="698" spans="1:9" x14ac:dyDescent="0.15">
      <c r="A698" s="16" t="s">
        <v>3822</v>
      </c>
      <c r="B698" s="7" t="s">
        <v>9</v>
      </c>
      <c r="C698" s="16" t="s">
        <v>40</v>
      </c>
      <c r="D698" s="16" t="s">
        <v>41</v>
      </c>
      <c r="E698" s="13" t="str">
        <f>+HYPERLINK("http://trademark.i-assist.jp/data/china/image_1891th/77417659.pdf","77417659")</f>
        <v>77417659</v>
      </c>
      <c r="F698" s="16" t="s">
        <v>3820</v>
      </c>
      <c r="G698" s="16" t="s">
        <v>3819</v>
      </c>
      <c r="H698" s="16" t="s">
        <v>3821</v>
      </c>
      <c r="I698" s="17">
        <v>45371</v>
      </c>
    </row>
    <row r="699" spans="1:9" x14ac:dyDescent="0.15">
      <c r="A699" s="16" t="s">
        <v>3826</v>
      </c>
      <c r="B699" s="7" t="s">
        <v>9</v>
      </c>
      <c r="C699" s="16" t="s">
        <v>40</v>
      </c>
      <c r="D699" s="16" t="s">
        <v>41</v>
      </c>
      <c r="E699" s="13" t="str">
        <f>+HYPERLINK("http://trademark.i-assist.jp/data/china/image_1891th/77417667.pdf","77417667")</f>
        <v>77417667</v>
      </c>
      <c r="F699" s="16" t="s">
        <v>3824</v>
      </c>
      <c r="G699" s="16" t="s">
        <v>3819</v>
      </c>
      <c r="H699" s="16" t="s">
        <v>3825</v>
      </c>
      <c r="I699" s="17">
        <v>45371</v>
      </c>
    </row>
    <row r="700" spans="1:9" x14ac:dyDescent="0.15">
      <c r="A700" s="16" t="s">
        <v>3830</v>
      </c>
      <c r="B700" s="7" t="s">
        <v>9</v>
      </c>
      <c r="C700" s="16" t="s">
        <v>40</v>
      </c>
      <c r="D700" s="16" t="s">
        <v>41</v>
      </c>
      <c r="E700" s="13" t="str">
        <f>+HYPERLINK("http://trademark.i-assist.jp/data/china/image_1891th/77417837.pdf","77417837")</f>
        <v>77417837</v>
      </c>
      <c r="F700" s="16" t="s">
        <v>3828</v>
      </c>
      <c r="G700" s="16" t="s">
        <v>2715</v>
      </c>
      <c r="H700" s="16" t="s">
        <v>3829</v>
      </c>
      <c r="I700" s="17">
        <v>45371</v>
      </c>
    </row>
    <row r="701" spans="1:9" x14ac:dyDescent="0.15">
      <c r="A701" s="16" t="s">
        <v>3835</v>
      </c>
      <c r="B701" s="7" t="s">
        <v>9</v>
      </c>
      <c r="C701" s="16" t="s">
        <v>40</v>
      </c>
      <c r="D701" s="16" t="s">
        <v>41</v>
      </c>
      <c r="E701" s="13" t="str">
        <f>+HYPERLINK("http://trademark.i-assist.jp/data/china/image_1891th/77418063.pdf","77418063")</f>
        <v>77418063</v>
      </c>
      <c r="F701" s="16" t="s">
        <v>3833</v>
      </c>
      <c r="G701" s="16" t="s">
        <v>3832</v>
      </c>
      <c r="H701" s="16" t="s">
        <v>3834</v>
      </c>
      <c r="I701" s="17">
        <v>45371</v>
      </c>
    </row>
    <row r="702" spans="1:9" x14ac:dyDescent="0.15">
      <c r="A702" s="16" t="s">
        <v>3840</v>
      </c>
      <c r="B702" s="7" t="s">
        <v>9</v>
      </c>
      <c r="C702" s="16" t="s">
        <v>40</v>
      </c>
      <c r="D702" s="16" t="s">
        <v>41</v>
      </c>
      <c r="E702" s="13" t="str">
        <f>+HYPERLINK("http://trademark.i-assist.jp/data/china/image_1891th/77418229.pdf","77418229")</f>
        <v>77418229</v>
      </c>
      <c r="F702" s="16" t="s">
        <v>3838</v>
      </c>
      <c r="G702" s="16" t="s">
        <v>3837</v>
      </c>
      <c r="H702" s="16" t="s">
        <v>3839</v>
      </c>
      <c r="I702" s="17">
        <v>45371</v>
      </c>
    </row>
    <row r="703" spans="1:9" x14ac:dyDescent="0.15">
      <c r="A703" s="16" t="s">
        <v>3843</v>
      </c>
      <c r="B703" s="7" t="s">
        <v>9</v>
      </c>
      <c r="C703" s="16" t="s">
        <v>40</v>
      </c>
      <c r="D703" s="16" t="s">
        <v>41</v>
      </c>
      <c r="E703" s="13" t="str">
        <f>+HYPERLINK("http://trademark.i-assist.jp/data/china/image_1891th/77418653.pdf","77418653")</f>
        <v>77418653</v>
      </c>
      <c r="F703" s="16" t="s">
        <v>2711</v>
      </c>
      <c r="G703" s="16" t="s">
        <v>2710</v>
      </c>
      <c r="H703" s="16" t="s">
        <v>3842</v>
      </c>
      <c r="I703" s="17">
        <v>45371</v>
      </c>
    </row>
    <row r="704" spans="1:9" x14ac:dyDescent="0.15">
      <c r="A704" s="16" t="s">
        <v>3846</v>
      </c>
      <c r="B704" s="7" t="s">
        <v>9</v>
      </c>
      <c r="C704" s="16" t="s">
        <v>40</v>
      </c>
      <c r="D704" s="16" t="s">
        <v>41</v>
      </c>
      <c r="E704" s="13" t="str">
        <f>+HYPERLINK("http://trademark.i-assist.jp/data/china/image_1891th/77420330.pdf","77420330")</f>
        <v>77420330</v>
      </c>
      <c r="F704" s="16" t="s">
        <v>2716</v>
      </c>
      <c r="G704" s="16" t="s">
        <v>2715</v>
      </c>
      <c r="H704" s="16" t="s">
        <v>3845</v>
      </c>
      <c r="I704" s="17">
        <v>45371</v>
      </c>
    </row>
    <row r="705" spans="1:9" x14ac:dyDescent="0.15">
      <c r="A705" s="16" t="s">
        <v>3850</v>
      </c>
      <c r="B705" s="7" t="s">
        <v>9</v>
      </c>
      <c r="C705" s="16" t="s">
        <v>40</v>
      </c>
      <c r="D705" s="16" t="s">
        <v>41</v>
      </c>
      <c r="E705" s="13" t="str">
        <f>+HYPERLINK("http://trademark.i-assist.jp/data/china/image_1891th/77420513.pdf","77420513")</f>
        <v>77420513</v>
      </c>
      <c r="F705" s="16" t="s">
        <v>3848</v>
      </c>
      <c r="G705" s="16" t="s">
        <v>3789</v>
      </c>
      <c r="H705" s="16" t="s">
        <v>3849</v>
      </c>
      <c r="I705" s="17">
        <v>45371</v>
      </c>
    </row>
    <row r="706" spans="1:9" x14ac:dyDescent="0.15">
      <c r="A706" s="16" t="s">
        <v>3855</v>
      </c>
      <c r="B706" s="7" t="s">
        <v>9</v>
      </c>
      <c r="C706" s="16" t="s">
        <v>40</v>
      </c>
      <c r="D706" s="16" t="s">
        <v>41</v>
      </c>
      <c r="E706" s="13" t="str">
        <f>+HYPERLINK("http://trademark.i-assist.jp/data/china/image_1891th/77420594.pdf","77420594")</f>
        <v>77420594</v>
      </c>
      <c r="F706" s="16" t="s">
        <v>3853</v>
      </c>
      <c r="G706" s="16" t="s">
        <v>3852</v>
      </c>
      <c r="H706" s="16" t="s">
        <v>3854</v>
      </c>
      <c r="I706" s="17">
        <v>45371</v>
      </c>
    </row>
    <row r="707" spans="1:9" x14ac:dyDescent="0.15">
      <c r="A707" s="16" t="s">
        <v>3860</v>
      </c>
      <c r="B707" s="7" t="s">
        <v>9</v>
      </c>
      <c r="C707" s="16" t="s">
        <v>40</v>
      </c>
      <c r="D707" s="16" t="s">
        <v>41</v>
      </c>
      <c r="E707" s="13" t="str">
        <f>+HYPERLINK("http://trademark.i-assist.jp/data/china/image_1891th/77421160.pdf","77421160")</f>
        <v>77421160</v>
      </c>
      <c r="F707" s="16" t="s">
        <v>3858</v>
      </c>
      <c r="G707" s="16" t="s">
        <v>3857</v>
      </c>
      <c r="H707" s="16" t="s">
        <v>3859</v>
      </c>
      <c r="I707" s="17">
        <v>45371</v>
      </c>
    </row>
    <row r="708" spans="1:9" x14ac:dyDescent="0.15">
      <c r="A708" s="16" t="s">
        <v>3865</v>
      </c>
      <c r="B708" s="7" t="s">
        <v>9</v>
      </c>
      <c r="C708" s="16" t="s">
        <v>40</v>
      </c>
      <c r="D708" s="16" t="s">
        <v>41</v>
      </c>
      <c r="E708" s="13" t="str">
        <f>+HYPERLINK("http://trademark.i-assist.jp/data/china/image_1891th/77421171.pdf","77421171")</f>
        <v>77421171</v>
      </c>
      <c r="F708" s="16" t="s">
        <v>3863</v>
      </c>
      <c r="G708" s="16" t="s">
        <v>3862</v>
      </c>
      <c r="H708" s="16" t="s">
        <v>3864</v>
      </c>
      <c r="I708" s="17">
        <v>45371</v>
      </c>
    </row>
    <row r="709" spans="1:9" x14ac:dyDescent="0.15">
      <c r="A709" s="16" t="s">
        <v>3870</v>
      </c>
      <c r="B709" s="7" t="s">
        <v>9</v>
      </c>
      <c r="C709" s="16" t="s">
        <v>40</v>
      </c>
      <c r="D709" s="16" t="s">
        <v>41</v>
      </c>
      <c r="E709" s="13" t="str">
        <f>+HYPERLINK("http://trademark.i-assist.jp/data/china/image_1891th/77422297.pdf","77422297")</f>
        <v>77422297</v>
      </c>
      <c r="F709" s="16" t="s">
        <v>3868</v>
      </c>
      <c r="G709" s="16" t="s">
        <v>3867</v>
      </c>
      <c r="H709" s="16" t="s">
        <v>3869</v>
      </c>
      <c r="I709" s="17">
        <v>45371</v>
      </c>
    </row>
    <row r="710" spans="1:9" x14ac:dyDescent="0.15">
      <c r="A710" s="16" t="s">
        <v>3875</v>
      </c>
      <c r="B710" s="7" t="s">
        <v>9</v>
      </c>
      <c r="C710" s="16" t="s">
        <v>40</v>
      </c>
      <c r="D710" s="16" t="s">
        <v>41</v>
      </c>
      <c r="E710" s="13" t="str">
        <f>+HYPERLINK("http://trademark.i-assist.jp/data/china/image_1891th/77422535.pdf","77422535")</f>
        <v>77422535</v>
      </c>
      <c r="F710" s="16" t="s">
        <v>3873</v>
      </c>
      <c r="G710" s="16" t="s">
        <v>3872</v>
      </c>
      <c r="H710" s="16" t="s">
        <v>3874</v>
      </c>
      <c r="I710" s="17">
        <v>45371</v>
      </c>
    </row>
    <row r="711" spans="1:9" x14ac:dyDescent="0.15">
      <c r="A711" s="16" t="s">
        <v>3880</v>
      </c>
      <c r="B711" s="7" t="s">
        <v>9</v>
      </c>
      <c r="C711" s="16" t="s">
        <v>40</v>
      </c>
      <c r="D711" s="16" t="s">
        <v>41</v>
      </c>
      <c r="E711" s="13" t="str">
        <f>+HYPERLINK("http://trademark.i-assist.jp/data/china/image_1891th/77422563.pdf","77422563")</f>
        <v>77422563</v>
      </c>
      <c r="F711" s="16" t="s">
        <v>3878</v>
      </c>
      <c r="G711" s="16" t="s">
        <v>3877</v>
      </c>
      <c r="H711" s="16" t="s">
        <v>3879</v>
      </c>
      <c r="I711" s="17">
        <v>45371</v>
      </c>
    </row>
    <row r="712" spans="1:9" x14ac:dyDescent="0.15">
      <c r="A712" s="16" t="s">
        <v>3885</v>
      </c>
      <c r="B712" s="7" t="s">
        <v>9</v>
      </c>
      <c r="C712" s="16" t="s">
        <v>40</v>
      </c>
      <c r="D712" s="16" t="s">
        <v>41</v>
      </c>
      <c r="E712" s="13" t="str">
        <f>+HYPERLINK("http://trademark.i-assist.jp/data/china/image_1891th/77422819.pdf","77422819")</f>
        <v>77422819</v>
      </c>
      <c r="F712" s="16" t="s">
        <v>3883</v>
      </c>
      <c r="G712" s="16" t="s">
        <v>3882</v>
      </c>
      <c r="H712" s="16" t="s">
        <v>3884</v>
      </c>
      <c r="I712" s="17">
        <v>45371</v>
      </c>
    </row>
    <row r="713" spans="1:9" x14ac:dyDescent="0.15">
      <c r="A713" s="16" t="s">
        <v>3889</v>
      </c>
      <c r="B713" s="7" t="s">
        <v>9</v>
      </c>
      <c r="C713" s="16" t="s">
        <v>40</v>
      </c>
      <c r="D713" s="16" t="s">
        <v>41</v>
      </c>
      <c r="E713" s="13" t="str">
        <f>+HYPERLINK("http://trademark.i-assist.jp/data/china/image_1891th/77423050.pdf","77423050")</f>
        <v>77423050</v>
      </c>
      <c r="F713" s="16" t="s">
        <v>3887</v>
      </c>
      <c r="G713" s="16" t="s">
        <v>3789</v>
      </c>
      <c r="H713" s="16" t="s">
        <v>3888</v>
      </c>
      <c r="I713" s="17">
        <v>45371</v>
      </c>
    </row>
    <row r="714" spans="1:9" x14ac:dyDescent="0.15">
      <c r="A714" s="16" t="s">
        <v>3894</v>
      </c>
      <c r="B714" s="7" t="s">
        <v>9</v>
      </c>
      <c r="C714" s="16" t="s">
        <v>40</v>
      </c>
      <c r="D714" s="16" t="s">
        <v>41</v>
      </c>
      <c r="E714" s="13" t="str">
        <f>+HYPERLINK("http://trademark.i-assist.jp/data/china/image_1891th/77423299.pdf","77423299")</f>
        <v>77423299</v>
      </c>
      <c r="F714" s="16" t="s">
        <v>3892</v>
      </c>
      <c r="G714" s="16" t="s">
        <v>3891</v>
      </c>
      <c r="H714" s="16" t="s">
        <v>3893</v>
      </c>
      <c r="I714" s="17">
        <v>45371</v>
      </c>
    </row>
    <row r="715" spans="1:9" x14ac:dyDescent="0.15">
      <c r="A715" s="16" t="s">
        <v>3899</v>
      </c>
      <c r="B715" s="7" t="s">
        <v>9</v>
      </c>
      <c r="C715" s="16" t="s">
        <v>40</v>
      </c>
      <c r="D715" s="16" t="s">
        <v>41</v>
      </c>
      <c r="E715" s="13" t="str">
        <f>+HYPERLINK("http://trademark.i-assist.jp/data/china/image_1891th/77423717.pdf","77423717")</f>
        <v>77423717</v>
      </c>
      <c r="F715" s="16" t="s">
        <v>3897</v>
      </c>
      <c r="G715" s="16" t="s">
        <v>3896</v>
      </c>
      <c r="H715" s="16" t="s">
        <v>3898</v>
      </c>
      <c r="I715" s="17">
        <v>45371</v>
      </c>
    </row>
    <row r="716" spans="1:9" x14ac:dyDescent="0.15">
      <c r="A716" s="16" t="s">
        <v>3904</v>
      </c>
      <c r="B716" s="7" t="s">
        <v>9</v>
      </c>
      <c r="C716" s="16" t="s">
        <v>40</v>
      </c>
      <c r="D716" s="16" t="s">
        <v>41</v>
      </c>
      <c r="E716" s="13" t="str">
        <f>+HYPERLINK("http://trademark.i-assist.jp/data/china/image_1891th/77423728.pdf","77423728")</f>
        <v>77423728</v>
      </c>
      <c r="F716" s="16" t="s">
        <v>3902</v>
      </c>
      <c r="G716" s="16" t="s">
        <v>3901</v>
      </c>
      <c r="H716" s="16" t="s">
        <v>3903</v>
      </c>
      <c r="I716" s="17">
        <v>45371</v>
      </c>
    </row>
    <row r="717" spans="1:9" x14ac:dyDescent="0.15">
      <c r="A717" s="16" t="s">
        <v>3909</v>
      </c>
      <c r="B717" s="7" t="s">
        <v>9</v>
      </c>
      <c r="C717" s="16" t="s">
        <v>40</v>
      </c>
      <c r="D717" s="16" t="s">
        <v>41</v>
      </c>
      <c r="E717" s="13" t="str">
        <f>+HYPERLINK("http://trademark.i-assist.jp/data/china/image_1891th/77424069.pdf","77424069")</f>
        <v>77424069</v>
      </c>
      <c r="F717" s="16" t="s">
        <v>3907</v>
      </c>
      <c r="G717" s="16" t="s">
        <v>3906</v>
      </c>
      <c r="H717" s="16" t="s">
        <v>3908</v>
      </c>
      <c r="I717" s="17">
        <v>45371</v>
      </c>
    </row>
    <row r="718" spans="1:9" x14ac:dyDescent="0.15">
      <c r="A718" s="16" t="s">
        <v>3913</v>
      </c>
      <c r="B718" s="7" t="s">
        <v>9</v>
      </c>
      <c r="C718" s="16" t="s">
        <v>40</v>
      </c>
      <c r="D718" s="16" t="s">
        <v>41</v>
      </c>
      <c r="E718" s="13" t="str">
        <f>+HYPERLINK("http://trademark.i-assist.jp/data/china/image_1891th/77424554.pdf","77424554")</f>
        <v>77424554</v>
      </c>
      <c r="F718" s="16" t="s">
        <v>3911</v>
      </c>
      <c r="G718" s="16" t="s">
        <v>2750</v>
      </c>
      <c r="H718" s="16" t="s">
        <v>3912</v>
      </c>
      <c r="I718" s="17">
        <v>45371</v>
      </c>
    </row>
    <row r="719" spans="1:9" x14ac:dyDescent="0.15">
      <c r="A719" s="16" t="s">
        <v>3918</v>
      </c>
      <c r="B719" s="7" t="s">
        <v>9</v>
      </c>
      <c r="C719" s="16" t="s">
        <v>40</v>
      </c>
      <c r="D719" s="16" t="s">
        <v>41</v>
      </c>
      <c r="E719" s="13" t="str">
        <f>+HYPERLINK("http://trademark.i-assist.jp/data/china/image_1891th/77424695.pdf","77424695")</f>
        <v>77424695</v>
      </c>
      <c r="F719" s="16" t="s">
        <v>3916</v>
      </c>
      <c r="G719" s="16" t="s">
        <v>3915</v>
      </c>
      <c r="H719" s="16" t="s">
        <v>3917</v>
      </c>
      <c r="I719" s="17">
        <v>45371</v>
      </c>
    </row>
    <row r="720" spans="1:9" x14ac:dyDescent="0.15">
      <c r="A720" s="16" t="s">
        <v>3922</v>
      </c>
      <c r="B720" s="7" t="s">
        <v>9</v>
      </c>
      <c r="C720" s="16" t="s">
        <v>40</v>
      </c>
      <c r="D720" s="16" t="s">
        <v>41</v>
      </c>
      <c r="E720" s="13" t="str">
        <f>+HYPERLINK("http://trademark.i-assist.jp/data/china/image_1891th/77424738.pdf","77424738")</f>
        <v>77424738</v>
      </c>
      <c r="F720" s="16" t="s">
        <v>3921</v>
      </c>
      <c r="G720" s="16" t="s">
        <v>3920</v>
      </c>
      <c r="H720" s="16" t="s">
        <v>223</v>
      </c>
      <c r="I720" s="17">
        <v>45371</v>
      </c>
    </row>
    <row r="721" spans="1:9" x14ac:dyDescent="0.15">
      <c r="A721" s="16" t="s">
        <v>3927</v>
      </c>
      <c r="B721" s="7" t="s">
        <v>9</v>
      </c>
      <c r="C721" s="16" t="s">
        <v>40</v>
      </c>
      <c r="D721" s="16" t="s">
        <v>41</v>
      </c>
      <c r="E721" s="13" t="str">
        <f>+HYPERLINK("http://trademark.i-assist.jp/data/china/image_1891th/77425219.pdf","77425219")</f>
        <v>77425219</v>
      </c>
      <c r="F721" s="16" t="s">
        <v>3925</v>
      </c>
      <c r="G721" s="16" t="s">
        <v>3924</v>
      </c>
      <c r="H721" s="16" t="s">
        <v>3926</v>
      </c>
      <c r="I721" s="17">
        <v>45371</v>
      </c>
    </row>
    <row r="722" spans="1:9" x14ac:dyDescent="0.15">
      <c r="A722" s="16" t="s">
        <v>3931</v>
      </c>
      <c r="B722" s="7" t="s">
        <v>9</v>
      </c>
      <c r="C722" s="16" t="s">
        <v>40</v>
      </c>
      <c r="D722" s="16" t="s">
        <v>41</v>
      </c>
      <c r="E722" s="13" t="str">
        <f>+HYPERLINK("http://trademark.i-assist.jp/data/china/image_1891th/77425226.pdf","77425226")</f>
        <v>77425226</v>
      </c>
      <c r="F722" s="16" t="s">
        <v>3929</v>
      </c>
      <c r="G722" s="16" t="s">
        <v>3789</v>
      </c>
      <c r="H722" s="16" t="s">
        <v>3930</v>
      </c>
      <c r="I722" s="17">
        <v>45371</v>
      </c>
    </row>
    <row r="723" spans="1:9" x14ac:dyDescent="0.15">
      <c r="A723" s="16" t="s">
        <v>3935</v>
      </c>
      <c r="B723" s="7" t="s">
        <v>9</v>
      </c>
      <c r="C723" s="16" t="s">
        <v>40</v>
      </c>
      <c r="D723" s="16" t="s">
        <v>41</v>
      </c>
      <c r="E723" s="13" t="str">
        <f>+HYPERLINK("http://trademark.i-assist.jp/data/china/image_1891th/77425236.pdf","77425236")</f>
        <v>77425236</v>
      </c>
      <c r="F723" s="16" t="s">
        <v>3933</v>
      </c>
      <c r="G723" s="16" t="s">
        <v>3789</v>
      </c>
      <c r="H723" s="16" t="s">
        <v>3934</v>
      </c>
      <c r="I723" s="17">
        <v>45371</v>
      </c>
    </row>
    <row r="724" spans="1:9" x14ac:dyDescent="0.15">
      <c r="A724" s="16" t="s">
        <v>3939</v>
      </c>
      <c r="B724" s="7" t="s">
        <v>9</v>
      </c>
      <c r="C724" s="16" t="s">
        <v>40</v>
      </c>
      <c r="D724" s="16" t="s">
        <v>41</v>
      </c>
      <c r="E724" s="13" t="str">
        <f>+HYPERLINK("http://trademark.i-assist.jp/data/china/image_1891th/77425261.pdf","77425261")</f>
        <v>77425261</v>
      </c>
      <c r="F724" s="16" t="s">
        <v>3937</v>
      </c>
      <c r="G724" s="16" t="s">
        <v>3789</v>
      </c>
      <c r="H724" s="16" t="s">
        <v>3938</v>
      </c>
      <c r="I724" s="17">
        <v>45371</v>
      </c>
    </row>
    <row r="725" spans="1:9" x14ac:dyDescent="0.15">
      <c r="A725" s="16" t="s">
        <v>3944</v>
      </c>
      <c r="B725" s="7" t="s">
        <v>9</v>
      </c>
      <c r="C725" s="16" t="s">
        <v>40</v>
      </c>
      <c r="D725" s="16" t="s">
        <v>41</v>
      </c>
      <c r="E725" s="13" t="str">
        <f>+HYPERLINK("http://trademark.i-assist.jp/data/china/image_1891th/77425411.pdf","77425411")</f>
        <v>77425411</v>
      </c>
      <c r="F725" s="16" t="s">
        <v>3942</v>
      </c>
      <c r="G725" s="16" t="s">
        <v>3941</v>
      </c>
      <c r="H725" s="16" t="s">
        <v>3943</v>
      </c>
      <c r="I725" s="17">
        <v>45371</v>
      </c>
    </row>
    <row r="726" spans="1:9" x14ac:dyDescent="0.15">
      <c r="A726" s="16" t="s">
        <v>3949</v>
      </c>
      <c r="B726" s="7" t="s">
        <v>9</v>
      </c>
      <c r="C726" s="16" t="s">
        <v>40</v>
      </c>
      <c r="D726" s="16" t="s">
        <v>41</v>
      </c>
      <c r="E726" s="13" t="str">
        <f>+HYPERLINK("http://trademark.i-assist.jp/data/china/image_1891th/77425691.pdf","77425691")</f>
        <v>77425691</v>
      </c>
      <c r="F726" s="16" t="s">
        <v>3947</v>
      </c>
      <c r="G726" s="16" t="s">
        <v>3946</v>
      </c>
      <c r="H726" s="16" t="s">
        <v>3948</v>
      </c>
      <c r="I726" s="17">
        <v>45371</v>
      </c>
    </row>
    <row r="727" spans="1:9" x14ac:dyDescent="0.15">
      <c r="A727" s="16" t="s">
        <v>3953</v>
      </c>
      <c r="B727" s="7" t="s">
        <v>9</v>
      </c>
      <c r="C727" s="16" t="s">
        <v>40</v>
      </c>
      <c r="D727" s="16" t="s">
        <v>41</v>
      </c>
      <c r="E727" s="13" t="str">
        <f>+HYPERLINK("http://trademark.i-assist.jp/data/china/image_1891th/77426256.pdf","77426256")</f>
        <v>77426256</v>
      </c>
      <c r="F727" s="16" t="s">
        <v>52</v>
      </c>
      <c r="G727" s="16" t="s">
        <v>3951</v>
      </c>
      <c r="H727" s="16" t="s">
        <v>3952</v>
      </c>
      <c r="I727" s="17">
        <v>45371</v>
      </c>
    </row>
    <row r="728" spans="1:9" x14ac:dyDescent="0.15">
      <c r="A728" s="16" t="s">
        <v>3957</v>
      </c>
      <c r="B728" s="7" t="s">
        <v>9</v>
      </c>
      <c r="C728" s="16" t="s">
        <v>40</v>
      </c>
      <c r="D728" s="16" t="s">
        <v>41</v>
      </c>
      <c r="E728" s="13" t="str">
        <f>+HYPERLINK("http://trademark.i-assist.jp/data/china/image_1891th/77426362.pdf","77426362")</f>
        <v>77426362</v>
      </c>
      <c r="F728" s="16" t="s">
        <v>52</v>
      </c>
      <c r="G728" s="16" t="s">
        <v>3955</v>
      </c>
      <c r="H728" s="16" t="s">
        <v>3956</v>
      </c>
      <c r="I728" s="17">
        <v>45371</v>
      </c>
    </row>
    <row r="729" spans="1:9" x14ac:dyDescent="0.15">
      <c r="A729" s="16" t="s">
        <v>3962</v>
      </c>
      <c r="B729" s="7" t="s">
        <v>9</v>
      </c>
      <c r="C729" s="16" t="s">
        <v>40</v>
      </c>
      <c r="D729" s="16" t="s">
        <v>41</v>
      </c>
      <c r="E729" s="13" t="str">
        <f>+HYPERLINK("http://trademark.i-assist.jp/data/china/image_1891th/77426904.pdf","77426904")</f>
        <v>77426904</v>
      </c>
      <c r="F729" s="16" t="s">
        <v>3960</v>
      </c>
      <c r="G729" s="16" t="s">
        <v>3959</v>
      </c>
      <c r="H729" s="16" t="s">
        <v>3961</v>
      </c>
      <c r="I729" s="17">
        <v>45371</v>
      </c>
    </row>
    <row r="730" spans="1:9" x14ac:dyDescent="0.15">
      <c r="A730" s="16" t="s">
        <v>3967</v>
      </c>
      <c r="B730" s="7" t="s">
        <v>9</v>
      </c>
      <c r="C730" s="16" t="s">
        <v>40</v>
      </c>
      <c r="D730" s="16" t="s">
        <v>41</v>
      </c>
      <c r="E730" s="13" t="str">
        <f>+HYPERLINK("http://trademark.i-assist.jp/data/china/image_1891th/77426952.pdf","77426952")</f>
        <v>77426952</v>
      </c>
      <c r="F730" s="16" t="s">
        <v>3965</v>
      </c>
      <c r="G730" s="16" t="s">
        <v>3964</v>
      </c>
      <c r="H730" s="16" t="s">
        <v>3966</v>
      </c>
      <c r="I730" s="17">
        <v>45371</v>
      </c>
    </row>
    <row r="731" spans="1:9" x14ac:dyDescent="0.15">
      <c r="A731" s="16" t="s">
        <v>3972</v>
      </c>
      <c r="B731" s="7" t="s">
        <v>9</v>
      </c>
      <c r="C731" s="16" t="s">
        <v>40</v>
      </c>
      <c r="D731" s="16" t="s">
        <v>41</v>
      </c>
      <c r="E731" s="13" t="str">
        <f>+HYPERLINK("http://trademark.i-assist.jp/data/china/image_1891th/77427154.pdf","77427154")</f>
        <v>77427154</v>
      </c>
      <c r="F731" s="16" t="s">
        <v>3970</v>
      </c>
      <c r="G731" s="16" t="s">
        <v>3969</v>
      </c>
      <c r="H731" s="16" t="s">
        <v>3971</v>
      </c>
      <c r="I731" s="17">
        <v>45371</v>
      </c>
    </row>
    <row r="732" spans="1:9" x14ac:dyDescent="0.15">
      <c r="A732" s="16" t="s">
        <v>3976</v>
      </c>
      <c r="B732" s="7" t="s">
        <v>9</v>
      </c>
      <c r="C732" s="16" t="s">
        <v>40</v>
      </c>
      <c r="D732" s="16" t="s">
        <v>41</v>
      </c>
      <c r="E732" s="13" t="str">
        <f>+HYPERLINK("http://trademark.i-assist.jp/data/china/image_1891th/77427484.pdf","77427484")</f>
        <v>77427484</v>
      </c>
      <c r="F732" s="16" t="s">
        <v>3974</v>
      </c>
      <c r="G732" s="16" t="s">
        <v>3969</v>
      </c>
      <c r="H732" s="16" t="s">
        <v>3975</v>
      </c>
      <c r="I732" s="17">
        <v>45371</v>
      </c>
    </row>
    <row r="733" spans="1:9" x14ac:dyDescent="0.15">
      <c r="A733" s="16" t="s">
        <v>3981</v>
      </c>
      <c r="B733" s="7" t="s">
        <v>9</v>
      </c>
      <c r="C733" s="16" t="s">
        <v>40</v>
      </c>
      <c r="D733" s="16" t="s">
        <v>41</v>
      </c>
      <c r="E733" s="13" t="str">
        <f>+HYPERLINK("http://trademark.i-assist.jp/data/china/image_1891th/77427612.pdf","77427612")</f>
        <v>77427612</v>
      </c>
      <c r="F733" s="16" t="s">
        <v>3979</v>
      </c>
      <c r="G733" s="16" t="s">
        <v>3978</v>
      </c>
      <c r="H733" s="16" t="s">
        <v>3980</v>
      </c>
      <c r="I733" s="17">
        <v>45371</v>
      </c>
    </row>
    <row r="734" spans="1:9" x14ac:dyDescent="0.15">
      <c r="A734" s="16" t="s">
        <v>3986</v>
      </c>
      <c r="B734" s="7" t="s">
        <v>9</v>
      </c>
      <c r="C734" s="16" t="s">
        <v>40</v>
      </c>
      <c r="D734" s="16" t="s">
        <v>41</v>
      </c>
      <c r="E734" s="13" t="str">
        <f>+HYPERLINK("http://trademark.i-assist.jp/data/china/image_1891th/77427692.pdf","77427692")</f>
        <v>77427692</v>
      </c>
      <c r="F734" s="16" t="s">
        <v>3984</v>
      </c>
      <c r="G734" s="16" t="s">
        <v>3983</v>
      </c>
      <c r="H734" s="16" t="s">
        <v>3985</v>
      </c>
      <c r="I734" s="17">
        <v>45371</v>
      </c>
    </row>
    <row r="735" spans="1:9" x14ac:dyDescent="0.15">
      <c r="A735" s="16" t="s">
        <v>3991</v>
      </c>
      <c r="B735" s="7" t="s">
        <v>9</v>
      </c>
      <c r="C735" s="16" t="s">
        <v>40</v>
      </c>
      <c r="D735" s="16" t="s">
        <v>41</v>
      </c>
      <c r="E735" s="13" t="str">
        <f>+HYPERLINK("http://trademark.i-assist.jp/data/china/image_1891th/77428041.pdf","77428041")</f>
        <v>77428041</v>
      </c>
      <c r="F735" s="16" t="s">
        <v>3989</v>
      </c>
      <c r="G735" s="16" t="s">
        <v>3988</v>
      </c>
      <c r="H735" s="16" t="s">
        <v>3990</v>
      </c>
      <c r="I735" s="17">
        <v>45371</v>
      </c>
    </row>
    <row r="736" spans="1:9" x14ac:dyDescent="0.15">
      <c r="A736" s="16" t="s">
        <v>3996</v>
      </c>
      <c r="B736" s="7" t="s">
        <v>9</v>
      </c>
      <c r="C736" s="16" t="s">
        <v>40</v>
      </c>
      <c r="D736" s="16" t="s">
        <v>41</v>
      </c>
      <c r="E736" s="13" t="str">
        <f>+HYPERLINK("http://trademark.i-assist.jp/data/china/image_1891th/77428565.pdf","77428565")</f>
        <v>77428565</v>
      </c>
      <c r="F736" s="16" t="s">
        <v>3994</v>
      </c>
      <c r="G736" s="16" t="s">
        <v>3993</v>
      </c>
      <c r="H736" s="16" t="s">
        <v>3995</v>
      </c>
      <c r="I736" s="17">
        <v>45371</v>
      </c>
    </row>
    <row r="737" spans="1:9" x14ac:dyDescent="0.15">
      <c r="A737" s="16" t="s">
        <v>4000</v>
      </c>
      <c r="B737" s="7" t="s">
        <v>9</v>
      </c>
      <c r="C737" s="16" t="s">
        <v>40</v>
      </c>
      <c r="D737" s="16" t="s">
        <v>41</v>
      </c>
      <c r="E737" s="13" t="str">
        <f>+HYPERLINK("http://trademark.i-assist.jp/data/china/image_1891th/77428584.pdf","77428584")</f>
        <v>77428584</v>
      </c>
      <c r="F737" s="16" t="s">
        <v>11127</v>
      </c>
      <c r="G737" s="16" t="s">
        <v>3877</v>
      </c>
      <c r="H737" s="16" t="s">
        <v>3999</v>
      </c>
      <c r="I737" s="17">
        <v>45371</v>
      </c>
    </row>
    <row r="738" spans="1:9" x14ac:dyDescent="0.15">
      <c r="A738" s="16" t="s">
        <v>4005</v>
      </c>
      <c r="B738" s="7" t="s">
        <v>9</v>
      </c>
      <c r="C738" s="16" t="s">
        <v>40</v>
      </c>
      <c r="D738" s="16" t="s">
        <v>41</v>
      </c>
      <c r="E738" s="13" t="str">
        <f>+HYPERLINK("http://trademark.i-assist.jp/data/china/image_1891th/77428593.pdf","77428593")</f>
        <v>77428593</v>
      </c>
      <c r="F738" s="16" t="s">
        <v>4003</v>
      </c>
      <c r="G738" s="16" t="s">
        <v>4002</v>
      </c>
      <c r="H738" s="16" t="s">
        <v>4004</v>
      </c>
      <c r="I738" s="17">
        <v>45371</v>
      </c>
    </row>
    <row r="739" spans="1:9" x14ac:dyDescent="0.15">
      <c r="A739" s="16" t="s">
        <v>4009</v>
      </c>
      <c r="B739" s="7" t="s">
        <v>9</v>
      </c>
      <c r="C739" s="16" t="s">
        <v>40</v>
      </c>
      <c r="D739" s="16" t="s">
        <v>41</v>
      </c>
      <c r="E739" s="13" t="str">
        <f>+HYPERLINK("http://trademark.i-assist.jp/data/china/image_1891th/77428596.pdf","77428596")</f>
        <v>77428596</v>
      </c>
      <c r="F739" s="16" t="s">
        <v>4007</v>
      </c>
      <c r="G739" s="16" t="s">
        <v>3877</v>
      </c>
      <c r="H739" s="16" t="s">
        <v>4008</v>
      </c>
      <c r="I739" s="17">
        <v>45371</v>
      </c>
    </row>
    <row r="740" spans="1:9" x14ac:dyDescent="0.15">
      <c r="A740" s="16" t="s">
        <v>4014</v>
      </c>
      <c r="B740" s="7" t="s">
        <v>9</v>
      </c>
      <c r="C740" s="16" t="s">
        <v>40</v>
      </c>
      <c r="D740" s="16" t="s">
        <v>41</v>
      </c>
      <c r="E740" s="13" t="str">
        <f>+HYPERLINK("http://trademark.i-assist.jp/data/china/image_1891th/77428698.pdf","77428698")</f>
        <v>77428698</v>
      </c>
      <c r="F740" s="16" t="s">
        <v>4012</v>
      </c>
      <c r="G740" s="16" t="s">
        <v>4011</v>
      </c>
      <c r="H740" s="16" t="s">
        <v>4013</v>
      </c>
      <c r="I740" s="17">
        <v>45371</v>
      </c>
    </row>
    <row r="741" spans="1:9" x14ac:dyDescent="0.15">
      <c r="A741" s="16" t="s">
        <v>4019</v>
      </c>
      <c r="B741" s="7" t="s">
        <v>9</v>
      </c>
      <c r="C741" s="16" t="s">
        <v>40</v>
      </c>
      <c r="D741" s="16" t="s">
        <v>41</v>
      </c>
      <c r="E741" s="13" t="str">
        <f>+HYPERLINK("http://trademark.i-assist.jp/data/china/image_1891th/77429140.pdf","77429140")</f>
        <v>77429140</v>
      </c>
      <c r="F741" s="16" t="s">
        <v>4017</v>
      </c>
      <c r="G741" s="16" t="s">
        <v>4016</v>
      </c>
      <c r="H741" s="16" t="s">
        <v>4018</v>
      </c>
      <c r="I741" s="17">
        <v>45371</v>
      </c>
    </row>
    <row r="742" spans="1:9" x14ac:dyDescent="0.15">
      <c r="A742" s="16" t="s">
        <v>4024</v>
      </c>
      <c r="B742" s="7" t="s">
        <v>9</v>
      </c>
      <c r="C742" s="16" t="s">
        <v>40</v>
      </c>
      <c r="D742" s="16" t="s">
        <v>41</v>
      </c>
      <c r="E742" s="13" t="str">
        <f>+HYPERLINK("http://trademark.i-assist.jp/data/china/image_1891th/77429262.pdf","77429262")</f>
        <v>77429262</v>
      </c>
      <c r="F742" s="16" t="s">
        <v>4022</v>
      </c>
      <c r="G742" s="16" t="s">
        <v>4021</v>
      </c>
      <c r="H742" s="16" t="s">
        <v>4023</v>
      </c>
      <c r="I742" s="17">
        <v>45371</v>
      </c>
    </row>
    <row r="743" spans="1:9" x14ac:dyDescent="0.15">
      <c r="A743" s="16" t="s">
        <v>4028</v>
      </c>
      <c r="B743" s="7" t="s">
        <v>9</v>
      </c>
      <c r="C743" s="16" t="s">
        <v>40</v>
      </c>
      <c r="D743" s="16" t="s">
        <v>41</v>
      </c>
      <c r="E743" s="13" t="str">
        <f>+HYPERLINK("http://trademark.i-assist.jp/data/china/image_1891th/77429840.pdf","77429840")</f>
        <v>77429840</v>
      </c>
      <c r="F743" s="16" t="s">
        <v>4026</v>
      </c>
      <c r="G743" s="16" t="s">
        <v>3896</v>
      </c>
      <c r="H743" s="16" t="s">
        <v>4027</v>
      </c>
      <c r="I743" s="17">
        <v>45371</v>
      </c>
    </row>
    <row r="744" spans="1:9" x14ac:dyDescent="0.15">
      <c r="A744" s="16" t="s">
        <v>4033</v>
      </c>
      <c r="B744" s="7" t="s">
        <v>9</v>
      </c>
      <c r="C744" s="16" t="s">
        <v>40</v>
      </c>
      <c r="D744" s="16" t="s">
        <v>41</v>
      </c>
      <c r="E744" s="13" t="str">
        <f>+HYPERLINK("http://trademark.i-assist.jp/data/china/image_1891th/77430098.pdf","77430098")</f>
        <v>77430098</v>
      </c>
      <c r="F744" s="16" t="s">
        <v>4031</v>
      </c>
      <c r="G744" s="16" t="s">
        <v>4030</v>
      </c>
      <c r="H744" s="16" t="s">
        <v>4032</v>
      </c>
      <c r="I744" s="17">
        <v>45371</v>
      </c>
    </row>
    <row r="745" spans="1:9" x14ac:dyDescent="0.15">
      <c r="A745" s="16" t="s">
        <v>4038</v>
      </c>
      <c r="B745" s="7" t="s">
        <v>9</v>
      </c>
      <c r="C745" s="16" t="s">
        <v>40</v>
      </c>
      <c r="D745" s="16" t="s">
        <v>41</v>
      </c>
      <c r="E745" s="13" t="str">
        <f>+HYPERLINK("http://trademark.i-assist.jp/data/china/image_1891th/77430339.pdf","77430339")</f>
        <v>77430339</v>
      </c>
      <c r="F745" s="16" t="s">
        <v>4036</v>
      </c>
      <c r="G745" s="16" t="s">
        <v>4035</v>
      </c>
      <c r="H745" s="16" t="s">
        <v>4037</v>
      </c>
      <c r="I745" s="17">
        <v>45371</v>
      </c>
    </row>
    <row r="746" spans="1:9" x14ac:dyDescent="0.15">
      <c r="A746" s="16" t="s">
        <v>4043</v>
      </c>
      <c r="B746" s="7" t="s">
        <v>9</v>
      </c>
      <c r="C746" s="16" t="s">
        <v>40</v>
      </c>
      <c r="D746" s="16" t="s">
        <v>41</v>
      </c>
      <c r="E746" s="13" t="str">
        <f>+HYPERLINK("http://trademark.i-assist.jp/data/china/image_1891th/77430479.pdf","77430479")</f>
        <v>77430479</v>
      </c>
      <c r="F746" s="16" t="s">
        <v>4041</v>
      </c>
      <c r="G746" s="16" t="s">
        <v>4040</v>
      </c>
      <c r="H746" s="16" t="s">
        <v>4042</v>
      </c>
      <c r="I746" s="17">
        <v>45371</v>
      </c>
    </row>
    <row r="747" spans="1:9" x14ac:dyDescent="0.15">
      <c r="A747" s="16" t="s">
        <v>4047</v>
      </c>
      <c r="B747" s="7" t="s">
        <v>9</v>
      </c>
      <c r="C747" s="16" t="s">
        <v>40</v>
      </c>
      <c r="D747" s="16" t="s">
        <v>41</v>
      </c>
      <c r="E747" s="13" t="str">
        <f>+HYPERLINK("http://trademark.i-assist.jp/data/china/image_1891th/77430528.pdf","77430528")</f>
        <v>77430528</v>
      </c>
      <c r="F747" s="16" t="s">
        <v>4045</v>
      </c>
      <c r="G747" s="16" t="s">
        <v>3789</v>
      </c>
      <c r="H747" s="16" t="s">
        <v>4046</v>
      </c>
      <c r="I747" s="17">
        <v>45371</v>
      </c>
    </row>
    <row r="748" spans="1:9" x14ac:dyDescent="0.15">
      <c r="A748" s="16" t="s">
        <v>4051</v>
      </c>
      <c r="B748" s="7" t="s">
        <v>9</v>
      </c>
      <c r="C748" s="16" t="s">
        <v>40</v>
      </c>
      <c r="D748" s="16" t="s">
        <v>41</v>
      </c>
      <c r="E748" s="13" t="str">
        <f>+HYPERLINK("http://trademark.i-assist.jp/data/china/image_1891th/77431167.pdf","77431167")</f>
        <v>77431167</v>
      </c>
      <c r="F748" s="16" t="s">
        <v>4049</v>
      </c>
      <c r="G748" s="16" t="s">
        <v>3872</v>
      </c>
      <c r="H748" s="16" t="s">
        <v>4050</v>
      </c>
      <c r="I748" s="17">
        <v>45371</v>
      </c>
    </row>
    <row r="749" spans="1:9" x14ac:dyDescent="0.15">
      <c r="A749" s="16" t="s">
        <v>4056</v>
      </c>
      <c r="B749" s="7" t="s">
        <v>9</v>
      </c>
      <c r="C749" s="16" t="s">
        <v>40</v>
      </c>
      <c r="D749" s="16" t="s">
        <v>41</v>
      </c>
      <c r="E749" s="13" t="str">
        <f>+HYPERLINK("http://trademark.i-assist.jp/data/china/image_1891th/77431484.pdf","77431484")</f>
        <v>77431484</v>
      </c>
      <c r="F749" s="16" t="s">
        <v>4054</v>
      </c>
      <c r="G749" s="16" t="s">
        <v>4053</v>
      </c>
      <c r="H749" s="16" t="s">
        <v>4055</v>
      </c>
      <c r="I749" s="17">
        <v>45371</v>
      </c>
    </row>
    <row r="750" spans="1:9" x14ac:dyDescent="0.15">
      <c r="A750" s="16" t="s">
        <v>4061</v>
      </c>
      <c r="B750" s="7" t="s">
        <v>9</v>
      </c>
      <c r="C750" s="16" t="s">
        <v>40</v>
      </c>
      <c r="D750" s="16" t="s">
        <v>41</v>
      </c>
      <c r="E750" s="13" t="str">
        <f>+HYPERLINK("http://trademark.i-assist.jp/data/china/image_1891th/77432253.pdf","77432253")</f>
        <v>77432253</v>
      </c>
      <c r="F750" s="16" t="s">
        <v>4059</v>
      </c>
      <c r="G750" s="16" t="s">
        <v>4058</v>
      </c>
      <c r="H750" s="16" t="s">
        <v>4060</v>
      </c>
      <c r="I750" s="17">
        <v>45371</v>
      </c>
    </row>
    <row r="751" spans="1:9" x14ac:dyDescent="0.15">
      <c r="A751" s="16" t="s">
        <v>4064</v>
      </c>
      <c r="B751" s="7" t="s">
        <v>9</v>
      </c>
      <c r="C751" s="16" t="s">
        <v>40</v>
      </c>
      <c r="D751" s="16" t="s">
        <v>41</v>
      </c>
      <c r="E751" s="13" t="str">
        <f>+HYPERLINK("http://trademark.i-assist.jp/data/china/image_1891th/77432735.pdf","77432735")</f>
        <v>77432735</v>
      </c>
      <c r="F751" s="16" t="s">
        <v>2711</v>
      </c>
      <c r="G751" s="16" t="s">
        <v>2710</v>
      </c>
      <c r="H751" s="16" t="s">
        <v>4063</v>
      </c>
      <c r="I751" s="17">
        <v>45371</v>
      </c>
    </row>
    <row r="752" spans="1:9" x14ac:dyDescent="0.15">
      <c r="A752" s="16" t="s">
        <v>4069</v>
      </c>
      <c r="B752" s="7" t="s">
        <v>9</v>
      </c>
      <c r="C752" s="16" t="s">
        <v>40</v>
      </c>
      <c r="D752" s="16" t="s">
        <v>41</v>
      </c>
      <c r="E752" s="13" t="str">
        <f>+HYPERLINK("http://trademark.i-assist.jp/data/china/image_1891th/77432874.pdf","77432874")</f>
        <v>77432874</v>
      </c>
      <c r="F752" s="16" t="s">
        <v>4067</v>
      </c>
      <c r="G752" s="16" t="s">
        <v>4066</v>
      </c>
      <c r="H752" s="16" t="s">
        <v>4068</v>
      </c>
      <c r="I752" s="17">
        <v>45371</v>
      </c>
    </row>
    <row r="753" spans="1:9" x14ac:dyDescent="0.15">
      <c r="A753" s="16" t="s">
        <v>4074</v>
      </c>
      <c r="B753" s="7" t="s">
        <v>9</v>
      </c>
      <c r="C753" s="16" t="s">
        <v>40</v>
      </c>
      <c r="D753" s="16" t="s">
        <v>41</v>
      </c>
      <c r="E753" s="13" t="str">
        <f>+HYPERLINK("http://trademark.i-assist.jp/data/china/image_1891th/77432905.pdf","77432905")</f>
        <v>77432905</v>
      </c>
      <c r="F753" s="16" t="s">
        <v>4072</v>
      </c>
      <c r="G753" s="16" t="s">
        <v>4071</v>
      </c>
      <c r="H753" s="16" t="s">
        <v>4073</v>
      </c>
      <c r="I753" s="17">
        <v>45371</v>
      </c>
    </row>
    <row r="754" spans="1:9" x14ac:dyDescent="0.15">
      <c r="A754" s="16" t="s">
        <v>4079</v>
      </c>
      <c r="B754" s="7" t="s">
        <v>9</v>
      </c>
      <c r="C754" s="16" t="s">
        <v>40</v>
      </c>
      <c r="D754" s="16" t="s">
        <v>41</v>
      </c>
      <c r="E754" s="13" t="str">
        <f>+HYPERLINK("http://trademark.i-assist.jp/data/china/image_1891th/77434086.pdf","77434086")</f>
        <v>77434086</v>
      </c>
      <c r="F754" s="16" t="s">
        <v>4077</v>
      </c>
      <c r="G754" s="16" t="s">
        <v>4076</v>
      </c>
      <c r="H754" s="16" t="s">
        <v>4078</v>
      </c>
      <c r="I754" s="17">
        <v>45371</v>
      </c>
    </row>
    <row r="755" spans="1:9" x14ac:dyDescent="0.15">
      <c r="A755" s="16" t="s">
        <v>4084</v>
      </c>
      <c r="B755" s="7" t="s">
        <v>9</v>
      </c>
      <c r="C755" s="16" t="s">
        <v>40</v>
      </c>
      <c r="D755" s="16" t="s">
        <v>41</v>
      </c>
      <c r="E755" s="13" t="str">
        <f>+HYPERLINK("http://trademark.i-assist.jp/data/china/image_1891th/77434628.pdf","77434628")</f>
        <v>77434628</v>
      </c>
      <c r="F755" s="16" t="s">
        <v>4082</v>
      </c>
      <c r="G755" s="16" t="s">
        <v>4081</v>
      </c>
      <c r="H755" s="16" t="s">
        <v>4083</v>
      </c>
      <c r="I755" s="17">
        <v>45371</v>
      </c>
    </row>
    <row r="756" spans="1:9" x14ac:dyDescent="0.15">
      <c r="A756" s="16" t="s">
        <v>4089</v>
      </c>
      <c r="B756" s="7" t="s">
        <v>9</v>
      </c>
      <c r="C756" s="16" t="s">
        <v>40</v>
      </c>
      <c r="D756" s="16" t="s">
        <v>41</v>
      </c>
      <c r="E756" s="13" t="str">
        <f>+HYPERLINK("http://trademark.i-assist.jp/data/china/image_1891th/77434984.pdf","77434984")</f>
        <v>77434984</v>
      </c>
      <c r="F756" s="16" t="s">
        <v>4087</v>
      </c>
      <c r="G756" s="16" t="s">
        <v>4086</v>
      </c>
      <c r="H756" s="16" t="s">
        <v>4088</v>
      </c>
      <c r="I756" s="17">
        <v>45371</v>
      </c>
    </row>
    <row r="757" spans="1:9" x14ac:dyDescent="0.15">
      <c r="A757" s="16" t="s">
        <v>4094</v>
      </c>
      <c r="B757" s="7" t="s">
        <v>9</v>
      </c>
      <c r="C757" s="16" t="s">
        <v>40</v>
      </c>
      <c r="D757" s="16" t="s">
        <v>41</v>
      </c>
      <c r="E757" s="13" t="str">
        <f>+HYPERLINK("http://trademark.i-assist.jp/data/china/image_1891th/77435152.pdf","77435152")</f>
        <v>77435152</v>
      </c>
      <c r="F757" s="16" t="s">
        <v>4092</v>
      </c>
      <c r="G757" s="16" t="s">
        <v>4091</v>
      </c>
      <c r="H757" s="16" t="s">
        <v>4093</v>
      </c>
      <c r="I757" s="17">
        <v>45371</v>
      </c>
    </row>
    <row r="758" spans="1:9" x14ac:dyDescent="0.15">
      <c r="A758" s="16" t="s">
        <v>4099</v>
      </c>
      <c r="B758" s="7" t="s">
        <v>9</v>
      </c>
      <c r="C758" s="16" t="s">
        <v>40</v>
      </c>
      <c r="D758" s="16" t="s">
        <v>41</v>
      </c>
      <c r="E758" s="13" t="str">
        <f>+HYPERLINK("http://trademark.i-assist.jp/data/china/image_1891th/77435158.pdf","77435158")</f>
        <v>77435158</v>
      </c>
      <c r="F758" s="16" t="s">
        <v>4097</v>
      </c>
      <c r="G758" s="16" t="s">
        <v>4096</v>
      </c>
      <c r="H758" s="16" t="s">
        <v>4098</v>
      </c>
      <c r="I758" s="17">
        <v>45371</v>
      </c>
    </row>
    <row r="759" spans="1:9" x14ac:dyDescent="0.15">
      <c r="A759" s="16" t="s">
        <v>4104</v>
      </c>
      <c r="B759" s="7" t="s">
        <v>9</v>
      </c>
      <c r="C759" s="16" t="s">
        <v>40</v>
      </c>
      <c r="D759" s="16" t="s">
        <v>41</v>
      </c>
      <c r="E759" s="13" t="str">
        <f>+HYPERLINK("http://trademark.i-assist.jp/data/china/image_1891th/77435311.pdf","77435311")</f>
        <v>77435311</v>
      </c>
      <c r="F759" s="16" t="s">
        <v>4102</v>
      </c>
      <c r="G759" s="16" t="s">
        <v>4101</v>
      </c>
      <c r="H759" s="16" t="s">
        <v>4103</v>
      </c>
      <c r="I759" s="17">
        <v>45371</v>
      </c>
    </row>
    <row r="760" spans="1:9" x14ac:dyDescent="0.15">
      <c r="A760" s="16" t="s">
        <v>4109</v>
      </c>
      <c r="B760" s="7" t="s">
        <v>9</v>
      </c>
      <c r="C760" s="16" t="s">
        <v>40</v>
      </c>
      <c r="D760" s="16" t="s">
        <v>41</v>
      </c>
      <c r="E760" s="13" t="str">
        <f>+HYPERLINK("http://trademark.i-assist.jp/data/china/image_1891th/77435635.pdf","77435635")</f>
        <v>77435635</v>
      </c>
      <c r="F760" s="16" t="s">
        <v>4107</v>
      </c>
      <c r="G760" s="16" t="s">
        <v>4106</v>
      </c>
      <c r="H760" s="16" t="s">
        <v>4108</v>
      </c>
      <c r="I760" s="17">
        <v>45371</v>
      </c>
    </row>
    <row r="761" spans="1:9" x14ac:dyDescent="0.15">
      <c r="A761" s="16" t="s">
        <v>2687</v>
      </c>
      <c r="B761" s="7" t="s">
        <v>9</v>
      </c>
      <c r="C761" s="16" t="s">
        <v>40</v>
      </c>
      <c r="D761" s="16" t="s">
        <v>41</v>
      </c>
      <c r="E761" s="13" t="str">
        <f>+HYPERLINK("http://trademark.i-assist.jp/data/china/image_1891th/77435859.pdf","77435859")</f>
        <v>77435859</v>
      </c>
      <c r="F761" s="16" t="s">
        <v>4112</v>
      </c>
      <c r="G761" s="16" t="s">
        <v>4111</v>
      </c>
      <c r="H761" s="16" t="s">
        <v>4113</v>
      </c>
      <c r="I761" s="17">
        <v>45371</v>
      </c>
    </row>
    <row r="762" spans="1:9" x14ac:dyDescent="0.15">
      <c r="A762" s="16" t="s">
        <v>2693</v>
      </c>
      <c r="B762" s="7" t="s">
        <v>9</v>
      </c>
      <c r="C762" s="16" t="s">
        <v>40</v>
      </c>
      <c r="D762" s="16" t="s">
        <v>41</v>
      </c>
      <c r="E762" s="13" t="str">
        <f>+HYPERLINK("http://trademark.i-assist.jp/data/china/image_1891th/77436326.pdf","77436326")</f>
        <v>77436326</v>
      </c>
      <c r="F762" s="16" t="s">
        <v>2690</v>
      </c>
      <c r="G762" s="16" t="s">
        <v>2689</v>
      </c>
      <c r="H762" s="16" t="s">
        <v>2691</v>
      </c>
      <c r="I762" s="17">
        <v>45371</v>
      </c>
    </row>
    <row r="763" spans="1:9" x14ac:dyDescent="0.15">
      <c r="A763" s="16" t="s">
        <v>2698</v>
      </c>
      <c r="B763" s="7" t="s">
        <v>9</v>
      </c>
      <c r="C763" s="16" t="s">
        <v>40</v>
      </c>
      <c r="D763" s="16" t="s">
        <v>41</v>
      </c>
      <c r="E763" s="13" t="str">
        <f>+HYPERLINK("http://trademark.i-assist.jp/data/china/image_1891th/77436360.pdf","77436360")</f>
        <v>77436360</v>
      </c>
      <c r="F763" s="16" t="s">
        <v>2696</v>
      </c>
      <c r="G763" s="16" t="s">
        <v>2695</v>
      </c>
      <c r="H763" s="16" t="s">
        <v>2697</v>
      </c>
      <c r="I763" s="17">
        <v>45371</v>
      </c>
    </row>
    <row r="764" spans="1:9" x14ac:dyDescent="0.15">
      <c r="A764" s="16" t="s">
        <v>2703</v>
      </c>
      <c r="B764" s="7" t="s">
        <v>9</v>
      </c>
      <c r="C764" s="16" t="s">
        <v>40</v>
      </c>
      <c r="D764" s="16" t="s">
        <v>41</v>
      </c>
      <c r="E764" s="13" t="str">
        <f>+HYPERLINK("http://trademark.i-assist.jp/data/china/image_1891th/77436589.pdf","77436589")</f>
        <v>77436589</v>
      </c>
      <c r="F764" s="16" t="s">
        <v>2701</v>
      </c>
      <c r="G764" s="16" t="s">
        <v>2700</v>
      </c>
      <c r="H764" s="16" t="s">
        <v>2702</v>
      </c>
      <c r="I764" s="17">
        <v>45371</v>
      </c>
    </row>
    <row r="765" spans="1:9" x14ac:dyDescent="0.15">
      <c r="A765" s="16" t="s">
        <v>2708</v>
      </c>
      <c r="B765" s="7" t="s">
        <v>9</v>
      </c>
      <c r="C765" s="16" t="s">
        <v>40</v>
      </c>
      <c r="D765" s="16" t="s">
        <v>41</v>
      </c>
      <c r="E765" s="13" t="str">
        <f>+HYPERLINK("http://trademark.i-assist.jp/data/china/image_1891th/77436744.pdf","77436744")</f>
        <v>77436744</v>
      </c>
      <c r="F765" s="16" t="s">
        <v>2706</v>
      </c>
      <c r="G765" s="16" t="s">
        <v>2705</v>
      </c>
      <c r="H765" s="16" t="s">
        <v>2707</v>
      </c>
      <c r="I765" s="17">
        <v>45371</v>
      </c>
    </row>
    <row r="766" spans="1:9" x14ac:dyDescent="0.15">
      <c r="A766" s="16" t="s">
        <v>2713</v>
      </c>
      <c r="B766" s="7" t="s">
        <v>9</v>
      </c>
      <c r="C766" s="16" t="s">
        <v>40</v>
      </c>
      <c r="D766" s="16" t="s">
        <v>41</v>
      </c>
      <c r="E766" s="13" t="str">
        <f>+HYPERLINK("http://trademark.i-assist.jp/data/china/image_1891th/77437164.pdf","77437164")</f>
        <v>77437164</v>
      </c>
      <c r="F766" s="16" t="s">
        <v>2711</v>
      </c>
      <c r="G766" s="16" t="s">
        <v>2710</v>
      </c>
      <c r="H766" s="16" t="s">
        <v>2712</v>
      </c>
      <c r="I766" s="17">
        <v>45371</v>
      </c>
    </row>
    <row r="767" spans="1:9" x14ac:dyDescent="0.15">
      <c r="A767" s="16" t="s">
        <v>2718</v>
      </c>
      <c r="B767" s="7" t="s">
        <v>9</v>
      </c>
      <c r="C767" s="16" t="s">
        <v>40</v>
      </c>
      <c r="D767" s="16" t="s">
        <v>41</v>
      </c>
      <c r="E767" s="13" t="str">
        <f>+HYPERLINK("http://trademark.i-assist.jp/data/china/image_1891th/77437398.pdf","77437398")</f>
        <v>77437398</v>
      </c>
      <c r="F767" s="16" t="s">
        <v>2716</v>
      </c>
      <c r="G767" s="16" t="s">
        <v>2715</v>
      </c>
      <c r="H767" s="16" t="s">
        <v>2717</v>
      </c>
      <c r="I767" s="17">
        <v>45371</v>
      </c>
    </row>
    <row r="768" spans="1:9" x14ac:dyDescent="0.15">
      <c r="A768" s="16" t="s">
        <v>2723</v>
      </c>
      <c r="B768" s="7" t="s">
        <v>9</v>
      </c>
      <c r="C768" s="16" t="s">
        <v>40</v>
      </c>
      <c r="D768" s="16" t="s">
        <v>41</v>
      </c>
      <c r="E768" s="13" t="str">
        <f>+HYPERLINK("http://trademark.i-assist.jp/data/china/image_1891th/77437622.pdf","77437622")</f>
        <v>77437622</v>
      </c>
      <c r="F768" s="16" t="s">
        <v>2721</v>
      </c>
      <c r="G768" s="16" t="s">
        <v>2720</v>
      </c>
      <c r="H768" s="16" t="s">
        <v>2722</v>
      </c>
      <c r="I768" s="17">
        <v>45371</v>
      </c>
    </row>
    <row r="769" spans="1:9" x14ac:dyDescent="0.15">
      <c r="A769" s="16" t="s">
        <v>2728</v>
      </c>
      <c r="B769" s="7" t="s">
        <v>9</v>
      </c>
      <c r="C769" s="16" t="s">
        <v>40</v>
      </c>
      <c r="D769" s="16" t="s">
        <v>41</v>
      </c>
      <c r="E769" s="13" t="str">
        <f>+HYPERLINK("http://trademark.i-assist.jp/data/china/image_1891th/77438646.pdf","77438646")</f>
        <v>77438646</v>
      </c>
      <c r="F769" s="16" t="s">
        <v>2726</v>
      </c>
      <c r="G769" s="16" t="s">
        <v>2725</v>
      </c>
      <c r="H769" s="16" t="s">
        <v>2727</v>
      </c>
      <c r="I769" s="17">
        <v>45371</v>
      </c>
    </row>
    <row r="770" spans="1:9" x14ac:dyDescent="0.15">
      <c r="A770" s="16" t="s">
        <v>2733</v>
      </c>
      <c r="B770" s="7" t="s">
        <v>9</v>
      </c>
      <c r="C770" s="16" t="s">
        <v>40</v>
      </c>
      <c r="D770" s="16" t="s">
        <v>41</v>
      </c>
      <c r="E770" s="13" t="str">
        <f>+HYPERLINK("http://trademark.i-assist.jp/data/china/image_1891th/77438653.pdf","77438653")</f>
        <v>77438653</v>
      </c>
      <c r="F770" s="16" t="s">
        <v>2731</v>
      </c>
      <c r="G770" s="16" t="s">
        <v>2730</v>
      </c>
      <c r="H770" s="16" t="s">
        <v>2732</v>
      </c>
      <c r="I770" s="17">
        <v>45371</v>
      </c>
    </row>
    <row r="771" spans="1:9" x14ac:dyDescent="0.15">
      <c r="A771" s="16" t="s">
        <v>2738</v>
      </c>
      <c r="B771" s="7" t="s">
        <v>9</v>
      </c>
      <c r="C771" s="16" t="s">
        <v>40</v>
      </c>
      <c r="D771" s="16" t="s">
        <v>41</v>
      </c>
      <c r="E771" s="13" t="str">
        <f>+HYPERLINK("http://trademark.i-assist.jp/data/china/image_1891th/77438700.pdf","77438700")</f>
        <v>77438700</v>
      </c>
      <c r="F771" s="16" t="s">
        <v>2736</v>
      </c>
      <c r="G771" s="16" t="s">
        <v>2735</v>
      </c>
      <c r="H771" s="16" t="s">
        <v>2737</v>
      </c>
      <c r="I771" s="17">
        <v>45371</v>
      </c>
    </row>
    <row r="772" spans="1:9" x14ac:dyDescent="0.15">
      <c r="A772" s="16" t="s">
        <v>2743</v>
      </c>
      <c r="B772" s="7" t="s">
        <v>9</v>
      </c>
      <c r="C772" s="16" t="s">
        <v>40</v>
      </c>
      <c r="D772" s="16" t="s">
        <v>41</v>
      </c>
      <c r="E772" s="13" t="str">
        <f>+HYPERLINK("http://trademark.i-assist.jp/data/china/image_1891th/77439700.pdf","77439700")</f>
        <v>77439700</v>
      </c>
      <c r="F772" s="16" t="s">
        <v>2741</v>
      </c>
      <c r="G772" s="16" t="s">
        <v>2740</v>
      </c>
      <c r="H772" s="16" t="s">
        <v>2742</v>
      </c>
      <c r="I772" s="17">
        <v>45371</v>
      </c>
    </row>
    <row r="773" spans="1:9" x14ac:dyDescent="0.15">
      <c r="A773" s="16" t="s">
        <v>2748</v>
      </c>
      <c r="B773" s="7" t="s">
        <v>9</v>
      </c>
      <c r="C773" s="16" t="s">
        <v>40</v>
      </c>
      <c r="D773" s="16" t="s">
        <v>41</v>
      </c>
      <c r="E773" s="13" t="str">
        <f>+HYPERLINK("http://trademark.i-assist.jp/data/china/image_1891th/77439812.pdf","77439812")</f>
        <v>77439812</v>
      </c>
      <c r="F773" s="16" t="s">
        <v>2746</v>
      </c>
      <c r="G773" s="16" t="s">
        <v>2745</v>
      </c>
      <c r="H773" s="16" t="s">
        <v>2747</v>
      </c>
      <c r="I773" s="17">
        <v>45371</v>
      </c>
    </row>
    <row r="774" spans="1:9" x14ac:dyDescent="0.15">
      <c r="A774" s="16" t="s">
        <v>2753</v>
      </c>
      <c r="B774" s="7" t="s">
        <v>9</v>
      </c>
      <c r="C774" s="16" t="s">
        <v>40</v>
      </c>
      <c r="D774" s="16" t="s">
        <v>41</v>
      </c>
      <c r="E774" s="13" t="str">
        <f>+HYPERLINK("http://trademark.i-assist.jp/data/china/image_1891th/77440374.pdf","77440374")</f>
        <v>77440374</v>
      </c>
      <c r="F774" s="16" t="s">
        <v>2751</v>
      </c>
      <c r="G774" s="16" t="s">
        <v>2750</v>
      </c>
      <c r="H774" s="16" t="s">
        <v>2752</v>
      </c>
      <c r="I774" s="17">
        <v>45371</v>
      </c>
    </row>
    <row r="775" spans="1:9" x14ac:dyDescent="0.15">
      <c r="A775" s="16" t="s">
        <v>4114</v>
      </c>
      <c r="B775" s="7" t="s">
        <v>9</v>
      </c>
      <c r="C775" s="16" t="s">
        <v>40</v>
      </c>
      <c r="D775" s="16" t="s">
        <v>41</v>
      </c>
      <c r="E775" s="13" t="str">
        <f>+HYPERLINK("http://trademark.i-assist.jp/data/china/image_1891th/77440654.pdf","77440654")</f>
        <v>77440654</v>
      </c>
      <c r="F775" s="16" t="s">
        <v>2756</v>
      </c>
      <c r="G775" s="16" t="s">
        <v>2755</v>
      </c>
      <c r="H775" s="16" t="s">
        <v>2757</v>
      </c>
      <c r="I775" s="17">
        <v>45371</v>
      </c>
    </row>
    <row r="776" spans="1:9" x14ac:dyDescent="0.15">
      <c r="A776" s="16" t="s">
        <v>4118</v>
      </c>
      <c r="B776" s="7" t="s">
        <v>9</v>
      </c>
      <c r="C776" s="16" t="s">
        <v>40</v>
      </c>
      <c r="D776" s="16" t="s">
        <v>41</v>
      </c>
      <c r="E776" s="13" t="str">
        <f>+HYPERLINK("http://trademark.i-assist.jp/data/china/image_1891th/77441049.pdf","77441049")</f>
        <v>77441049</v>
      </c>
      <c r="F776" s="16" t="s">
        <v>52</v>
      </c>
      <c r="G776" s="16" t="s">
        <v>4116</v>
      </c>
      <c r="H776" s="16" t="s">
        <v>4117</v>
      </c>
      <c r="I776" s="17">
        <v>45371</v>
      </c>
    </row>
    <row r="777" spans="1:9" x14ac:dyDescent="0.15">
      <c r="A777" s="16" t="s">
        <v>4122</v>
      </c>
      <c r="B777" s="7" t="s">
        <v>9</v>
      </c>
      <c r="C777" s="16" t="s">
        <v>40</v>
      </c>
      <c r="D777" s="16" t="s">
        <v>41</v>
      </c>
      <c r="E777" s="13" t="str">
        <f>+HYPERLINK("http://trademark.i-assist.jp/data/china/image_1891th/77441319.pdf","77441319")</f>
        <v>77441319</v>
      </c>
      <c r="F777" s="16" t="s">
        <v>4120</v>
      </c>
      <c r="G777" s="16" t="s">
        <v>3789</v>
      </c>
      <c r="H777" s="16" t="s">
        <v>4121</v>
      </c>
      <c r="I777" s="17">
        <v>45371</v>
      </c>
    </row>
    <row r="778" spans="1:9" x14ac:dyDescent="0.15">
      <c r="A778" s="16" t="s">
        <v>4127</v>
      </c>
      <c r="B778" s="7" t="s">
        <v>9</v>
      </c>
      <c r="C778" s="16" t="s">
        <v>40</v>
      </c>
      <c r="D778" s="16" t="s">
        <v>41</v>
      </c>
      <c r="E778" s="13" t="str">
        <f>+HYPERLINK("http://trademark.i-assist.jp/data/china/image_1891th/77441452.pdf","77441452")</f>
        <v>77441452</v>
      </c>
      <c r="F778" s="16" t="s">
        <v>4125</v>
      </c>
      <c r="G778" s="16" t="s">
        <v>4124</v>
      </c>
      <c r="H778" s="16" t="s">
        <v>4126</v>
      </c>
      <c r="I778" s="17">
        <v>45371</v>
      </c>
    </row>
    <row r="779" spans="1:9" x14ac:dyDescent="0.15">
      <c r="A779" s="16" t="s">
        <v>4131</v>
      </c>
      <c r="B779" s="7" t="s">
        <v>9</v>
      </c>
      <c r="C779" s="16" t="s">
        <v>40</v>
      </c>
      <c r="D779" s="16" t="s">
        <v>41</v>
      </c>
      <c r="E779" s="13" t="str">
        <f>+HYPERLINK("http://trademark.i-assist.jp/data/china/image_1891th/77441585.pdf","77441585")</f>
        <v>77441585</v>
      </c>
      <c r="F779" s="16" t="s">
        <v>4129</v>
      </c>
      <c r="G779" s="16" t="s">
        <v>4066</v>
      </c>
      <c r="H779" s="16" t="s">
        <v>4130</v>
      </c>
      <c r="I779" s="17">
        <v>45371</v>
      </c>
    </row>
    <row r="780" spans="1:9" x14ac:dyDescent="0.15">
      <c r="A780" s="16" t="s">
        <v>4135</v>
      </c>
      <c r="B780" s="7" t="s">
        <v>9</v>
      </c>
      <c r="C780" s="16" t="s">
        <v>40</v>
      </c>
      <c r="D780" s="16" t="s">
        <v>41</v>
      </c>
      <c r="E780" s="13" t="str">
        <f>+HYPERLINK("http://trademark.i-assist.jp/data/china/image_1891th/77441590.pdf","77441590")</f>
        <v>77441590</v>
      </c>
      <c r="F780" s="16" t="s">
        <v>4133</v>
      </c>
      <c r="G780" s="16" t="s">
        <v>4066</v>
      </c>
      <c r="H780" s="16" t="s">
        <v>4134</v>
      </c>
      <c r="I780" s="17">
        <v>45371</v>
      </c>
    </row>
    <row r="781" spans="1:9" x14ac:dyDescent="0.15">
      <c r="A781" s="16" t="s">
        <v>4139</v>
      </c>
      <c r="B781" s="7" t="s">
        <v>9</v>
      </c>
      <c r="C781" s="16" t="s">
        <v>40</v>
      </c>
      <c r="D781" s="16" t="s">
        <v>41</v>
      </c>
      <c r="E781" s="13" t="str">
        <f>+HYPERLINK("http://trademark.i-assist.jp/data/china/image_1891th/77441597.pdf","77441597")</f>
        <v>77441597</v>
      </c>
      <c r="F781" s="16" t="s">
        <v>4137</v>
      </c>
      <c r="G781" s="16" t="s">
        <v>4066</v>
      </c>
      <c r="H781" s="16" t="s">
        <v>4138</v>
      </c>
      <c r="I781" s="17">
        <v>45371</v>
      </c>
    </row>
    <row r="782" spans="1:9" x14ac:dyDescent="0.15">
      <c r="A782" s="16" t="s">
        <v>4144</v>
      </c>
      <c r="B782" s="7" t="s">
        <v>9</v>
      </c>
      <c r="C782" s="16" t="s">
        <v>40</v>
      </c>
      <c r="D782" s="16" t="s">
        <v>41</v>
      </c>
      <c r="E782" s="13" t="str">
        <f>+HYPERLINK("http://trademark.i-assist.jp/data/china/image_1891th/77441842.pdf","77441842")</f>
        <v>77441842</v>
      </c>
      <c r="F782" s="16" t="s">
        <v>4142</v>
      </c>
      <c r="G782" s="16" t="s">
        <v>4141</v>
      </c>
      <c r="H782" s="16" t="s">
        <v>4143</v>
      </c>
      <c r="I782" s="17">
        <v>45371</v>
      </c>
    </row>
    <row r="783" spans="1:9" x14ac:dyDescent="0.15">
      <c r="A783" s="16" t="s">
        <v>4148</v>
      </c>
      <c r="B783" s="7" t="s">
        <v>9</v>
      </c>
      <c r="C783" s="16" t="s">
        <v>40</v>
      </c>
      <c r="D783" s="16" t="s">
        <v>41</v>
      </c>
      <c r="E783" s="13" t="str">
        <f>+HYPERLINK("http://trademark.i-assist.jp/data/china/image_1891th/77442277.pdf","77442277")</f>
        <v>77442277</v>
      </c>
      <c r="F783" s="16" t="s">
        <v>52</v>
      </c>
      <c r="G783" s="16" t="s">
        <v>4146</v>
      </c>
      <c r="H783" s="16" t="s">
        <v>4147</v>
      </c>
      <c r="I783" s="17">
        <v>45371</v>
      </c>
    </row>
    <row r="784" spans="1:9" x14ac:dyDescent="0.15">
      <c r="A784" s="16" t="s">
        <v>4153</v>
      </c>
      <c r="B784" s="7" t="s">
        <v>9</v>
      </c>
      <c r="C784" s="16" t="s">
        <v>40</v>
      </c>
      <c r="D784" s="16" t="s">
        <v>41</v>
      </c>
      <c r="E784" s="13" t="str">
        <f>+HYPERLINK("http://trademark.i-assist.jp/data/china/image_1891th/77442684.pdf","77442684")</f>
        <v>77442684</v>
      </c>
      <c r="F784" s="16" t="s">
        <v>4151</v>
      </c>
      <c r="G784" s="16" t="s">
        <v>4150</v>
      </c>
      <c r="H784" s="16" t="s">
        <v>4152</v>
      </c>
      <c r="I784" s="17">
        <v>45371</v>
      </c>
    </row>
    <row r="785" spans="1:9" x14ac:dyDescent="0.15">
      <c r="A785" s="16" t="s">
        <v>4158</v>
      </c>
      <c r="B785" s="7" t="s">
        <v>9</v>
      </c>
      <c r="C785" s="16" t="s">
        <v>40</v>
      </c>
      <c r="D785" s="16" t="s">
        <v>41</v>
      </c>
      <c r="E785" s="13" t="str">
        <f>+HYPERLINK("http://trademark.i-assist.jp/data/china/image_1891th/77443409.pdf","77443409")</f>
        <v>77443409</v>
      </c>
      <c r="F785" s="16" t="s">
        <v>4156</v>
      </c>
      <c r="G785" s="16" t="s">
        <v>4155</v>
      </c>
      <c r="H785" s="16" t="s">
        <v>4157</v>
      </c>
      <c r="I785" s="17">
        <v>45372</v>
      </c>
    </row>
    <row r="786" spans="1:9" x14ac:dyDescent="0.15">
      <c r="A786" s="16" t="s">
        <v>4163</v>
      </c>
      <c r="B786" s="7" t="s">
        <v>9</v>
      </c>
      <c r="C786" s="16" t="s">
        <v>40</v>
      </c>
      <c r="D786" s="16" t="s">
        <v>41</v>
      </c>
      <c r="E786" s="13" t="str">
        <f>+HYPERLINK("http://trademark.i-assist.jp/data/china/image_1891th/77443547.pdf","77443547")</f>
        <v>77443547</v>
      </c>
      <c r="F786" s="16" t="s">
        <v>4161</v>
      </c>
      <c r="G786" s="16" t="s">
        <v>4160</v>
      </c>
      <c r="H786" s="16" t="s">
        <v>4162</v>
      </c>
      <c r="I786" s="17">
        <v>45372</v>
      </c>
    </row>
    <row r="787" spans="1:9" x14ac:dyDescent="0.15">
      <c r="A787" s="16" t="s">
        <v>4168</v>
      </c>
      <c r="B787" s="7" t="s">
        <v>9</v>
      </c>
      <c r="C787" s="16" t="s">
        <v>40</v>
      </c>
      <c r="D787" s="16" t="s">
        <v>41</v>
      </c>
      <c r="E787" s="13" t="str">
        <f>+HYPERLINK("http://trademark.i-assist.jp/data/china/image_1891th/77444118.pdf","77444118")</f>
        <v>77444118</v>
      </c>
      <c r="F787" s="16" t="s">
        <v>4166</v>
      </c>
      <c r="G787" s="16" t="s">
        <v>4165</v>
      </c>
      <c r="H787" s="16" t="s">
        <v>4167</v>
      </c>
      <c r="I787" s="17">
        <v>45372</v>
      </c>
    </row>
    <row r="788" spans="1:9" x14ac:dyDescent="0.15">
      <c r="A788" s="16" t="s">
        <v>4173</v>
      </c>
      <c r="B788" s="7" t="s">
        <v>9</v>
      </c>
      <c r="C788" s="16" t="s">
        <v>40</v>
      </c>
      <c r="D788" s="16" t="s">
        <v>41</v>
      </c>
      <c r="E788" s="13" t="str">
        <f>+HYPERLINK("http://trademark.i-assist.jp/data/china/image_1891th/77444137.pdf","77444137")</f>
        <v>77444137</v>
      </c>
      <c r="F788" s="16" t="s">
        <v>4171</v>
      </c>
      <c r="G788" s="16" t="s">
        <v>4170</v>
      </c>
      <c r="H788" s="16" t="s">
        <v>4172</v>
      </c>
      <c r="I788" s="17">
        <v>45372</v>
      </c>
    </row>
    <row r="789" spans="1:9" x14ac:dyDescent="0.15">
      <c r="A789" s="16" t="s">
        <v>4178</v>
      </c>
      <c r="B789" s="7" t="s">
        <v>9</v>
      </c>
      <c r="C789" s="16" t="s">
        <v>40</v>
      </c>
      <c r="D789" s="16" t="s">
        <v>41</v>
      </c>
      <c r="E789" s="13" t="str">
        <f>+HYPERLINK("http://trademark.i-assist.jp/data/china/image_1891th/77445179.pdf","77445179")</f>
        <v>77445179</v>
      </c>
      <c r="F789" s="16" t="s">
        <v>4176</v>
      </c>
      <c r="G789" s="16" t="s">
        <v>4175</v>
      </c>
      <c r="H789" s="16" t="s">
        <v>4177</v>
      </c>
      <c r="I789" s="17">
        <v>45372</v>
      </c>
    </row>
    <row r="790" spans="1:9" x14ac:dyDescent="0.15">
      <c r="A790" s="16" t="s">
        <v>4183</v>
      </c>
      <c r="B790" s="7" t="s">
        <v>9</v>
      </c>
      <c r="C790" s="16" t="s">
        <v>40</v>
      </c>
      <c r="D790" s="16" t="s">
        <v>41</v>
      </c>
      <c r="E790" s="13" t="str">
        <f>+HYPERLINK("http://trademark.i-assist.jp/data/china/image_1891th/77445198.pdf","77445198")</f>
        <v>77445198</v>
      </c>
      <c r="F790" s="16" t="s">
        <v>4181</v>
      </c>
      <c r="G790" s="16" t="s">
        <v>4180</v>
      </c>
      <c r="H790" s="16" t="s">
        <v>4182</v>
      </c>
      <c r="I790" s="17">
        <v>45372</v>
      </c>
    </row>
    <row r="791" spans="1:9" x14ac:dyDescent="0.15">
      <c r="A791" s="16" t="s">
        <v>4188</v>
      </c>
      <c r="B791" s="7" t="s">
        <v>9</v>
      </c>
      <c r="C791" s="16" t="s">
        <v>40</v>
      </c>
      <c r="D791" s="16" t="s">
        <v>41</v>
      </c>
      <c r="E791" s="13" t="str">
        <f>+HYPERLINK("http://trademark.i-assist.jp/data/china/image_1891th/77445380.pdf","77445380")</f>
        <v>77445380</v>
      </c>
      <c r="F791" s="16" t="s">
        <v>4186</v>
      </c>
      <c r="G791" s="16" t="s">
        <v>11136</v>
      </c>
      <c r="H791" s="16" t="s">
        <v>4187</v>
      </c>
      <c r="I791" s="17">
        <v>45372</v>
      </c>
    </row>
    <row r="792" spans="1:9" x14ac:dyDescent="0.15">
      <c r="A792" s="16" t="s">
        <v>4193</v>
      </c>
      <c r="B792" s="7" t="s">
        <v>9</v>
      </c>
      <c r="C792" s="16" t="s">
        <v>40</v>
      </c>
      <c r="D792" s="16" t="s">
        <v>41</v>
      </c>
      <c r="E792" s="13" t="str">
        <f>+HYPERLINK("http://trademark.i-assist.jp/data/china/image_1891th/77445473.pdf","77445473")</f>
        <v>77445473</v>
      </c>
      <c r="F792" s="16" t="s">
        <v>4191</v>
      </c>
      <c r="G792" s="16" t="s">
        <v>4190</v>
      </c>
      <c r="H792" s="16" t="s">
        <v>4192</v>
      </c>
      <c r="I792" s="17">
        <v>45372</v>
      </c>
    </row>
    <row r="793" spans="1:9" x14ac:dyDescent="0.15">
      <c r="A793" s="16" t="s">
        <v>4198</v>
      </c>
      <c r="B793" s="7" t="s">
        <v>9</v>
      </c>
      <c r="C793" s="16" t="s">
        <v>40</v>
      </c>
      <c r="D793" s="16" t="s">
        <v>41</v>
      </c>
      <c r="E793" s="13" t="str">
        <f>+HYPERLINK("http://trademark.i-assist.jp/data/china/image_1891th/77445845.pdf","77445845")</f>
        <v>77445845</v>
      </c>
      <c r="F793" s="16" t="s">
        <v>4196</v>
      </c>
      <c r="G793" s="16" t="s">
        <v>4195</v>
      </c>
      <c r="H793" s="16" t="s">
        <v>4197</v>
      </c>
      <c r="I793" s="17">
        <v>45372</v>
      </c>
    </row>
    <row r="794" spans="1:9" x14ac:dyDescent="0.15">
      <c r="A794" s="16" t="s">
        <v>4201</v>
      </c>
      <c r="B794" s="7" t="s">
        <v>9</v>
      </c>
      <c r="C794" s="16" t="s">
        <v>40</v>
      </c>
      <c r="D794" s="16" t="s">
        <v>41</v>
      </c>
      <c r="E794" s="13" t="str">
        <f>+HYPERLINK("http://trademark.i-assist.jp/data/china/image_1891th/77446213.pdf","77446213")</f>
        <v>77446213</v>
      </c>
      <c r="F794" s="16" t="s">
        <v>52</v>
      </c>
      <c r="G794" s="16" t="s">
        <v>562</v>
      </c>
      <c r="H794" s="16" t="s">
        <v>4200</v>
      </c>
      <c r="I794" s="17">
        <v>45372</v>
      </c>
    </row>
    <row r="795" spans="1:9" x14ac:dyDescent="0.15">
      <c r="A795" s="16" t="s">
        <v>4206</v>
      </c>
      <c r="B795" s="7" t="s">
        <v>9</v>
      </c>
      <c r="C795" s="16" t="s">
        <v>40</v>
      </c>
      <c r="D795" s="16" t="s">
        <v>41</v>
      </c>
      <c r="E795" s="13" t="str">
        <f>+HYPERLINK("http://trademark.i-assist.jp/data/china/image_1891th/77446527.pdf","77446527")</f>
        <v>77446527</v>
      </c>
      <c r="F795" s="16" t="s">
        <v>4204</v>
      </c>
      <c r="G795" s="16" t="s">
        <v>4203</v>
      </c>
      <c r="H795" s="16" t="s">
        <v>4205</v>
      </c>
      <c r="I795" s="17">
        <v>45372</v>
      </c>
    </row>
    <row r="796" spans="1:9" x14ac:dyDescent="0.15">
      <c r="A796" s="16" t="s">
        <v>4210</v>
      </c>
      <c r="B796" s="7" t="s">
        <v>9</v>
      </c>
      <c r="C796" s="16" t="s">
        <v>40</v>
      </c>
      <c r="D796" s="16" t="s">
        <v>41</v>
      </c>
      <c r="E796" s="13" t="str">
        <f>+HYPERLINK("http://trademark.i-assist.jp/data/china/image_1891th/77447016.pdf","77447016")</f>
        <v>77447016</v>
      </c>
      <c r="F796" s="16" t="s">
        <v>4208</v>
      </c>
      <c r="G796" s="16" t="s">
        <v>562</v>
      </c>
      <c r="H796" s="16" t="s">
        <v>4209</v>
      </c>
      <c r="I796" s="17">
        <v>45372</v>
      </c>
    </row>
    <row r="797" spans="1:9" x14ac:dyDescent="0.15">
      <c r="A797" s="16" t="s">
        <v>4215</v>
      </c>
      <c r="B797" s="7" t="s">
        <v>9</v>
      </c>
      <c r="C797" s="16" t="s">
        <v>40</v>
      </c>
      <c r="D797" s="16" t="s">
        <v>41</v>
      </c>
      <c r="E797" s="13" t="str">
        <f>+HYPERLINK("http://trademark.i-assist.jp/data/china/image_1891th/77447607.pdf","77447607")</f>
        <v>77447607</v>
      </c>
      <c r="F797" s="16" t="s">
        <v>4213</v>
      </c>
      <c r="G797" s="16" t="s">
        <v>4212</v>
      </c>
      <c r="H797" s="16" t="s">
        <v>4214</v>
      </c>
      <c r="I797" s="17">
        <v>45372</v>
      </c>
    </row>
    <row r="798" spans="1:9" x14ac:dyDescent="0.15">
      <c r="A798" s="16" t="s">
        <v>4219</v>
      </c>
      <c r="B798" s="7" t="s">
        <v>9</v>
      </c>
      <c r="C798" s="16" t="s">
        <v>40</v>
      </c>
      <c r="D798" s="16" t="s">
        <v>41</v>
      </c>
      <c r="E798" s="13" t="str">
        <f>+HYPERLINK("http://trademark.i-assist.jp/data/china/image_1891th/77448878.pdf","77448878")</f>
        <v>77448878</v>
      </c>
      <c r="F798" s="16" t="s">
        <v>52</v>
      </c>
      <c r="G798" s="16" t="s">
        <v>4217</v>
      </c>
      <c r="H798" s="16" t="s">
        <v>4218</v>
      </c>
      <c r="I798" s="17">
        <v>45372</v>
      </c>
    </row>
    <row r="799" spans="1:9" x14ac:dyDescent="0.15">
      <c r="A799" s="16" t="s">
        <v>4223</v>
      </c>
      <c r="B799" s="7" t="s">
        <v>9</v>
      </c>
      <c r="C799" s="16" t="s">
        <v>40</v>
      </c>
      <c r="D799" s="16" t="s">
        <v>41</v>
      </c>
      <c r="E799" s="13" t="str">
        <f>+HYPERLINK("http://trademark.i-assist.jp/data/china/image_1891th/77450162.pdf","77450162")</f>
        <v>77450162</v>
      </c>
      <c r="F799" s="16" t="s">
        <v>4221</v>
      </c>
      <c r="G799" s="16" t="s">
        <v>562</v>
      </c>
      <c r="H799" s="16" t="s">
        <v>4222</v>
      </c>
      <c r="I799" s="17">
        <v>45372</v>
      </c>
    </row>
    <row r="800" spans="1:9" x14ac:dyDescent="0.15">
      <c r="A800" s="16" t="s">
        <v>4228</v>
      </c>
      <c r="B800" s="7" t="s">
        <v>9</v>
      </c>
      <c r="C800" s="16" t="s">
        <v>40</v>
      </c>
      <c r="D800" s="16" t="s">
        <v>41</v>
      </c>
      <c r="E800" s="13" t="str">
        <f>+HYPERLINK("http://trademark.i-assist.jp/data/china/image_1891th/77450985.pdf","77450985")</f>
        <v>77450985</v>
      </c>
      <c r="F800" s="16" t="s">
        <v>4226</v>
      </c>
      <c r="G800" s="16" t="s">
        <v>4225</v>
      </c>
      <c r="H800" s="16" t="s">
        <v>4227</v>
      </c>
      <c r="I800" s="17">
        <v>45372</v>
      </c>
    </row>
    <row r="801" spans="1:9" x14ac:dyDescent="0.15">
      <c r="A801" s="16" t="s">
        <v>4232</v>
      </c>
      <c r="B801" s="7" t="s">
        <v>9</v>
      </c>
      <c r="C801" s="16" t="s">
        <v>40</v>
      </c>
      <c r="D801" s="16" t="s">
        <v>41</v>
      </c>
      <c r="E801" s="13" t="str">
        <f>+HYPERLINK("http://trademark.i-assist.jp/data/china/image_1891th/77451241.pdf","77451241")</f>
        <v>77451241</v>
      </c>
      <c r="F801" s="16" t="s">
        <v>4230</v>
      </c>
      <c r="G801" s="16" t="s">
        <v>4190</v>
      </c>
      <c r="H801" s="16" t="s">
        <v>4231</v>
      </c>
      <c r="I801" s="17">
        <v>45372</v>
      </c>
    </row>
    <row r="802" spans="1:9" x14ac:dyDescent="0.15">
      <c r="A802" s="16" t="s">
        <v>4236</v>
      </c>
      <c r="B802" s="7" t="s">
        <v>9</v>
      </c>
      <c r="C802" s="16" t="s">
        <v>40</v>
      </c>
      <c r="D802" s="16" t="s">
        <v>41</v>
      </c>
      <c r="E802" s="13" t="str">
        <f>+HYPERLINK("http://trademark.i-assist.jp/data/china/image_1891th/77451703.pdf","77451703")</f>
        <v>77451703</v>
      </c>
      <c r="F802" s="16" t="s">
        <v>4234</v>
      </c>
      <c r="G802" s="16" t="s">
        <v>4212</v>
      </c>
      <c r="H802" s="16" t="s">
        <v>4235</v>
      </c>
      <c r="I802" s="17">
        <v>45372</v>
      </c>
    </row>
    <row r="803" spans="1:9" x14ac:dyDescent="0.15">
      <c r="A803" s="16" t="s">
        <v>4241</v>
      </c>
      <c r="B803" s="7" t="s">
        <v>9</v>
      </c>
      <c r="C803" s="16" t="s">
        <v>40</v>
      </c>
      <c r="D803" s="16" t="s">
        <v>41</v>
      </c>
      <c r="E803" s="13" t="str">
        <f>+HYPERLINK("http://trademark.i-assist.jp/data/china/image_1891th/77452871.pdf","77452871")</f>
        <v>77452871</v>
      </c>
      <c r="F803" s="16" t="s">
        <v>4239</v>
      </c>
      <c r="G803" s="16" t="s">
        <v>4238</v>
      </c>
      <c r="H803" s="16" t="s">
        <v>4240</v>
      </c>
      <c r="I803" s="17">
        <v>45372</v>
      </c>
    </row>
    <row r="804" spans="1:9" x14ac:dyDescent="0.15">
      <c r="A804" s="16" t="s">
        <v>4245</v>
      </c>
      <c r="B804" s="7" t="s">
        <v>9</v>
      </c>
      <c r="C804" s="16" t="s">
        <v>40</v>
      </c>
      <c r="D804" s="16" t="s">
        <v>41</v>
      </c>
      <c r="E804" s="13" t="str">
        <f>+HYPERLINK("http://trademark.i-assist.jp/data/china/image_1891th/77453201.pdf","77453201")</f>
        <v>77453201</v>
      </c>
      <c r="F804" s="16" t="s">
        <v>4243</v>
      </c>
      <c r="G804" s="16" t="s">
        <v>1968</v>
      </c>
      <c r="H804" s="16" t="s">
        <v>4244</v>
      </c>
      <c r="I804" s="17">
        <v>45372</v>
      </c>
    </row>
    <row r="805" spans="1:9" x14ac:dyDescent="0.15">
      <c r="A805" s="16" t="s">
        <v>4250</v>
      </c>
      <c r="B805" s="7" t="s">
        <v>9</v>
      </c>
      <c r="C805" s="16" t="s">
        <v>40</v>
      </c>
      <c r="D805" s="16" t="s">
        <v>41</v>
      </c>
      <c r="E805" s="13" t="str">
        <f>+HYPERLINK("http://trademark.i-assist.jp/data/china/image_1891th/77453410.pdf","77453410")</f>
        <v>77453410</v>
      </c>
      <c r="F805" s="16" t="s">
        <v>4248</v>
      </c>
      <c r="G805" s="16" t="s">
        <v>4247</v>
      </c>
      <c r="H805" s="16" t="s">
        <v>4249</v>
      </c>
      <c r="I805" s="17">
        <v>45372</v>
      </c>
    </row>
    <row r="806" spans="1:9" x14ac:dyDescent="0.15">
      <c r="A806" s="16" t="s">
        <v>4255</v>
      </c>
      <c r="B806" s="7" t="s">
        <v>9</v>
      </c>
      <c r="C806" s="16" t="s">
        <v>40</v>
      </c>
      <c r="D806" s="16" t="s">
        <v>41</v>
      </c>
      <c r="E806" s="13" t="str">
        <f>+HYPERLINK("http://trademark.i-assist.jp/data/china/image_1891th/77453677.pdf","77453677")</f>
        <v>77453677</v>
      </c>
      <c r="F806" s="16" t="s">
        <v>4253</v>
      </c>
      <c r="G806" s="16" t="s">
        <v>4252</v>
      </c>
      <c r="H806" s="16" t="s">
        <v>4254</v>
      </c>
      <c r="I806" s="17">
        <v>45372</v>
      </c>
    </row>
    <row r="807" spans="1:9" x14ac:dyDescent="0.15">
      <c r="A807" s="16" t="s">
        <v>4260</v>
      </c>
      <c r="B807" s="7" t="s">
        <v>9</v>
      </c>
      <c r="C807" s="16" t="s">
        <v>40</v>
      </c>
      <c r="D807" s="16" t="s">
        <v>41</v>
      </c>
      <c r="E807" s="13" t="str">
        <f>+HYPERLINK("http://trademark.i-assist.jp/data/china/image_1891th/77454020.pdf","77454020")</f>
        <v>77454020</v>
      </c>
      <c r="F807" s="16" t="s">
        <v>4258</v>
      </c>
      <c r="G807" s="16" t="s">
        <v>4257</v>
      </c>
      <c r="H807" s="16" t="s">
        <v>4259</v>
      </c>
      <c r="I807" s="17">
        <v>45372</v>
      </c>
    </row>
    <row r="808" spans="1:9" x14ac:dyDescent="0.15">
      <c r="A808" s="16" t="s">
        <v>4265</v>
      </c>
      <c r="B808" s="7" t="s">
        <v>9</v>
      </c>
      <c r="C808" s="16" t="s">
        <v>40</v>
      </c>
      <c r="D808" s="16" t="s">
        <v>41</v>
      </c>
      <c r="E808" s="13" t="str">
        <f>+HYPERLINK("http://trademark.i-assist.jp/data/china/image_1891th/77454213.pdf","77454213")</f>
        <v>77454213</v>
      </c>
      <c r="F808" s="16" t="s">
        <v>4263</v>
      </c>
      <c r="G808" s="16" t="s">
        <v>4262</v>
      </c>
      <c r="H808" s="16" t="s">
        <v>4264</v>
      </c>
      <c r="I808" s="17">
        <v>45372</v>
      </c>
    </row>
    <row r="809" spans="1:9" x14ac:dyDescent="0.15">
      <c r="A809" s="16" t="s">
        <v>4269</v>
      </c>
      <c r="B809" s="7" t="s">
        <v>9</v>
      </c>
      <c r="C809" s="16" t="s">
        <v>40</v>
      </c>
      <c r="D809" s="16" t="s">
        <v>41</v>
      </c>
      <c r="E809" s="13" t="str">
        <f>+HYPERLINK("http://trademark.i-assist.jp/data/china/image_1891th/77454867.pdf","77454867")</f>
        <v>77454867</v>
      </c>
      <c r="F809" s="16" t="s">
        <v>52</v>
      </c>
      <c r="G809" s="16" t="s">
        <v>4267</v>
      </c>
      <c r="H809" s="16" t="s">
        <v>4268</v>
      </c>
      <c r="I809" s="17">
        <v>45372</v>
      </c>
    </row>
    <row r="810" spans="1:9" x14ac:dyDescent="0.15">
      <c r="A810" s="16" t="s">
        <v>4274</v>
      </c>
      <c r="B810" s="7" t="s">
        <v>9</v>
      </c>
      <c r="C810" s="16" t="s">
        <v>40</v>
      </c>
      <c r="D810" s="16" t="s">
        <v>41</v>
      </c>
      <c r="E810" s="13" t="str">
        <f>+HYPERLINK("http://trademark.i-assist.jp/data/china/image_1891th/77457347.pdf","77457347")</f>
        <v>77457347</v>
      </c>
      <c r="F810" s="16" t="s">
        <v>4272</v>
      </c>
      <c r="G810" s="16" t="s">
        <v>4271</v>
      </c>
      <c r="H810" s="16" t="s">
        <v>4273</v>
      </c>
      <c r="I810" s="17">
        <v>45372</v>
      </c>
    </row>
    <row r="811" spans="1:9" x14ac:dyDescent="0.15">
      <c r="A811" s="16" t="s">
        <v>4279</v>
      </c>
      <c r="B811" s="7" t="s">
        <v>9</v>
      </c>
      <c r="C811" s="16" t="s">
        <v>40</v>
      </c>
      <c r="D811" s="16" t="s">
        <v>41</v>
      </c>
      <c r="E811" s="13" t="str">
        <f>+HYPERLINK("http://trademark.i-assist.jp/data/china/image_1891th/77457651.pdf","77457651")</f>
        <v>77457651</v>
      </c>
      <c r="F811" s="16" t="s">
        <v>4277</v>
      </c>
      <c r="G811" s="16" t="s">
        <v>4276</v>
      </c>
      <c r="H811" s="16" t="s">
        <v>4278</v>
      </c>
      <c r="I811" s="17">
        <v>45372</v>
      </c>
    </row>
    <row r="812" spans="1:9" x14ac:dyDescent="0.15">
      <c r="A812" s="16" t="s">
        <v>4284</v>
      </c>
      <c r="B812" s="7" t="s">
        <v>9</v>
      </c>
      <c r="C812" s="16" t="s">
        <v>40</v>
      </c>
      <c r="D812" s="16" t="s">
        <v>41</v>
      </c>
      <c r="E812" s="13" t="str">
        <f>+HYPERLINK("http://trademark.i-assist.jp/data/china/image_1891th/77458517.pdf","77458517")</f>
        <v>77458517</v>
      </c>
      <c r="F812" s="16" t="s">
        <v>4282</v>
      </c>
      <c r="G812" s="16" t="s">
        <v>4281</v>
      </c>
      <c r="H812" s="16" t="s">
        <v>4283</v>
      </c>
      <c r="I812" s="17">
        <v>45372</v>
      </c>
    </row>
    <row r="813" spans="1:9" x14ac:dyDescent="0.15">
      <c r="A813" s="16" t="s">
        <v>4288</v>
      </c>
      <c r="B813" s="7" t="s">
        <v>9</v>
      </c>
      <c r="C813" s="16" t="s">
        <v>40</v>
      </c>
      <c r="D813" s="16" t="s">
        <v>41</v>
      </c>
      <c r="E813" s="13" t="str">
        <f>+HYPERLINK("http://trademark.i-assist.jp/data/china/image_1891th/77458779.pdf","77458779")</f>
        <v>77458779</v>
      </c>
      <c r="F813" s="16" t="s">
        <v>4286</v>
      </c>
      <c r="G813" s="16" t="s">
        <v>529</v>
      </c>
      <c r="H813" s="16" t="s">
        <v>4287</v>
      </c>
      <c r="I813" s="17">
        <v>45372</v>
      </c>
    </row>
    <row r="814" spans="1:9" x14ac:dyDescent="0.15">
      <c r="A814" s="16" t="s">
        <v>4292</v>
      </c>
      <c r="B814" s="7" t="s">
        <v>9</v>
      </c>
      <c r="C814" s="16" t="s">
        <v>40</v>
      </c>
      <c r="D814" s="16" t="s">
        <v>41</v>
      </c>
      <c r="E814" s="13" t="str">
        <f>+HYPERLINK("http://trademark.i-assist.jp/data/china/image_1891th/77460115.pdf","77460115")</f>
        <v>77460115</v>
      </c>
      <c r="F814" s="16" t="s">
        <v>4290</v>
      </c>
      <c r="G814" s="16" t="s">
        <v>4212</v>
      </c>
      <c r="H814" s="16" t="s">
        <v>4291</v>
      </c>
      <c r="I814" s="17">
        <v>45372</v>
      </c>
    </row>
    <row r="815" spans="1:9" x14ac:dyDescent="0.15">
      <c r="A815" s="16" t="s">
        <v>4297</v>
      </c>
      <c r="B815" s="7" t="s">
        <v>9</v>
      </c>
      <c r="C815" s="16" t="s">
        <v>40</v>
      </c>
      <c r="D815" s="16" t="s">
        <v>41</v>
      </c>
      <c r="E815" s="13" t="str">
        <f>+HYPERLINK("http://trademark.i-assist.jp/data/china/image_1891th/77460769.pdf","77460769")</f>
        <v>77460769</v>
      </c>
      <c r="F815" s="16" t="s">
        <v>4295</v>
      </c>
      <c r="G815" s="16" t="s">
        <v>4294</v>
      </c>
      <c r="H815" s="16" t="s">
        <v>4296</v>
      </c>
      <c r="I815" s="17">
        <v>45372</v>
      </c>
    </row>
    <row r="816" spans="1:9" x14ac:dyDescent="0.15">
      <c r="A816" s="16" t="s">
        <v>4302</v>
      </c>
      <c r="B816" s="7" t="s">
        <v>9</v>
      </c>
      <c r="C816" s="16" t="s">
        <v>40</v>
      </c>
      <c r="D816" s="16" t="s">
        <v>41</v>
      </c>
      <c r="E816" s="13" t="str">
        <f>+HYPERLINK("http://trademark.i-assist.jp/data/china/image_1891th/77460910.pdf","77460910")</f>
        <v>77460910</v>
      </c>
      <c r="F816" s="16" t="s">
        <v>4300</v>
      </c>
      <c r="G816" s="16" t="s">
        <v>4299</v>
      </c>
      <c r="H816" s="16" t="s">
        <v>4301</v>
      </c>
      <c r="I816" s="17">
        <v>45372</v>
      </c>
    </row>
    <row r="817" spans="1:9" x14ac:dyDescent="0.15">
      <c r="A817" s="16" t="s">
        <v>4307</v>
      </c>
      <c r="B817" s="7" t="s">
        <v>9</v>
      </c>
      <c r="C817" s="16" t="s">
        <v>40</v>
      </c>
      <c r="D817" s="16" t="s">
        <v>41</v>
      </c>
      <c r="E817" s="13" t="str">
        <f>+HYPERLINK("http://trademark.i-assist.jp/data/china/image_1891th/77461107.pdf","77461107")</f>
        <v>77461107</v>
      </c>
      <c r="F817" s="16" t="s">
        <v>4305</v>
      </c>
      <c r="G817" s="16" t="s">
        <v>4304</v>
      </c>
      <c r="H817" s="16" t="s">
        <v>4306</v>
      </c>
      <c r="I817" s="17">
        <v>45372</v>
      </c>
    </row>
    <row r="818" spans="1:9" x14ac:dyDescent="0.15">
      <c r="A818" s="16" t="s">
        <v>4311</v>
      </c>
      <c r="B818" s="7" t="s">
        <v>9</v>
      </c>
      <c r="C818" s="16" t="s">
        <v>40</v>
      </c>
      <c r="D818" s="16" t="s">
        <v>41</v>
      </c>
      <c r="E818" s="13" t="str">
        <f>+HYPERLINK("http://trademark.i-assist.jp/data/china/image_1891th/77461589.pdf","77461589")</f>
        <v>77461589</v>
      </c>
      <c r="F818" s="16" t="s">
        <v>4309</v>
      </c>
      <c r="G818" s="16" t="s">
        <v>4190</v>
      </c>
      <c r="H818" s="16" t="s">
        <v>4310</v>
      </c>
      <c r="I818" s="17">
        <v>45372</v>
      </c>
    </row>
    <row r="819" spans="1:9" x14ac:dyDescent="0.15">
      <c r="A819" s="16" t="s">
        <v>4316</v>
      </c>
      <c r="B819" s="7" t="s">
        <v>9</v>
      </c>
      <c r="C819" s="16" t="s">
        <v>40</v>
      </c>
      <c r="D819" s="16" t="s">
        <v>41</v>
      </c>
      <c r="E819" s="13" t="str">
        <f>+HYPERLINK("http://trademark.i-assist.jp/data/china/image_1891th/77462267.pdf","77462267")</f>
        <v>77462267</v>
      </c>
      <c r="F819" s="16" t="s">
        <v>4314</v>
      </c>
      <c r="G819" s="16" t="s">
        <v>4313</v>
      </c>
      <c r="H819" s="16" t="s">
        <v>4315</v>
      </c>
      <c r="I819" s="17">
        <v>45372</v>
      </c>
    </row>
    <row r="820" spans="1:9" x14ac:dyDescent="0.15">
      <c r="A820" s="16" t="s">
        <v>4321</v>
      </c>
      <c r="B820" s="7" t="s">
        <v>9</v>
      </c>
      <c r="C820" s="16" t="s">
        <v>40</v>
      </c>
      <c r="D820" s="16" t="s">
        <v>41</v>
      </c>
      <c r="E820" s="13" t="str">
        <f>+HYPERLINK("http://trademark.i-assist.jp/data/china/image_1891th/77462852.pdf","77462852")</f>
        <v>77462852</v>
      </c>
      <c r="F820" s="16" t="s">
        <v>4319</v>
      </c>
      <c r="G820" s="16" t="s">
        <v>4318</v>
      </c>
      <c r="H820" s="16" t="s">
        <v>4320</v>
      </c>
      <c r="I820" s="17">
        <v>45372</v>
      </c>
    </row>
    <row r="821" spans="1:9" x14ac:dyDescent="0.15">
      <c r="A821" s="16" t="s">
        <v>4326</v>
      </c>
      <c r="B821" s="7" t="s">
        <v>9</v>
      </c>
      <c r="C821" s="16" t="s">
        <v>40</v>
      </c>
      <c r="D821" s="16" t="s">
        <v>41</v>
      </c>
      <c r="E821" s="13" t="str">
        <f>+HYPERLINK("http://trademark.i-assist.jp/data/china/image_1891th/77463424.pdf","77463424")</f>
        <v>77463424</v>
      </c>
      <c r="F821" s="16" t="s">
        <v>4324</v>
      </c>
      <c r="G821" s="16" t="s">
        <v>4323</v>
      </c>
      <c r="H821" s="16" t="s">
        <v>4325</v>
      </c>
      <c r="I821" s="17">
        <v>45372</v>
      </c>
    </row>
    <row r="822" spans="1:9" x14ac:dyDescent="0.15">
      <c r="A822" s="16" t="s">
        <v>4331</v>
      </c>
      <c r="B822" s="7" t="s">
        <v>9</v>
      </c>
      <c r="C822" s="16" t="s">
        <v>40</v>
      </c>
      <c r="D822" s="16" t="s">
        <v>41</v>
      </c>
      <c r="E822" s="13" t="str">
        <f>+HYPERLINK("http://trademark.i-assist.jp/data/china/image_1891th/77463529.pdf","77463529")</f>
        <v>77463529</v>
      </c>
      <c r="F822" s="16" t="s">
        <v>4329</v>
      </c>
      <c r="G822" s="16" t="s">
        <v>4328</v>
      </c>
      <c r="H822" s="16" t="s">
        <v>4330</v>
      </c>
      <c r="I822" s="17">
        <v>45372</v>
      </c>
    </row>
    <row r="823" spans="1:9" x14ac:dyDescent="0.15">
      <c r="A823" s="16" t="s">
        <v>4336</v>
      </c>
      <c r="B823" s="7" t="s">
        <v>9</v>
      </c>
      <c r="C823" s="16" t="s">
        <v>40</v>
      </c>
      <c r="D823" s="16" t="s">
        <v>41</v>
      </c>
      <c r="E823" s="13" t="str">
        <f>+HYPERLINK("http://trademark.i-assist.jp/data/china/image_1891th/77463993.pdf","77463993")</f>
        <v>77463993</v>
      </c>
      <c r="F823" s="16" t="s">
        <v>4334</v>
      </c>
      <c r="G823" s="16" t="s">
        <v>4333</v>
      </c>
      <c r="H823" s="16" t="s">
        <v>4335</v>
      </c>
      <c r="I823" s="17">
        <v>45372</v>
      </c>
    </row>
    <row r="824" spans="1:9" x14ac:dyDescent="0.15">
      <c r="A824" s="16" t="s">
        <v>4341</v>
      </c>
      <c r="B824" s="7" t="s">
        <v>9</v>
      </c>
      <c r="C824" s="16" t="s">
        <v>40</v>
      </c>
      <c r="D824" s="16" t="s">
        <v>41</v>
      </c>
      <c r="E824" s="13" t="str">
        <f>+HYPERLINK("http://trademark.i-assist.jp/data/china/image_1891th/77464294.pdf","77464294")</f>
        <v>77464294</v>
      </c>
      <c r="F824" s="16" t="s">
        <v>4339</v>
      </c>
      <c r="G824" s="16" t="s">
        <v>4338</v>
      </c>
      <c r="H824" s="16" t="s">
        <v>4340</v>
      </c>
      <c r="I824" s="17">
        <v>45372</v>
      </c>
    </row>
    <row r="825" spans="1:9" x14ac:dyDescent="0.15">
      <c r="A825" s="16" t="s">
        <v>4346</v>
      </c>
      <c r="B825" s="7" t="s">
        <v>9</v>
      </c>
      <c r="C825" s="16" t="s">
        <v>40</v>
      </c>
      <c r="D825" s="16" t="s">
        <v>41</v>
      </c>
      <c r="E825" s="13" t="str">
        <f>+HYPERLINK("http://trademark.i-assist.jp/data/china/image_1891th/77464637.pdf","77464637")</f>
        <v>77464637</v>
      </c>
      <c r="F825" s="16" t="s">
        <v>4344</v>
      </c>
      <c r="G825" s="16" t="s">
        <v>4343</v>
      </c>
      <c r="H825" s="16" t="s">
        <v>4345</v>
      </c>
      <c r="I825" s="17">
        <v>45372</v>
      </c>
    </row>
    <row r="826" spans="1:9" x14ac:dyDescent="0.15">
      <c r="A826" s="16" t="s">
        <v>4351</v>
      </c>
      <c r="B826" s="7" t="s">
        <v>9</v>
      </c>
      <c r="C826" s="16" t="s">
        <v>40</v>
      </c>
      <c r="D826" s="16" t="s">
        <v>41</v>
      </c>
      <c r="E826" s="13" t="str">
        <f>+HYPERLINK("http://trademark.i-assist.jp/data/china/image_1891th/77464789.pdf","77464789")</f>
        <v>77464789</v>
      </c>
      <c r="F826" s="16" t="s">
        <v>4349</v>
      </c>
      <c r="G826" s="16" t="s">
        <v>4348</v>
      </c>
      <c r="H826" s="16" t="s">
        <v>4350</v>
      </c>
      <c r="I826" s="17">
        <v>45372</v>
      </c>
    </row>
    <row r="827" spans="1:9" x14ac:dyDescent="0.15">
      <c r="A827" s="16" t="s">
        <v>4356</v>
      </c>
      <c r="B827" s="7" t="s">
        <v>9</v>
      </c>
      <c r="C827" s="16" t="s">
        <v>40</v>
      </c>
      <c r="D827" s="16" t="s">
        <v>41</v>
      </c>
      <c r="E827" s="13" t="str">
        <f>+HYPERLINK("http://trademark.i-assist.jp/data/china/image_1891th/77464911.pdf","77464911")</f>
        <v>77464911</v>
      </c>
      <c r="F827" s="16" t="s">
        <v>4354</v>
      </c>
      <c r="G827" s="16" t="s">
        <v>4353</v>
      </c>
      <c r="H827" s="16" t="s">
        <v>4355</v>
      </c>
      <c r="I827" s="17">
        <v>45372</v>
      </c>
    </row>
    <row r="828" spans="1:9" x14ac:dyDescent="0.15">
      <c r="A828" s="16" t="s">
        <v>4361</v>
      </c>
      <c r="B828" s="7" t="s">
        <v>9</v>
      </c>
      <c r="C828" s="16" t="s">
        <v>40</v>
      </c>
      <c r="D828" s="16" t="s">
        <v>41</v>
      </c>
      <c r="E828" s="13" t="str">
        <f>+HYPERLINK("http://trademark.i-assist.jp/data/china/image_1891th/77464986.pdf","77464986")</f>
        <v>77464986</v>
      </c>
      <c r="F828" s="16" t="s">
        <v>4359</v>
      </c>
      <c r="G828" s="16" t="s">
        <v>4358</v>
      </c>
      <c r="H828" s="16" t="s">
        <v>4360</v>
      </c>
      <c r="I828" s="17">
        <v>45372</v>
      </c>
    </row>
    <row r="829" spans="1:9" x14ac:dyDescent="0.15">
      <c r="A829" s="16" t="s">
        <v>4366</v>
      </c>
      <c r="B829" s="7" t="s">
        <v>9</v>
      </c>
      <c r="C829" s="16" t="s">
        <v>40</v>
      </c>
      <c r="D829" s="16" t="s">
        <v>41</v>
      </c>
      <c r="E829" s="13" t="str">
        <f>+HYPERLINK("http://trademark.i-assist.jp/data/china/image_1891th/77465359.pdf","77465359")</f>
        <v>77465359</v>
      </c>
      <c r="F829" s="16" t="s">
        <v>4364</v>
      </c>
      <c r="G829" s="16" t="s">
        <v>4363</v>
      </c>
      <c r="H829" s="16" t="s">
        <v>4365</v>
      </c>
      <c r="I829" s="17">
        <v>45372</v>
      </c>
    </row>
    <row r="830" spans="1:9" x14ac:dyDescent="0.15">
      <c r="A830" s="16" t="s">
        <v>4370</v>
      </c>
      <c r="B830" s="7" t="s">
        <v>9</v>
      </c>
      <c r="C830" s="16" t="s">
        <v>40</v>
      </c>
      <c r="D830" s="16" t="s">
        <v>41</v>
      </c>
      <c r="E830" s="13" t="str">
        <f>+HYPERLINK("http://trademark.i-assist.jp/data/china/image_1891th/77465494.pdf","77465494")</f>
        <v>77465494</v>
      </c>
      <c r="F830" s="16" t="s">
        <v>4368</v>
      </c>
      <c r="G830" s="16" t="s">
        <v>3246</v>
      </c>
      <c r="H830" s="16" t="s">
        <v>4369</v>
      </c>
      <c r="I830" s="17">
        <v>45372</v>
      </c>
    </row>
    <row r="831" spans="1:9" x14ac:dyDescent="0.15">
      <c r="A831" s="16" t="s">
        <v>4375</v>
      </c>
      <c r="B831" s="7" t="s">
        <v>9</v>
      </c>
      <c r="C831" s="16" t="s">
        <v>40</v>
      </c>
      <c r="D831" s="16" t="s">
        <v>41</v>
      </c>
      <c r="E831" s="13" t="str">
        <f>+HYPERLINK("http://trademark.i-assist.jp/data/china/image_1891th/77466543.pdf","77466543")</f>
        <v>77466543</v>
      </c>
      <c r="F831" s="16" t="s">
        <v>4373</v>
      </c>
      <c r="G831" s="16" t="s">
        <v>4372</v>
      </c>
      <c r="H831" s="16" t="s">
        <v>4374</v>
      </c>
      <c r="I831" s="17">
        <v>45372</v>
      </c>
    </row>
    <row r="832" spans="1:9" x14ac:dyDescent="0.15">
      <c r="A832" s="16" t="s">
        <v>4380</v>
      </c>
      <c r="B832" s="7" t="s">
        <v>9</v>
      </c>
      <c r="C832" s="16" t="s">
        <v>40</v>
      </c>
      <c r="D832" s="16" t="s">
        <v>41</v>
      </c>
      <c r="E832" s="13" t="str">
        <f>+HYPERLINK("http://trademark.i-assist.jp/data/china/image_1891th/77466584.pdf","77466584")</f>
        <v>77466584</v>
      </c>
      <c r="F832" s="16" t="s">
        <v>4378</v>
      </c>
      <c r="G832" s="16" t="s">
        <v>4377</v>
      </c>
      <c r="H832" s="16" t="s">
        <v>4379</v>
      </c>
      <c r="I832" s="17">
        <v>45372</v>
      </c>
    </row>
    <row r="833" spans="1:9" x14ac:dyDescent="0.15">
      <c r="A833" s="16" t="s">
        <v>4384</v>
      </c>
      <c r="B833" s="7" t="s">
        <v>9</v>
      </c>
      <c r="C833" s="16" t="s">
        <v>40</v>
      </c>
      <c r="D833" s="16" t="s">
        <v>41</v>
      </c>
      <c r="E833" s="13" t="str">
        <f>+HYPERLINK("http://trademark.i-assist.jp/data/china/image_1891th/77466651.pdf","77466651")</f>
        <v>77466651</v>
      </c>
      <c r="F833" s="16" t="s">
        <v>4382</v>
      </c>
      <c r="G833" s="16" t="s">
        <v>3225</v>
      </c>
      <c r="H833" s="16" t="s">
        <v>4383</v>
      </c>
      <c r="I833" s="17">
        <v>45372</v>
      </c>
    </row>
    <row r="834" spans="1:9" x14ac:dyDescent="0.15">
      <c r="A834" s="16" t="s">
        <v>4389</v>
      </c>
      <c r="B834" s="7" t="s">
        <v>9</v>
      </c>
      <c r="C834" s="16" t="s">
        <v>40</v>
      </c>
      <c r="D834" s="16" t="s">
        <v>41</v>
      </c>
      <c r="E834" s="13" t="str">
        <f>+HYPERLINK("http://trademark.i-assist.jp/data/china/image_1891th/77467130.pdf","77467130")</f>
        <v>77467130</v>
      </c>
      <c r="F834" s="16" t="s">
        <v>4387</v>
      </c>
      <c r="G834" s="16" t="s">
        <v>4386</v>
      </c>
      <c r="H834" s="16" t="s">
        <v>4388</v>
      </c>
      <c r="I834" s="17">
        <v>45372</v>
      </c>
    </row>
    <row r="835" spans="1:9" x14ac:dyDescent="0.15">
      <c r="A835" s="16" t="s">
        <v>4394</v>
      </c>
      <c r="B835" s="7" t="s">
        <v>9</v>
      </c>
      <c r="C835" s="16" t="s">
        <v>40</v>
      </c>
      <c r="D835" s="16" t="s">
        <v>41</v>
      </c>
      <c r="E835" s="13" t="str">
        <f>+HYPERLINK("http://trademark.i-assist.jp/data/china/image_1891th/77467353.pdf","77467353")</f>
        <v>77467353</v>
      </c>
      <c r="F835" s="16" t="s">
        <v>4392</v>
      </c>
      <c r="G835" s="16" t="s">
        <v>4391</v>
      </c>
      <c r="H835" s="16" t="s">
        <v>4393</v>
      </c>
      <c r="I835" s="17">
        <v>45372</v>
      </c>
    </row>
    <row r="836" spans="1:9" x14ac:dyDescent="0.15">
      <c r="A836" s="16" t="s">
        <v>4399</v>
      </c>
      <c r="B836" s="7" t="s">
        <v>9</v>
      </c>
      <c r="C836" s="16" t="s">
        <v>40</v>
      </c>
      <c r="D836" s="16" t="s">
        <v>41</v>
      </c>
      <c r="E836" s="13" t="str">
        <f>+HYPERLINK("http://trademark.i-assist.jp/data/china/image_1891th/77467531.pdf","77467531")</f>
        <v>77467531</v>
      </c>
      <c r="F836" s="16" t="s">
        <v>4397</v>
      </c>
      <c r="G836" s="16" t="s">
        <v>4396</v>
      </c>
      <c r="H836" s="16" t="s">
        <v>4398</v>
      </c>
      <c r="I836" s="17">
        <v>45372</v>
      </c>
    </row>
    <row r="837" spans="1:9" x14ac:dyDescent="0.15">
      <c r="A837" s="16" t="s">
        <v>4404</v>
      </c>
      <c r="B837" s="7" t="s">
        <v>9</v>
      </c>
      <c r="C837" s="16" t="s">
        <v>40</v>
      </c>
      <c r="D837" s="16" t="s">
        <v>41</v>
      </c>
      <c r="E837" s="13" t="str">
        <f>+HYPERLINK("http://trademark.i-assist.jp/data/china/image_1891th/77467749.pdf","77467749")</f>
        <v>77467749</v>
      </c>
      <c r="F837" s="16" t="s">
        <v>4402</v>
      </c>
      <c r="G837" s="16" t="s">
        <v>4401</v>
      </c>
      <c r="H837" s="16" t="s">
        <v>4403</v>
      </c>
      <c r="I837" s="17">
        <v>45372</v>
      </c>
    </row>
    <row r="838" spans="1:9" x14ac:dyDescent="0.15">
      <c r="A838" s="16" t="s">
        <v>4409</v>
      </c>
      <c r="B838" s="7" t="s">
        <v>9</v>
      </c>
      <c r="C838" s="16" t="s">
        <v>40</v>
      </c>
      <c r="D838" s="16" t="s">
        <v>41</v>
      </c>
      <c r="E838" s="13" t="str">
        <f>+HYPERLINK("http://trademark.i-assist.jp/data/china/image_1891th/77468221.pdf","77468221")</f>
        <v>77468221</v>
      </c>
      <c r="F838" s="16" t="s">
        <v>4407</v>
      </c>
      <c r="G838" s="16" t="s">
        <v>4406</v>
      </c>
      <c r="H838" s="16" t="s">
        <v>4408</v>
      </c>
      <c r="I838" s="17">
        <v>45372</v>
      </c>
    </row>
    <row r="839" spans="1:9" x14ac:dyDescent="0.15">
      <c r="A839" s="16" t="s">
        <v>4413</v>
      </c>
      <c r="B839" s="7" t="s">
        <v>9</v>
      </c>
      <c r="C839" s="16" t="s">
        <v>40</v>
      </c>
      <c r="D839" s="16" t="s">
        <v>41</v>
      </c>
      <c r="E839" s="13" t="str">
        <f>+HYPERLINK("http://trademark.i-assist.jp/data/china/image_1891th/77468793.pdf","77468793")</f>
        <v>77468793</v>
      </c>
      <c r="F839" s="16" t="s">
        <v>52</v>
      </c>
      <c r="G839" s="16" t="s">
        <v>4411</v>
      </c>
      <c r="H839" s="16" t="s">
        <v>4412</v>
      </c>
      <c r="I839" s="17">
        <v>45372</v>
      </c>
    </row>
    <row r="840" spans="1:9" x14ac:dyDescent="0.15">
      <c r="A840" s="16" t="s">
        <v>4417</v>
      </c>
      <c r="B840" s="7" t="s">
        <v>9</v>
      </c>
      <c r="C840" s="16" t="s">
        <v>40</v>
      </c>
      <c r="D840" s="16" t="s">
        <v>41</v>
      </c>
      <c r="E840" s="13" t="str">
        <f>+HYPERLINK("http://trademark.i-assist.jp/data/china/image_1891th/77469376.pdf","77469376")</f>
        <v>77469376</v>
      </c>
      <c r="F840" s="16" t="s">
        <v>4415</v>
      </c>
      <c r="G840" s="16" t="s">
        <v>4212</v>
      </c>
      <c r="H840" s="16" t="s">
        <v>4416</v>
      </c>
      <c r="I840" s="17">
        <v>45372</v>
      </c>
    </row>
    <row r="841" spans="1:9" x14ac:dyDescent="0.15">
      <c r="A841" s="16" t="s">
        <v>3223</v>
      </c>
      <c r="B841" s="7" t="s">
        <v>9</v>
      </c>
      <c r="C841" s="16" t="s">
        <v>40</v>
      </c>
      <c r="D841" s="16" t="s">
        <v>41</v>
      </c>
      <c r="E841" s="13" t="str">
        <f>+HYPERLINK("http://trademark.i-assist.jp/data/china/image_1891th/77470239.pdf","77470239")</f>
        <v>77470239</v>
      </c>
      <c r="F841" s="16" t="s">
        <v>4419</v>
      </c>
      <c r="G841" s="16" t="s">
        <v>3225</v>
      </c>
      <c r="H841" s="16" t="s">
        <v>4420</v>
      </c>
      <c r="I841" s="17">
        <v>45372</v>
      </c>
    </row>
    <row r="842" spans="1:9" x14ac:dyDescent="0.15">
      <c r="A842" s="16" t="s">
        <v>3229</v>
      </c>
      <c r="B842" s="7" t="s">
        <v>9</v>
      </c>
      <c r="C842" s="16" t="s">
        <v>40</v>
      </c>
      <c r="D842" s="16" t="s">
        <v>41</v>
      </c>
      <c r="E842" s="13" t="str">
        <f>+HYPERLINK("http://trademark.i-assist.jp/data/china/image_1891th/77470245.pdf","77470245")</f>
        <v>77470245</v>
      </c>
      <c r="F842" s="16" t="s">
        <v>3226</v>
      </c>
      <c r="G842" s="16" t="s">
        <v>3225</v>
      </c>
      <c r="H842" s="16" t="s">
        <v>3227</v>
      </c>
      <c r="I842" s="17">
        <v>45372</v>
      </c>
    </row>
    <row r="843" spans="1:9" x14ac:dyDescent="0.15">
      <c r="A843" s="16" t="s">
        <v>3234</v>
      </c>
      <c r="B843" s="7" t="s">
        <v>9</v>
      </c>
      <c r="C843" s="16" t="s">
        <v>40</v>
      </c>
      <c r="D843" s="16" t="s">
        <v>41</v>
      </c>
      <c r="E843" s="13" t="str">
        <f>+HYPERLINK("http://trademark.i-assist.jp/data/china/image_1891th/77470392.pdf","77470392")</f>
        <v>77470392</v>
      </c>
      <c r="F843" s="16" t="s">
        <v>3232</v>
      </c>
      <c r="G843" s="16" t="s">
        <v>3231</v>
      </c>
      <c r="H843" s="16" t="s">
        <v>3233</v>
      </c>
      <c r="I843" s="17">
        <v>45372</v>
      </c>
    </row>
    <row r="844" spans="1:9" x14ac:dyDescent="0.15">
      <c r="A844" s="16" t="s">
        <v>3239</v>
      </c>
      <c r="B844" s="7" t="s">
        <v>9</v>
      </c>
      <c r="C844" s="16" t="s">
        <v>40</v>
      </c>
      <c r="D844" s="16" t="s">
        <v>41</v>
      </c>
      <c r="E844" s="13" t="str">
        <f>+HYPERLINK("http://trademark.i-assist.jp/data/china/image_1891th/77470789.pdf","77470789")</f>
        <v>77470789</v>
      </c>
      <c r="F844" s="16" t="s">
        <v>3237</v>
      </c>
      <c r="G844" s="16" t="s">
        <v>3236</v>
      </c>
      <c r="H844" s="16" t="s">
        <v>3238</v>
      </c>
      <c r="I844" s="17">
        <v>45372</v>
      </c>
    </row>
    <row r="845" spans="1:9" x14ac:dyDescent="0.15">
      <c r="A845" s="16" t="s">
        <v>3244</v>
      </c>
      <c r="B845" s="7" t="s">
        <v>9</v>
      </c>
      <c r="C845" s="16" t="s">
        <v>40</v>
      </c>
      <c r="D845" s="16" t="s">
        <v>41</v>
      </c>
      <c r="E845" s="13" t="str">
        <f>+HYPERLINK("http://trademark.i-assist.jp/data/china/image_1891th/77471041.pdf","77471041")</f>
        <v>77471041</v>
      </c>
      <c r="F845" s="16" t="s">
        <v>3242</v>
      </c>
      <c r="G845" s="16" t="s">
        <v>3241</v>
      </c>
      <c r="H845" s="16" t="s">
        <v>3243</v>
      </c>
      <c r="I845" s="17">
        <v>45372</v>
      </c>
    </row>
    <row r="846" spans="1:9" x14ac:dyDescent="0.15">
      <c r="A846" s="16" t="s">
        <v>3249</v>
      </c>
      <c r="B846" s="7" t="s">
        <v>9</v>
      </c>
      <c r="C846" s="16" t="s">
        <v>40</v>
      </c>
      <c r="D846" s="16" t="s">
        <v>41</v>
      </c>
      <c r="E846" s="13" t="str">
        <f>+HYPERLINK("http://trademark.i-assist.jp/data/china/image_1891th/77471202.pdf","77471202")</f>
        <v>77471202</v>
      </c>
      <c r="F846" s="16" t="s">
        <v>3247</v>
      </c>
      <c r="G846" s="16" t="s">
        <v>3246</v>
      </c>
      <c r="H846" s="16" t="s">
        <v>3248</v>
      </c>
      <c r="I846" s="17">
        <v>45372</v>
      </c>
    </row>
    <row r="847" spans="1:9" x14ac:dyDescent="0.15">
      <c r="A847" s="16" t="s">
        <v>3255</v>
      </c>
      <c r="B847" s="7" t="s">
        <v>9</v>
      </c>
      <c r="C847" s="16" t="s">
        <v>40</v>
      </c>
      <c r="D847" s="16" t="s">
        <v>41</v>
      </c>
      <c r="E847" s="13" t="str">
        <f>+HYPERLINK("http://trademark.i-assist.jp/data/china/image_1891th/77471729.pdf","77471729")</f>
        <v>77471729</v>
      </c>
      <c r="F847" s="16" t="s">
        <v>3252</v>
      </c>
      <c r="G847" s="16" t="s">
        <v>3251</v>
      </c>
      <c r="H847" s="16" t="s">
        <v>3253</v>
      </c>
      <c r="I847" s="17">
        <v>45373</v>
      </c>
    </row>
    <row r="848" spans="1:9" x14ac:dyDescent="0.15">
      <c r="A848" s="16" t="s">
        <v>3260</v>
      </c>
      <c r="B848" s="7" t="s">
        <v>9</v>
      </c>
      <c r="C848" s="16" t="s">
        <v>40</v>
      </c>
      <c r="D848" s="16" t="s">
        <v>41</v>
      </c>
      <c r="E848" s="13" t="str">
        <f>+HYPERLINK("http://trademark.i-assist.jp/data/china/image_1891th/77472097.pdf","77472097")</f>
        <v>77472097</v>
      </c>
      <c r="F848" s="16" t="s">
        <v>3258</v>
      </c>
      <c r="G848" s="16" t="s">
        <v>3257</v>
      </c>
      <c r="H848" s="16" t="s">
        <v>3259</v>
      </c>
      <c r="I848" s="17">
        <v>45373</v>
      </c>
    </row>
    <row r="849" spans="1:9" x14ac:dyDescent="0.15">
      <c r="A849" s="16" t="s">
        <v>3264</v>
      </c>
      <c r="B849" s="7" t="s">
        <v>9</v>
      </c>
      <c r="C849" s="16" t="s">
        <v>40</v>
      </c>
      <c r="D849" s="16" t="s">
        <v>41</v>
      </c>
      <c r="E849" s="13" t="str">
        <f>+HYPERLINK("http://trademark.i-assist.jp/data/china/image_1891th/77472101.pdf","77472101")</f>
        <v>77472101</v>
      </c>
      <c r="F849" s="16" t="s">
        <v>3262</v>
      </c>
      <c r="G849" s="16" t="s">
        <v>3257</v>
      </c>
      <c r="H849" s="16" t="s">
        <v>3263</v>
      </c>
      <c r="I849" s="17">
        <v>45373</v>
      </c>
    </row>
    <row r="850" spans="1:9" x14ac:dyDescent="0.15">
      <c r="A850" s="16" t="s">
        <v>3269</v>
      </c>
      <c r="B850" s="7" t="s">
        <v>9</v>
      </c>
      <c r="C850" s="16" t="s">
        <v>40</v>
      </c>
      <c r="D850" s="16" t="s">
        <v>41</v>
      </c>
      <c r="E850" s="13" t="str">
        <f>+HYPERLINK("http://trademark.i-assist.jp/data/china/image_1891th/77472278.pdf","77472278")</f>
        <v>77472278</v>
      </c>
      <c r="F850" s="16" t="s">
        <v>3267</v>
      </c>
      <c r="G850" s="16" t="s">
        <v>3266</v>
      </c>
      <c r="H850" s="16" t="s">
        <v>3268</v>
      </c>
      <c r="I850" s="17">
        <v>45373</v>
      </c>
    </row>
    <row r="851" spans="1:9" x14ac:dyDescent="0.15">
      <c r="A851" s="16" t="s">
        <v>3274</v>
      </c>
      <c r="B851" s="7" t="s">
        <v>9</v>
      </c>
      <c r="C851" s="16" t="s">
        <v>40</v>
      </c>
      <c r="D851" s="16" t="s">
        <v>41</v>
      </c>
      <c r="E851" s="13" t="str">
        <f>+HYPERLINK("http://trademark.i-assist.jp/data/china/image_1891th/77472552.pdf","77472552")</f>
        <v>77472552</v>
      </c>
      <c r="F851" s="16" t="s">
        <v>3272</v>
      </c>
      <c r="G851" s="16" t="s">
        <v>3271</v>
      </c>
      <c r="H851" s="16" t="s">
        <v>3273</v>
      </c>
      <c r="I851" s="17">
        <v>45373</v>
      </c>
    </row>
    <row r="852" spans="1:9" x14ac:dyDescent="0.15">
      <c r="A852" s="16" t="s">
        <v>3279</v>
      </c>
      <c r="B852" s="7" t="s">
        <v>9</v>
      </c>
      <c r="C852" s="16" t="s">
        <v>40</v>
      </c>
      <c r="D852" s="16" t="s">
        <v>41</v>
      </c>
      <c r="E852" s="13" t="str">
        <f>+HYPERLINK("http://trademark.i-assist.jp/data/china/image_1891th/77472650.pdf","77472650")</f>
        <v>77472650</v>
      </c>
      <c r="F852" s="16" t="s">
        <v>3277</v>
      </c>
      <c r="G852" s="16" t="s">
        <v>3276</v>
      </c>
      <c r="H852" s="16" t="s">
        <v>3278</v>
      </c>
      <c r="I852" s="17">
        <v>45373</v>
      </c>
    </row>
    <row r="853" spans="1:9" x14ac:dyDescent="0.15">
      <c r="A853" s="16" t="s">
        <v>3284</v>
      </c>
      <c r="B853" s="7" t="s">
        <v>9</v>
      </c>
      <c r="C853" s="16" t="s">
        <v>40</v>
      </c>
      <c r="D853" s="16" t="s">
        <v>41</v>
      </c>
      <c r="E853" s="13" t="str">
        <f>+HYPERLINK("http://trademark.i-assist.jp/data/china/image_1891th/77472920.pdf","77472920")</f>
        <v>77472920</v>
      </c>
      <c r="F853" s="16" t="s">
        <v>3282</v>
      </c>
      <c r="G853" s="16" t="s">
        <v>3281</v>
      </c>
      <c r="H853" s="16" t="s">
        <v>3283</v>
      </c>
      <c r="I853" s="17">
        <v>45373</v>
      </c>
    </row>
    <row r="854" spans="1:9" x14ac:dyDescent="0.15">
      <c r="A854" s="16" t="s">
        <v>3289</v>
      </c>
      <c r="B854" s="7" t="s">
        <v>9</v>
      </c>
      <c r="C854" s="16" t="s">
        <v>40</v>
      </c>
      <c r="D854" s="16" t="s">
        <v>41</v>
      </c>
      <c r="E854" s="13" t="str">
        <f>+HYPERLINK("http://trademark.i-assist.jp/data/china/image_1891th/77473077.pdf","77473077")</f>
        <v>77473077</v>
      </c>
      <c r="F854" s="16" t="s">
        <v>3287</v>
      </c>
      <c r="G854" s="16" t="s">
        <v>3286</v>
      </c>
      <c r="H854" s="16" t="s">
        <v>3288</v>
      </c>
      <c r="I854" s="17">
        <v>45373</v>
      </c>
    </row>
    <row r="855" spans="1:9" x14ac:dyDescent="0.15">
      <c r="A855" s="16" t="s">
        <v>3293</v>
      </c>
      <c r="B855" s="7" t="s">
        <v>9</v>
      </c>
      <c r="C855" s="16" t="s">
        <v>40</v>
      </c>
      <c r="D855" s="16" t="s">
        <v>41</v>
      </c>
      <c r="E855" s="13" t="str">
        <f>+HYPERLINK("http://trademark.i-assist.jp/data/china/image_1891th/77473237.pdf","77473237")</f>
        <v>77473237</v>
      </c>
      <c r="F855" s="16" t="s">
        <v>3291</v>
      </c>
      <c r="G855" s="16" t="s">
        <v>3257</v>
      </c>
      <c r="H855" s="16" t="s">
        <v>3292</v>
      </c>
      <c r="I855" s="17">
        <v>45373</v>
      </c>
    </row>
    <row r="856" spans="1:9" x14ac:dyDescent="0.15">
      <c r="A856" s="16" t="s">
        <v>4421</v>
      </c>
      <c r="B856" s="7" t="s">
        <v>9</v>
      </c>
      <c r="C856" s="16" t="s">
        <v>40</v>
      </c>
      <c r="D856" s="16" t="s">
        <v>41</v>
      </c>
      <c r="E856" s="13" t="str">
        <f>+HYPERLINK("http://trademark.i-assist.jp/data/china/image_1891th/77473326.pdf","77473326")</f>
        <v>77473326</v>
      </c>
      <c r="F856" s="16" t="s">
        <v>3296</v>
      </c>
      <c r="G856" s="16" t="s">
        <v>3295</v>
      </c>
      <c r="H856" s="16" t="s">
        <v>3297</v>
      </c>
      <c r="I856" s="17">
        <v>45373</v>
      </c>
    </row>
    <row r="857" spans="1:9" x14ac:dyDescent="0.15">
      <c r="A857" s="16" t="s">
        <v>4426</v>
      </c>
      <c r="B857" s="7" t="s">
        <v>9</v>
      </c>
      <c r="C857" s="16" t="s">
        <v>40</v>
      </c>
      <c r="D857" s="16" t="s">
        <v>41</v>
      </c>
      <c r="E857" s="13" t="str">
        <f>+HYPERLINK("http://trademark.i-assist.jp/data/china/image_1891th/77473410.pdf","77473410")</f>
        <v>77473410</v>
      </c>
      <c r="F857" s="16" t="s">
        <v>4424</v>
      </c>
      <c r="G857" s="16" t="s">
        <v>4423</v>
      </c>
      <c r="H857" s="16" t="s">
        <v>4425</v>
      </c>
      <c r="I857" s="17">
        <v>45373</v>
      </c>
    </row>
    <row r="858" spans="1:9" x14ac:dyDescent="0.15">
      <c r="A858" s="16" t="s">
        <v>4431</v>
      </c>
      <c r="B858" s="7" t="s">
        <v>9</v>
      </c>
      <c r="C858" s="16" t="s">
        <v>40</v>
      </c>
      <c r="D858" s="16" t="s">
        <v>41</v>
      </c>
      <c r="E858" s="13" t="str">
        <f>+HYPERLINK("http://trademark.i-assist.jp/data/china/image_1891th/77473445.pdf","77473445")</f>
        <v>77473445</v>
      </c>
      <c r="F858" s="16" t="s">
        <v>4429</v>
      </c>
      <c r="G858" s="16" t="s">
        <v>4428</v>
      </c>
      <c r="H858" s="16" t="s">
        <v>4430</v>
      </c>
      <c r="I858" s="17">
        <v>45373</v>
      </c>
    </row>
    <row r="859" spans="1:9" x14ac:dyDescent="0.15">
      <c r="A859" s="16" t="s">
        <v>4436</v>
      </c>
      <c r="B859" s="7" t="s">
        <v>9</v>
      </c>
      <c r="C859" s="16" t="s">
        <v>40</v>
      </c>
      <c r="D859" s="16" t="s">
        <v>41</v>
      </c>
      <c r="E859" s="13" t="str">
        <f>+HYPERLINK("http://trademark.i-assist.jp/data/china/image_1891th/77474475.pdf","77474475")</f>
        <v>77474475</v>
      </c>
      <c r="F859" s="16" t="s">
        <v>4434</v>
      </c>
      <c r="G859" s="16" t="s">
        <v>4433</v>
      </c>
      <c r="H859" s="16" t="s">
        <v>4435</v>
      </c>
      <c r="I859" s="17">
        <v>45373</v>
      </c>
    </row>
    <row r="860" spans="1:9" x14ac:dyDescent="0.15">
      <c r="A860" s="16" t="s">
        <v>4440</v>
      </c>
      <c r="B860" s="7" t="s">
        <v>9</v>
      </c>
      <c r="C860" s="16" t="s">
        <v>40</v>
      </c>
      <c r="D860" s="16" t="s">
        <v>41</v>
      </c>
      <c r="E860" s="13" t="str">
        <f>+HYPERLINK("http://trademark.i-assist.jp/data/china/image_1891th/77474789.pdf","77474789")</f>
        <v>77474789</v>
      </c>
      <c r="F860" s="16" t="s">
        <v>4438</v>
      </c>
      <c r="G860" s="16" t="s">
        <v>3257</v>
      </c>
      <c r="H860" s="16" t="s">
        <v>4439</v>
      </c>
      <c r="I860" s="17">
        <v>45373</v>
      </c>
    </row>
    <row r="861" spans="1:9" x14ac:dyDescent="0.15">
      <c r="A861" s="16" t="s">
        <v>4445</v>
      </c>
      <c r="B861" s="7" t="s">
        <v>9</v>
      </c>
      <c r="C861" s="16" t="s">
        <v>40</v>
      </c>
      <c r="D861" s="16" t="s">
        <v>41</v>
      </c>
      <c r="E861" s="13" t="str">
        <f>+HYPERLINK("http://trademark.i-assist.jp/data/china/image_1891th/77474881.pdf","77474881")</f>
        <v>77474881</v>
      </c>
      <c r="F861" s="16" t="s">
        <v>4443</v>
      </c>
      <c r="G861" s="16" t="s">
        <v>4442</v>
      </c>
      <c r="H861" s="16" t="s">
        <v>4444</v>
      </c>
      <c r="I861" s="17">
        <v>45373</v>
      </c>
    </row>
    <row r="862" spans="1:9" x14ac:dyDescent="0.15">
      <c r="A862" s="16" t="s">
        <v>4449</v>
      </c>
      <c r="B862" s="7" t="s">
        <v>9</v>
      </c>
      <c r="C862" s="16" t="s">
        <v>40</v>
      </c>
      <c r="D862" s="16" t="s">
        <v>41</v>
      </c>
      <c r="E862" s="13" t="str">
        <f>+HYPERLINK("http://trademark.i-assist.jp/data/china/image_1891th/77475054.pdf","77475054")</f>
        <v>77475054</v>
      </c>
      <c r="F862" s="16" t="s">
        <v>4447</v>
      </c>
      <c r="G862" s="16" t="s">
        <v>3257</v>
      </c>
      <c r="H862" s="16" t="s">
        <v>4448</v>
      </c>
      <c r="I862" s="17">
        <v>45373</v>
      </c>
    </row>
    <row r="863" spans="1:9" x14ac:dyDescent="0.15">
      <c r="A863" s="16" t="s">
        <v>4453</v>
      </c>
      <c r="B863" s="7" t="s">
        <v>9</v>
      </c>
      <c r="C863" s="16" t="s">
        <v>40</v>
      </c>
      <c r="D863" s="16" t="s">
        <v>41</v>
      </c>
      <c r="E863" s="13" t="str">
        <f>+HYPERLINK("http://trademark.i-assist.jp/data/china/image_1891th/77475093.pdf","77475093")</f>
        <v>77475093</v>
      </c>
      <c r="F863" s="16" t="s">
        <v>4451</v>
      </c>
      <c r="G863" s="16" t="s">
        <v>3257</v>
      </c>
      <c r="H863" s="16" t="s">
        <v>4452</v>
      </c>
      <c r="I863" s="17">
        <v>45373</v>
      </c>
    </row>
    <row r="864" spans="1:9" x14ac:dyDescent="0.15">
      <c r="A864" s="16" t="s">
        <v>4458</v>
      </c>
      <c r="B864" s="7" t="s">
        <v>9</v>
      </c>
      <c r="C864" s="16" t="s">
        <v>40</v>
      </c>
      <c r="D864" s="16" t="s">
        <v>41</v>
      </c>
      <c r="E864" s="13" t="str">
        <f>+HYPERLINK("http://trademark.i-assist.jp/data/china/image_1891th/77475098.pdf","77475098")</f>
        <v>77475098</v>
      </c>
      <c r="F864" s="16" t="s">
        <v>4456</v>
      </c>
      <c r="G864" s="16" t="s">
        <v>4455</v>
      </c>
      <c r="H864" s="16" t="s">
        <v>4457</v>
      </c>
      <c r="I864" s="17">
        <v>45373</v>
      </c>
    </row>
    <row r="865" spans="1:9" x14ac:dyDescent="0.15">
      <c r="A865" s="16" t="s">
        <v>4463</v>
      </c>
      <c r="B865" s="7" t="s">
        <v>9</v>
      </c>
      <c r="C865" s="16" t="s">
        <v>40</v>
      </c>
      <c r="D865" s="16" t="s">
        <v>41</v>
      </c>
      <c r="E865" s="13" t="str">
        <f>+HYPERLINK("http://trademark.i-assist.jp/data/china/image_1891th/77475581.pdf","77475581")</f>
        <v>77475581</v>
      </c>
      <c r="F865" s="16" t="s">
        <v>4461</v>
      </c>
      <c r="G865" s="16" t="s">
        <v>4460</v>
      </c>
      <c r="H865" s="16" t="s">
        <v>4462</v>
      </c>
      <c r="I865" s="17">
        <v>45373</v>
      </c>
    </row>
    <row r="866" spans="1:9" x14ac:dyDescent="0.15">
      <c r="A866" s="16" t="s">
        <v>4468</v>
      </c>
      <c r="B866" s="7" t="s">
        <v>9</v>
      </c>
      <c r="C866" s="16" t="s">
        <v>40</v>
      </c>
      <c r="D866" s="16" t="s">
        <v>41</v>
      </c>
      <c r="E866" s="13" t="str">
        <f>+HYPERLINK("http://trademark.i-assist.jp/data/china/image_1891th/77475619.pdf","77475619")</f>
        <v>77475619</v>
      </c>
      <c r="F866" s="16" t="s">
        <v>4466</v>
      </c>
      <c r="G866" s="16" t="s">
        <v>4465</v>
      </c>
      <c r="H866" s="16" t="s">
        <v>4467</v>
      </c>
      <c r="I866" s="17">
        <v>45373</v>
      </c>
    </row>
    <row r="867" spans="1:9" x14ac:dyDescent="0.15">
      <c r="A867" s="16" t="s">
        <v>4473</v>
      </c>
      <c r="B867" s="7" t="s">
        <v>9</v>
      </c>
      <c r="C867" s="16" t="s">
        <v>40</v>
      </c>
      <c r="D867" s="16" t="s">
        <v>41</v>
      </c>
      <c r="E867" s="13" t="str">
        <f>+HYPERLINK("http://trademark.i-assist.jp/data/china/image_1891th/77475661.pdf","77475661")</f>
        <v>77475661</v>
      </c>
      <c r="F867" s="16" t="s">
        <v>4471</v>
      </c>
      <c r="G867" s="16" t="s">
        <v>4470</v>
      </c>
      <c r="H867" s="16" t="s">
        <v>4472</v>
      </c>
      <c r="I867" s="17">
        <v>45373</v>
      </c>
    </row>
    <row r="868" spans="1:9" x14ac:dyDescent="0.15">
      <c r="A868" s="16" t="s">
        <v>4479</v>
      </c>
      <c r="B868" s="7" t="s">
        <v>9</v>
      </c>
      <c r="C868" s="16" t="s">
        <v>40</v>
      </c>
      <c r="D868" s="16" t="s">
        <v>41</v>
      </c>
      <c r="E868" s="13" t="str">
        <f>+HYPERLINK("http://trademark.i-assist.jp/data/china/image_1891th/77476278.pdf","77476278")</f>
        <v>77476278</v>
      </c>
      <c r="F868" s="16" t="s">
        <v>4476</v>
      </c>
      <c r="G868" s="16" t="s">
        <v>4475</v>
      </c>
      <c r="H868" s="16" t="s">
        <v>4477</v>
      </c>
      <c r="I868" s="17">
        <v>45375</v>
      </c>
    </row>
    <row r="869" spans="1:9" x14ac:dyDescent="0.15">
      <c r="A869" s="16" t="s">
        <v>4484</v>
      </c>
      <c r="B869" s="7" t="s">
        <v>9</v>
      </c>
      <c r="C869" s="16" t="s">
        <v>40</v>
      </c>
      <c r="D869" s="16" t="s">
        <v>41</v>
      </c>
      <c r="E869" s="13" t="str">
        <f>+HYPERLINK("http://trademark.i-assist.jp/data/china/image_1891th/77476609.pdf","77476609")</f>
        <v>77476609</v>
      </c>
      <c r="F869" s="16" t="s">
        <v>4482</v>
      </c>
      <c r="G869" s="16" t="s">
        <v>4481</v>
      </c>
      <c r="H869" s="16" t="s">
        <v>4483</v>
      </c>
      <c r="I869" s="17">
        <v>45375</v>
      </c>
    </row>
    <row r="870" spans="1:9" x14ac:dyDescent="0.15">
      <c r="A870" s="16" t="s">
        <v>4488</v>
      </c>
      <c r="B870" s="7" t="s">
        <v>9</v>
      </c>
      <c r="C870" s="16" t="s">
        <v>40</v>
      </c>
      <c r="D870" s="16" t="s">
        <v>41</v>
      </c>
      <c r="E870" s="13" t="str">
        <f>+HYPERLINK("http://trademark.i-assist.jp/data/china/image_1891th/77476613.pdf","77476613")</f>
        <v>77476613</v>
      </c>
      <c r="F870" s="16" t="s">
        <v>4486</v>
      </c>
      <c r="G870" s="16" t="s">
        <v>4481</v>
      </c>
      <c r="H870" s="16" t="s">
        <v>4487</v>
      </c>
      <c r="I870" s="17">
        <v>45375</v>
      </c>
    </row>
    <row r="871" spans="1:9" x14ac:dyDescent="0.15">
      <c r="A871" s="16" t="s">
        <v>4493</v>
      </c>
      <c r="B871" s="7" t="s">
        <v>9</v>
      </c>
      <c r="C871" s="16" t="s">
        <v>40</v>
      </c>
      <c r="D871" s="16" t="s">
        <v>41</v>
      </c>
      <c r="E871" s="13" t="str">
        <f>+HYPERLINK("http://trademark.i-assist.jp/data/china/image_1891th/77476640.pdf","77476640")</f>
        <v>77476640</v>
      </c>
      <c r="F871" s="16" t="s">
        <v>4491</v>
      </c>
      <c r="G871" s="16" t="s">
        <v>4490</v>
      </c>
      <c r="H871" s="16" t="s">
        <v>4492</v>
      </c>
      <c r="I871" s="17">
        <v>45375</v>
      </c>
    </row>
    <row r="872" spans="1:9" x14ac:dyDescent="0.15">
      <c r="A872" s="16" t="s">
        <v>4498</v>
      </c>
      <c r="B872" s="7" t="s">
        <v>9</v>
      </c>
      <c r="C872" s="16" t="s">
        <v>40</v>
      </c>
      <c r="D872" s="16" t="s">
        <v>41</v>
      </c>
      <c r="E872" s="13" t="str">
        <f>+HYPERLINK("http://trademark.i-assist.jp/data/china/image_1891th/77476673.pdf","77476673")</f>
        <v>77476673</v>
      </c>
      <c r="F872" s="16" t="s">
        <v>4496</v>
      </c>
      <c r="G872" s="16" t="s">
        <v>4495</v>
      </c>
      <c r="H872" s="16" t="s">
        <v>4497</v>
      </c>
      <c r="I872" s="17">
        <v>45375</v>
      </c>
    </row>
    <row r="873" spans="1:9" x14ac:dyDescent="0.15">
      <c r="A873" s="16" t="s">
        <v>4503</v>
      </c>
      <c r="B873" s="7" t="s">
        <v>9</v>
      </c>
      <c r="C873" s="16" t="s">
        <v>40</v>
      </c>
      <c r="D873" s="16" t="s">
        <v>41</v>
      </c>
      <c r="E873" s="13" t="str">
        <f>+HYPERLINK("http://trademark.i-assist.jp/data/china/image_1891th/77476713.pdf","77476713")</f>
        <v>77476713</v>
      </c>
      <c r="F873" s="16" t="s">
        <v>4501</v>
      </c>
      <c r="G873" s="16" t="s">
        <v>4500</v>
      </c>
      <c r="H873" s="16" t="s">
        <v>4502</v>
      </c>
      <c r="I873" s="17">
        <v>45375</v>
      </c>
    </row>
    <row r="874" spans="1:9" x14ac:dyDescent="0.15">
      <c r="A874" s="16" t="s">
        <v>4507</v>
      </c>
      <c r="B874" s="7" t="s">
        <v>9</v>
      </c>
      <c r="C874" s="16" t="s">
        <v>40</v>
      </c>
      <c r="D874" s="16" t="s">
        <v>41</v>
      </c>
      <c r="E874" s="13" t="str">
        <f>+HYPERLINK("http://trademark.i-assist.jp/data/china/image_1891th/77476721.pdf","77476721")</f>
        <v>77476721</v>
      </c>
      <c r="F874" s="16" t="s">
        <v>4505</v>
      </c>
      <c r="G874" s="16" t="s">
        <v>4500</v>
      </c>
      <c r="H874" s="16" t="s">
        <v>4506</v>
      </c>
      <c r="I874" s="17">
        <v>45375</v>
      </c>
    </row>
    <row r="875" spans="1:9" x14ac:dyDescent="0.15">
      <c r="A875" s="16" t="s">
        <v>4512</v>
      </c>
      <c r="B875" s="7" t="s">
        <v>9</v>
      </c>
      <c r="C875" s="16" t="s">
        <v>40</v>
      </c>
      <c r="D875" s="16" t="s">
        <v>41</v>
      </c>
      <c r="E875" s="13" t="str">
        <f>+HYPERLINK("http://trademark.i-assist.jp/data/china/image_1891th/77476823.pdf","77476823")</f>
        <v>77476823</v>
      </c>
      <c r="F875" s="16" t="s">
        <v>4510</v>
      </c>
      <c r="G875" s="16" t="s">
        <v>4509</v>
      </c>
      <c r="H875" s="16" t="s">
        <v>4511</v>
      </c>
      <c r="I875" s="17">
        <v>45375</v>
      </c>
    </row>
    <row r="876" spans="1:9" x14ac:dyDescent="0.15">
      <c r="A876" s="16" t="s">
        <v>4517</v>
      </c>
      <c r="B876" s="7" t="s">
        <v>9</v>
      </c>
      <c r="C876" s="16" t="s">
        <v>40</v>
      </c>
      <c r="D876" s="16" t="s">
        <v>41</v>
      </c>
      <c r="E876" s="13" t="str">
        <f>+HYPERLINK("http://trademark.i-assist.jp/data/china/image_1891th/77477149.pdf","77477149")</f>
        <v>77477149</v>
      </c>
      <c r="F876" s="16" t="s">
        <v>4515</v>
      </c>
      <c r="G876" s="16" t="s">
        <v>4514</v>
      </c>
      <c r="H876" s="16" t="s">
        <v>4516</v>
      </c>
      <c r="I876" s="17">
        <v>45375</v>
      </c>
    </row>
    <row r="877" spans="1:9" x14ac:dyDescent="0.15">
      <c r="A877" s="16" t="s">
        <v>4522</v>
      </c>
      <c r="B877" s="7" t="s">
        <v>9</v>
      </c>
      <c r="C877" s="16" t="s">
        <v>40</v>
      </c>
      <c r="D877" s="16" t="s">
        <v>41</v>
      </c>
      <c r="E877" s="13" t="str">
        <f>+HYPERLINK("http://trademark.i-assist.jp/data/china/image_1891th/77477235.pdf","77477235")</f>
        <v>77477235</v>
      </c>
      <c r="F877" s="16" t="s">
        <v>4520</v>
      </c>
      <c r="G877" s="16" t="s">
        <v>4519</v>
      </c>
      <c r="H877" s="16" t="s">
        <v>4521</v>
      </c>
      <c r="I877" s="17">
        <v>45375</v>
      </c>
    </row>
    <row r="878" spans="1:9" x14ac:dyDescent="0.15">
      <c r="A878" s="16" t="s">
        <v>4527</v>
      </c>
      <c r="B878" s="7" t="s">
        <v>9</v>
      </c>
      <c r="C878" s="16" t="s">
        <v>40</v>
      </c>
      <c r="D878" s="16" t="s">
        <v>41</v>
      </c>
      <c r="E878" s="13" t="str">
        <f>+HYPERLINK("http://trademark.i-assist.jp/data/china/image_1891th/77477635.pdf","77477635")</f>
        <v>77477635</v>
      </c>
      <c r="F878" s="16" t="s">
        <v>4525</v>
      </c>
      <c r="G878" s="16" t="s">
        <v>4524</v>
      </c>
      <c r="H878" s="16" t="s">
        <v>4526</v>
      </c>
      <c r="I878" s="17">
        <v>45375</v>
      </c>
    </row>
    <row r="879" spans="1:9" x14ac:dyDescent="0.15">
      <c r="A879" s="16" t="s">
        <v>4532</v>
      </c>
      <c r="B879" s="7" t="s">
        <v>9</v>
      </c>
      <c r="C879" s="16" t="s">
        <v>40</v>
      </c>
      <c r="D879" s="16" t="s">
        <v>41</v>
      </c>
      <c r="E879" s="13" t="str">
        <f>+HYPERLINK("http://trademark.i-assist.jp/data/china/image_1891th/77477921.pdf","77477921")</f>
        <v>77477921</v>
      </c>
      <c r="F879" s="16" t="s">
        <v>4530</v>
      </c>
      <c r="G879" s="16" t="s">
        <v>4529</v>
      </c>
      <c r="H879" s="16" t="s">
        <v>4531</v>
      </c>
      <c r="I879" s="17">
        <v>45375</v>
      </c>
    </row>
    <row r="880" spans="1:9" x14ac:dyDescent="0.15">
      <c r="A880" s="16" t="s">
        <v>4537</v>
      </c>
      <c r="B880" s="7" t="s">
        <v>9</v>
      </c>
      <c r="C880" s="16" t="s">
        <v>40</v>
      </c>
      <c r="D880" s="16" t="s">
        <v>41</v>
      </c>
      <c r="E880" s="13" t="str">
        <f>+HYPERLINK("http://trademark.i-assist.jp/data/china/image_1891th/77477998.pdf","77477998")</f>
        <v>77477998</v>
      </c>
      <c r="F880" s="16" t="s">
        <v>4535</v>
      </c>
      <c r="G880" s="16" t="s">
        <v>4534</v>
      </c>
      <c r="H880" s="16" t="s">
        <v>4536</v>
      </c>
      <c r="I880" s="17">
        <v>45375</v>
      </c>
    </row>
    <row r="881" spans="1:9" x14ac:dyDescent="0.15">
      <c r="A881" s="16" t="s">
        <v>4542</v>
      </c>
      <c r="B881" s="7" t="s">
        <v>9</v>
      </c>
      <c r="C881" s="16" t="s">
        <v>40</v>
      </c>
      <c r="D881" s="16" t="s">
        <v>41</v>
      </c>
      <c r="E881" s="13" t="str">
        <f>+HYPERLINK("http://trademark.i-assist.jp/data/china/image_1891th/77478106.pdf","77478106")</f>
        <v>77478106</v>
      </c>
      <c r="F881" s="16" t="s">
        <v>4540</v>
      </c>
      <c r="G881" s="16" t="s">
        <v>4539</v>
      </c>
      <c r="H881" s="16" t="s">
        <v>4541</v>
      </c>
      <c r="I881" s="17">
        <v>45375</v>
      </c>
    </row>
    <row r="882" spans="1:9" x14ac:dyDescent="0.15">
      <c r="A882" s="16" t="s">
        <v>4546</v>
      </c>
      <c r="B882" s="7" t="s">
        <v>9</v>
      </c>
      <c r="C882" s="16" t="s">
        <v>40</v>
      </c>
      <c r="D882" s="16" t="s">
        <v>41</v>
      </c>
      <c r="E882" s="13" t="str">
        <f>+HYPERLINK("http://trademark.i-assist.jp/data/china/image_1891th/77478348.pdf","77478348")</f>
        <v>77478348</v>
      </c>
      <c r="F882" s="16" t="s">
        <v>4544</v>
      </c>
      <c r="G882" s="16" t="s">
        <v>3766</v>
      </c>
      <c r="H882" s="16" t="s">
        <v>4545</v>
      </c>
      <c r="I882" s="17">
        <v>45375</v>
      </c>
    </row>
    <row r="883" spans="1:9" x14ac:dyDescent="0.15">
      <c r="A883" s="16" t="s">
        <v>4551</v>
      </c>
      <c r="B883" s="7" t="s">
        <v>9</v>
      </c>
      <c r="C883" s="16" t="s">
        <v>40</v>
      </c>
      <c r="D883" s="16" t="s">
        <v>41</v>
      </c>
      <c r="E883" s="13" t="str">
        <f>+HYPERLINK("http://trademark.i-assist.jp/data/china/image_1891th/77478421.pdf","77478421")</f>
        <v>77478421</v>
      </c>
      <c r="F883" s="16" t="s">
        <v>4549</v>
      </c>
      <c r="G883" s="16" t="s">
        <v>4548</v>
      </c>
      <c r="H883" s="16" t="s">
        <v>4550</v>
      </c>
      <c r="I883" s="17">
        <v>45375</v>
      </c>
    </row>
    <row r="884" spans="1:9" x14ac:dyDescent="0.15">
      <c r="A884" s="16" t="s">
        <v>4556</v>
      </c>
      <c r="B884" s="7" t="s">
        <v>9</v>
      </c>
      <c r="C884" s="16" t="s">
        <v>40</v>
      </c>
      <c r="D884" s="16" t="s">
        <v>41</v>
      </c>
      <c r="E884" s="13" t="str">
        <f>+HYPERLINK("http://trademark.i-assist.jp/data/china/image_1891th/77478512.pdf","77478512")</f>
        <v>77478512</v>
      </c>
      <c r="F884" s="16" t="s">
        <v>4554</v>
      </c>
      <c r="G884" s="16" t="s">
        <v>4553</v>
      </c>
      <c r="H884" s="16" t="s">
        <v>4555</v>
      </c>
      <c r="I884" s="17">
        <v>45375</v>
      </c>
    </row>
    <row r="885" spans="1:9" x14ac:dyDescent="0.15">
      <c r="A885" s="16" t="s">
        <v>4561</v>
      </c>
      <c r="B885" s="7" t="s">
        <v>9</v>
      </c>
      <c r="C885" s="16" t="s">
        <v>40</v>
      </c>
      <c r="D885" s="16" t="s">
        <v>41</v>
      </c>
      <c r="E885" s="13" t="str">
        <f>+HYPERLINK("http://trademark.i-assist.jp/data/china/image_1891th/77478825.pdf","77478825")</f>
        <v>77478825</v>
      </c>
      <c r="F885" s="16" t="s">
        <v>4559</v>
      </c>
      <c r="G885" s="16" t="s">
        <v>4558</v>
      </c>
      <c r="H885" s="16" t="s">
        <v>4560</v>
      </c>
      <c r="I885" s="17">
        <v>45375</v>
      </c>
    </row>
    <row r="886" spans="1:9" x14ac:dyDescent="0.15">
      <c r="A886" s="16" t="s">
        <v>4566</v>
      </c>
      <c r="B886" s="7" t="s">
        <v>9</v>
      </c>
      <c r="C886" s="16" t="s">
        <v>40</v>
      </c>
      <c r="D886" s="16" t="s">
        <v>41</v>
      </c>
      <c r="E886" s="13" t="str">
        <f>+HYPERLINK("http://trademark.i-assist.jp/data/china/image_1891th/77478851.pdf","77478851")</f>
        <v>77478851</v>
      </c>
      <c r="F886" s="16" t="s">
        <v>4564</v>
      </c>
      <c r="G886" s="16" t="s">
        <v>4563</v>
      </c>
      <c r="H886" s="16" t="s">
        <v>4565</v>
      </c>
      <c r="I886" s="17">
        <v>45375</v>
      </c>
    </row>
    <row r="887" spans="1:9" x14ac:dyDescent="0.15">
      <c r="A887" s="16" t="s">
        <v>4571</v>
      </c>
      <c r="B887" s="7" t="s">
        <v>9</v>
      </c>
      <c r="C887" s="16" t="s">
        <v>40</v>
      </c>
      <c r="D887" s="16" t="s">
        <v>41</v>
      </c>
      <c r="E887" s="13" t="str">
        <f>+HYPERLINK("http://trademark.i-assist.jp/data/china/image_1891th/77479093.pdf","77479093")</f>
        <v>77479093</v>
      </c>
      <c r="F887" s="16" t="s">
        <v>4569</v>
      </c>
      <c r="G887" s="16" t="s">
        <v>4568</v>
      </c>
      <c r="H887" s="16" t="s">
        <v>4570</v>
      </c>
      <c r="I887" s="17">
        <v>45375</v>
      </c>
    </row>
    <row r="888" spans="1:9" x14ac:dyDescent="0.15">
      <c r="A888" s="16" t="s">
        <v>4576</v>
      </c>
      <c r="B888" s="7" t="s">
        <v>9</v>
      </c>
      <c r="C888" s="16" t="s">
        <v>40</v>
      </c>
      <c r="D888" s="16" t="s">
        <v>41</v>
      </c>
      <c r="E888" s="13" t="str">
        <f>+HYPERLINK("http://trademark.i-assist.jp/data/china/image_1891th/77479279.pdf","77479279")</f>
        <v>77479279</v>
      </c>
      <c r="F888" s="16" t="s">
        <v>4574</v>
      </c>
      <c r="G888" s="16" t="s">
        <v>4573</v>
      </c>
      <c r="H888" s="16" t="s">
        <v>4575</v>
      </c>
      <c r="I888" s="17">
        <v>45375</v>
      </c>
    </row>
    <row r="889" spans="1:9" x14ac:dyDescent="0.15">
      <c r="A889" s="16" t="s">
        <v>4581</v>
      </c>
      <c r="B889" s="7" t="s">
        <v>9</v>
      </c>
      <c r="C889" s="16" t="s">
        <v>40</v>
      </c>
      <c r="D889" s="16" t="s">
        <v>41</v>
      </c>
      <c r="E889" s="13" t="str">
        <f>+HYPERLINK("http://trademark.i-assist.jp/data/china/image_1891th/77479388.pdf","77479388")</f>
        <v>77479388</v>
      </c>
      <c r="F889" s="16" t="s">
        <v>11128</v>
      </c>
      <c r="G889" s="16" t="s">
        <v>4578</v>
      </c>
      <c r="H889" s="16" t="s">
        <v>4580</v>
      </c>
      <c r="I889" s="17">
        <v>45375</v>
      </c>
    </row>
    <row r="890" spans="1:9" x14ac:dyDescent="0.15">
      <c r="A890" s="16" t="s">
        <v>4586</v>
      </c>
      <c r="B890" s="7" t="s">
        <v>9</v>
      </c>
      <c r="C890" s="16" t="s">
        <v>40</v>
      </c>
      <c r="D890" s="16" t="s">
        <v>41</v>
      </c>
      <c r="E890" s="13" t="str">
        <f>+HYPERLINK("http://trademark.i-assist.jp/data/china/image_1891th/77479541.pdf","77479541")</f>
        <v>77479541</v>
      </c>
      <c r="F890" s="16" t="s">
        <v>4584</v>
      </c>
      <c r="G890" s="16" t="s">
        <v>4583</v>
      </c>
      <c r="H890" s="16" t="s">
        <v>4585</v>
      </c>
      <c r="I890" s="17">
        <v>45375</v>
      </c>
    </row>
    <row r="891" spans="1:9" x14ac:dyDescent="0.15">
      <c r="A891" s="16" t="s">
        <v>4591</v>
      </c>
      <c r="B891" s="7" t="s">
        <v>9</v>
      </c>
      <c r="C891" s="16" t="s">
        <v>40</v>
      </c>
      <c r="D891" s="16" t="s">
        <v>41</v>
      </c>
      <c r="E891" s="13" t="str">
        <f>+HYPERLINK("http://trademark.i-assist.jp/data/china/image_1891th/77479959.pdf","77479959")</f>
        <v>77479959</v>
      </c>
      <c r="F891" s="16" t="s">
        <v>4589</v>
      </c>
      <c r="G891" s="16" t="s">
        <v>4588</v>
      </c>
      <c r="H891" s="16" t="s">
        <v>4590</v>
      </c>
      <c r="I891" s="17">
        <v>45375</v>
      </c>
    </row>
    <row r="892" spans="1:9" x14ac:dyDescent="0.15">
      <c r="A892" s="16" t="s">
        <v>4596</v>
      </c>
      <c r="B892" s="7" t="s">
        <v>9</v>
      </c>
      <c r="C892" s="16" t="s">
        <v>40</v>
      </c>
      <c r="D892" s="16" t="s">
        <v>41</v>
      </c>
      <c r="E892" s="13" t="str">
        <f>+HYPERLINK("http://trademark.i-assist.jp/data/china/image_1891th/77480193.pdf","77480193")</f>
        <v>77480193</v>
      </c>
      <c r="F892" s="16" t="s">
        <v>4594</v>
      </c>
      <c r="G892" s="16" t="s">
        <v>4593</v>
      </c>
      <c r="H892" s="16" t="s">
        <v>4595</v>
      </c>
      <c r="I892" s="17">
        <v>45375</v>
      </c>
    </row>
    <row r="893" spans="1:9" x14ac:dyDescent="0.15">
      <c r="A893" s="16" t="s">
        <v>4601</v>
      </c>
      <c r="B893" s="7" t="s">
        <v>9</v>
      </c>
      <c r="C893" s="16" t="s">
        <v>40</v>
      </c>
      <c r="D893" s="16" t="s">
        <v>41</v>
      </c>
      <c r="E893" s="13" t="str">
        <f>+HYPERLINK("http://trademark.i-assist.jp/data/china/image_1891th/77480365.pdf","77480365")</f>
        <v>77480365</v>
      </c>
      <c r="F893" s="16" t="s">
        <v>4599</v>
      </c>
      <c r="G893" s="16" t="s">
        <v>4598</v>
      </c>
      <c r="H893" s="16" t="s">
        <v>4600</v>
      </c>
      <c r="I893" s="17">
        <v>45375</v>
      </c>
    </row>
    <row r="894" spans="1:9" x14ac:dyDescent="0.15">
      <c r="A894" s="16" t="s">
        <v>4606</v>
      </c>
      <c r="B894" s="7" t="s">
        <v>9</v>
      </c>
      <c r="C894" s="16" t="s">
        <v>40</v>
      </c>
      <c r="D894" s="16" t="s">
        <v>41</v>
      </c>
      <c r="E894" s="13" t="str">
        <f>+HYPERLINK("http://trademark.i-assist.jp/data/china/image_1891th/77480748.pdf","77480748")</f>
        <v>77480748</v>
      </c>
      <c r="F894" s="16" t="s">
        <v>4604</v>
      </c>
      <c r="G894" s="16" t="s">
        <v>4603</v>
      </c>
      <c r="H894" s="16" t="s">
        <v>4605</v>
      </c>
      <c r="I894" s="17">
        <v>45375</v>
      </c>
    </row>
    <row r="895" spans="1:9" x14ac:dyDescent="0.15">
      <c r="A895" s="16" t="s">
        <v>4611</v>
      </c>
      <c r="B895" s="7" t="s">
        <v>9</v>
      </c>
      <c r="C895" s="16" t="s">
        <v>40</v>
      </c>
      <c r="D895" s="16" t="s">
        <v>41</v>
      </c>
      <c r="E895" s="13" t="str">
        <f>+HYPERLINK("http://trademark.i-assist.jp/data/china/image_1891th/77480972.pdf","77480972")</f>
        <v>77480972</v>
      </c>
      <c r="F895" s="16" t="s">
        <v>4609</v>
      </c>
      <c r="G895" s="16" t="s">
        <v>4608</v>
      </c>
      <c r="H895" s="16" t="s">
        <v>4610</v>
      </c>
      <c r="I895" s="17">
        <v>45375</v>
      </c>
    </row>
    <row r="896" spans="1:9" x14ac:dyDescent="0.15">
      <c r="A896" s="16" t="s">
        <v>4615</v>
      </c>
      <c r="B896" s="7" t="s">
        <v>9</v>
      </c>
      <c r="C896" s="16" t="s">
        <v>40</v>
      </c>
      <c r="D896" s="16" t="s">
        <v>41</v>
      </c>
      <c r="E896" s="13" t="str">
        <f>+HYPERLINK("http://trademark.i-assist.jp/data/china/image_1891th/77481074.pdf","77481074")</f>
        <v>77481074</v>
      </c>
      <c r="F896" s="16" t="s">
        <v>4613</v>
      </c>
      <c r="G896" s="16" t="s">
        <v>4524</v>
      </c>
      <c r="H896" s="16" t="s">
        <v>4614</v>
      </c>
      <c r="I896" s="17">
        <v>45375</v>
      </c>
    </row>
    <row r="897" spans="1:9" x14ac:dyDescent="0.15">
      <c r="A897" s="16" t="s">
        <v>4620</v>
      </c>
      <c r="B897" s="7" t="s">
        <v>9</v>
      </c>
      <c r="C897" s="16" t="s">
        <v>40</v>
      </c>
      <c r="D897" s="16" t="s">
        <v>41</v>
      </c>
      <c r="E897" s="13" t="str">
        <f>+HYPERLINK("http://trademark.i-assist.jp/data/china/image_1891th/77481439.pdf","77481439")</f>
        <v>77481439</v>
      </c>
      <c r="F897" s="16" t="s">
        <v>4618</v>
      </c>
      <c r="G897" s="16" t="s">
        <v>4617</v>
      </c>
      <c r="H897" s="16" t="s">
        <v>4619</v>
      </c>
      <c r="I897" s="17">
        <v>45375</v>
      </c>
    </row>
    <row r="898" spans="1:9" x14ac:dyDescent="0.15">
      <c r="A898" s="16" t="s">
        <v>4625</v>
      </c>
      <c r="B898" s="7" t="s">
        <v>9</v>
      </c>
      <c r="C898" s="16" t="s">
        <v>40</v>
      </c>
      <c r="D898" s="16" t="s">
        <v>41</v>
      </c>
      <c r="E898" s="13" t="str">
        <f>+HYPERLINK("http://trademark.i-assist.jp/data/china/image_1891th/77482216.pdf","77482216")</f>
        <v>77482216</v>
      </c>
      <c r="F898" s="16" t="s">
        <v>4623</v>
      </c>
      <c r="G898" s="16" t="s">
        <v>4622</v>
      </c>
      <c r="H898" s="16" t="s">
        <v>4624</v>
      </c>
      <c r="I898" s="17">
        <v>45375</v>
      </c>
    </row>
    <row r="899" spans="1:9" x14ac:dyDescent="0.15">
      <c r="A899" s="16" t="s">
        <v>4630</v>
      </c>
      <c r="B899" s="7" t="s">
        <v>9</v>
      </c>
      <c r="C899" s="16" t="s">
        <v>40</v>
      </c>
      <c r="D899" s="16" t="s">
        <v>41</v>
      </c>
      <c r="E899" s="13" t="str">
        <f>+HYPERLINK("http://trademark.i-assist.jp/data/china/image_1891th/77482330.pdf","77482330")</f>
        <v>77482330</v>
      </c>
      <c r="F899" s="16" t="s">
        <v>4628</v>
      </c>
      <c r="G899" s="16" t="s">
        <v>4627</v>
      </c>
      <c r="H899" s="16" t="s">
        <v>4629</v>
      </c>
      <c r="I899" s="17">
        <v>45375</v>
      </c>
    </row>
    <row r="900" spans="1:9" x14ac:dyDescent="0.15">
      <c r="A900" s="16" t="s">
        <v>4634</v>
      </c>
      <c r="B900" s="7" t="s">
        <v>9</v>
      </c>
      <c r="C900" s="16" t="s">
        <v>40</v>
      </c>
      <c r="D900" s="16" t="s">
        <v>41</v>
      </c>
      <c r="E900" s="13" t="str">
        <f>+HYPERLINK("http://trademark.i-assist.jp/data/china/image_1891th/77482386.pdf","77482386")</f>
        <v>77482386</v>
      </c>
      <c r="F900" s="16" t="s">
        <v>4632</v>
      </c>
      <c r="G900" s="16" t="s">
        <v>4539</v>
      </c>
      <c r="H900" s="16" t="s">
        <v>4633</v>
      </c>
      <c r="I900" s="17">
        <v>45375</v>
      </c>
    </row>
    <row r="901" spans="1:9" x14ac:dyDescent="0.15">
      <c r="A901" s="16" t="s">
        <v>4639</v>
      </c>
      <c r="B901" s="7" t="s">
        <v>9</v>
      </c>
      <c r="C901" s="16" t="s">
        <v>40</v>
      </c>
      <c r="D901" s="16" t="s">
        <v>41</v>
      </c>
      <c r="E901" s="13" t="str">
        <f>+HYPERLINK("http://trademark.i-assist.jp/data/china/image_1891th/77482403.pdf","77482403")</f>
        <v>77482403</v>
      </c>
      <c r="F901" s="16" t="s">
        <v>4637</v>
      </c>
      <c r="G901" s="16" t="s">
        <v>4636</v>
      </c>
      <c r="H901" s="16" t="s">
        <v>4638</v>
      </c>
      <c r="I901" s="17">
        <v>45375</v>
      </c>
    </row>
    <row r="902" spans="1:9" x14ac:dyDescent="0.15">
      <c r="A902" s="16" t="s">
        <v>4644</v>
      </c>
      <c r="B902" s="7" t="s">
        <v>9</v>
      </c>
      <c r="C902" s="16" t="s">
        <v>40</v>
      </c>
      <c r="D902" s="16" t="s">
        <v>41</v>
      </c>
      <c r="E902" s="13" t="str">
        <f>+HYPERLINK("http://trademark.i-assist.jp/data/china/image_1891th/77482752.pdf","77482752")</f>
        <v>77482752</v>
      </c>
      <c r="F902" s="16" t="s">
        <v>4642</v>
      </c>
      <c r="G902" s="16" t="s">
        <v>4641</v>
      </c>
      <c r="H902" s="16" t="s">
        <v>4643</v>
      </c>
      <c r="I902" s="17">
        <v>45375</v>
      </c>
    </row>
    <row r="903" spans="1:9" x14ac:dyDescent="0.15">
      <c r="A903" s="16" t="s">
        <v>4649</v>
      </c>
      <c r="B903" s="7" t="s">
        <v>9</v>
      </c>
      <c r="C903" s="16" t="s">
        <v>40</v>
      </c>
      <c r="D903" s="16" t="s">
        <v>41</v>
      </c>
      <c r="E903" s="13" t="str">
        <f>+HYPERLINK("http://trademark.i-assist.jp/data/china/image_1891th/77482805.pdf","77482805")</f>
        <v>77482805</v>
      </c>
      <c r="F903" s="16" t="s">
        <v>4647</v>
      </c>
      <c r="G903" s="16" t="s">
        <v>4646</v>
      </c>
      <c r="H903" s="16" t="s">
        <v>4648</v>
      </c>
      <c r="I903" s="17">
        <v>45375</v>
      </c>
    </row>
    <row r="904" spans="1:9" x14ac:dyDescent="0.15">
      <c r="A904" s="16" t="s">
        <v>4654</v>
      </c>
      <c r="B904" s="7" t="s">
        <v>9</v>
      </c>
      <c r="C904" s="16" t="s">
        <v>40</v>
      </c>
      <c r="D904" s="16" t="s">
        <v>41</v>
      </c>
      <c r="E904" s="13" t="str">
        <f>+HYPERLINK("http://trademark.i-assist.jp/data/china/image_1891th/77483317.pdf","77483317")</f>
        <v>77483317</v>
      </c>
      <c r="F904" s="16" t="s">
        <v>4652</v>
      </c>
      <c r="G904" s="16" t="s">
        <v>4651</v>
      </c>
      <c r="H904" s="16" t="s">
        <v>4653</v>
      </c>
      <c r="I904" s="17">
        <v>45375</v>
      </c>
    </row>
    <row r="905" spans="1:9" x14ac:dyDescent="0.15">
      <c r="A905" s="16" t="s">
        <v>4658</v>
      </c>
      <c r="B905" s="7" t="s">
        <v>9</v>
      </c>
      <c r="C905" s="16" t="s">
        <v>40</v>
      </c>
      <c r="D905" s="16" t="s">
        <v>41</v>
      </c>
      <c r="E905" s="13" t="str">
        <f>+HYPERLINK("http://trademark.i-assist.jp/data/china/image_1891th/77483391.pdf","77483391")</f>
        <v>77483391</v>
      </c>
      <c r="F905" s="16" t="s">
        <v>4656</v>
      </c>
      <c r="G905" s="16" t="s">
        <v>4524</v>
      </c>
      <c r="H905" s="16" t="s">
        <v>4657</v>
      </c>
      <c r="I905" s="17">
        <v>45375</v>
      </c>
    </row>
    <row r="906" spans="1:9" x14ac:dyDescent="0.15">
      <c r="A906" s="16" t="s">
        <v>4663</v>
      </c>
      <c r="B906" s="7" t="s">
        <v>9</v>
      </c>
      <c r="C906" s="16" t="s">
        <v>40</v>
      </c>
      <c r="D906" s="16" t="s">
        <v>41</v>
      </c>
      <c r="E906" s="13" t="str">
        <f>+HYPERLINK("http://trademark.i-assist.jp/data/china/image_1891th/77483407.pdf","77483407")</f>
        <v>77483407</v>
      </c>
      <c r="F906" s="16" t="s">
        <v>4661</v>
      </c>
      <c r="G906" s="16" t="s">
        <v>4660</v>
      </c>
      <c r="H906" s="16" t="s">
        <v>4662</v>
      </c>
      <c r="I906" s="17">
        <v>45375</v>
      </c>
    </row>
    <row r="907" spans="1:9" x14ac:dyDescent="0.15">
      <c r="A907" s="16" t="s">
        <v>4668</v>
      </c>
      <c r="B907" s="7" t="s">
        <v>9</v>
      </c>
      <c r="C907" s="16" t="s">
        <v>40</v>
      </c>
      <c r="D907" s="16" t="s">
        <v>41</v>
      </c>
      <c r="E907" s="13" t="str">
        <f>+HYPERLINK("http://trademark.i-assist.jp/data/china/image_1891th/77483514.pdf","77483514")</f>
        <v>77483514</v>
      </c>
      <c r="F907" s="16" t="s">
        <v>4666</v>
      </c>
      <c r="G907" s="16" t="s">
        <v>4665</v>
      </c>
      <c r="H907" s="16" t="s">
        <v>4667</v>
      </c>
      <c r="I907" s="17">
        <v>45375</v>
      </c>
    </row>
    <row r="908" spans="1:9" x14ac:dyDescent="0.15">
      <c r="A908" s="16" t="s">
        <v>4673</v>
      </c>
      <c r="B908" s="7" t="s">
        <v>9</v>
      </c>
      <c r="C908" s="16" t="s">
        <v>40</v>
      </c>
      <c r="D908" s="16" t="s">
        <v>41</v>
      </c>
      <c r="E908" s="13" t="str">
        <f>+HYPERLINK("http://trademark.i-assist.jp/data/china/image_1891th/77483986.pdf","77483986")</f>
        <v>77483986</v>
      </c>
      <c r="F908" s="16" t="s">
        <v>4670</v>
      </c>
      <c r="G908" s="16" t="s">
        <v>3508</v>
      </c>
      <c r="H908" s="16" t="s">
        <v>4671</v>
      </c>
      <c r="I908" s="17">
        <v>45374</v>
      </c>
    </row>
    <row r="909" spans="1:9" x14ac:dyDescent="0.15">
      <c r="A909" s="16" t="s">
        <v>4678</v>
      </c>
      <c r="B909" s="7" t="s">
        <v>9</v>
      </c>
      <c r="C909" s="16" t="s">
        <v>40</v>
      </c>
      <c r="D909" s="16" t="s">
        <v>41</v>
      </c>
      <c r="E909" s="13" t="str">
        <f>+HYPERLINK("http://trademark.i-assist.jp/data/china/image_1891th/77484091.pdf","77484091")</f>
        <v>77484091</v>
      </c>
      <c r="F909" s="16" t="s">
        <v>4676</v>
      </c>
      <c r="G909" s="16" t="s">
        <v>4675</v>
      </c>
      <c r="H909" s="16" t="s">
        <v>4677</v>
      </c>
      <c r="I909" s="17">
        <v>45374</v>
      </c>
    </row>
    <row r="910" spans="1:9" x14ac:dyDescent="0.15">
      <c r="A910" s="16" t="s">
        <v>4683</v>
      </c>
      <c r="B910" s="7" t="s">
        <v>9</v>
      </c>
      <c r="C910" s="16" t="s">
        <v>40</v>
      </c>
      <c r="D910" s="16" t="s">
        <v>41</v>
      </c>
      <c r="E910" s="13" t="str">
        <f>+HYPERLINK("http://trademark.i-assist.jp/data/china/image_1891th/77484405.pdf","77484405")</f>
        <v>77484405</v>
      </c>
      <c r="F910" s="16" t="s">
        <v>4681</v>
      </c>
      <c r="G910" s="16" t="s">
        <v>4680</v>
      </c>
      <c r="H910" s="16" t="s">
        <v>4682</v>
      </c>
      <c r="I910" s="17">
        <v>45374</v>
      </c>
    </row>
    <row r="911" spans="1:9" x14ac:dyDescent="0.15">
      <c r="A911" s="16" t="s">
        <v>4688</v>
      </c>
      <c r="B911" s="7" t="s">
        <v>9</v>
      </c>
      <c r="C911" s="16" t="s">
        <v>40</v>
      </c>
      <c r="D911" s="16" t="s">
        <v>41</v>
      </c>
      <c r="E911" s="13" t="str">
        <f>+HYPERLINK("http://trademark.i-assist.jp/data/china/image_1891th/77484935.pdf","77484935")</f>
        <v>77484935</v>
      </c>
      <c r="F911" s="16" t="s">
        <v>4686</v>
      </c>
      <c r="G911" s="16" t="s">
        <v>4685</v>
      </c>
      <c r="H911" s="16" t="s">
        <v>4687</v>
      </c>
      <c r="I911" s="17">
        <v>45376</v>
      </c>
    </row>
    <row r="912" spans="1:9" x14ac:dyDescent="0.15">
      <c r="A912" s="16" t="s">
        <v>4692</v>
      </c>
      <c r="B912" s="7" t="s">
        <v>9</v>
      </c>
      <c r="C912" s="16" t="s">
        <v>40</v>
      </c>
      <c r="D912" s="16" t="s">
        <v>41</v>
      </c>
      <c r="E912" s="13" t="str">
        <f>+HYPERLINK("http://trademark.i-assist.jp/data/china/image_1891th/77485071.pdf","77485071")</f>
        <v>77485071</v>
      </c>
      <c r="F912" s="16" t="s">
        <v>4690</v>
      </c>
      <c r="G912" s="16" t="s">
        <v>2815</v>
      </c>
      <c r="H912" s="16" t="s">
        <v>4691</v>
      </c>
      <c r="I912" s="17">
        <v>45376</v>
      </c>
    </row>
    <row r="913" spans="1:9" x14ac:dyDescent="0.15">
      <c r="A913" s="16" t="s">
        <v>4696</v>
      </c>
      <c r="B913" s="7" t="s">
        <v>9</v>
      </c>
      <c r="C913" s="16" t="s">
        <v>40</v>
      </c>
      <c r="D913" s="16" t="s">
        <v>41</v>
      </c>
      <c r="E913" s="13" t="str">
        <f>+HYPERLINK("http://trademark.i-assist.jp/data/china/image_1891th/77485186.pdf","77485186")</f>
        <v>77485186</v>
      </c>
      <c r="F913" s="16" t="s">
        <v>4694</v>
      </c>
      <c r="G913" s="16" t="s">
        <v>3173</v>
      </c>
      <c r="H913" s="16" t="s">
        <v>4695</v>
      </c>
      <c r="I913" s="17">
        <v>45376</v>
      </c>
    </row>
    <row r="914" spans="1:9" x14ac:dyDescent="0.15">
      <c r="A914" s="16" t="s">
        <v>4701</v>
      </c>
      <c r="B914" s="7" t="s">
        <v>9</v>
      </c>
      <c r="C914" s="16" t="s">
        <v>40</v>
      </c>
      <c r="D914" s="16" t="s">
        <v>41</v>
      </c>
      <c r="E914" s="13" t="str">
        <f>+HYPERLINK("http://trademark.i-assist.jp/data/china/image_1891th/77485210.pdf","77485210")</f>
        <v>77485210</v>
      </c>
      <c r="F914" s="16" t="s">
        <v>4699</v>
      </c>
      <c r="G914" s="16" t="s">
        <v>4698</v>
      </c>
      <c r="H914" s="16" t="s">
        <v>4700</v>
      </c>
      <c r="I914" s="17">
        <v>45376</v>
      </c>
    </row>
    <row r="915" spans="1:9" x14ac:dyDescent="0.15">
      <c r="A915" s="16" t="s">
        <v>4706</v>
      </c>
      <c r="B915" s="7" t="s">
        <v>9</v>
      </c>
      <c r="C915" s="16" t="s">
        <v>40</v>
      </c>
      <c r="D915" s="16" t="s">
        <v>41</v>
      </c>
      <c r="E915" s="13" t="str">
        <f>+HYPERLINK("http://trademark.i-assist.jp/data/china/image_1891th/77485446.pdf","77485446")</f>
        <v>77485446</v>
      </c>
      <c r="F915" s="16" t="s">
        <v>4704</v>
      </c>
      <c r="G915" s="16" t="s">
        <v>4703</v>
      </c>
      <c r="H915" s="16" t="s">
        <v>4705</v>
      </c>
      <c r="I915" s="17">
        <v>45376</v>
      </c>
    </row>
    <row r="916" spans="1:9" x14ac:dyDescent="0.15">
      <c r="A916" s="16" t="s">
        <v>4711</v>
      </c>
      <c r="B916" s="7" t="s">
        <v>9</v>
      </c>
      <c r="C916" s="16" t="s">
        <v>40</v>
      </c>
      <c r="D916" s="16" t="s">
        <v>41</v>
      </c>
      <c r="E916" s="13" t="str">
        <f>+HYPERLINK("http://trademark.i-assist.jp/data/china/image_1891th/77485462.pdf","77485462")</f>
        <v>77485462</v>
      </c>
      <c r="F916" s="16" t="s">
        <v>4709</v>
      </c>
      <c r="G916" s="16" t="s">
        <v>4708</v>
      </c>
      <c r="H916" s="16" t="s">
        <v>4710</v>
      </c>
      <c r="I916" s="17">
        <v>45376</v>
      </c>
    </row>
    <row r="917" spans="1:9" x14ac:dyDescent="0.15">
      <c r="A917" s="16" t="s">
        <v>4716</v>
      </c>
      <c r="B917" s="7" t="s">
        <v>9</v>
      </c>
      <c r="C917" s="16" t="s">
        <v>40</v>
      </c>
      <c r="D917" s="16" t="s">
        <v>41</v>
      </c>
      <c r="E917" s="13" t="str">
        <f>+HYPERLINK("http://trademark.i-assist.jp/data/china/image_1891th/77485641.pdf","77485641")</f>
        <v>77485641</v>
      </c>
      <c r="F917" s="16" t="s">
        <v>4714</v>
      </c>
      <c r="G917" s="16" t="s">
        <v>4713</v>
      </c>
      <c r="H917" s="16" t="s">
        <v>4715</v>
      </c>
      <c r="I917" s="17">
        <v>45376</v>
      </c>
    </row>
    <row r="918" spans="1:9" x14ac:dyDescent="0.15">
      <c r="A918" s="16" t="s">
        <v>4721</v>
      </c>
      <c r="B918" s="7" t="s">
        <v>9</v>
      </c>
      <c r="C918" s="16" t="s">
        <v>40</v>
      </c>
      <c r="D918" s="16" t="s">
        <v>41</v>
      </c>
      <c r="E918" s="13" t="str">
        <f>+HYPERLINK("http://trademark.i-assist.jp/data/china/image_1891th/77485815.pdf","77485815")</f>
        <v>77485815</v>
      </c>
      <c r="F918" s="16" t="s">
        <v>4719</v>
      </c>
      <c r="G918" s="16" t="s">
        <v>4718</v>
      </c>
      <c r="H918" s="16" t="s">
        <v>4720</v>
      </c>
      <c r="I918" s="17">
        <v>45376</v>
      </c>
    </row>
    <row r="919" spans="1:9" x14ac:dyDescent="0.15">
      <c r="A919" s="16" t="s">
        <v>4726</v>
      </c>
      <c r="B919" s="7" t="s">
        <v>9</v>
      </c>
      <c r="C919" s="16" t="s">
        <v>40</v>
      </c>
      <c r="D919" s="16" t="s">
        <v>41</v>
      </c>
      <c r="E919" s="13" t="str">
        <f>+HYPERLINK("http://trademark.i-assist.jp/data/china/image_1891th/77485889.pdf","77485889")</f>
        <v>77485889</v>
      </c>
      <c r="F919" s="16" t="s">
        <v>4724</v>
      </c>
      <c r="G919" s="16" t="s">
        <v>4723</v>
      </c>
      <c r="H919" s="16" t="s">
        <v>4725</v>
      </c>
      <c r="I919" s="17">
        <v>45376</v>
      </c>
    </row>
    <row r="920" spans="1:9" x14ac:dyDescent="0.15">
      <c r="A920" s="16" t="s">
        <v>4731</v>
      </c>
      <c r="B920" s="7" t="s">
        <v>9</v>
      </c>
      <c r="C920" s="16" t="s">
        <v>40</v>
      </c>
      <c r="D920" s="16" t="s">
        <v>41</v>
      </c>
      <c r="E920" s="13" t="str">
        <f>+HYPERLINK("http://trademark.i-assist.jp/data/china/image_1891th/77486076.pdf","77486076")</f>
        <v>77486076</v>
      </c>
      <c r="F920" s="16" t="s">
        <v>4729</v>
      </c>
      <c r="G920" s="16" t="s">
        <v>4728</v>
      </c>
      <c r="H920" s="16" t="s">
        <v>4730</v>
      </c>
      <c r="I920" s="17">
        <v>45376</v>
      </c>
    </row>
    <row r="921" spans="1:9" x14ac:dyDescent="0.15">
      <c r="A921" s="16" t="s">
        <v>5007</v>
      </c>
      <c r="B921" s="7" t="s">
        <v>9</v>
      </c>
      <c r="C921" s="16" t="s">
        <v>40</v>
      </c>
      <c r="D921" s="16" t="s">
        <v>41</v>
      </c>
      <c r="E921" s="13" t="str">
        <f>+HYPERLINK("http://trademark.i-assist.jp/data/china/image_1891th/77486254.pdf","77486254")</f>
        <v>77486254</v>
      </c>
      <c r="F921" s="16" t="s">
        <v>4734</v>
      </c>
      <c r="G921" s="16" t="s">
        <v>4733</v>
      </c>
      <c r="H921" s="16" t="s">
        <v>4735</v>
      </c>
      <c r="I921" s="17">
        <v>45376</v>
      </c>
    </row>
    <row r="922" spans="1:9" x14ac:dyDescent="0.15">
      <c r="A922" s="16" t="s">
        <v>5012</v>
      </c>
      <c r="B922" s="7" t="s">
        <v>9</v>
      </c>
      <c r="C922" s="16" t="s">
        <v>40</v>
      </c>
      <c r="D922" s="16" t="s">
        <v>41</v>
      </c>
      <c r="E922" s="13" t="str">
        <f>+HYPERLINK("http://trademark.i-assist.jp/data/china/image_1891th/77486323.pdf","77486323")</f>
        <v>77486323</v>
      </c>
      <c r="F922" s="16" t="s">
        <v>5010</v>
      </c>
      <c r="G922" s="16" t="s">
        <v>11118</v>
      </c>
      <c r="H922" s="16" t="s">
        <v>5011</v>
      </c>
      <c r="I922" s="17">
        <v>45376</v>
      </c>
    </row>
    <row r="923" spans="1:9" x14ac:dyDescent="0.15">
      <c r="A923" s="16" t="s">
        <v>5017</v>
      </c>
      <c r="B923" s="7" t="s">
        <v>9</v>
      </c>
      <c r="C923" s="16" t="s">
        <v>40</v>
      </c>
      <c r="D923" s="16" t="s">
        <v>41</v>
      </c>
      <c r="E923" s="13" t="str">
        <f>+HYPERLINK("http://trademark.i-assist.jp/data/china/image_1891th/77486543.pdf","77486543")</f>
        <v>77486543</v>
      </c>
      <c r="F923" s="16" t="s">
        <v>5015</v>
      </c>
      <c r="G923" s="16" t="s">
        <v>5014</v>
      </c>
      <c r="H923" s="16" t="s">
        <v>5016</v>
      </c>
      <c r="I923" s="17">
        <v>45376</v>
      </c>
    </row>
    <row r="924" spans="1:9" x14ac:dyDescent="0.15">
      <c r="A924" s="16" t="s">
        <v>5022</v>
      </c>
      <c r="B924" s="7" t="s">
        <v>9</v>
      </c>
      <c r="C924" s="16" t="s">
        <v>40</v>
      </c>
      <c r="D924" s="16" t="s">
        <v>41</v>
      </c>
      <c r="E924" s="13" t="str">
        <f>+HYPERLINK("http://trademark.i-assist.jp/data/china/image_1891th/77486710.pdf","77486710")</f>
        <v>77486710</v>
      </c>
      <c r="F924" s="16" t="s">
        <v>5020</v>
      </c>
      <c r="G924" s="16" t="s">
        <v>5019</v>
      </c>
      <c r="H924" s="16" t="s">
        <v>5021</v>
      </c>
      <c r="I924" s="17">
        <v>45376</v>
      </c>
    </row>
    <row r="925" spans="1:9" x14ac:dyDescent="0.15">
      <c r="A925" s="16" t="s">
        <v>5026</v>
      </c>
      <c r="B925" s="7" t="s">
        <v>9</v>
      </c>
      <c r="C925" s="16" t="s">
        <v>40</v>
      </c>
      <c r="D925" s="16" t="s">
        <v>41</v>
      </c>
      <c r="E925" s="13" t="str">
        <f>+HYPERLINK("http://trademark.i-assist.jp/data/china/image_1891th/77486720.pdf","77486720")</f>
        <v>77486720</v>
      </c>
      <c r="F925" s="16" t="s">
        <v>5024</v>
      </c>
      <c r="G925" s="16" t="s">
        <v>5019</v>
      </c>
      <c r="H925" s="16" t="s">
        <v>5025</v>
      </c>
      <c r="I925" s="17">
        <v>45376</v>
      </c>
    </row>
    <row r="926" spans="1:9" x14ac:dyDescent="0.15">
      <c r="A926" s="16" t="s">
        <v>5031</v>
      </c>
      <c r="B926" s="7" t="s">
        <v>9</v>
      </c>
      <c r="C926" s="16" t="s">
        <v>40</v>
      </c>
      <c r="D926" s="16" t="s">
        <v>41</v>
      </c>
      <c r="E926" s="13" t="str">
        <f>+HYPERLINK("http://trademark.i-assist.jp/data/china/image_1891th/77486985.pdf","77486985")</f>
        <v>77486985</v>
      </c>
      <c r="F926" s="16" t="s">
        <v>5029</v>
      </c>
      <c r="G926" s="16" t="s">
        <v>5028</v>
      </c>
      <c r="H926" s="16" t="s">
        <v>5030</v>
      </c>
      <c r="I926" s="17">
        <v>45376</v>
      </c>
    </row>
    <row r="927" spans="1:9" x14ac:dyDescent="0.15">
      <c r="A927" s="16" t="s">
        <v>5036</v>
      </c>
      <c r="B927" s="7" t="s">
        <v>9</v>
      </c>
      <c r="C927" s="16" t="s">
        <v>40</v>
      </c>
      <c r="D927" s="16" t="s">
        <v>41</v>
      </c>
      <c r="E927" s="13" t="str">
        <f>+HYPERLINK("http://trademark.i-assist.jp/data/china/image_1891th/77487205.pdf","77487205")</f>
        <v>77487205</v>
      </c>
      <c r="F927" s="16" t="s">
        <v>5034</v>
      </c>
      <c r="G927" s="16" t="s">
        <v>5033</v>
      </c>
      <c r="H927" s="16" t="s">
        <v>5035</v>
      </c>
      <c r="I927" s="17">
        <v>45376</v>
      </c>
    </row>
    <row r="928" spans="1:9" x14ac:dyDescent="0.15">
      <c r="A928" s="16" t="s">
        <v>5041</v>
      </c>
      <c r="B928" s="7" t="s">
        <v>9</v>
      </c>
      <c r="C928" s="16" t="s">
        <v>40</v>
      </c>
      <c r="D928" s="16" t="s">
        <v>41</v>
      </c>
      <c r="E928" s="13" t="str">
        <f>+HYPERLINK("http://trademark.i-assist.jp/data/china/image_1891th/77487276.pdf","77487276")</f>
        <v>77487276</v>
      </c>
      <c r="F928" s="16" t="s">
        <v>5039</v>
      </c>
      <c r="G928" s="16" t="s">
        <v>5038</v>
      </c>
      <c r="H928" s="16" t="s">
        <v>5040</v>
      </c>
      <c r="I928" s="17">
        <v>45376</v>
      </c>
    </row>
    <row r="929" spans="1:9" x14ac:dyDescent="0.15">
      <c r="A929" s="16" t="s">
        <v>5046</v>
      </c>
      <c r="B929" s="7" t="s">
        <v>9</v>
      </c>
      <c r="C929" s="16" t="s">
        <v>40</v>
      </c>
      <c r="D929" s="16" t="s">
        <v>41</v>
      </c>
      <c r="E929" s="13" t="str">
        <f>+HYPERLINK("http://trademark.i-assist.jp/data/china/image_1891th/77487353.pdf","77487353")</f>
        <v>77487353</v>
      </c>
      <c r="F929" s="16" t="s">
        <v>5044</v>
      </c>
      <c r="G929" s="16" t="s">
        <v>5043</v>
      </c>
      <c r="H929" s="16" t="s">
        <v>5045</v>
      </c>
      <c r="I929" s="17">
        <v>45376</v>
      </c>
    </row>
    <row r="930" spans="1:9" x14ac:dyDescent="0.15">
      <c r="A930" s="16" t="s">
        <v>5051</v>
      </c>
      <c r="B930" s="7" t="s">
        <v>9</v>
      </c>
      <c r="C930" s="16" t="s">
        <v>40</v>
      </c>
      <c r="D930" s="16" t="s">
        <v>41</v>
      </c>
      <c r="E930" s="13" t="str">
        <f>+HYPERLINK("http://trademark.i-assist.jp/data/china/image_1891th/77487504.pdf","77487504")</f>
        <v>77487504</v>
      </c>
      <c r="F930" s="16" t="s">
        <v>5049</v>
      </c>
      <c r="G930" s="16" t="s">
        <v>5048</v>
      </c>
      <c r="H930" s="16" t="s">
        <v>5050</v>
      </c>
      <c r="I930" s="17">
        <v>45376</v>
      </c>
    </row>
    <row r="931" spans="1:9" x14ac:dyDescent="0.15">
      <c r="A931" s="16" t="s">
        <v>5055</v>
      </c>
      <c r="B931" s="7" t="s">
        <v>9</v>
      </c>
      <c r="C931" s="16" t="s">
        <v>40</v>
      </c>
      <c r="D931" s="16" t="s">
        <v>41</v>
      </c>
      <c r="E931" s="13" t="str">
        <f>+HYPERLINK("http://trademark.i-assist.jp/data/china/image_1891th/77487557.pdf","77487557")</f>
        <v>77487557</v>
      </c>
      <c r="F931" s="16" t="s">
        <v>52</v>
      </c>
      <c r="G931" s="16" t="s">
        <v>5053</v>
      </c>
      <c r="H931" s="16" t="s">
        <v>5054</v>
      </c>
      <c r="I931" s="17">
        <v>45376</v>
      </c>
    </row>
    <row r="932" spans="1:9" x14ac:dyDescent="0.15">
      <c r="A932" s="16" t="s">
        <v>5059</v>
      </c>
      <c r="B932" s="7" t="s">
        <v>9</v>
      </c>
      <c r="C932" s="16" t="s">
        <v>40</v>
      </c>
      <c r="D932" s="16" t="s">
        <v>41</v>
      </c>
      <c r="E932" s="13" t="str">
        <f>+HYPERLINK("http://trademark.i-assist.jp/data/china/image_1891th/77488097.pdf","77488097")</f>
        <v>77488097</v>
      </c>
      <c r="F932" s="16" t="s">
        <v>52</v>
      </c>
      <c r="G932" s="16" t="s">
        <v>5057</v>
      </c>
      <c r="H932" s="16" t="s">
        <v>5058</v>
      </c>
      <c r="I932" s="17">
        <v>45376</v>
      </c>
    </row>
    <row r="933" spans="1:9" x14ac:dyDescent="0.15">
      <c r="A933" s="16" t="s">
        <v>5064</v>
      </c>
      <c r="B933" s="7" t="s">
        <v>9</v>
      </c>
      <c r="C933" s="16" t="s">
        <v>40</v>
      </c>
      <c r="D933" s="16" t="s">
        <v>41</v>
      </c>
      <c r="E933" s="13" t="str">
        <f>+HYPERLINK("http://trademark.i-assist.jp/data/china/image_1891th/77488378.pdf","77488378")</f>
        <v>77488378</v>
      </c>
      <c r="F933" s="16" t="s">
        <v>5062</v>
      </c>
      <c r="G933" s="16" t="s">
        <v>5061</v>
      </c>
      <c r="H933" s="16" t="s">
        <v>5063</v>
      </c>
      <c r="I933" s="17">
        <v>45376</v>
      </c>
    </row>
    <row r="934" spans="1:9" x14ac:dyDescent="0.15">
      <c r="A934" s="16" t="s">
        <v>5069</v>
      </c>
      <c r="B934" s="7" t="s">
        <v>9</v>
      </c>
      <c r="C934" s="16" t="s">
        <v>40</v>
      </c>
      <c r="D934" s="16" t="s">
        <v>41</v>
      </c>
      <c r="E934" s="13" t="str">
        <f>+HYPERLINK("http://trademark.i-assist.jp/data/china/image_1891th/77488380.pdf","77488380")</f>
        <v>77488380</v>
      </c>
      <c r="F934" s="16" t="s">
        <v>5067</v>
      </c>
      <c r="G934" s="16" t="s">
        <v>5066</v>
      </c>
      <c r="H934" s="16" t="s">
        <v>5068</v>
      </c>
      <c r="I934" s="17">
        <v>45376</v>
      </c>
    </row>
    <row r="935" spans="1:9" x14ac:dyDescent="0.15">
      <c r="A935" s="16" t="s">
        <v>5074</v>
      </c>
      <c r="B935" s="7" t="s">
        <v>9</v>
      </c>
      <c r="C935" s="16" t="s">
        <v>40</v>
      </c>
      <c r="D935" s="16" t="s">
        <v>41</v>
      </c>
      <c r="E935" s="13" t="str">
        <f>+HYPERLINK("http://trademark.i-assist.jp/data/china/image_1891th/77488455.pdf","77488455")</f>
        <v>77488455</v>
      </c>
      <c r="F935" s="16" t="s">
        <v>5072</v>
      </c>
      <c r="G935" s="16" t="s">
        <v>5071</v>
      </c>
      <c r="H935" s="16" t="s">
        <v>5073</v>
      </c>
      <c r="I935" s="17">
        <v>45376</v>
      </c>
    </row>
    <row r="936" spans="1:9" x14ac:dyDescent="0.15">
      <c r="A936" s="16" t="s">
        <v>1725</v>
      </c>
      <c r="B936" s="7" t="s">
        <v>9</v>
      </c>
      <c r="C936" s="16" t="s">
        <v>40</v>
      </c>
      <c r="D936" s="16" t="s">
        <v>41</v>
      </c>
      <c r="E936" s="13" t="str">
        <f>+HYPERLINK("http://trademark.i-assist.jp/data/china/image_1891th/77488529.pdf","77488529")</f>
        <v>77488529</v>
      </c>
      <c r="F936" s="16" t="s">
        <v>5076</v>
      </c>
      <c r="G936" s="16" t="s">
        <v>4855</v>
      </c>
      <c r="H936" s="16" t="s">
        <v>5077</v>
      </c>
      <c r="I936" s="17">
        <v>45376</v>
      </c>
    </row>
    <row r="937" spans="1:9" x14ac:dyDescent="0.15">
      <c r="A937" s="16" t="s">
        <v>1730</v>
      </c>
      <c r="B937" s="7" t="s">
        <v>9</v>
      </c>
      <c r="C937" s="16" t="s">
        <v>40</v>
      </c>
      <c r="D937" s="16" t="s">
        <v>41</v>
      </c>
      <c r="E937" s="13" t="str">
        <f>+HYPERLINK("http://trademark.i-assist.jp/data/china/image_1891th/77489139.pdf","77489139")</f>
        <v>77489139</v>
      </c>
      <c r="F937" s="16" t="s">
        <v>1728</v>
      </c>
      <c r="G937" s="16" t="s">
        <v>1727</v>
      </c>
      <c r="H937" s="16" t="s">
        <v>1729</v>
      </c>
      <c r="I937" s="17">
        <v>45376</v>
      </c>
    </row>
    <row r="938" spans="1:9" x14ac:dyDescent="0.15">
      <c r="A938" s="16" t="s">
        <v>1735</v>
      </c>
      <c r="B938" s="7" t="s">
        <v>9</v>
      </c>
      <c r="C938" s="16" t="s">
        <v>40</v>
      </c>
      <c r="D938" s="16" t="s">
        <v>41</v>
      </c>
      <c r="E938" s="13" t="str">
        <f>+HYPERLINK("http://trademark.i-assist.jp/data/china/image_1891th/77489287.pdf","77489287")</f>
        <v>77489287</v>
      </c>
      <c r="F938" s="16" t="s">
        <v>1733</v>
      </c>
      <c r="G938" s="16" t="s">
        <v>1732</v>
      </c>
      <c r="H938" s="16" t="s">
        <v>1734</v>
      </c>
      <c r="I938" s="17">
        <v>45376</v>
      </c>
    </row>
    <row r="939" spans="1:9" x14ac:dyDescent="0.15">
      <c r="A939" s="16" t="s">
        <v>1740</v>
      </c>
      <c r="B939" s="7" t="s">
        <v>9</v>
      </c>
      <c r="C939" s="16" t="s">
        <v>40</v>
      </c>
      <c r="D939" s="16" t="s">
        <v>41</v>
      </c>
      <c r="E939" s="13" t="str">
        <f>+HYPERLINK("http://trademark.i-assist.jp/data/china/image_1891th/77489377.pdf","77489377")</f>
        <v>77489377</v>
      </c>
      <c r="F939" s="16" t="s">
        <v>1738</v>
      </c>
      <c r="G939" s="16" t="s">
        <v>1737</v>
      </c>
      <c r="H939" s="16" t="s">
        <v>1739</v>
      </c>
      <c r="I939" s="17">
        <v>45376</v>
      </c>
    </row>
    <row r="940" spans="1:9" x14ac:dyDescent="0.15">
      <c r="A940" s="16" t="s">
        <v>1745</v>
      </c>
      <c r="B940" s="7" t="s">
        <v>9</v>
      </c>
      <c r="C940" s="16" t="s">
        <v>40</v>
      </c>
      <c r="D940" s="16" t="s">
        <v>41</v>
      </c>
      <c r="E940" s="13" t="str">
        <f>+HYPERLINK("http://trademark.i-assist.jp/data/china/image_1891th/77489659.pdf","77489659")</f>
        <v>77489659</v>
      </c>
      <c r="F940" s="16" t="s">
        <v>1743</v>
      </c>
      <c r="G940" s="16" t="s">
        <v>1742</v>
      </c>
      <c r="H940" s="16" t="s">
        <v>1744</v>
      </c>
      <c r="I940" s="17">
        <v>45376</v>
      </c>
    </row>
    <row r="941" spans="1:9" x14ac:dyDescent="0.15">
      <c r="A941" s="16" t="s">
        <v>1750</v>
      </c>
      <c r="B941" s="7" t="s">
        <v>9</v>
      </c>
      <c r="C941" s="16" t="s">
        <v>40</v>
      </c>
      <c r="D941" s="16" t="s">
        <v>41</v>
      </c>
      <c r="E941" s="13" t="str">
        <f>+HYPERLINK("http://trademark.i-assist.jp/data/china/image_1891th/77489859.pdf","77489859")</f>
        <v>77489859</v>
      </c>
      <c r="F941" s="16" t="s">
        <v>1748</v>
      </c>
      <c r="G941" s="16" t="s">
        <v>1747</v>
      </c>
      <c r="H941" s="16" t="s">
        <v>1749</v>
      </c>
      <c r="I941" s="17">
        <v>45376</v>
      </c>
    </row>
    <row r="942" spans="1:9" x14ac:dyDescent="0.15">
      <c r="A942" s="16" t="s">
        <v>1755</v>
      </c>
      <c r="B942" s="7" t="s">
        <v>9</v>
      </c>
      <c r="C942" s="16" t="s">
        <v>40</v>
      </c>
      <c r="D942" s="16" t="s">
        <v>41</v>
      </c>
      <c r="E942" s="13" t="str">
        <f>+HYPERLINK("http://trademark.i-assist.jp/data/china/image_1891th/77489984.pdf","77489984")</f>
        <v>77489984</v>
      </c>
      <c r="F942" s="16" t="s">
        <v>1753</v>
      </c>
      <c r="G942" s="16" t="s">
        <v>1752</v>
      </c>
      <c r="H942" s="16" t="s">
        <v>1754</v>
      </c>
      <c r="I942" s="17">
        <v>45376</v>
      </c>
    </row>
    <row r="943" spans="1:9" x14ac:dyDescent="0.15">
      <c r="A943" s="16" t="s">
        <v>1760</v>
      </c>
      <c r="B943" s="7" t="s">
        <v>9</v>
      </c>
      <c r="C943" s="16" t="s">
        <v>40</v>
      </c>
      <c r="D943" s="16" t="s">
        <v>41</v>
      </c>
      <c r="E943" s="13" t="str">
        <f>+HYPERLINK("http://trademark.i-assist.jp/data/china/image_1891th/77490080.pdf","77490080")</f>
        <v>77490080</v>
      </c>
      <c r="F943" s="16" t="s">
        <v>1758</v>
      </c>
      <c r="G943" s="16" t="s">
        <v>1757</v>
      </c>
      <c r="H943" s="16" t="s">
        <v>1759</v>
      </c>
      <c r="I943" s="17">
        <v>45376</v>
      </c>
    </row>
    <row r="944" spans="1:9" x14ac:dyDescent="0.15">
      <c r="A944" s="16" t="s">
        <v>1765</v>
      </c>
      <c r="B944" s="7" t="s">
        <v>9</v>
      </c>
      <c r="C944" s="16" t="s">
        <v>40</v>
      </c>
      <c r="D944" s="16" t="s">
        <v>41</v>
      </c>
      <c r="E944" s="13" t="str">
        <f>+HYPERLINK("http://trademark.i-assist.jp/data/china/image_1891th/77490237.pdf","77490237")</f>
        <v>77490237</v>
      </c>
      <c r="F944" s="16" t="s">
        <v>1763</v>
      </c>
      <c r="G944" s="16" t="s">
        <v>1762</v>
      </c>
      <c r="H944" s="16" t="s">
        <v>1764</v>
      </c>
      <c r="I944" s="17">
        <v>45376</v>
      </c>
    </row>
    <row r="945" spans="1:9" x14ac:dyDescent="0.15">
      <c r="A945" s="16" t="s">
        <v>1770</v>
      </c>
      <c r="B945" s="7" t="s">
        <v>9</v>
      </c>
      <c r="C945" s="16" t="s">
        <v>40</v>
      </c>
      <c r="D945" s="16" t="s">
        <v>41</v>
      </c>
      <c r="E945" s="13" t="str">
        <f>+HYPERLINK("http://trademark.i-assist.jp/data/china/image_1891th/77490351.pdf","77490351")</f>
        <v>77490351</v>
      </c>
      <c r="F945" s="16" t="s">
        <v>1768</v>
      </c>
      <c r="G945" s="16" t="s">
        <v>1767</v>
      </c>
      <c r="H945" s="16" t="s">
        <v>1769</v>
      </c>
      <c r="I945" s="17">
        <v>45376</v>
      </c>
    </row>
    <row r="946" spans="1:9" x14ac:dyDescent="0.15">
      <c r="A946" s="16" t="s">
        <v>1775</v>
      </c>
      <c r="B946" s="7" t="s">
        <v>9</v>
      </c>
      <c r="C946" s="16" t="s">
        <v>40</v>
      </c>
      <c r="D946" s="16" t="s">
        <v>41</v>
      </c>
      <c r="E946" s="13" t="str">
        <f>+HYPERLINK("http://trademark.i-assist.jp/data/china/image_1891th/77490356.pdf","77490356")</f>
        <v>77490356</v>
      </c>
      <c r="F946" s="16" t="s">
        <v>1773</v>
      </c>
      <c r="G946" s="16" t="s">
        <v>1772</v>
      </c>
      <c r="H946" s="16" t="s">
        <v>1774</v>
      </c>
      <c r="I946" s="17">
        <v>45376</v>
      </c>
    </row>
    <row r="947" spans="1:9" x14ac:dyDescent="0.15">
      <c r="A947" s="16" t="s">
        <v>1779</v>
      </c>
      <c r="B947" s="7" t="s">
        <v>9</v>
      </c>
      <c r="C947" s="16" t="s">
        <v>40</v>
      </c>
      <c r="D947" s="16" t="s">
        <v>41</v>
      </c>
      <c r="E947" s="13" t="str">
        <f>+HYPERLINK("http://trademark.i-assist.jp/data/china/image_1891th/77490962.pdf","77490962")</f>
        <v>77490962</v>
      </c>
      <c r="F947" s="16" t="s">
        <v>52</v>
      </c>
      <c r="G947" s="16" t="s">
        <v>1777</v>
      </c>
      <c r="H947" s="16" t="s">
        <v>1778</v>
      </c>
      <c r="I947" s="17">
        <v>45376</v>
      </c>
    </row>
    <row r="948" spans="1:9" x14ac:dyDescent="0.15">
      <c r="A948" s="16" t="s">
        <v>1784</v>
      </c>
      <c r="B948" s="7" t="s">
        <v>9</v>
      </c>
      <c r="C948" s="16" t="s">
        <v>40</v>
      </c>
      <c r="D948" s="16" t="s">
        <v>41</v>
      </c>
      <c r="E948" s="13" t="str">
        <f>+HYPERLINK("http://trademark.i-assist.jp/data/china/image_1891th/77491043.pdf","77491043")</f>
        <v>77491043</v>
      </c>
      <c r="F948" s="16" t="s">
        <v>1782</v>
      </c>
      <c r="G948" s="16" t="s">
        <v>1781</v>
      </c>
      <c r="H948" s="16" t="s">
        <v>1783</v>
      </c>
      <c r="I948" s="17">
        <v>45376</v>
      </c>
    </row>
    <row r="949" spans="1:9" x14ac:dyDescent="0.15">
      <c r="A949" s="16" t="s">
        <v>1788</v>
      </c>
      <c r="B949" s="7" t="s">
        <v>9</v>
      </c>
      <c r="C949" s="16" t="s">
        <v>40</v>
      </c>
      <c r="D949" s="16" t="s">
        <v>41</v>
      </c>
      <c r="E949" s="13" t="str">
        <f>+HYPERLINK("http://trademark.i-assist.jp/data/china/image_1891th/77491070.pdf","77491070")</f>
        <v>77491070</v>
      </c>
      <c r="F949" s="16" t="s">
        <v>1786</v>
      </c>
      <c r="G949" s="16" t="s">
        <v>20</v>
      </c>
      <c r="H949" s="16" t="s">
        <v>1787</v>
      </c>
      <c r="I949" s="17">
        <v>45376</v>
      </c>
    </row>
    <row r="950" spans="1:9" x14ac:dyDescent="0.15">
      <c r="A950" s="16" t="s">
        <v>5078</v>
      </c>
      <c r="B950" s="7" t="s">
        <v>9</v>
      </c>
      <c r="C950" s="16" t="s">
        <v>40</v>
      </c>
      <c r="D950" s="16" t="s">
        <v>41</v>
      </c>
      <c r="E950" s="13" t="str">
        <f>+HYPERLINK("http://trademark.i-assist.jp/data/china/image_1891th/77491174.pdf","77491174")</f>
        <v>77491174</v>
      </c>
      <c r="F950" s="16" t="s">
        <v>1791</v>
      </c>
      <c r="G950" s="16" t="s">
        <v>1790</v>
      </c>
      <c r="H950" s="16" t="s">
        <v>1792</v>
      </c>
      <c r="I950" s="17">
        <v>45376</v>
      </c>
    </row>
    <row r="951" spans="1:9" x14ac:dyDescent="0.15">
      <c r="A951" s="16" t="s">
        <v>5083</v>
      </c>
      <c r="B951" s="7" t="s">
        <v>9</v>
      </c>
      <c r="C951" s="16" t="s">
        <v>40</v>
      </c>
      <c r="D951" s="16" t="s">
        <v>41</v>
      </c>
      <c r="E951" s="13" t="str">
        <f>+HYPERLINK("http://trademark.i-assist.jp/data/china/image_1891th/77491364.pdf","77491364")</f>
        <v>77491364</v>
      </c>
      <c r="F951" s="16" t="s">
        <v>5081</v>
      </c>
      <c r="G951" s="16" t="s">
        <v>5080</v>
      </c>
      <c r="H951" s="16" t="s">
        <v>5082</v>
      </c>
      <c r="I951" s="17">
        <v>45376</v>
      </c>
    </row>
    <row r="952" spans="1:9" x14ac:dyDescent="0.15">
      <c r="A952" s="16" t="s">
        <v>5087</v>
      </c>
      <c r="B952" s="7" t="s">
        <v>9</v>
      </c>
      <c r="C952" s="16" t="s">
        <v>40</v>
      </c>
      <c r="D952" s="16" t="s">
        <v>41</v>
      </c>
      <c r="E952" s="13" t="str">
        <f>+HYPERLINK("http://trademark.i-assist.jp/data/china/image_1891th/77491386.pdf","77491386")</f>
        <v>77491386</v>
      </c>
      <c r="F952" s="16" t="s">
        <v>5085</v>
      </c>
      <c r="G952" s="16" t="s">
        <v>1732</v>
      </c>
      <c r="H952" s="16" t="s">
        <v>5086</v>
      </c>
      <c r="I952" s="17">
        <v>45376</v>
      </c>
    </row>
    <row r="953" spans="1:9" x14ac:dyDescent="0.15">
      <c r="A953" s="16" t="s">
        <v>5091</v>
      </c>
      <c r="B953" s="7" t="s">
        <v>9</v>
      </c>
      <c r="C953" s="16" t="s">
        <v>40</v>
      </c>
      <c r="D953" s="16" t="s">
        <v>41</v>
      </c>
      <c r="E953" s="13" t="str">
        <f>+HYPERLINK("http://trademark.i-assist.jp/data/china/image_1891th/77491490.pdf","77491490")</f>
        <v>77491490</v>
      </c>
      <c r="F953" s="16" t="s">
        <v>5089</v>
      </c>
      <c r="G953" s="16" t="s">
        <v>1968</v>
      </c>
      <c r="H953" s="16" t="s">
        <v>5090</v>
      </c>
      <c r="I953" s="17">
        <v>45376</v>
      </c>
    </row>
    <row r="954" spans="1:9" x14ac:dyDescent="0.15">
      <c r="A954" s="16" t="s">
        <v>5096</v>
      </c>
      <c r="B954" s="7" t="s">
        <v>9</v>
      </c>
      <c r="C954" s="16" t="s">
        <v>40</v>
      </c>
      <c r="D954" s="16" t="s">
        <v>41</v>
      </c>
      <c r="E954" s="13" t="str">
        <f>+HYPERLINK("http://trademark.i-assist.jp/data/china/image_1891th/77491693.pdf","77491693")</f>
        <v>77491693</v>
      </c>
      <c r="F954" s="16" t="s">
        <v>5094</v>
      </c>
      <c r="G954" s="16" t="s">
        <v>5093</v>
      </c>
      <c r="H954" s="16" t="s">
        <v>5095</v>
      </c>
      <c r="I954" s="17">
        <v>45376</v>
      </c>
    </row>
    <row r="955" spans="1:9" x14ac:dyDescent="0.15">
      <c r="A955" s="16" t="s">
        <v>5101</v>
      </c>
      <c r="B955" s="7" t="s">
        <v>9</v>
      </c>
      <c r="C955" s="16" t="s">
        <v>40</v>
      </c>
      <c r="D955" s="16" t="s">
        <v>41</v>
      </c>
      <c r="E955" s="13" t="str">
        <f>+HYPERLINK("http://trademark.i-assist.jp/data/china/image_1891th/77491718.pdf","77491718")</f>
        <v>77491718</v>
      </c>
      <c r="F955" s="16" t="s">
        <v>5099</v>
      </c>
      <c r="G955" s="16" t="s">
        <v>5098</v>
      </c>
      <c r="H955" s="16" t="s">
        <v>5100</v>
      </c>
      <c r="I955" s="17">
        <v>45376</v>
      </c>
    </row>
    <row r="956" spans="1:9" x14ac:dyDescent="0.15">
      <c r="A956" s="16" t="s">
        <v>5106</v>
      </c>
      <c r="B956" s="7" t="s">
        <v>9</v>
      </c>
      <c r="C956" s="16" t="s">
        <v>40</v>
      </c>
      <c r="D956" s="16" t="s">
        <v>41</v>
      </c>
      <c r="E956" s="13" t="str">
        <f>+HYPERLINK("http://trademark.i-assist.jp/data/china/image_1891th/77491733.pdf","77491733")</f>
        <v>77491733</v>
      </c>
      <c r="F956" s="16" t="s">
        <v>5104</v>
      </c>
      <c r="G956" s="16" t="s">
        <v>5103</v>
      </c>
      <c r="H956" s="16" t="s">
        <v>5105</v>
      </c>
      <c r="I956" s="17">
        <v>45376</v>
      </c>
    </row>
    <row r="957" spans="1:9" x14ac:dyDescent="0.15">
      <c r="A957" s="16" t="s">
        <v>5110</v>
      </c>
      <c r="B957" s="7" t="s">
        <v>9</v>
      </c>
      <c r="C957" s="16" t="s">
        <v>40</v>
      </c>
      <c r="D957" s="16" t="s">
        <v>41</v>
      </c>
      <c r="E957" s="13" t="str">
        <f>+HYPERLINK("http://trademark.i-assist.jp/data/china/image_1891th/77491769.pdf","77491769")</f>
        <v>77491769</v>
      </c>
      <c r="F957" s="16" t="s">
        <v>5108</v>
      </c>
      <c r="G957" s="16" t="s">
        <v>5103</v>
      </c>
      <c r="H957" s="16" t="s">
        <v>5109</v>
      </c>
      <c r="I957" s="17">
        <v>45376</v>
      </c>
    </row>
    <row r="958" spans="1:9" x14ac:dyDescent="0.15">
      <c r="A958" s="16" t="s">
        <v>5115</v>
      </c>
      <c r="B958" s="7" t="s">
        <v>9</v>
      </c>
      <c r="C958" s="16" t="s">
        <v>40</v>
      </c>
      <c r="D958" s="16" t="s">
        <v>41</v>
      </c>
      <c r="E958" s="13" t="str">
        <f>+HYPERLINK("http://trademark.i-assist.jp/data/china/image_1891th/77492468.pdf","77492468")</f>
        <v>77492468</v>
      </c>
      <c r="F958" s="16" t="s">
        <v>5113</v>
      </c>
      <c r="G958" s="16" t="s">
        <v>5112</v>
      </c>
      <c r="H958" s="16" t="s">
        <v>5114</v>
      </c>
      <c r="I958" s="17">
        <v>45376</v>
      </c>
    </row>
    <row r="959" spans="1:9" x14ac:dyDescent="0.15">
      <c r="A959" s="16" t="s">
        <v>5120</v>
      </c>
      <c r="B959" s="7" t="s">
        <v>9</v>
      </c>
      <c r="C959" s="16" t="s">
        <v>40</v>
      </c>
      <c r="D959" s="16" t="s">
        <v>41</v>
      </c>
      <c r="E959" s="13" t="str">
        <f>+HYPERLINK("http://trademark.i-assist.jp/data/china/image_1891th/77493014.pdf","77493014")</f>
        <v>77493014</v>
      </c>
      <c r="F959" s="16" t="s">
        <v>5118</v>
      </c>
      <c r="G959" s="16" t="s">
        <v>5117</v>
      </c>
      <c r="H959" s="16" t="s">
        <v>5119</v>
      </c>
      <c r="I959" s="17">
        <v>45376</v>
      </c>
    </row>
    <row r="960" spans="1:9" x14ac:dyDescent="0.15">
      <c r="A960" s="16" t="s">
        <v>5125</v>
      </c>
      <c r="B960" s="7" t="s">
        <v>9</v>
      </c>
      <c r="C960" s="16" t="s">
        <v>40</v>
      </c>
      <c r="D960" s="16" t="s">
        <v>41</v>
      </c>
      <c r="E960" s="13" t="str">
        <f>+HYPERLINK("http://trademark.i-assist.jp/data/china/image_1891th/77493229.pdf","77493229")</f>
        <v>77493229</v>
      </c>
      <c r="F960" s="16" t="s">
        <v>5123</v>
      </c>
      <c r="G960" s="16" t="s">
        <v>5122</v>
      </c>
      <c r="H960" s="16" t="s">
        <v>5124</v>
      </c>
      <c r="I960" s="17">
        <v>45376</v>
      </c>
    </row>
    <row r="961" spans="1:9" x14ac:dyDescent="0.15">
      <c r="A961" s="16" t="s">
        <v>5130</v>
      </c>
      <c r="B961" s="7" t="s">
        <v>9</v>
      </c>
      <c r="C961" s="16" t="s">
        <v>40</v>
      </c>
      <c r="D961" s="16" t="s">
        <v>41</v>
      </c>
      <c r="E961" s="13" t="str">
        <f>+HYPERLINK("http://trademark.i-assist.jp/data/china/image_1891th/77493402.pdf","77493402")</f>
        <v>77493402</v>
      </c>
      <c r="F961" s="16" t="s">
        <v>5128</v>
      </c>
      <c r="G961" s="16" t="s">
        <v>5127</v>
      </c>
      <c r="H961" s="16" t="s">
        <v>5129</v>
      </c>
      <c r="I961" s="17">
        <v>45376</v>
      </c>
    </row>
    <row r="962" spans="1:9" x14ac:dyDescent="0.15">
      <c r="A962" s="16" t="s">
        <v>5134</v>
      </c>
      <c r="B962" s="7" t="s">
        <v>9</v>
      </c>
      <c r="C962" s="16" t="s">
        <v>40</v>
      </c>
      <c r="D962" s="16" t="s">
        <v>41</v>
      </c>
      <c r="E962" s="13" t="str">
        <f>+HYPERLINK("http://trademark.i-assist.jp/data/china/image_1891th/77493620.pdf","77493620")</f>
        <v>77493620</v>
      </c>
      <c r="F962" s="16" t="s">
        <v>5132</v>
      </c>
      <c r="G962" s="16" t="s">
        <v>5132</v>
      </c>
      <c r="H962" s="16" t="s">
        <v>5133</v>
      </c>
      <c r="I962" s="17">
        <v>45376</v>
      </c>
    </row>
    <row r="963" spans="1:9" x14ac:dyDescent="0.15">
      <c r="A963" s="16" t="s">
        <v>5138</v>
      </c>
      <c r="B963" s="7" t="s">
        <v>9</v>
      </c>
      <c r="C963" s="16" t="s">
        <v>40</v>
      </c>
      <c r="D963" s="16" t="s">
        <v>41</v>
      </c>
      <c r="E963" s="13" t="str">
        <f>+HYPERLINK("http://trademark.i-assist.jp/data/china/image_1891th/77493974.pdf","77493974")</f>
        <v>77493974</v>
      </c>
      <c r="F963" s="16" t="s">
        <v>5136</v>
      </c>
      <c r="G963" s="16" t="s">
        <v>4708</v>
      </c>
      <c r="H963" s="16" t="s">
        <v>5137</v>
      </c>
      <c r="I963" s="17">
        <v>45376</v>
      </c>
    </row>
    <row r="964" spans="1:9" x14ac:dyDescent="0.15">
      <c r="A964" s="16" t="s">
        <v>5143</v>
      </c>
      <c r="B964" s="7" t="s">
        <v>9</v>
      </c>
      <c r="C964" s="16" t="s">
        <v>40</v>
      </c>
      <c r="D964" s="16" t="s">
        <v>41</v>
      </c>
      <c r="E964" s="13" t="str">
        <f>+HYPERLINK("http://trademark.i-assist.jp/data/china/image_1891th/77494270.pdf","77494270")</f>
        <v>77494270</v>
      </c>
      <c r="F964" s="16" t="s">
        <v>5141</v>
      </c>
      <c r="G964" s="16" t="s">
        <v>5140</v>
      </c>
      <c r="H964" s="16" t="s">
        <v>5142</v>
      </c>
      <c r="I964" s="17">
        <v>45376</v>
      </c>
    </row>
    <row r="965" spans="1:9" x14ac:dyDescent="0.15">
      <c r="A965" s="16" t="s">
        <v>5148</v>
      </c>
      <c r="B965" s="7" t="s">
        <v>9</v>
      </c>
      <c r="C965" s="16" t="s">
        <v>40</v>
      </c>
      <c r="D965" s="16" t="s">
        <v>41</v>
      </c>
      <c r="E965" s="13" t="str">
        <f>+HYPERLINK("http://trademark.i-assist.jp/data/china/image_1891th/77494473.pdf","77494473")</f>
        <v>77494473</v>
      </c>
      <c r="F965" s="16" t="s">
        <v>5146</v>
      </c>
      <c r="G965" s="16" t="s">
        <v>5145</v>
      </c>
      <c r="H965" s="16" t="s">
        <v>5147</v>
      </c>
      <c r="I965" s="17">
        <v>45376</v>
      </c>
    </row>
    <row r="966" spans="1:9" x14ac:dyDescent="0.15">
      <c r="A966" s="16" t="s">
        <v>5153</v>
      </c>
      <c r="B966" s="7" t="s">
        <v>9</v>
      </c>
      <c r="C966" s="16" t="s">
        <v>40</v>
      </c>
      <c r="D966" s="16" t="s">
        <v>41</v>
      </c>
      <c r="E966" s="13" t="str">
        <f>+HYPERLINK("http://trademark.i-assist.jp/data/china/image_1891th/77494687.pdf","77494687")</f>
        <v>77494687</v>
      </c>
      <c r="F966" s="16" t="s">
        <v>5151</v>
      </c>
      <c r="G966" s="16" t="s">
        <v>5150</v>
      </c>
      <c r="H966" s="16" t="s">
        <v>5152</v>
      </c>
      <c r="I966" s="17">
        <v>45376</v>
      </c>
    </row>
    <row r="967" spans="1:9" x14ac:dyDescent="0.15">
      <c r="A967" s="16" t="s">
        <v>5158</v>
      </c>
      <c r="B967" s="7" t="s">
        <v>9</v>
      </c>
      <c r="C967" s="16" t="s">
        <v>40</v>
      </c>
      <c r="D967" s="16" t="s">
        <v>41</v>
      </c>
      <c r="E967" s="13" t="str">
        <f>+HYPERLINK("http://trademark.i-assist.jp/data/china/image_1891th/77494970.pdf","77494970")</f>
        <v>77494970</v>
      </c>
      <c r="F967" s="16" t="s">
        <v>5156</v>
      </c>
      <c r="G967" s="16" t="s">
        <v>5155</v>
      </c>
      <c r="H967" s="16" t="s">
        <v>5157</v>
      </c>
      <c r="I967" s="17">
        <v>45376</v>
      </c>
    </row>
    <row r="968" spans="1:9" x14ac:dyDescent="0.15">
      <c r="A968" s="16" t="s">
        <v>5163</v>
      </c>
      <c r="B968" s="7" t="s">
        <v>9</v>
      </c>
      <c r="C968" s="16" t="s">
        <v>40</v>
      </c>
      <c r="D968" s="16" t="s">
        <v>41</v>
      </c>
      <c r="E968" s="13" t="str">
        <f>+HYPERLINK("http://trademark.i-assist.jp/data/china/image_1891th/77494979.pdf","77494979")</f>
        <v>77494979</v>
      </c>
      <c r="F968" s="16" t="s">
        <v>5161</v>
      </c>
      <c r="G968" s="16" t="s">
        <v>5160</v>
      </c>
      <c r="H968" s="16" t="s">
        <v>5162</v>
      </c>
      <c r="I968" s="17">
        <v>45376</v>
      </c>
    </row>
    <row r="969" spans="1:9" x14ac:dyDescent="0.15">
      <c r="A969" s="16" t="s">
        <v>5168</v>
      </c>
      <c r="B969" s="7" t="s">
        <v>9</v>
      </c>
      <c r="C969" s="16" t="s">
        <v>40</v>
      </c>
      <c r="D969" s="16" t="s">
        <v>41</v>
      </c>
      <c r="E969" s="13" t="str">
        <f>+HYPERLINK("http://trademark.i-assist.jp/data/china/image_1891th/77494991.pdf","77494991")</f>
        <v>77494991</v>
      </c>
      <c r="F969" s="16" t="s">
        <v>5166</v>
      </c>
      <c r="G969" s="16" t="s">
        <v>5165</v>
      </c>
      <c r="H969" s="16" t="s">
        <v>5167</v>
      </c>
      <c r="I969" s="17">
        <v>45376</v>
      </c>
    </row>
    <row r="970" spans="1:9" x14ac:dyDescent="0.15">
      <c r="A970" s="16" t="s">
        <v>5173</v>
      </c>
      <c r="B970" s="7" t="s">
        <v>9</v>
      </c>
      <c r="C970" s="16" t="s">
        <v>40</v>
      </c>
      <c r="D970" s="16" t="s">
        <v>41</v>
      </c>
      <c r="E970" s="13" t="str">
        <f>+HYPERLINK("http://trademark.i-assist.jp/data/china/image_1891th/77495320.pdf","77495320")</f>
        <v>77495320</v>
      </c>
      <c r="F970" s="16" t="s">
        <v>5171</v>
      </c>
      <c r="G970" s="16" t="s">
        <v>11105</v>
      </c>
      <c r="H970" s="16" t="s">
        <v>5172</v>
      </c>
      <c r="I970" s="17">
        <v>45376</v>
      </c>
    </row>
    <row r="971" spans="1:9" x14ac:dyDescent="0.15">
      <c r="A971" s="16" t="s">
        <v>5178</v>
      </c>
      <c r="B971" s="7" t="s">
        <v>9</v>
      </c>
      <c r="C971" s="16" t="s">
        <v>40</v>
      </c>
      <c r="D971" s="16" t="s">
        <v>41</v>
      </c>
      <c r="E971" s="13" t="str">
        <f>+HYPERLINK("http://trademark.i-assist.jp/data/china/image_1891th/77495460.pdf","77495460")</f>
        <v>77495460</v>
      </c>
      <c r="F971" s="16" t="s">
        <v>5176</v>
      </c>
      <c r="G971" s="16" t="s">
        <v>5175</v>
      </c>
      <c r="H971" s="16" t="s">
        <v>5177</v>
      </c>
      <c r="I971" s="17">
        <v>45376</v>
      </c>
    </row>
    <row r="972" spans="1:9" x14ac:dyDescent="0.15">
      <c r="A972" s="16" t="s">
        <v>5183</v>
      </c>
      <c r="B972" s="7" t="s">
        <v>9</v>
      </c>
      <c r="C972" s="16" t="s">
        <v>40</v>
      </c>
      <c r="D972" s="16" t="s">
        <v>41</v>
      </c>
      <c r="E972" s="13" t="str">
        <f>+HYPERLINK("http://trademark.i-assist.jp/data/china/image_1891th/77495543.pdf","77495543")</f>
        <v>77495543</v>
      </c>
      <c r="F972" s="16" t="s">
        <v>5181</v>
      </c>
      <c r="G972" s="16" t="s">
        <v>5180</v>
      </c>
      <c r="H972" s="16" t="s">
        <v>5182</v>
      </c>
      <c r="I972" s="17">
        <v>45376</v>
      </c>
    </row>
    <row r="973" spans="1:9" x14ac:dyDescent="0.15">
      <c r="A973" s="16" t="s">
        <v>5188</v>
      </c>
      <c r="B973" s="7" t="s">
        <v>9</v>
      </c>
      <c r="C973" s="16" t="s">
        <v>40</v>
      </c>
      <c r="D973" s="16" t="s">
        <v>41</v>
      </c>
      <c r="E973" s="13" t="str">
        <f>+HYPERLINK("http://trademark.i-assist.jp/data/china/image_1891th/77495581.pdf","77495581")</f>
        <v>77495581</v>
      </c>
      <c r="F973" s="16" t="s">
        <v>5186</v>
      </c>
      <c r="G973" s="16" t="s">
        <v>5185</v>
      </c>
      <c r="H973" s="16" t="s">
        <v>5187</v>
      </c>
      <c r="I973" s="17">
        <v>45376</v>
      </c>
    </row>
    <row r="974" spans="1:9" x14ac:dyDescent="0.15">
      <c r="A974" s="16" t="s">
        <v>5193</v>
      </c>
      <c r="B974" s="7" t="s">
        <v>9</v>
      </c>
      <c r="C974" s="16" t="s">
        <v>40</v>
      </c>
      <c r="D974" s="16" t="s">
        <v>41</v>
      </c>
      <c r="E974" s="13" t="str">
        <f>+HYPERLINK("http://trademark.i-assist.jp/data/china/image_1891th/77495627.pdf","77495627")</f>
        <v>77495627</v>
      </c>
      <c r="F974" s="16" t="s">
        <v>5191</v>
      </c>
      <c r="G974" s="16" t="s">
        <v>5190</v>
      </c>
      <c r="H974" s="16" t="s">
        <v>5192</v>
      </c>
      <c r="I974" s="17">
        <v>45376</v>
      </c>
    </row>
    <row r="975" spans="1:9" x14ac:dyDescent="0.15">
      <c r="A975" s="16" t="s">
        <v>5198</v>
      </c>
      <c r="B975" s="7" t="s">
        <v>9</v>
      </c>
      <c r="C975" s="16" t="s">
        <v>40</v>
      </c>
      <c r="D975" s="16" t="s">
        <v>41</v>
      </c>
      <c r="E975" s="13" t="str">
        <f>+HYPERLINK("http://trademark.i-assist.jp/data/china/image_1891th/77495769.pdf","77495769")</f>
        <v>77495769</v>
      </c>
      <c r="F975" s="16" t="s">
        <v>5196</v>
      </c>
      <c r="G975" s="16" t="s">
        <v>5195</v>
      </c>
      <c r="H975" s="16" t="s">
        <v>5197</v>
      </c>
      <c r="I975" s="17">
        <v>45376</v>
      </c>
    </row>
    <row r="976" spans="1:9" x14ac:dyDescent="0.15">
      <c r="A976" s="16" t="s">
        <v>5202</v>
      </c>
      <c r="B976" s="7" t="s">
        <v>9</v>
      </c>
      <c r="C976" s="16" t="s">
        <v>40</v>
      </c>
      <c r="D976" s="16" t="s">
        <v>41</v>
      </c>
      <c r="E976" s="13" t="str">
        <f>+HYPERLINK("http://trademark.i-assist.jp/data/china/image_1891th/77495830.pdf","77495830")</f>
        <v>77495830</v>
      </c>
      <c r="F976" s="16" t="s">
        <v>5200</v>
      </c>
      <c r="G976" s="16" t="s">
        <v>4190</v>
      </c>
      <c r="H976" s="16" t="s">
        <v>5201</v>
      </c>
      <c r="I976" s="17">
        <v>45376</v>
      </c>
    </row>
    <row r="977" spans="1:9" x14ac:dyDescent="0.15">
      <c r="A977" s="16" t="s">
        <v>5206</v>
      </c>
      <c r="B977" s="7" t="s">
        <v>9</v>
      </c>
      <c r="C977" s="16" t="s">
        <v>40</v>
      </c>
      <c r="D977" s="16" t="s">
        <v>41</v>
      </c>
      <c r="E977" s="13" t="str">
        <f>+HYPERLINK("http://trademark.i-assist.jp/data/china/image_1891th/77496026.pdf","77496026")</f>
        <v>77496026</v>
      </c>
      <c r="F977" s="16" t="s">
        <v>52</v>
      </c>
      <c r="G977" s="16" t="s">
        <v>5204</v>
      </c>
      <c r="H977" s="16" t="s">
        <v>5205</v>
      </c>
      <c r="I977" s="17">
        <v>45376</v>
      </c>
    </row>
    <row r="978" spans="1:9" x14ac:dyDescent="0.15">
      <c r="A978" s="16" t="s">
        <v>5211</v>
      </c>
      <c r="B978" s="7" t="s">
        <v>9</v>
      </c>
      <c r="C978" s="16" t="s">
        <v>40</v>
      </c>
      <c r="D978" s="16" t="s">
        <v>41</v>
      </c>
      <c r="E978" s="13" t="str">
        <f>+HYPERLINK("http://trademark.i-assist.jp/data/china/image_1891th/77496621.pdf","77496621")</f>
        <v>77496621</v>
      </c>
      <c r="F978" s="16" t="s">
        <v>5209</v>
      </c>
      <c r="G978" s="16" t="s">
        <v>5208</v>
      </c>
      <c r="H978" s="16" t="s">
        <v>5210</v>
      </c>
      <c r="I978" s="17">
        <v>45376</v>
      </c>
    </row>
    <row r="979" spans="1:9" x14ac:dyDescent="0.15">
      <c r="A979" s="16" t="s">
        <v>5216</v>
      </c>
      <c r="B979" s="7" t="s">
        <v>9</v>
      </c>
      <c r="C979" s="16" t="s">
        <v>40</v>
      </c>
      <c r="D979" s="16" t="s">
        <v>41</v>
      </c>
      <c r="E979" s="13" t="str">
        <f>+HYPERLINK("http://trademark.i-assist.jp/data/china/image_1891th/77496739.pdf","77496739")</f>
        <v>77496739</v>
      </c>
      <c r="F979" s="16" t="s">
        <v>5214</v>
      </c>
      <c r="G979" s="16" t="s">
        <v>5213</v>
      </c>
      <c r="H979" s="16" t="s">
        <v>5215</v>
      </c>
      <c r="I979" s="17">
        <v>45376</v>
      </c>
    </row>
    <row r="980" spans="1:9" x14ac:dyDescent="0.15">
      <c r="A980" s="16" t="s">
        <v>5221</v>
      </c>
      <c r="B980" s="7" t="s">
        <v>9</v>
      </c>
      <c r="C980" s="16" t="s">
        <v>40</v>
      </c>
      <c r="D980" s="16" t="s">
        <v>41</v>
      </c>
      <c r="E980" s="13" t="str">
        <f>+HYPERLINK("http://trademark.i-assist.jp/data/china/image_1891th/77496999.pdf","77496999")</f>
        <v>77496999</v>
      </c>
      <c r="F980" s="16" t="s">
        <v>5219</v>
      </c>
      <c r="G980" s="16" t="s">
        <v>5218</v>
      </c>
      <c r="H980" s="16" t="s">
        <v>5220</v>
      </c>
      <c r="I980" s="17">
        <v>45376</v>
      </c>
    </row>
    <row r="981" spans="1:9" x14ac:dyDescent="0.15">
      <c r="A981" s="16" t="s">
        <v>5225</v>
      </c>
      <c r="B981" s="7" t="s">
        <v>9</v>
      </c>
      <c r="C981" s="16" t="s">
        <v>40</v>
      </c>
      <c r="D981" s="16" t="s">
        <v>41</v>
      </c>
      <c r="E981" s="13" t="str">
        <f>+HYPERLINK("http://trademark.i-assist.jp/data/china/image_1891th/77497060.pdf","77497060")</f>
        <v>77497060</v>
      </c>
      <c r="F981" s="16" t="s">
        <v>52</v>
      </c>
      <c r="G981" s="16" t="s">
        <v>5223</v>
      </c>
      <c r="H981" s="16" t="s">
        <v>5224</v>
      </c>
      <c r="I981" s="17">
        <v>45376</v>
      </c>
    </row>
    <row r="982" spans="1:9" x14ac:dyDescent="0.15">
      <c r="A982" s="16" t="s">
        <v>5230</v>
      </c>
      <c r="B982" s="7" t="s">
        <v>9</v>
      </c>
      <c r="C982" s="16" t="s">
        <v>40</v>
      </c>
      <c r="D982" s="16" t="s">
        <v>41</v>
      </c>
      <c r="E982" s="13" t="str">
        <f>+HYPERLINK("http://trademark.i-assist.jp/data/china/image_1891th/77497539.pdf","77497539")</f>
        <v>77497539</v>
      </c>
      <c r="F982" s="16" t="s">
        <v>5228</v>
      </c>
      <c r="G982" s="16" t="s">
        <v>5227</v>
      </c>
      <c r="H982" s="16" t="s">
        <v>5229</v>
      </c>
      <c r="I982" s="17">
        <v>45376</v>
      </c>
    </row>
    <row r="983" spans="1:9" x14ac:dyDescent="0.15">
      <c r="A983" s="16" t="s">
        <v>5235</v>
      </c>
      <c r="B983" s="7" t="s">
        <v>9</v>
      </c>
      <c r="C983" s="16" t="s">
        <v>40</v>
      </c>
      <c r="D983" s="16" t="s">
        <v>41</v>
      </c>
      <c r="E983" s="13" t="str">
        <f>+HYPERLINK("http://trademark.i-assist.jp/data/china/image_1891th/77497767.pdf","77497767")</f>
        <v>77497767</v>
      </c>
      <c r="F983" s="16" t="s">
        <v>5233</v>
      </c>
      <c r="G983" s="16" t="s">
        <v>5232</v>
      </c>
      <c r="H983" s="16" t="s">
        <v>5234</v>
      </c>
      <c r="I983" s="17">
        <v>45376</v>
      </c>
    </row>
    <row r="984" spans="1:9" x14ac:dyDescent="0.15">
      <c r="A984" s="16" t="s">
        <v>5240</v>
      </c>
      <c r="B984" s="7" t="s">
        <v>9</v>
      </c>
      <c r="C984" s="16" t="s">
        <v>40</v>
      </c>
      <c r="D984" s="16" t="s">
        <v>41</v>
      </c>
      <c r="E984" s="13" t="str">
        <f>+HYPERLINK("http://trademark.i-assist.jp/data/china/image_1891th/77497783.pdf","77497783")</f>
        <v>77497783</v>
      </c>
      <c r="F984" s="16" t="s">
        <v>5238</v>
      </c>
      <c r="G984" s="16" t="s">
        <v>5237</v>
      </c>
      <c r="H984" s="16" t="s">
        <v>5239</v>
      </c>
      <c r="I984" s="17">
        <v>45376</v>
      </c>
    </row>
    <row r="985" spans="1:9" x14ac:dyDescent="0.15">
      <c r="A985" s="16" t="s">
        <v>5245</v>
      </c>
      <c r="B985" s="7" t="s">
        <v>9</v>
      </c>
      <c r="C985" s="16" t="s">
        <v>40</v>
      </c>
      <c r="D985" s="16" t="s">
        <v>41</v>
      </c>
      <c r="E985" s="13" t="str">
        <f>+HYPERLINK("http://trademark.i-assist.jp/data/china/image_1891th/77497829.pdf","77497829")</f>
        <v>77497829</v>
      </c>
      <c r="F985" s="16" t="s">
        <v>5243</v>
      </c>
      <c r="G985" s="16" t="s">
        <v>5242</v>
      </c>
      <c r="H985" s="16" t="s">
        <v>5244</v>
      </c>
      <c r="I985" s="17">
        <v>45376</v>
      </c>
    </row>
    <row r="986" spans="1:9" x14ac:dyDescent="0.15">
      <c r="A986" s="16" t="s">
        <v>5250</v>
      </c>
      <c r="B986" s="7" t="s">
        <v>9</v>
      </c>
      <c r="C986" s="16" t="s">
        <v>40</v>
      </c>
      <c r="D986" s="16" t="s">
        <v>41</v>
      </c>
      <c r="E986" s="13" t="str">
        <f>+HYPERLINK("http://trademark.i-assist.jp/data/china/image_1891th/77498064.pdf","77498064")</f>
        <v>77498064</v>
      </c>
      <c r="F986" s="16" t="s">
        <v>5248</v>
      </c>
      <c r="G986" s="16" t="s">
        <v>5247</v>
      </c>
      <c r="H986" s="16" t="s">
        <v>5249</v>
      </c>
      <c r="I986" s="17">
        <v>45376</v>
      </c>
    </row>
    <row r="987" spans="1:9" x14ac:dyDescent="0.15">
      <c r="A987" s="16" t="s">
        <v>5255</v>
      </c>
      <c r="B987" s="7" t="s">
        <v>9</v>
      </c>
      <c r="C987" s="16" t="s">
        <v>40</v>
      </c>
      <c r="D987" s="16" t="s">
        <v>41</v>
      </c>
      <c r="E987" s="13" t="str">
        <f>+HYPERLINK("http://trademark.i-assist.jp/data/china/image_1891th/77498212.pdf","77498212")</f>
        <v>77498212</v>
      </c>
      <c r="F987" s="16" t="s">
        <v>5253</v>
      </c>
      <c r="G987" s="16" t="s">
        <v>5252</v>
      </c>
      <c r="H987" s="16" t="s">
        <v>5254</v>
      </c>
      <c r="I987" s="17">
        <v>45376</v>
      </c>
    </row>
    <row r="988" spans="1:9" x14ac:dyDescent="0.15">
      <c r="A988" s="16" t="s">
        <v>5259</v>
      </c>
      <c r="B988" s="7" t="s">
        <v>9</v>
      </c>
      <c r="C988" s="16" t="s">
        <v>40</v>
      </c>
      <c r="D988" s="16" t="s">
        <v>41</v>
      </c>
      <c r="E988" s="13" t="str">
        <f>+HYPERLINK("http://trademark.i-assist.jp/data/china/image_1891th/77498309.pdf","77498309")</f>
        <v>77498309</v>
      </c>
      <c r="F988" s="16" t="s">
        <v>52</v>
      </c>
      <c r="G988" s="16" t="s">
        <v>5257</v>
      </c>
      <c r="H988" s="16" t="s">
        <v>5258</v>
      </c>
      <c r="I988" s="17">
        <v>45376</v>
      </c>
    </row>
    <row r="989" spans="1:9" x14ac:dyDescent="0.15">
      <c r="A989" s="16" t="s">
        <v>5264</v>
      </c>
      <c r="B989" s="7" t="s">
        <v>9</v>
      </c>
      <c r="C989" s="16" t="s">
        <v>40</v>
      </c>
      <c r="D989" s="16" t="s">
        <v>41</v>
      </c>
      <c r="E989" s="13" t="str">
        <f>+HYPERLINK("http://trademark.i-assist.jp/data/china/image_1891th/77498323.pdf","77498323")</f>
        <v>77498323</v>
      </c>
      <c r="F989" s="16" t="s">
        <v>5262</v>
      </c>
      <c r="G989" s="16" t="s">
        <v>5261</v>
      </c>
      <c r="H989" s="16" t="s">
        <v>5263</v>
      </c>
      <c r="I989" s="17">
        <v>45376</v>
      </c>
    </row>
    <row r="990" spans="1:9" x14ac:dyDescent="0.15">
      <c r="A990" s="16" t="s">
        <v>5269</v>
      </c>
      <c r="B990" s="7" t="s">
        <v>9</v>
      </c>
      <c r="C990" s="16" t="s">
        <v>40</v>
      </c>
      <c r="D990" s="16" t="s">
        <v>41</v>
      </c>
      <c r="E990" s="13" t="str">
        <f>+HYPERLINK("http://trademark.i-assist.jp/data/china/image_1891th/77498489.pdf","77498489")</f>
        <v>77498489</v>
      </c>
      <c r="F990" s="16" t="s">
        <v>5267</v>
      </c>
      <c r="G990" s="16" t="s">
        <v>5266</v>
      </c>
      <c r="H990" s="16" t="s">
        <v>5268</v>
      </c>
      <c r="I990" s="17">
        <v>45376</v>
      </c>
    </row>
    <row r="991" spans="1:9" x14ac:dyDescent="0.15">
      <c r="A991" s="16" t="s">
        <v>5273</v>
      </c>
      <c r="B991" s="7" t="s">
        <v>9</v>
      </c>
      <c r="C991" s="16" t="s">
        <v>40</v>
      </c>
      <c r="D991" s="16" t="s">
        <v>41</v>
      </c>
      <c r="E991" s="13" t="str">
        <f>+HYPERLINK("http://trademark.i-assist.jp/data/china/image_1891th/77498744.pdf","77498744")</f>
        <v>77498744</v>
      </c>
      <c r="F991" s="16" t="s">
        <v>52</v>
      </c>
      <c r="G991" s="16" t="s">
        <v>5271</v>
      </c>
      <c r="H991" s="16" t="s">
        <v>5272</v>
      </c>
      <c r="I991" s="17">
        <v>45376</v>
      </c>
    </row>
    <row r="992" spans="1:9" x14ac:dyDescent="0.15">
      <c r="A992" s="16" t="s">
        <v>5278</v>
      </c>
      <c r="B992" s="7" t="s">
        <v>9</v>
      </c>
      <c r="C992" s="16" t="s">
        <v>40</v>
      </c>
      <c r="D992" s="16" t="s">
        <v>41</v>
      </c>
      <c r="E992" s="13" t="str">
        <f>+HYPERLINK("http://trademark.i-assist.jp/data/china/image_1891th/77499276.pdf","77499276")</f>
        <v>77499276</v>
      </c>
      <c r="F992" s="16" t="s">
        <v>5276</v>
      </c>
      <c r="G992" s="16" t="s">
        <v>5275</v>
      </c>
      <c r="H992" s="16" t="s">
        <v>5277</v>
      </c>
      <c r="I992" s="17">
        <v>45376</v>
      </c>
    </row>
    <row r="993" spans="1:9" x14ac:dyDescent="0.15">
      <c r="A993" s="16" t="s">
        <v>5283</v>
      </c>
      <c r="B993" s="7" t="s">
        <v>9</v>
      </c>
      <c r="C993" s="16" t="s">
        <v>40</v>
      </c>
      <c r="D993" s="16" t="s">
        <v>41</v>
      </c>
      <c r="E993" s="13" t="str">
        <f>+HYPERLINK("http://trademark.i-assist.jp/data/china/image_1891th/77499362.pdf","77499362")</f>
        <v>77499362</v>
      </c>
      <c r="F993" s="16" t="s">
        <v>5281</v>
      </c>
      <c r="G993" s="16" t="s">
        <v>5280</v>
      </c>
      <c r="H993" s="16" t="s">
        <v>5282</v>
      </c>
      <c r="I993" s="17">
        <v>45376</v>
      </c>
    </row>
    <row r="994" spans="1:9" x14ac:dyDescent="0.15">
      <c r="A994" s="16" t="s">
        <v>5288</v>
      </c>
      <c r="B994" s="7" t="s">
        <v>9</v>
      </c>
      <c r="C994" s="16" t="s">
        <v>40</v>
      </c>
      <c r="D994" s="16" t="s">
        <v>41</v>
      </c>
      <c r="E994" s="13" t="str">
        <f>+HYPERLINK("http://trademark.i-assist.jp/data/china/image_1891th/77499379.pdf","77499379")</f>
        <v>77499379</v>
      </c>
      <c r="F994" s="16" t="s">
        <v>5286</v>
      </c>
      <c r="G994" s="16" t="s">
        <v>5285</v>
      </c>
      <c r="H994" s="16" t="s">
        <v>5287</v>
      </c>
      <c r="I994" s="17">
        <v>45376</v>
      </c>
    </row>
    <row r="995" spans="1:9" x14ac:dyDescent="0.15">
      <c r="A995" s="16" t="s">
        <v>5293</v>
      </c>
      <c r="B995" s="7" t="s">
        <v>9</v>
      </c>
      <c r="C995" s="16" t="s">
        <v>40</v>
      </c>
      <c r="D995" s="16" t="s">
        <v>41</v>
      </c>
      <c r="E995" s="13" t="str">
        <f>+HYPERLINK("http://trademark.i-assist.jp/data/china/image_1891th/77499423.pdf","77499423")</f>
        <v>77499423</v>
      </c>
      <c r="F995" s="16" t="s">
        <v>5291</v>
      </c>
      <c r="G995" s="16" t="s">
        <v>5290</v>
      </c>
      <c r="H995" s="16" t="s">
        <v>5292</v>
      </c>
      <c r="I995" s="17">
        <v>45376</v>
      </c>
    </row>
    <row r="996" spans="1:9" x14ac:dyDescent="0.15">
      <c r="A996" s="16" t="s">
        <v>5297</v>
      </c>
      <c r="B996" s="7" t="s">
        <v>9</v>
      </c>
      <c r="C996" s="16" t="s">
        <v>40</v>
      </c>
      <c r="D996" s="16" t="s">
        <v>41</v>
      </c>
      <c r="E996" s="13" t="str">
        <f>+HYPERLINK("http://trademark.i-assist.jp/data/china/image_1891th/77499528.pdf","77499528")</f>
        <v>77499528</v>
      </c>
      <c r="F996" s="16" t="s">
        <v>5295</v>
      </c>
      <c r="G996" s="16" t="s">
        <v>4748</v>
      </c>
      <c r="H996" s="16" t="s">
        <v>5296</v>
      </c>
      <c r="I996" s="17">
        <v>45376</v>
      </c>
    </row>
    <row r="997" spans="1:9" x14ac:dyDescent="0.15">
      <c r="A997" s="16" t="s">
        <v>5300</v>
      </c>
      <c r="B997" s="7" t="s">
        <v>9</v>
      </c>
      <c r="C997" s="16" t="s">
        <v>40</v>
      </c>
      <c r="D997" s="16" t="s">
        <v>41</v>
      </c>
      <c r="E997" s="13" t="str">
        <f>+HYPERLINK("http://trademark.i-assist.jp/data/china/image_1891th/77499533.pdf","77499533")</f>
        <v>77499533</v>
      </c>
      <c r="F997" s="16" t="s">
        <v>21</v>
      </c>
      <c r="G997" s="16" t="s">
        <v>3173</v>
      </c>
      <c r="H997" s="16" t="s">
        <v>5299</v>
      </c>
      <c r="I997" s="17">
        <v>45376</v>
      </c>
    </row>
    <row r="998" spans="1:9" x14ac:dyDescent="0.15">
      <c r="A998" s="16" t="s">
        <v>5305</v>
      </c>
      <c r="B998" s="7" t="s">
        <v>9</v>
      </c>
      <c r="C998" s="16" t="s">
        <v>40</v>
      </c>
      <c r="D998" s="16" t="s">
        <v>41</v>
      </c>
      <c r="E998" s="13" t="str">
        <f>+HYPERLINK("http://trademark.i-assist.jp/data/china/image_1891th/77499644.pdf","77499644")</f>
        <v>77499644</v>
      </c>
      <c r="F998" s="16" t="s">
        <v>5303</v>
      </c>
      <c r="G998" s="16" t="s">
        <v>5302</v>
      </c>
      <c r="H998" s="16" t="s">
        <v>5304</v>
      </c>
      <c r="I998" s="17">
        <v>45376</v>
      </c>
    </row>
    <row r="999" spans="1:9" x14ac:dyDescent="0.15">
      <c r="A999" s="16" t="s">
        <v>5310</v>
      </c>
      <c r="B999" s="7" t="s">
        <v>9</v>
      </c>
      <c r="C999" s="16" t="s">
        <v>40</v>
      </c>
      <c r="D999" s="16" t="s">
        <v>41</v>
      </c>
      <c r="E999" s="13" t="str">
        <f>+HYPERLINK("http://trademark.i-assist.jp/data/china/image_1891th/77499781.pdf","77499781")</f>
        <v>77499781</v>
      </c>
      <c r="F999" s="16" t="s">
        <v>5308</v>
      </c>
      <c r="G999" s="16" t="s">
        <v>5307</v>
      </c>
      <c r="H999" s="16" t="s">
        <v>5309</v>
      </c>
      <c r="I999" s="17">
        <v>45376</v>
      </c>
    </row>
    <row r="1000" spans="1:9" x14ac:dyDescent="0.15">
      <c r="A1000" s="16" t="s">
        <v>5315</v>
      </c>
      <c r="B1000" s="7" t="s">
        <v>9</v>
      </c>
      <c r="C1000" s="16" t="s">
        <v>40</v>
      </c>
      <c r="D1000" s="16" t="s">
        <v>41</v>
      </c>
      <c r="E1000" s="13" t="str">
        <f>+HYPERLINK("http://trademark.i-assist.jp/data/china/image_1891th/77499784.pdf","77499784")</f>
        <v>77499784</v>
      </c>
      <c r="F1000" s="16" t="s">
        <v>5313</v>
      </c>
      <c r="G1000" s="16" t="s">
        <v>5312</v>
      </c>
      <c r="H1000" s="16" t="s">
        <v>5314</v>
      </c>
      <c r="I1000" s="17">
        <v>45376</v>
      </c>
    </row>
    <row r="1001" spans="1:9" x14ac:dyDescent="0.15">
      <c r="A1001" s="16" t="s">
        <v>5320</v>
      </c>
      <c r="B1001" s="7" t="s">
        <v>9</v>
      </c>
      <c r="C1001" s="16" t="s">
        <v>40</v>
      </c>
      <c r="D1001" s="16" t="s">
        <v>41</v>
      </c>
      <c r="E1001" s="13" t="str">
        <f>+HYPERLINK("http://trademark.i-assist.jp/data/china/image_1891th/77500249.pdf","77500249")</f>
        <v>77500249</v>
      </c>
      <c r="F1001" s="16" t="s">
        <v>5318</v>
      </c>
      <c r="G1001" s="16" t="s">
        <v>5317</v>
      </c>
      <c r="H1001" s="16" t="s">
        <v>5319</v>
      </c>
      <c r="I1001" s="17">
        <v>45376</v>
      </c>
    </row>
    <row r="1002" spans="1:9" x14ac:dyDescent="0.15">
      <c r="A1002" s="16" t="s">
        <v>5325</v>
      </c>
      <c r="B1002" s="7" t="s">
        <v>9</v>
      </c>
      <c r="C1002" s="16" t="s">
        <v>40</v>
      </c>
      <c r="D1002" s="16" t="s">
        <v>41</v>
      </c>
      <c r="E1002" s="13" t="str">
        <f>+HYPERLINK("http://trademark.i-assist.jp/data/china/image_1891th/77500590.pdf","77500590")</f>
        <v>77500590</v>
      </c>
      <c r="F1002" s="16" t="s">
        <v>5323</v>
      </c>
      <c r="G1002" s="16" t="s">
        <v>5322</v>
      </c>
      <c r="H1002" s="16" t="s">
        <v>5324</v>
      </c>
      <c r="I1002" s="17">
        <v>45376</v>
      </c>
    </row>
    <row r="1003" spans="1:9" x14ac:dyDescent="0.15">
      <c r="A1003" s="16" t="s">
        <v>5331</v>
      </c>
      <c r="B1003" s="7" t="s">
        <v>9</v>
      </c>
      <c r="C1003" s="16" t="s">
        <v>40</v>
      </c>
      <c r="D1003" s="16" t="s">
        <v>41</v>
      </c>
      <c r="E1003" s="13" t="str">
        <f>+HYPERLINK("http://trademark.i-assist.jp/data/china/image_1891th/77500631.pdf","77500631")</f>
        <v>77500631</v>
      </c>
      <c r="F1003" s="16" t="s">
        <v>5328</v>
      </c>
      <c r="G1003" s="16" t="s">
        <v>5327</v>
      </c>
      <c r="H1003" s="16" t="s">
        <v>5329</v>
      </c>
      <c r="I1003" s="17">
        <v>45376</v>
      </c>
    </row>
    <row r="1004" spans="1:9" x14ac:dyDescent="0.15">
      <c r="A1004" s="16" t="s">
        <v>5336</v>
      </c>
      <c r="B1004" s="7" t="s">
        <v>9</v>
      </c>
      <c r="C1004" s="16" t="s">
        <v>40</v>
      </c>
      <c r="D1004" s="16" t="s">
        <v>41</v>
      </c>
      <c r="E1004" s="13" t="str">
        <f>+HYPERLINK("http://trademark.i-assist.jp/data/china/image_1891th/77500897.pdf","77500897")</f>
        <v>77500897</v>
      </c>
      <c r="F1004" s="16" t="s">
        <v>5334</v>
      </c>
      <c r="G1004" s="16" t="s">
        <v>5333</v>
      </c>
      <c r="H1004" s="16" t="s">
        <v>5335</v>
      </c>
      <c r="I1004" s="17">
        <v>45376</v>
      </c>
    </row>
    <row r="1005" spans="1:9" x14ac:dyDescent="0.15">
      <c r="A1005" s="16" t="s">
        <v>5340</v>
      </c>
      <c r="B1005" s="7" t="s">
        <v>9</v>
      </c>
      <c r="C1005" s="16" t="s">
        <v>40</v>
      </c>
      <c r="D1005" s="16" t="s">
        <v>41</v>
      </c>
      <c r="E1005" s="13" t="str">
        <f>+HYPERLINK("http://trademark.i-assist.jp/data/china/image_1891th/77501138.pdf","77501138")</f>
        <v>77501138</v>
      </c>
      <c r="F1005" s="16" t="s">
        <v>5338</v>
      </c>
      <c r="G1005" s="16" t="s">
        <v>4855</v>
      </c>
      <c r="H1005" s="16" t="s">
        <v>5339</v>
      </c>
      <c r="I1005" s="17">
        <v>45376</v>
      </c>
    </row>
    <row r="1006" spans="1:9" x14ac:dyDescent="0.15">
      <c r="A1006" s="16" t="s">
        <v>5345</v>
      </c>
      <c r="B1006" s="7" t="s">
        <v>9</v>
      </c>
      <c r="C1006" s="16" t="s">
        <v>40</v>
      </c>
      <c r="D1006" s="16" t="s">
        <v>41</v>
      </c>
      <c r="E1006" s="13" t="str">
        <f>+HYPERLINK("http://trademark.i-assist.jp/data/china/image_1891th/77501258.pdf","77501258")</f>
        <v>77501258</v>
      </c>
      <c r="F1006" s="16" t="s">
        <v>5343</v>
      </c>
      <c r="G1006" s="16" t="s">
        <v>5342</v>
      </c>
      <c r="H1006" s="16" t="s">
        <v>5344</v>
      </c>
      <c r="I1006" s="17">
        <v>45376</v>
      </c>
    </row>
    <row r="1007" spans="1:9" x14ac:dyDescent="0.15">
      <c r="A1007" s="16" t="s">
        <v>5349</v>
      </c>
      <c r="B1007" s="7" t="s">
        <v>9</v>
      </c>
      <c r="C1007" s="16" t="s">
        <v>40</v>
      </c>
      <c r="D1007" s="16" t="s">
        <v>41</v>
      </c>
      <c r="E1007" s="13" t="str">
        <f>+HYPERLINK("http://trademark.i-assist.jp/data/china/image_1891th/77501299.pdf","77501299")</f>
        <v>77501299</v>
      </c>
      <c r="F1007" s="16" t="s">
        <v>5347</v>
      </c>
      <c r="G1007" s="16" t="s">
        <v>1968</v>
      </c>
      <c r="H1007" s="16" t="s">
        <v>5348</v>
      </c>
      <c r="I1007" s="17">
        <v>45376</v>
      </c>
    </row>
    <row r="1008" spans="1:9" x14ac:dyDescent="0.15">
      <c r="A1008" s="16" t="s">
        <v>5353</v>
      </c>
      <c r="B1008" s="7" t="s">
        <v>9</v>
      </c>
      <c r="C1008" s="16" t="s">
        <v>40</v>
      </c>
      <c r="D1008" s="16" t="s">
        <v>41</v>
      </c>
      <c r="E1008" s="13" t="str">
        <f>+HYPERLINK("http://trademark.i-assist.jp/data/china/image_1891th/77501307.pdf","77501307")</f>
        <v>77501307</v>
      </c>
      <c r="F1008" s="16" t="s">
        <v>5351</v>
      </c>
      <c r="G1008" s="16" t="s">
        <v>1968</v>
      </c>
      <c r="H1008" s="16" t="s">
        <v>5352</v>
      </c>
      <c r="I1008" s="17">
        <v>45376</v>
      </c>
    </row>
    <row r="1009" spans="1:9" x14ac:dyDescent="0.15">
      <c r="A1009" s="16" t="s">
        <v>5357</v>
      </c>
      <c r="B1009" s="7" t="s">
        <v>9</v>
      </c>
      <c r="C1009" s="16" t="s">
        <v>40</v>
      </c>
      <c r="D1009" s="16" t="s">
        <v>41</v>
      </c>
      <c r="E1009" s="13" t="str">
        <f>+HYPERLINK("http://trademark.i-assist.jp/data/china/image_1891th/77501345.pdf","77501345")</f>
        <v>77501345</v>
      </c>
      <c r="F1009" s="16" t="s">
        <v>5355</v>
      </c>
      <c r="G1009" s="16" t="s">
        <v>1968</v>
      </c>
      <c r="H1009" s="16" t="s">
        <v>5356</v>
      </c>
      <c r="I1009" s="17">
        <v>45376</v>
      </c>
    </row>
    <row r="1010" spans="1:9" x14ac:dyDescent="0.15">
      <c r="A1010" s="16" t="s">
        <v>5361</v>
      </c>
      <c r="B1010" s="7" t="s">
        <v>9</v>
      </c>
      <c r="C1010" s="16" t="s">
        <v>40</v>
      </c>
      <c r="D1010" s="16" t="s">
        <v>41</v>
      </c>
      <c r="E1010" s="13" t="str">
        <f>+HYPERLINK("http://trademark.i-assist.jp/data/china/image_1891th/77501460.pdf","77501460")</f>
        <v>77501460</v>
      </c>
      <c r="F1010" s="16" t="s">
        <v>5359</v>
      </c>
      <c r="G1010" s="16" t="s">
        <v>5232</v>
      </c>
      <c r="H1010" s="16" t="s">
        <v>5360</v>
      </c>
      <c r="I1010" s="17">
        <v>45376</v>
      </c>
    </row>
    <row r="1011" spans="1:9" x14ac:dyDescent="0.15">
      <c r="A1011" s="16" t="s">
        <v>5366</v>
      </c>
      <c r="B1011" s="7" t="s">
        <v>9</v>
      </c>
      <c r="C1011" s="16" t="s">
        <v>40</v>
      </c>
      <c r="D1011" s="16" t="s">
        <v>41</v>
      </c>
      <c r="E1011" s="13" t="str">
        <f>+HYPERLINK("http://trademark.i-assist.jp/data/china/image_1891th/77501533.pdf","77501533")</f>
        <v>77501533</v>
      </c>
      <c r="F1011" s="16" t="s">
        <v>5364</v>
      </c>
      <c r="G1011" s="16" t="s">
        <v>5363</v>
      </c>
      <c r="H1011" s="16" t="s">
        <v>5365</v>
      </c>
      <c r="I1011" s="17">
        <v>45376</v>
      </c>
    </row>
    <row r="1012" spans="1:9" x14ac:dyDescent="0.15">
      <c r="A1012" s="16" t="s">
        <v>5371</v>
      </c>
      <c r="B1012" s="7" t="s">
        <v>9</v>
      </c>
      <c r="C1012" s="16" t="s">
        <v>40</v>
      </c>
      <c r="D1012" s="16" t="s">
        <v>41</v>
      </c>
      <c r="E1012" s="13" t="str">
        <f>+HYPERLINK("http://trademark.i-assist.jp/data/china/image_1891th/77501618.pdf","77501618")</f>
        <v>77501618</v>
      </c>
      <c r="F1012" s="16" t="s">
        <v>5369</v>
      </c>
      <c r="G1012" s="16" t="s">
        <v>5368</v>
      </c>
      <c r="H1012" s="16" t="s">
        <v>5370</v>
      </c>
      <c r="I1012" s="17">
        <v>45376</v>
      </c>
    </row>
    <row r="1013" spans="1:9" x14ac:dyDescent="0.15">
      <c r="A1013" s="16" t="s">
        <v>5376</v>
      </c>
      <c r="B1013" s="7" t="s">
        <v>9</v>
      </c>
      <c r="C1013" s="16" t="s">
        <v>40</v>
      </c>
      <c r="D1013" s="16" t="s">
        <v>41</v>
      </c>
      <c r="E1013" s="13" t="str">
        <f>+HYPERLINK("http://trademark.i-assist.jp/data/china/image_1891th/77501877.pdf","77501877")</f>
        <v>77501877</v>
      </c>
      <c r="F1013" s="16" t="s">
        <v>5374</v>
      </c>
      <c r="G1013" s="16" t="s">
        <v>5373</v>
      </c>
      <c r="H1013" s="16" t="s">
        <v>5375</v>
      </c>
      <c r="I1013" s="17">
        <v>45376</v>
      </c>
    </row>
    <row r="1014" spans="1:9" x14ac:dyDescent="0.15">
      <c r="A1014" s="16" t="s">
        <v>5381</v>
      </c>
      <c r="B1014" s="7" t="s">
        <v>9</v>
      </c>
      <c r="C1014" s="16" t="s">
        <v>40</v>
      </c>
      <c r="D1014" s="16" t="s">
        <v>41</v>
      </c>
      <c r="E1014" s="13" t="str">
        <f>+HYPERLINK("http://trademark.i-assist.jp/data/china/image_1891th/77502191.pdf","77502191")</f>
        <v>77502191</v>
      </c>
      <c r="F1014" s="16" t="s">
        <v>5379</v>
      </c>
      <c r="G1014" s="16" t="s">
        <v>5378</v>
      </c>
      <c r="H1014" s="16" t="s">
        <v>5380</v>
      </c>
      <c r="I1014" s="17">
        <v>45376</v>
      </c>
    </row>
    <row r="1015" spans="1:9" x14ac:dyDescent="0.15">
      <c r="A1015" s="16" t="s">
        <v>5386</v>
      </c>
      <c r="B1015" s="7" t="s">
        <v>9</v>
      </c>
      <c r="C1015" s="16" t="s">
        <v>40</v>
      </c>
      <c r="D1015" s="16" t="s">
        <v>41</v>
      </c>
      <c r="E1015" s="13" t="str">
        <f>+HYPERLINK("http://trademark.i-assist.jp/data/china/image_1891th/77502337.pdf","77502337")</f>
        <v>77502337</v>
      </c>
      <c r="F1015" s="16" t="s">
        <v>5384</v>
      </c>
      <c r="G1015" s="16" t="s">
        <v>5383</v>
      </c>
      <c r="H1015" s="16" t="s">
        <v>5385</v>
      </c>
      <c r="I1015" s="17">
        <v>45376</v>
      </c>
    </row>
    <row r="1016" spans="1:9" x14ac:dyDescent="0.15">
      <c r="A1016" s="16" t="s">
        <v>5391</v>
      </c>
      <c r="B1016" s="7" t="s">
        <v>9</v>
      </c>
      <c r="C1016" s="16" t="s">
        <v>40</v>
      </c>
      <c r="D1016" s="16" t="s">
        <v>41</v>
      </c>
      <c r="E1016" s="13" t="str">
        <f>+HYPERLINK("http://trademark.i-assist.jp/data/china/image_1891th/77502735.pdf","77502735")</f>
        <v>77502735</v>
      </c>
      <c r="F1016" s="16" t="s">
        <v>5389</v>
      </c>
      <c r="G1016" s="16" t="s">
        <v>5388</v>
      </c>
      <c r="H1016" s="16" t="s">
        <v>5390</v>
      </c>
      <c r="I1016" s="17">
        <v>45376</v>
      </c>
    </row>
    <row r="1017" spans="1:9" x14ac:dyDescent="0.15">
      <c r="A1017" s="16" t="s">
        <v>5396</v>
      </c>
      <c r="B1017" s="7" t="s">
        <v>9</v>
      </c>
      <c r="C1017" s="16" t="s">
        <v>40</v>
      </c>
      <c r="D1017" s="16" t="s">
        <v>41</v>
      </c>
      <c r="E1017" s="13" t="str">
        <f>+HYPERLINK("http://trademark.i-assist.jp/data/china/image_1891th/77502773.pdf","77502773")</f>
        <v>77502773</v>
      </c>
      <c r="F1017" s="16" t="s">
        <v>5394</v>
      </c>
      <c r="G1017" s="16" t="s">
        <v>5393</v>
      </c>
      <c r="H1017" s="16" t="s">
        <v>5395</v>
      </c>
      <c r="I1017" s="17">
        <v>45376</v>
      </c>
    </row>
    <row r="1018" spans="1:9" x14ac:dyDescent="0.15">
      <c r="A1018" s="16" t="s">
        <v>5401</v>
      </c>
      <c r="B1018" s="7" t="s">
        <v>9</v>
      </c>
      <c r="C1018" s="16" t="s">
        <v>40</v>
      </c>
      <c r="D1018" s="16" t="s">
        <v>41</v>
      </c>
      <c r="E1018" s="13" t="str">
        <f>+HYPERLINK("http://trademark.i-assist.jp/data/china/image_1891th/77502861.pdf","77502861")</f>
        <v>77502861</v>
      </c>
      <c r="F1018" s="16" t="s">
        <v>5399</v>
      </c>
      <c r="G1018" s="16" t="s">
        <v>5398</v>
      </c>
      <c r="H1018" s="16" t="s">
        <v>5400</v>
      </c>
      <c r="I1018" s="17">
        <v>45376</v>
      </c>
    </row>
    <row r="1019" spans="1:9" x14ac:dyDescent="0.15">
      <c r="A1019" s="16" t="s">
        <v>5405</v>
      </c>
      <c r="B1019" s="7" t="s">
        <v>9</v>
      </c>
      <c r="C1019" s="16" t="s">
        <v>40</v>
      </c>
      <c r="D1019" s="16" t="s">
        <v>41</v>
      </c>
      <c r="E1019" s="13" t="str">
        <f>+HYPERLINK("http://trademark.i-assist.jp/data/china/image_1891th/77503017.pdf","77503017")</f>
        <v>77503017</v>
      </c>
      <c r="F1019" s="16" t="s">
        <v>5403</v>
      </c>
      <c r="G1019" s="16" t="s">
        <v>5403</v>
      </c>
      <c r="H1019" s="16" t="s">
        <v>5404</v>
      </c>
      <c r="I1019" s="17">
        <v>45376</v>
      </c>
    </row>
    <row r="1020" spans="1:9" x14ac:dyDescent="0.15">
      <c r="A1020" s="16" t="s">
        <v>5410</v>
      </c>
      <c r="B1020" s="7" t="s">
        <v>9</v>
      </c>
      <c r="C1020" s="16" t="s">
        <v>40</v>
      </c>
      <c r="D1020" s="16" t="s">
        <v>41</v>
      </c>
      <c r="E1020" s="13" t="str">
        <f>+HYPERLINK("http://trademark.i-assist.jp/data/china/image_1891th/77503266.pdf","77503266")</f>
        <v>77503266</v>
      </c>
      <c r="F1020" s="16" t="s">
        <v>5408</v>
      </c>
      <c r="G1020" s="16" t="s">
        <v>5407</v>
      </c>
      <c r="H1020" s="16" t="s">
        <v>5409</v>
      </c>
      <c r="I1020" s="17">
        <v>45376</v>
      </c>
    </row>
    <row r="1021" spans="1:9" x14ac:dyDescent="0.15">
      <c r="A1021" s="16" t="s">
        <v>5415</v>
      </c>
      <c r="B1021" s="7" t="s">
        <v>9</v>
      </c>
      <c r="C1021" s="16" t="s">
        <v>40</v>
      </c>
      <c r="D1021" s="16" t="s">
        <v>41</v>
      </c>
      <c r="E1021" s="13" t="str">
        <f>+HYPERLINK("http://trademark.i-assist.jp/data/china/image_1891th/77503272.pdf","77503272")</f>
        <v>77503272</v>
      </c>
      <c r="F1021" s="16" t="s">
        <v>5413</v>
      </c>
      <c r="G1021" s="16" t="s">
        <v>5412</v>
      </c>
      <c r="H1021" s="16" t="s">
        <v>5414</v>
      </c>
      <c r="I1021" s="17">
        <v>45376</v>
      </c>
    </row>
    <row r="1022" spans="1:9" x14ac:dyDescent="0.15">
      <c r="A1022" s="16" t="s">
        <v>5420</v>
      </c>
      <c r="B1022" s="7" t="s">
        <v>9</v>
      </c>
      <c r="C1022" s="16" t="s">
        <v>40</v>
      </c>
      <c r="D1022" s="16" t="s">
        <v>41</v>
      </c>
      <c r="E1022" s="13" t="str">
        <f>+HYPERLINK("http://trademark.i-assist.jp/data/china/image_1891th/77503310.pdf","77503310")</f>
        <v>77503310</v>
      </c>
      <c r="F1022" s="16" t="s">
        <v>5418</v>
      </c>
      <c r="G1022" s="16" t="s">
        <v>5417</v>
      </c>
      <c r="H1022" s="16" t="s">
        <v>5419</v>
      </c>
      <c r="I1022" s="17">
        <v>45376</v>
      </c>
    </row>
    <row r="1023" spans="1:9" x14ac:dyDescent="0.15">
      <c r="A1023" s="16" t="s">
        <v>5425</v>
      </c>
      <c r="B1023" s="7" t="s">
        <v>9</v>
      </c>
      <c r="C1023" s="16" t="s">
        <v>40</v>
      </c>
      <c r="D1023" s="16" t="s">
        <v>41</v>
      </c>
      <c r="E1023" s="13" t="str">
        <f>+HYPERLINK("http://trademark.i-assist.jp/data/china/image_1891th/77503406.pdf","77503406")</f>
        <v>77503406</v>
      </c>
      <c r="F1023" s="16" t="s">
        <v>5423</v>
      </c>
      <c r="G1023" s="16" t="s">
        <v>5422</v>
      </c>
      <c r="H1023" s="16" t="s">
        <v>5424</v>
      </c>
      <c r="I1023" s="17">
        <v>45376</v>
      </c>
    </row>
    <row r="1024" spans="1:9" x14ac:dyDescent="0.15">
      <c r="A1024" s="16" t="s">
        <v>5430</v>
      </c>
      <c r="B1024" s="7" t="s">
        <v>9</v>
      </c>
      <c r="C1024" s="16" t="s">
        <v>40</v>
      </c>
      <c r="D1024" s="16" t="s">
        <v>41</v>
      </c>
      <c r="E1024" s="13" t="str">
        <f>+HYPERLINK("http://trademark.i-assist.jp/data/china/image_1891th/77503461.pdf","77503461")</f>
        <v>77503461</v>
      </c>
      <c r="F1024" s="16" t="s">
        <v>5428</v>
      </c>
      <c r="G1024" s="16" t="s">
        <v>5427</v>
      </c>
      <c r="H1024" s="16" t="s">
        <v>5429</v>
      </c>
      <c r="I1024" s="17">
        <v>45376</v>
      </c>
    </row>
    <row r="1025" spans="1:9" x14ac:dyDescent="0.15">
      <c r="A1025" s="16" t="s">
        <v>5435</v>
      </c>
      <c r="B1025" s="7" t="s">
        <v>9</v>
      </c>
      <c r="C1025" s="16" t="s">
        <v>40</v>
      </c>
      <c r="D1025" s="16" t="s">
        <v>41</v>
      </c>
      <c r="E1025" s="13" t="str">
        <f>+HYPERLINK("http://trademark.i-assist.jp/data/china/image_1891th/77503531.pdf","77503531")</f>
        <v>77503531</v>
      </c>
      <c r="F1025" s="16" t="s">
        <v>5433</v>
      </c>
      <c r="G1025" s="16" t="s">
        <v>5432</v>
      </c>
      <c r="H1025" s="16" t="s">
        <v>5434</v>
      </c>
      <c r="I1025" s="17">
        <v>45376</v>
      </c>
    </row>
    <row r="1026" spans="1:9" x14ac:dyDescent="0.15">
      <c r="A1026" s="16" t="s">
        <v>5440</v>
      </c>
      <c r="B1026" s="7" t="s">
        <v>9</v>
      </c>
      <c r="C1026" s="16" t="s">
        <v>40</v>
      </c>
      <c r="D1026" s="16" t="s">
        <v>41</v>
      </c>
      <c r="E1026" s="13" t="str">
        <f>+HYPERLINK("http://trademark.i-assist.jp/data/china/image_1891th/77503592.pdf","77503592")</f>
        <v>77503592</v>
      </c>
      <c r="F1026" s="16" t="s">
        <v>5438</v>
      </c>
      <c r="G1026" s="16" t="s">
        <v>5437</v>
      </c>
      <c r="H1026" s="16" t="s">
        <v>5439</v>
      </c>
      <c r="I1026" s="17">
        <v>45376</v>
      </c>
    </row>
    <row r="1027" spans="1:9" x14ac:dyDescent="0.15">
      <c r="A1027" s="16" t="s">
        <v>5444</v>
      </c>
      <c r="B1027" s="7" t="s">
        <v>9</v>
      </c>
      <c r="C1027" s="16" t="s">
        <v>40</v>
      </c>
      <c r="D1027" s="16" t="s">
        <v>41</v>
      </c>
      <c r="E1027" s="13" t="str">
        <f>+HYPERLINK("http://trademark.i-assist.jp/data/china/image_1891th/77503655.pdf","77503655")</f>
        <v>77503655</v>
      </c>
      <c r="F1027" s="16" t="s">
        <v>5442</v>
      </c>
      <c r="G1027" s="16" t="s">
        <v>2380</v>
      </c>
      <c r="H1027" s="16" t="s">
        <v>5443</v>
      </c>
      <c r="I1027" s="17">
        <v>45376</v>
      </c>
    </row>
    <row r="1028" spans="1:9" x14ac:dyDescent="0.15">
      <c r="A1028" s="16" t="s">
        <v>5449</v>
      </c>
      <c r="B1028" s="7" t="s">
        <v>9</v>
      </c>
      <c r="C1028" s="16" t="s">
        <v>40</v>
      </c>
      <c r="D1028" s="16" t="s">
        <v>41</v>
      </c>
      <c r="E1028" s="13" t="str">
        <f>+HYPERLINK("http://trademark.i-assist.jp/data/china/image_1891th/77503693.pdf","77503693")</f>
        <v>77503693</v>
      </c>
      <c r="F1028" s="16" t="s">
        <v>5447</v>
      </c>
      <c r="G1028" s="16" t="s">
        <v>5446</v>
      </c>
      <c r="H1028" s="16" t="s">
        <v>5448</v>
      </c>
      <c r="I1028" s="17">
        <v>45376</v>
      </c>
    </row>
    <row r="1029" spans="1:9" x14ac:dyDescent="0.15">
      <c r="A1029" s="16" t="s">
        <v>5454</v>
      </c>
      <c r="B1029" s="7" t="s">
        <v>9</v>
      </c>
      <c r="C1029" s="16" t="s">
        <v>40</v>
      </c>
      <c r="D1029" s="16" t="s">
        <v>41</v>
      </c>
      <c r="E1029" s="13" t="str">
        <f>+HYPERLINK("http://trademark.i-assist.jp/data/china/image_1891th/77503716.pdf","77503716")</f>
        <v>77503716</v>
      </c>
      <c r="F1029" s="16" t="s">
        <v>5452</v>
      </c>
      <c r="G1029" s="16" t="s">
        <v>5451</v>
      </c>
      <c r="H1029" s="16" t="s">
        <v>5453</v>
      </c>
      <c r="I1029" s="17">
        <v>45376</v>
      </c>
    </row>
    <row r="1030" spans="1:9" x14ac:dyDescent="0.15">
      <c r="A1030" s="16" t="s">
        <v>5458</v>
      </c>
      <c r="B1030" s="7" t="s">
        <v>9</v>
      </c>
      <c r="C1030" s="16" t="s">
        <v>40</v>
      </c>
      <c r="D1030" s="16" t="s">
        <v>41</v>
      </c>
      <c r="E1030" s="13" t="str">
        <f>+HYPERLINK("http://trademark.i-assist.jp/data/china/image_1891th/77503834.pdf","77503834")</f>
        <v>77503834</v>
      </c>
      <c r="F1030" s="16" t="s">
        <v>5456</v>
      </c>
      <c r="G1030" s="16" t="s">
        <v>2092</v>
      </c>
      <c r="H1030" s="16" t="s">
        <v>5457</v>
      </c>
      <c r="I1030" s="17">
        <v>45376</v>
      </c>
    </row>
    <row r="1031" spans="1:9" x14ac:dyDescent="0.15">
      <c r="A1031" s="16" t="s">
        <v>5463</v>
      </c>
      <c r="B1031" s="7" t="s">
        <v>9</v>
      </c>
      <c r="C1031" s="16" t="s">
        <v>40</v>
      </c>
      <c r="D1031" s="16" t="s">
        <v>41</v>
      </c>
      <c r="E1031" s="13" t="str">
        <f>+HYPERLINK("http://trademark.i-assist.jp/data/china/image_1891th/77503955.pdf","77503955")</f>
        <v>77503955</v>
      </c>
      <c r="F1031" s="16" t="s">
        <v>5461</v>
      </c>
      <c r="G1031" s="16" t="s">
        <v>5460</v>
      </c>
      <c r="H1031" s="16" t="s">
        <v>5462</v>
      </c>
      <c r="I1031" s="17">
        <v>45376</v>
      </c>
    </row>
    <row r="1032" spans="1:9" x14ac:dyDescent="0.15">
      <c r="A1032" s="16" t="s">
        <v>5467</v>
      </c>
      <c r="B1032" s="7" t="s">
        <v>9</v>
      </c>
      <c r="C1032" s="16" t="s">
        <v>40</v>
      </c>
      <c r="D1032" s="16" t="s">
        <v>41</v>
      </c>
      <c r="E1032" s="13" t="str">
        <f>+HYPERLINK("http://trademark.i-assist.jp/data/china/image_1891th/77503984.pdf","77503984")</f>
        <v>77503984</v>
      </c>
      <c r="F1032" s="16" t="s">
        <v>5465</v>
      </c>
      <c r="G1032" s="16" t="s">
        <v>11118</v>
      </c>
      <c r="H1032" s="16" t="s">
        <v>5466</v>
      </c>
      <c r="I1032" s="17">
        <v>45376</v>
      </c>
    </row>
    <row r="1033" spans="1:9" x14ac:dyDescent="0.15">
      <c r="A1033" s="16" t="s">
        <v>5471</v>
      </c>
      <c r="B1033" s="7" t="s">
        <v>9</v>
      </c>
      <c r="C1033" s="16" t="s">
        <v>40</v>
      </c>
      <c r="D1033" s="16" t="s">
        <v>41</v>
      </c>
      <c r="E1033" s="13" t="str">
        <f>+HYPERLINK("http://trademark.i-assist.jp/data/china/image_1891th/77503992.pdf","77503992")</f>
        <v>77503992</v>
      </c>
      <c r="F1033" s="16" t="s">
        <v>5469</v>
      </c>
      <c r="G1033" s="16" t="s">
        <v>4748</v>
      </c>
      <c r="H1033" s="16" t="s">
        <v>5470</v>
      </c>
      <c r="I1033" s="17">
        <v>45376</v>
      </c>
    </row>
    <row r="1034" spans="1:9" x14ac:dyDescent="0.15">
      <c r="A1034" s="16" t="s">
        <v>5476</v>
      </c>
      <c r="B1034" s="7" t="s">
        <v>9</v>
      </c>
      <c r="C1034" s="16" t="s">
        <v>40</v>
      </c>
      <c r="D1034" s="16" t="s">
        <v>41</v>
      </c>
      <c r="E1034" s="13" t="str">
        <f>+HYPERLINK("http://trademark.i-assist.jp/data/china/image_1891th/77504131.pdf","77504131")</f>
        <v>77504131</v>
      </c>
      <c r="F1034" s="16" t="s">
        <v>5474</v>
      </c>
      <c r="G1034" s="16" t="s">
        <v>5473</v>
      </c>
      <c r="H1034" s="16" t="s">
        <v>5475</v>
      </c>
      <c r="I1034" s="17">
        <v>45376</v>
      </c>
    </row>
    <row r="1035" spans="1:9" x14ac:dyDescent="0.15">
      <c r="A1035" s="16" t="s">
        <v>5481</v>
      </c>
      <c r="B1035" s="7" t="s">
        <v>9</v>
      </c>
      <c r="C1035" s="16" t="s">
        <v>40</v>
      </c>
      <c r="D1035" s="16" t="s">
        <v>41</v>
      </c>
      <c r="E1035" s="13" t="str">
        <f>+HYPERLINK("http://trademark.i-assist.jp/data/china/image_1891th/77504202.pdf","77504202")</f>
        <v>77504202</v>
      </c>
      <c r="F1035" s="16" t="s">
        <v>5479</v>
      </c>
      <c r="G1035" s="16" t="s">
        <v>5478</v>
      </c>
      <c r="H1035" s="16" t="s">
        <v>5480</v>
      </c>
      <c r="I1035" s="17">
        <v>45376</v>
      </c>
    </row>
    <row r="1036" spans="1:9" x14ac:dyDescent="0.15">
      <c r="A1036" s="16" t="s">
        <v>5486</v>
      </c>
      <c r="B1036" s="7" t="s">
        <v>9</v>
      </c>
      <c r="C1036" s="16" t="s">
        <v>40</v>
      </c>
      <c r="D1036" s="16" t="s">
        <v>41</v>
      </c>
      <c r="E1036" s="13" t="str">
        <f>+HYPERLINK("http://trademark.i-assist.jp/data/china/image_1891th/77504321.pdf","77504321")</f>
        <v>77504321</v>
      </c>
      <c r="F1036" s="16" t="s">
        <v>5484</v>
      </c>
      <c r="G1036" s="16" t="s">
        <v>5483</v>
      </c>
      <c r="H1036" s="16" t="s">
        <v>5485</v>
      </c>
      <c r="I1036" s="17">
        <v>45376</v>
      </c>
    </row>
    <row r="1037" spans="1:9" x14ac:dyDescent="0.15">
      <c r="A1037" s="16" t="s">
        <v>5491</v>
      </c>
      <c r="B1037" s="7" t="s">
        <v>9</v>
      </c>
      <c r="C1037" s="16" t="s">
        <v>40</v>
      </c>
      <c r="D1037" s="16" t="s">
        <v>41</v>
      </c>
      <c r="E1037" s="13" t="str">
        <f>+HYPERLINK("http://trademark.i-assist.jp/data/china/image_1891th/77504642.pdf","77504642")</f>
        <v>77504642</v>
      </c>
      <c r="F1037" s="16" t="s">
        <v>5489</v>
      </c>
      <c r="G1037" s="16" t="s">
        <v>5488</v>
      </c>
      <c r="H1037" s="16" t="s">
        <v>5490</v>
      </c>
      <c r="I1037" s="17">
        <v>45376</v>
      </c>
    </row>
    <row r="1038" spans="1:9" x14ac:dyDescent="0.15">
      <c r="A1038" s="16" t="s">
        <v>5495</v>
      </c>
      <c r="B1038" s="7" t="s">
        <v>9</v>
      </c>
      <c r="C1038" s="16" t="s">
        <v>40</v>
      </c>
      <c r="D1038" s="16" t="s">
        <v>41</v>
      </c>
      <c r="E1038" s="13" t="str">
        <f>+HYPERLINK("http://trademark.i-assist.jp/data/china/image_1891th/77504647.pdf","77504647")</f>
        <v>77504647</v>
      </c>
      <c r="F1038" s="16" t="s">
        <v>5493</v>
      </c>
      <c r="G1038" s="16" t="s">
        <v>2775</v>
      </c>
      <c r="H1038" s="16" t="s">
        <v>5494</v>
      </c>
      <c r="I1038" s="17">
        <v>45376</v>
      </c>
    </row>
    <row r="1039" spans="1:9" x14ac:dyDescent="0.15">
      <c r="A1039" s="16" t="s">
        <v>5499</v>
      </c>
      <c r="B1039" s="7" t="s">
        <v>9</v>
      </c>
      <c r="C1039" s="16" t="s">
        <v>40</v>
      </c>
      <c r="D1039" s="16" t="s">
        <v>41</v>
      </c>
      <c r="E1039" s="13" t="str">
        <f>+HYPERLINK("http://trademark.i-assist.jp/data/china/image_1891th/77504826.pdf","77504826")</f>
        <v>77504826</v>
      </c>
      <c r="F1039" s="16" t="s">
        <v>5497</v>
      </c>
      <c r="G1039" s="16" t="s">
        <v>5127</v>
      </c>
      <c r="H1039" s="16" t="s">
        <v>5498</v>
      </c>
      <c r="I1039" s="17">
        <v>45376</v>
      </c>
    </row>
    <row r="1040" spans="1:9" x14ac:dyDescent="0.15">
      <c r="A1040" s="16" t="s">
        <v>5504</v>
      </c>
      <c r="B1040" s="7" t="s">
        <v>9</v>
      </c>
      <c r="C1040" s="16" t="s">
        <v>40</v>
      </c>
      <c r="D1040" s="16" t="s">
        <v>41</v>
      </c>
      <c r="E1040" s="13" t="str">
        <f>+HYPERLINK("http://trademark.i-assist.jp/data/china/image_1891th/77504964.pdf","77504964")</f>
        <v>77504964</v>
      </c>
      <c r="F1040" s="16" t="s">
        <v>5502</v>
      </c>
      <c r="G1040" s="16" t="s">
        <v>5501</v>
      </c>
      <c r="H1040" s="16" t="s">
        <v>5503</v>
      </c>
      <c r="I1040" s="17">
        <v>45376</v>
      </c>
    </row>
    <row r="1041" spans="1:9" x14ac:dyDescent="0.15">
      <c r="A1041" s="16" t="s">
        <v>5508</v>
      </c>
      <c r="B1041" s="7" t="s">
        <v>9</v>
      </c>
      <c r="C1041" s="16" t="s">
        <v>40</v>
      </c>
      <c r="D1041" s="16" t="s">
        <v>41</v>
      </c>
      <c r="E1041" s="13" t="str">
        <f>+HYPERLINK("http://trademark.i-assist.jp/data/china/image_1891th/77505068.pdf","77505068")</f>
        <v>77505068</v>
      </c>
      <c r="F1041" s="16" t="s">
        <v>52</v>
      </c>
      <c r="G1041" s="16" t="s">
        <v>5506</v>
      </c>
      <c r="H1041" s="16" t="s">
        <v>5507</v>
      </c>
      <c r="I1041" s="17">
        <v>45376</v>
      </c>
    </row>
    <row r="1042" spans="1:9" x14ac:dyDescent="0.15">
      <c r="A1042" s="16" t="s">
        <v>5512</v>
      </c>
      <c r="B1042" s="7" t="s">
        <v>9</v>
      </c>
      <c r="C1042" s="16" t="s">
        <v>40</v>
      </c>
      <c r="D1042" s="16" t="s">
        <v>41</v>
      </c>
      <c r="E1042" s="13" t="str">
        <f>+HYPERLINK("http://trademark.i-assist.jp/data/china/image_1891th/77505149.pdf","77505149")</f>
        <v>77505149</v>
      </c>
      <c r="F1042" s="16" t="s">
        <v>5510</v>
      </c>
      <c r="G1042" s="16" t="s">
        <v>1752</v>
      </c>
      <c r="H1042" s="16" t="s">
        <v>5511</v>
      </c>
      <c r="I1042" s="17">
        <v>45376</v>
      </c>
    </row>
    <row r="1043" spans="1:9" x14ac:dyDescent="0.15">
      <c r="A1043" s="16" t="s">
        <v>5517</v>
      </c>
      <c r="B1043" s="7" t="s">
        <v>9</v>
      </c>
      <c r="C1043" s="16" t="s">
        <v>40</v>
      </c>
      <c r="D1043" s="16" t="s">
        <v>41</v>
      </c>
      <c r="E1043" s="13" t="str">
        <f>+HYPERLINK("http://trademark.i-assist.jp/data/china/image_1891th/77505282.pdf","77505282")</f>
        <v>77505282</v>
      </c>
      <c r="F1043" s="16" t="s">
        <v>5515</v>
      </c>
      <c r="G1043" s="16" t="s">
        <v>5514</v>
      </c>
      <c r="H1043" s="16" t="s">
        <v>5516</v>
      </c>
      <c r="I1043" s="17">
        <v>45376</v>
      </c>
    </row>
    <row r="1044" spans="1:9" x14ac:dyDescent="0.15">
      <c r="A1044" s="16" t="s">
        <v>5522</v>
      </c>
      <c r="B1044" s="7" t="s">
        <v>9</v>
      </c>
      <c r="C1044" s="16" t="s">
        <v>40</v>
      </c>
      <c r="D1044" s="16" t="s">
        <v>41</v>
      </c>
      <c r="E1044" s="13" t="str">
        <f>+HYPERLINK("http://trademark.i-assist.jp/data/china/image_1891th/77505284.pdf","77505284")</f>
        <v>77505284</v>
      </c>
      <c r="F1044" s="16" t="s">
        <v>5520</v>
      </c>
      <c r="G1044" s="16" t="s">
        <v>5519</v>
      </c>
      <c r="H1044" s="16" t="s">
        <v>5521</v>
      </c>
      <c r="I1044" s="17">
        <v>45376</v>
      </c>
    </row>
    <row r="1045" spans="1:9" x14ac:dyDescent="0.15">
      <c r="A1045" s="16" t="s">
        <v>5527</v>
      </c>
      <c r="B1045" s="7" t="s">
        <v>9</v>
      </c>
      <c r="C1045" s="16" t="s">
        <v>40</v>
      </c>
      <c r="D1045" s="16" t="s">
        <v>41</v>
      </c>
      <c r="E1045" s="13" t="str">
        <f>+HYPERLINK("http://trademark.i-assist.jp/data/china/image_1891th/77505355.pdf","77505355")</f>
        <v>77505355</v>
      </c>
      <c r="F1045" s="16" t="s">
        <v>5525</v>
      </c>
      <c r="G1045" s="16" t="s">
        <v>5524</v>
      </c>
      <c r="H1045" s="16" t="s">
        <v>5526</v>
      </c>
      <c r="I1045" s="17">
        <v>45376</v>
      </c>
    </row>
    <row r="1046" spans="1:9" x14ac:dyDescent="0.15">
      <c r="A1046" s="16" t="s">
        <v>5532</v>
      </c>
      <c r="B1046" s="7" t="s">
        <v>9</v>
      </c>
      <c r="C1046" s="16" t="s">
        <v>40</v>
      </c>
      <c r="D1046" s="16" t="s">
        <v>41</v>
      </c>
      <c r="E1046" s="13" t="str">
        <f>+HYPERLINK("http://trademark.i-assist.jp/data/china/image_1891th/77505378.pdf","77505378")</f>
        <v>77505378</v>
      </c>
      <c r="F1046" s="16" t="s">
        <v>5530</v>
      </c>
      <c r="G1046" s="16" t="s">
        <v>5529</v>
      </c>
      <c r="H1046" s="16" t="s">
        <v>5531</v>
      </c>
      <c r="I1046" s="17">
        <v>45376</v>
      </c>
    </row>
    <row r="1047" spans="1:9" x14ac:dyDescent="0.15">
      <c r="A1047" s="16" t="s">
        <v>5536</v>
      </c>
      <c r="B1047" s="7" t="s">
        <v>9</v>
      </c>
      <c r="C1047" s="16" t="s">
        <v>40</v>
      </c>
      <c r="D1047" s="16" t="s">
        <v>41</v>
      </c>
      <c r="E1047" s="13" t="str">
        <f>+HYPERLINK("http://trademark.i-assist.jp/data/china/image_1891th/77505415.pdf","77505415")</f>
        <v>77505415</v>
      </c>
      <c r="F1047" s="16" t="s">
        <v>52</v>
      </c>
      <c r="G1047" s="16" t="s">
        <v>5534</v>
      </c>
      <c r="H1047" s="16" t="s">
        <v>5535</v>
      </c>
      <c r="I1047" s="17">
        <v>45376</v>
      </c>
    </row>
    <row r="1048" spans="1:9" x14ac:dyDescent="0.15">
      <c r="A1048" s="16" t="s">
        <v>2758</v>
      </c>
      <c r="B1048" s="7" t="s">
        <v>9</v>
      </c>
      <c r="C1048" s="16" t="s">
        <v>40</v>
      </c>
      <c r="D1048" s="16" t="s">
        <v>41</v>
      </c>
      <c r="E1048" s="13" t="str">
        <f>+HYPERLINK("http://trademark.i-assist.jp/data/china/image_1891th/77505421.pdf","77505421")</f>
        <v>77505421</v>
      </c>
      <c r="F1048" s="16" t="s">
        <v>5539</v>
      </c>
      <c r="G1048" s="16" t="s">
        <v>5538</v>
      </c>
      <c r="H1048" s="16" t="s">
        <v>5540</v>
      </c>
      <c r="I1048" s="17">
        <v>45376</v>
      </c>
    </row>
    <row r="1049" spans="1:9" x14ac:dyDescent="0.15">
      <c r="A1049" s="16" t="s">
        <v>2763</v>
      </c>
      <c r="B1049" s="7" t="s">
        <v>9</v>
      </c>
      <c r="C1049" s="16" t="s">
        <v>40</v>
      </c>
      <c r="D1049" s="16" t="s">
        <v>41</v>
      </c>
      <c r="E1049" s="13" t="str">
        <f>+HYPERLINK("http://trademark.i-assist.jp/data/china/image_1891th/77505502.pdf","77505502")</f>
        <v>77505502</v>
      </c>
      <c r="F1049" s="16" t="s">
        <v>2761</v>
      </c>
      <c r="G1049" s="16" t="s">
        <v>2760</v>
      </c>
      <c r="H1049" s="16" t="s">
        <v>2762</v>
      </c>
      <c r="I1049" s="17">
        <v>45376</v>
      </c>
    </row>
    <row r="1050" spans="1:9" x14ac:dyDescent="0.15">
      <c r="A1050" s="16" t="s">
        <v>2768</v>
      </c>
      <c r="B1050" s="7" t="s">
        <v>9</v>
      </c>
      <c r="C1050" s="16" t="s">
        <v>40</v>
      </c>
      <c r="D1050" s="16" t="s">
        <v>41</v>
      </c>
      <c r="E1050" s="13" t="str">
        <f>+HYPERLINK("http://trademark.i-assist.jp/data/china/image_1891th/77505660.pdf","77505660")</f>
        <v>77505660</v>
      </c>
      <c r="F1050" s="16" t="s">
        <v>2766</v>
      </c>
      <c r="G1050" s="16" t="s">
        <v>2765</v>
      </c>
      <c r="H1050" s="16" t="s">
        <v>2767</v>
      </c>
      <c r="I1050" s="17">
        <v>45376</v>
      </c>
    </row>
    <row r="1051" spans="1:9" x14ac:dyDescent="0.15">
      <c r="A1051" s="16" t="s">
        <v>2773</v>
      </c>
      <c r="B1051" s="7" t="s">
        <v>9</v>
      </c>
      <c r="C1051" s="16" t="s">
        <v>40</v>
      </c>
      <c r="D1051" s="16" t="s">
        <v>41</v>
      </c>
      <c r="E1051" s="13" t="str">
        <f>+HYPERLINK("http://trademark.i-assist.jp/data/china/image_1891th/77505946.pdf","77505946")</f>
        <v>77505946</v>
      </c>
      <c r="F1051" s="16" t="s">
        <v>2771</v>
      </c>
      <c r="G1051" s="16" t="s">
        <v>2770</v>
      </c>
      <c r="H1051" s="16" t="s">
        <v>2772</v>
      </c>
      <c r="I1051" s="17">
        <v>45376</v>
      </c>
    </row>
    <row r="1052" spans="1:9" x14ac:dyDescent="0.15">
      <c r="A1052" s="16" t="s">
        <v>2778</v>
      </c>
      <c r="B1052" s="7" t="s">
        <v>9</v>
      </c>
      <c r="C1052" s="16" t="s">
        <v>40</v>
      </c>
      <c r="D1052" s="16" t="s">
        <v>41</v>
      </c>
      <c r="E1052" s="13" t="str">
        <f>+HYPERLINK("http://trademark.i-assist.jp/data/china/image_1891th/77506142.pdf","77506142")</f>
        <v>77506142</v>
      </c>
      <c r="F1052" s="16" t="s">
        <v>2776</v>
      </c>
      <c r="G1052" s="16" t="s">
        <v>2775</v>
      </c>
      <c r="H1052" s="16" t="s">
        <v>2777</v>
      </c>
      <c r="I1052" s="17">
        <v>45376</v>
      </c>
    </row>
    <row r="1053" spans="1:9" x14ac:dyDescent="0.15">
      <c r="A1053" s="16" t="s">
        <v>2783</v>
      </c>
      <c r="B1053" s="7" t="s">
        <v>9</v>
      </c>
      <c r="C1053" s="16" t="s">
        <v>40</v>
      </c>
      <c r="D1053" s="16" t="s">
        <v>41</v>
      </c>
      <c r="E1053" s="13" t="str">
        <f>+HYPERLINK("http://trademark.i-assist.jp/data/china/image_1891th/77506281.pdf","77506281")</f>
        <v>77506281</v>
      </c>
      <c r="F1053" s="16" t="s">
        <v>2781</v>
      </c>
      <c r="G1053" s="16" t="s">
        <v>2780</v>
      </c>
      <c r="H1053" s="16" t="s">
        <v>2782</v>
      </c>
      <c r="I1053" s="17">
        <v>45376</v>
      </c>
    </row>
    <row r="1054" spans="1:9" x14ac:dyDescent="0.15">
      <c r="A1054" s="16" t="s">
        <v>2788</v>
      </c>
      <c r="B1054" s="7" t="s">
        <v>9</v>
      </c>
      <c r="C1054" s="16" t="s">
        <v>40</v>
      </c>
      <c r="D1054" s="16" t="s">
        <v>41</v>
      </c>
      <c r="E1054" s="13" t="str">
        <f>+HYPERLINK("http://trademark.i-assist.jp/data/china/image_1891th/77506302.pdf","77506302")</f>
        <v>77506302</v>
      </c>
      <c r="F1054" s="16" t="s">
        <v>2786</v>
      </c>
      <c r="G1054" s="16" t="s">
        <v>2785</v>
      </c>
      <c r="H1054" s="16" t="s">
        <v>2787</v>
      </c>
      <c r="I1054" s="17">
        <v>45376</v>
      </c>
    </row>
    <row r="1055" spans="1:9" x14ac:dyDescent="0.15">
      <c r="A1055" s="16" t="s">
        <v>2793</v>
      </c>
      <c r="B1055" s="7" t="s">
        <v>9</v>
      </c>
      <c r="C1055" s="16" t="s">
        <v>40</v>
      </c>
      <c r="D1055" s="16" t="s">
        <v>41</v>
      </c>
      <c r="E1055" s="13" t="str">
        <f>+HYPERLINK("http://trademark.i-assist.jp/data/china/image_1891th/77506489.pdf","77506489")</f>
        <v>77506489</v>
      </c>
      <c r="F1055" s="16" t="s">
        <v>2791</v>
      </c>
      <c r="G1055" s="16" t="s">
        <v>2790</v>
      </c>
      <c r="H1055" s="16" t="s">
        <v>2792</v>
      </c>
      <c r="I1055" s="17">
        <v>45376</v>
      </c>
    </row>
    <row r="1056" spans="1:9" x14ac:dyDescent="0.15">
      <c r="A1056" s="16" t="s">
        <v>2798</v>
      </c>
      <c r="B1056" s="7" t="s">
        <v>9</v>
      </c>
      <c r="C1056" s="16" t="s">
        <v>40</v>
      </c>
      <c r="D1056" s="16" t="s">
        <v>41</v>
      </c>
      <c r="E1056" s="13" t="str">
        <f>+HYPERLINK("http://trademark.i-assist.jp/data/china/image_1891th/77506559.pdf","77506559")</f>
        <v>77506559</v>
      </c>
      <c r="F1056" s="16" t="s">
        <v>2796</v>
      </c>
      <c r="G1056" s="16" t="s">
        <v>2795</v>
      </c>
      <c r="H1056" s="16" t="s">
        <v>2797</v>
      </c>
      <c r="I1056" s="17">
        <v>45376</v>
      </c>
    </row>
    <row r="1057" spans="1:9" x14ac:dyDescent="0.15">
      <c r="A1057" s="16" t="s">
        <v>2803</v>
      </c>
      <c r="B1057" s="7" t="s">
        <v>9</v>
      </c>
      <c r="C1057" s="16" t="s">
        <v>40</v>
      </c>
      <c r="D1057" s="16" t="s">
        <v>41</v>
      </c>
      <c r="E1057" s="13" t="str">
        <f>+HYPERLINK("http://trademark.i-assist.jp/data/china/image_1891th/77506566.pdf","77506566")</f>
        <v>77506566</v>
      </c>
      <c r="F1057" s="16" t="s">
        <v>2801</v>
      </c>
      <c r="G1057" s="16" t="s">
        <v>2800</v>
      </c>
      <c r="H1057" s="16" t="s">
        <v>2802</v>
      </c>
      <c r="I1057" s="17">
        <v>45376</v>
      </c>
    </row>
    <row r="1058" spans="1:9" x14ac:dyDescent="0.15">
      <c r="A1058" s="16" t="s">
        <v>2808</v>
      </c>
      <c r="B1058" s="7" t="s">
        <v>9</v>
      </c>
      <c r="C1058" s="16" t="s">
        <v>40</v>
      </c>
      <c r="D1058" s="16" t="s">
        <v>41</v>
      </c>
      <c r="E1058" s="13" t="str">
        <f>+HYPERLINK("http://trademark.i-assist.jp/data/china/image_1891th/77506593.pdf","77506593")</f>
        <v>77506593</v>
      </c>
      <c r="F1058" s="16" t="s">
        <v>2806</v>
      </c>
      <c r="G1058" s="16" t="s">
        <v>2805</v>
      </c>
      <c r="H1058" s="16" t="s">
        <v>2807</v>
      </c>
      <c r="I1058" s="17">
        <v>45376</v>
      </c>
    </row>
    <row r="1059" spans="1:9" x14ac:dyDescent="0.15">
      <c r="A1059" s="16" t="s">
        <v>2813</v>
      </c>
      <c r="B1059" s="7" t="s">
        <v>9</v>
      </c>
      <c r="C1059" s="16" t="s">
        <v>40</v>
      </c>
      <c r="D1059" s="16" t="s">
        <v>41</v>
      </c>
      <c r="E1059" s="13" t="str">
        <f>+HYPERLINK("http://trademark.i-assist.jp/data/china/image_1891th/77506628.pdf","77506628")</f>
        <v>77506628</v>
      </c>
      <c r="F1059" s="16" t="s">
        <v>2811</v>
      </c>
      <c r="G1059" s="16" t="s">
        <v>2810</v>
      </c>
      <c r="H1059" s="16" t="s">
        <v>2812</v>
      </c>
      <c r="I1059" s="17">
        <v>45376</v>
      </c>
    </row>
    <row r="1060" spans="1:9" x14ac:dyDescent="0.15">
      <c r="A1060" s="16" t="s">
        <v>2818</v>
      </c>
      <c r="B1060" s="7" t="s">
        <v>9</v>
      </c>
      <c r="C1060" s="16" t="s">
        <v>40</v>
      </c>
      <c r="D1060" s="16" t="s">
        <v>41</v>
      </c>
      <c r="E1060" s="13" t="str">
        <f>+HYPERLINK("http://trademark.i-assist.jp/data/china/image_1891th/77506737.pdf","77506737")</f>
        <v>77506737</v>
      </c>
      <c r="F1060" s="16" t="s">
        <v>2816</v>
      </c>
      <c r="G1060" s="16" t="s">
        <v>2815</v>
      </c>
      <c r="H1060" s="16" t="s">
        <v>2817</v>
      </c>
      <c r="I1060" s="17">
        <v>45376</v>
      </c>
    </row>
    <row r="1061" spans="1:9" x14ac:dyDescent="0.15">
      <c r="A1061" s="16" t="s">
        <v>2823</v>
      </c>
      <c r="B1061" s="7" t="s">
        <v>9</v>
      </c>
      <c r="C1061" s="16" t="s">
        <v>40</v>
      </c>
      <c r="D1061" s="16" t="s">
        <v>41</v>
      </c>
      <c r="E1061" s="13" t="str">
        <f>+HYPERLINK("http://trademark.i-assist.jp/data/china/image_1891th/77506832.pdf","77506832")</f>
        <v>77506832</v>
      </c>
      <c r="F1061" s="16" t="s">
        <v>2821</v>
      </c>
      <c r="G1061" s="16" t="s">
        <v>2820</v>
      </c>
      <c r="H1061" s="16" t="s">
        <v>2822</v>
      </c>
      <c r="I1061" s="17">
        <v>45376</v>
      </c>
    </row>
    <row r="1062" spans="1:9" x14ac:dyDescent="0.15">
      <c r="A1062" s="16" t="s">
        <v>5541</v>
      </c>
      <c r="B1062" s="7" t="s">
        <v>9</v>
      </c>
      <c r="C1062" s="16" t="s">
        <v>40</v>
      </c>
      <c r="D1062" s="16" t="s">
        <v>41</v>
      </c>
      <c r="E1062" s="13" t="str">
        <f>+HYPERLINK("http://trademark.i-assist.jp/data/china/image_1891th/77506945.pdf","77506945")</f>
        <v>77506945</v>
      </c>
      <c r="F1062" s="16" t="s">
        <v>11107</v>
      </c>
      <c r="G1062" s="16" t="s">
        <v>2825</v>
      </c>
      <c r="H1062" s="16" t="s">
        <v>2827</v>
      </c>
      <c r="I1062" s="17">
        <v>45376</v>
      </c>
    </row>
    <row r="1063" spans="1:9" x14ac:dyDescent="0.15">
      <c r="A1063" s="16" t="s">
        <v>5546</v>
      </c>
      <c r="B1063" s="7" t="s">
        <v>9</v>
      </c>
      <c r="C1063" s="16" t="s">
        <v>40</v>
      </c>
      <c r="D1063" s="16" t="s">
        <v>41</v>
      </c>
      <c r="E1063" s="13" t="str">
        <f>+HYPERLINK("http://trademark.i-assist.jp/data/china/image_1891th/77507028.pdf","77507028")</f>
        <v>77507028</v>
      </c>
      <c r="F1063" s="16" t="s">
        <v>5544</v>
      </c>
      <c r="G1063" s="16" t="s">
        <v>5543</v>
      </c>
      <c r="H1063" s="16" t="s">
        <v>5545</v>
      </c>
      <c r="I1063" s="17">
        <v>45376</v>
      </c>
    </row>
    <row r="1064" spans="1:9" x14ac:dyDescent="0.15">
      <c r="A1064" s="16" t="s">
        <v>5551</v>
      </c>
      <c r="B1064" s="7" t="s">
        <v>9</v>
      </c>
      <c r="C1064" s="16" t="s">
        <v>40</v>
      </c>
      <c r="D1064" s="16" t="s">
        <v>41</v>
      </c>
      <c r="E1064" s="13" t="str">
        <f>+HYPERLINK("http://trademark.i-assist.jp/data/china/image_1891th/77507041.pdf","77507041")</f>
        <v>77507041</v>
      </c>
      <c r="F1064" s="16" t="s">
        <v>5549</v>
      </c>
      <c r="G1064" s="16" t="s">
        <v>5548</v>
      </c>
      <c r="H1064" s="16" t="s">
        <v>5550</v>
      </c>
      <c r="I1064" s="17">
        <v>45376</v>
      </c>
    </row>
    <row r="1065" spans="1:9" x14ac:dyDescent="0.15">
      <c r="A1065" s="16" t="s">
        <v>5556</v>
      </c>
      <c r="B1065" s="7" t="s">
        <v>9</v>
      </c>
      <c r="C1065" s="16" t="s">
        <v>40</v>
      </c>
      <c r="D1065" s="16" t="s">
        <v>41</v>
      </c>
      <c r="E1065" s="13" t="str">
        <f>+HYPERLINK("http://trademark.i-assist.jp/data/china/image_1891th/77507094.pdf","77507094")</f>
        <v>77507094</v>
      </c>
      <c r="F1065" s="16" t="s">
        <v>5554</v>
      </c>
      <c r="G1065" s="16" t="s">
        <v>5553</v>
      </c>
      <c r="H1065" s="16" t="s">
        <v>5555</v>
      </c>
      <c r="I1065" s="17">
        <v>45376</v>
      </c>
    </row>
    <row r="1066" spans="1:9" x14ac:dyDescent="0.15">
      <c r="A1066" s="16" t="s">
        <v>5561</v>
      </c>
      <c r="B1066" s="7" t="s">
        <v>9</v>
      </c>
      <c r="C1066" s="16" t="s">
        <v>40</v>
      </c>
      <c r="D1066" s="16" t="s">
        <v>41</v>
      </c>
      <c r="E1066" s="13" t="str">
        <f>+HYPERLINK("http://trademark.i-assist.jp/data/china/image_1891th/77507153.pdf","77507153")</f>
        <v>77507153</v>
      </c>
      <c r="F1066" s="16" t="s">
        <v>5559</v>
      </c>
      <c r="G1066" s="16" t="s">
        <v>5558</v>
      </c>
      <c r="H1066" s="16" t="s">
        <v>5560</v>
      </c>
      <c r="I1066" s="17">
        <v>45376</v>
      </c>
    </row>
    <row r="1067" spans="1:9" x14ac:dyDescent="0.15">
      <c r="A1067" s="16" t="s">
        <v>5566</v>
      </c>
      <c r="B1067" s="7" t="s">
        <v>9</v>
      </c>
      <c r="C1067" s="16" t="s">
        <v>40</v>
      </c>
      <c r="D1067" s="16" t="s">
        <v>41</v>
      </c>
      <c r="E1067" s="13" t="str">
        <f>+HYPERLINK("http://trademark.i-assist.jp/data/china/image_1891th/77507532.pdf","77507532")</f>
        <v>77507532</v>
      </c>
      <c r="F1067" s="16" t="s">
        <v>5564</v>
      </c>
      <c r="G1067" s="16" t="s">
        <v>5563</v>
      </c>
      <c r="H1067" s="16" t="s">
        <v>5565</v>
      </c>
      <c r="I1067" s="17">
        <v>45376</v>
      </c>
    </row>
    <row r="1068" spans="1:9" x14ac:dyDescent="0.15">
      <c r="A1068" s="16" t="s">
        <v>5570</v>
      </c>
      <c r="B1068" s="7" t="s">
        <v>9</v>
      </c>
      <c r="C1068" s="16" t="s">
        <v>40</v>
      </c>
      <c r="D1068" s="16" t="s">
        <v>41</v>
      </c>
      <c r="E1068" s="13" t="str">
        <f>+HYPERLINK("http://trademark.i-assist.jp/data/china/image_1891th/77507568.pdf","77507568")</f>
        <v>77507568</v>
      </c>
      <c r="F1068" s="16" t="s">
        <v>5568</v>
      </c>
      <c r="G1068" s="16" t="s">
        <v>5155</v>
      </c>
      <c r="H1068" s="16" t="s">
        <v>5569</v>
      </c>
      <c r="I1068" s="17">
        <v>45376</v>
      </c>
    </row>
    <row r="1069" spans="1:9" x14ac:dyDescent="0.15">
      <c r="A1069" s="16" t="s">
        <v>5575</v>
      </c>
      <c r="B1069" s="7" t="s">
        <v>9</v>
      </c>
      <c r="C1069" s="16" t="s">
        <v>40</v>
      </c>
      <c r="D1069" s="16" t="s">
        <v>41</v>
      </c>
      <c r="E1069" s="13" t="str">
        <f>+HYPERLINK("http://trademark.i-assist.jp/data/china/image_1891th/77507835.pdf","77507835")</f>
        <v>77507835</v>
      </c>
      <c r="F1069" s="16" t="s">
        <v>5573</v>
      </c>
      <c r="G1069" s="16" t="s">
        <v>5572</v>
      </c>
      <c r="H1069" s="16" t="s">
        <v>5574</v>
      </c>
      <c r="I1069" s="17">
        <v>45376</v>
      </c>
    </row>
    <row r="1070" spans="1:9" x14ac:dyDescent="0.15">
      <c r="A1070" s="16" t="s">
        <v>5580</v>
      </c>
      <c r="B1070" s="7" t="s">
        <v>9</v>
      </c>
      <c r="C1070" s="16" t="s">
        <v>40</v>
      </c>
      <c r="D1070" s="16" t="s">
        <v>41</v>
      </c>
      <c r="E1070" s="13" t="str">
        <f>+HYPERLINK("http://trademark.i-assist.jp/data/china/image_1891th/77507875.pdf","77507875")</f>
        <v>77507875</v>
      </c>
      <c r="F1070" s="16" t="s">
        <v>5578</v>
      </c>
      <c r="G1070" s="16" t="s">
        <v>5577</v>
      </c>
      <c r="H1070" s="16" t="s">
        <v>5579</v>
      </c>
      <c r="I1070" s="17">
        <v>45376</v>
      </c>
    </row>
    <row r="1071" spans="1:9" x14ac:dyDescent="0.15">
      <c r="A1071" s="16" t="s">
        <v>5585</v>
      </c>
      <c r="B1071" s="7" t="s">
        <v>9</v>
      </c>
      <c r="C1071" s="16" t="s">
        <v>40</v>
      </c>
      <c r="D1071" s="16" t="s">
        <v>41</v>
      </c>
      <c r="E1071" s="13" t="str">
        <f>+HYPERLINK("http://trademark.i-assist.jp/data/china/image_1891th/77507943.pdf","77507943")</f>
        <v>77507943</v>
      </c>
      <c r="F1071" s="16" t="s">
        <v>5583</v>
      </c>
      <c r="G1071" s="16" t="s">
        <v>5582</v>
      </c>
      <c r="H1071" s="16" t="s">
        <v>5584</v>
      </c>
      <c r="I1071" s="17">
        <v>45376</v>
      </c>
    </row>
    <row r="1072" spans="1:9" x14ac:dyDescent="0.15">
      <c r="A1072" s="16" t="s">
        <v>5589</v>
      </c>
      <c r="B1072" s="7" t="s">
        <v>9</v>
      </c>
      <c r="C1072" s="16" t="s">
        <v>40</v>
      </c>
      <c r="D1072" s="16" t="s">
        <v>41</v>
      </c>
      <c r="E1072" s="13" t="str">
        <f>+HYPERLINK("http://trademark.i-assist.jp/data/china/image_1891th/77507986.pdf","77507986")</f>
        <v>77507986</v>
      </c>
      <c r="F1072" s="16" t="s">
        <v>5587</v>
      </c>
      <c r="G1072" s="16" t="s">
        <v>5363</v>
      </c>
      <c r="H1072" s="16" t="s">
        <v>5588</v>
      </c>
      <c r="I1072" s="17">
        <v>45376</v>
      </c>
    </row>
    <row r="1073" spans="1:9" x14ac:dyDescent="0.15">
      <c r="A1073" s="16" t="s">
        <v>5594</v>
      </c>
      <c r="B1073" s="7" t="s">
        <v>9</v>
      </c>
      <c r="C1073" s="16" t="s">
        <v>40</v>
      </c>
      <c r="D1073" s="16" t="s">
        <v>41</v>
      </c>
      <c r="E1073" s="13" t="str">
        <f>+HYPERLINK("http://trademark.i-assist.jp/data/china/image_1891th/77508014.pdf","77508014")</f>
        <v>77508014</v>
      </c>
      <c r="F1073" s="16" t="s">
        <v>5592</v>
      </c>
      <c r="G1073" s="16" t="s">
        <v>5591</v>
      </c>
      <c r="H1073" s="16" t="s">
        <v>5593</v>
      </c>
      <c r="I1073" s="17">
        <v>45376</v>
      </c>
    </row>
    <row r="1074" spans="1:9" x14ac:dyDescent="0.15">
      <c r="A1074" s="16" t="s">
        <v>5599</v>
      </c>
      <c r="B1074" s="7" t="s">
        <v>9</v>
      </c>
      <c r="C1074" s="16" t="s">
        <v>40</v>
      </c>
      <c r="D1074" s="16" t="s">
        <v>41</v>
      </c>
      <c r="E1074" s="13" t="str">
        <f>+HYPERLINK("http://trademark.i-assist.jp/data/china/image_1891th/77508073.pdf","77508073")</f>
        <v>77508073</v>
      </c>
      <c r="F1074" s="16" t="s">
        <v>5597</v>
      </c>
      <c r="G1074" s="16" t="s">
        <v>5596</v>
      </c>
      <c r="H1074" s="16" t="s">
        <v>5598</v>
      </c>
      <c r="I1074" s="17">
        <v>45376</v>
      </c>
    </row>
    <row r="1075" spans="1:9" x14ac:dyDescent="0.15">
      <c r="A1075" s="16" t="s">
        <v>5603</v>
      </c>
      <c r="B1075" s="7" t="s">
        <v>9</v>
      </c>
      <c r="C1075" s="16" t="s">
        <v>40</v>
      </c>
      <c r="D1075" s="16" t="s">
        <v>41</v>
      </c>
      <c r="E1075" s="13" t="str">
        <f>+HYPERLINK("http://trademark.i-assist.jp/data/china/image_1891th/77508205.pdf","77508205")</f>
        <v>77508205</v>
      </c>
      <c r="F1075" s="16" t="s">
        <v>5601</v>
      </c>
      <c r="G1075" s="16" t="s">
        <v>5601</v>
      </c>
      <c r="H1075" s="16" t="s">
        <v>5602</v>
      </c>
      <c r="I1075" s="17">
        <v>45376</v>
      </c>
    </row>
    <row r="1076" spans="1:9" x14ac:dyDescent="0.15">
      <c r="A1076" s="16" t="s">
        <v>5607</v>
      </c>
      <c r="B1076" s="7" t="s">
        <v>9</v>
      </c>
      <c r="C1076" s="16" t="s">
        <v>40</v>
      </c>
      <c r="D1076" s="16" t="s">
        <v>41</v>
      </c>
      <c r="E1076" s="13" t="str">
        <f>+HYPERLINK("http://trademark.i-assist.jp/data/china/image_1891th/77508212.pdf","77508212")</f>
        <v>77508212</v>
      </c>
      <c r="F1076" s="16" t="s">
        <v>5605</v>
      </c>
      <c r="G1076" s="16" t="s">
        <v>4558</v>
      </c>
      <c r="H1076" s="16" t="s">
        <v>5606</v>
      </c>
      <c r="I1076" s="17">
        <v>45376</v>
      </c>
    </row>
    <row r="1077" spans="1:9" x14ac:dyDescent="0.15">
      <c r="A1077" s="16" t="s">
        <v>5612</v>
      </c>
      <c r="B1077" s="7" t="s">
        <v>9</v>
      </c>
      <c r="C1077" s="16" t="s">
        <v>40</v>
      </c>
      <c r="D1077" s="16" t="s">
        <v>41</v>
      </c>
      <c r="E1077" s="13" t="str">
        <f>+HYPERLINK("http://trademark.i-assist.jp/data/china/image_1891th/77508331.pdf","77508331")</f>
        <v>77508331</v>
      </c>
      <c r="F1077" s="16" t="s">
        <v>5610</v>
      </c>
      <c r="G1077" s="16" t="s">
        <v>5609</v>
      </c>
      <c r="H1077" s="16" t="s">
        <v>5611</v>
      </c>
      <c r="I1077" s="17">
        <v>45376</v>
      </c>
    </row>
    <row r="1078" spans="1:9" x14ac:dyDescent="0.15">
      <c r="A1078" s="16" t="s">
        <v>5617</v>
      </c>
      <c r="B1078" s="7" t="s">
        <v>9</v>
      </c>
      <c r="C1078" s="16" t="s">
        <v>40</v>
      </c>
      <c r="D1078" s="16" t="s">
        <v>41</v>
      </c>
      <c r="E1078" s="13" t="str">
        <f>+HYPERLINK("http://trademark.i-assist.jp/data/china/image_1891th/77508428.pdf","77508428")</f>
        <v>77508428</v>
      </c>
      <c r="F1078" s="16" t="s">
        <v>5615</v>
      </c>
      <c r="G1078" s="16" t="s">
        <v>5614</v>
      </c>
      <c r="H1078" s="16" t="s">
        <v>5616</v>
      </c>
      <c r="I1078" s="17">
        <v>45376</v>
      </c>
    </row>
    <row r="1079" spans="1:9" x14ac:dyDescent="0.15">
      <c r="A1079" s="16" t="s">
        <v>5622</v>
      </c>
      <c r="B1079" s="7" t="s">
        <v>9</v>
      </c>
      <c r="C1079" s="16" t="s">
        <v>40</v>
      </c>
      <c r="D1079" s="16" t="s">
        <v>41</v>
      </c>
      <c r="E1079" s="13" t="str">
        <f>+HYPERLINK("http://trademark.i-assist.jp/data/china/image_1891th/77508657.pdf","77508657")</f>
        <v>77508657</v>
      </c>
      <c r="F1079" s="16" t="s">
        <v>5620</v>
      </c>
      <c r="G1079" s="16" t="s">
        <v>5619</v>
      </c>
      <c r="H1079" s="16" t="s">
        <v>5621</v>
      </c>
      <c r="I1079" s="17">
        <v>45376</v>
      </c>
    </row>
    <row r="1080" spans="1:9" x14ac:dyDescent="0.15">
      <c r="A1080" s="16" t="s">
        <v>5627</v>
      </c>
      <c r="B1080" s="7" t="s">
        <v>9</v>
      </c>
      <c r="C1080" s="16" t="s">
        <v>40</v>
      </c>
      <c r="D1080" s="16" t="s">
        <v>41</v>
      </c>
      <c r="E1080" s="13" t="str">
        <f>+HYPERLINK("http://trademark.i-assist.jp/data/china/image_1891th/77508701.pdf","77508701")</f>
        <v>77508701</v>
      </c>
      <c r="F1080" s="16" t="s">
        <v>5625</v>
      </c>
      <c r="G1080" s="16" t="s">
        <v>5624</v>
      </c>
      <c r="H1080" s="16" t="s">
        <v>5626</v>
      </c>
      <c r="I1080" s="17">
        <v>45376</v>
      </c>
    </row>
    <row r="1081" spans="1:9" x14ac:dyDescent="0.15">
      <c r="A1081" s="16" t="s">
        <v>5632</v>
      </c>
      <c r="B1081" s="7" t="s">
        <v>9</v>
      </c>
      <c r="C1081" s="16" t="s">
        <v>40</v>
      </c>
      <c r="D1081" s="16" t="s">
        <v>41</v>
      </c>
      <c r="E1081" s="13" t="str">
        <f>+HYPERLINK("http://trademark.i-assist.jp/data/china/image_1891th/77508778.pdf","77508778")</f>
        <v>77508778</v>
      </c>
      <c r="F1081" s="16" t="s">
        <v>5630</v>
      </c>
      <c r="G1081" s="16" t="s">
        <v>5629</v>
      </c>
      <c r="H1081" s="16" t="s">
        <v>5631</v>
      </c>
      <c r="I1081" s="17">
        <v>45376</v>
      </c>
    </row>
    <row r="1082" spans="1:9" x14ac:dyDescent="0.15">
      <c r="A1082" s="16" t="s">
        <v>5637</v>
      </c>
      <c r="B1082" s="7" t="s">
        <v>9</v>
      </c>
      <c r="C1082" s="16" t="s">
        <v>40</v>
      </c>
      <c r="D1082" s="16" t="s">
        <v>41</v>
      </c>
      <c r="E1082" s="13" t="str">
        <f>+HYPERLINK("http://trademark.i-assist.jp/data/china/image_1891th/77508795.pdf","77508795")</f>
        <v>77508795</v>
      </c>
      <c r="F1082" s="16" t="s">
        <v>5635</v>
      </c>
      <c r="G1082" s="16" t="s">
        <v>5634</v>
      </c>
      <c r="H1082" s="16" t="s">
        <v>5636</v>
      </c>
      <c r="I1082" s="17">
        <v>45376</v>
      </c>
    </row>
    <row r="1083" spans="1:9" x14ac:dyDescent="0.15">
      <c r="A1083" s="16" t="s">
        <v>5642</v>
      </c>
      <c r="B1083" s="7" t="s">
        <v>9</v>
      </c>
      <c r="C1083" s="16" t="s">
        <v>40</v>
      </c>
      <c r="D1083" s="16" t="s">
        <v>41</v>
      </c>
      <c r="E1083" s="13" t="str">
        <f>+HYPERLINK("http://trademark.i-assist.jp/data/china/image_1891th/77509048.pdf","77509048")</f>
        <v>77509048</v>
      </c>
      <c r="F1083" s="16" t="s">
        <v>5640</v>
      </c>
      <c r="G1083" s="16" t="s">
        <v>5639</v>
      </c>
      <c r="H1083" s="16" t="s">
        <v>5641</v>
      </c>
      <c r="I1083" s="17">
        <v>45376</v>
      </c>
    </row>
    <row r="1084" spans="1:9" x14ac:dyDescent="0.15">
      <c r="A1084" s="16" t="s">
        <v>5647</v>
      </c>
      <c r="B1084" s="7" t="s">
        <v>9</v>
      </c>
      <c r="C1084" s="16" t="s">
        <v>40</v>
      </c>
      <c r="D1084" s="16" t="s">
        <v>41</v>
      </c>
      <c r="E1084" s="13" t="str">
        <f>+HYPERLINK("http://trademark.i-assist.jp/data/china/image_1891th/77509126.pdf","77509126")</f>
        <v>77509126</v>
      </c>
      <c r="F1084" s="16" t="s">
        <v>5645</v>
      </c>
      <c r="G1084" s="16" t="s">
        <v>5644</v>
      </c>
      <c r="H1084" s="16" t="s">
        <v>5646</v>
      </c>
      <c r="I1084" s="17">
        <v>45376</v>
      </c>
    </row>
    <row r="1085" spans="1:9" x14ac:dyDescent="0.15">
      <c r="A1085" s="16" t="s">
        <v>5652</v>
      </c>
      <c r="B1085" s="7" t="s">
        <v>9</v>
      </c>
      <c r="C1085" s="16" t="s">
        <v>40</v>
      </c>
      <c r="D1085" s="16" t="s">
        <v>41</v>
      </c>
      <c r="E1085" s="13" t="str">
        <f>+HYPERLINK("http://trademark.i-assist.jp/data/china/image_1891th/77509337.pdf","77509337")</f>
        <v>77509337</v>
      </c>
      <c r="F1085" s="16" t="s">
        <v>5650</v>
      </c>
      <c r="G1085" s="16" t="s">
        <v>5649</v>
      </c>
      <c r="H1085" s="16" t="s">
        <v>5651</v>
      </c>
      <c r="I1085" s="17">
        <v>45376</v>
      </c>
    </row>
    <row r="1086" spans="1:9" x14ac:dyDescent="0.15">
      <c r="A1086" s="16" t="s">
        <v>5656</v>
      </c>
      <c r="B1086" s="7" t="s">
        <v>9</v>
      </c>
      <c r="C1086" s="16" t="s">
        <v>40</v>
      </c>
      <c r="D1086" s="16" t="s">
        <v>41</v>
      </c>
      <c r="E1086" s="13" t="str">
        <f>+HYPERLINK("http://trademark.i-assist.jp/data/china/image_1891th/77509367.pdf","77509367")</f>
        <v>77509367</v>
      </c>
      <c r="F1086" s="16" t="s">
        <v>5654</v>
      </c>
      <c r="G1086" s="16" t="s">
        <v>1829</v>
      </c>
      <c r="H1086" s="16" t="s">
        <v>5655</v>
      </c>
      <c r="I1086" s="17">
        <v>45376</v>
      </c>
    </row>
    <row r="1087" spans="1:9" x14ac:dyDescent="0.15">
      <c r="A1087" s="16" t="s">
        <v>5661</v>
      </c>
      <c r="B1087" s="7" t="s">
        <v>9</v>
      </c>
      <c r="C1087" s="16" t="s">
        <v>40</v>
      </c>
      <c r="D1087" s="16" t="s">
        <v>41</v>
      </c>
      <c r="E1087" s="13" t="str">
        <f>+HYPERLINK("http://trademark.i-assist.jp/data/china/image_1891th/77509736.pdf","77509736")</f>
        <v>77509736</v>
      </c>
      <c r="F1087" s="16" t="s">
        <v>5659</v>
      </c>
      <c r="G1087" s="16" t="s">
        <v>5658</v>
      </c>
      <c r="H1087" s="16" t="s">
        <v>5660</v>
      </c>
      <c r="I1087" s="17">
        <v>45376</v>
      </c>
    </row>
    <row r="1088" spans="1:9" x14ac:dyDescent="0.15">
      <c r="A1088" s="16" t="s">
        <v>5666</v>
      </c>
      <c r="B1088" s="7" t="s">
        <v>9</v>
      </c>
      <c r="C1088" s="16" t="s">
        <v>40</v>
      </c>
      <c r="D1088" s="16" t="s">
        <v>41</v>
      </c>
      <c r="E1088" s="13" t="str">
        <f>+HYPERLINK("http://trademark.i-assist.jp/data/china/image_1891th/77509778.pdf","77509778")</f>
        <v>77509778</v>
      </c>
      <c r="F1088" s="16" t="s">
        <v>5664</v>
      </c>
      <c r="G1088" s="16" t="s">
        <v>5663</v>
      </c>
      <c r="H1088" s="16" t="s">
        <v>5665</v>
      </c>
      <c r="I1088" s="17">
        <v>45376</v>
      </c>
    </row>
    <row r="1089" spans="1:9" x14ac:dyDescent="0.15">
      <c r="A1089" s="16" t="s">
        <v>5670</v>
      </c>
      <c r="B1089" s="7" t="s">
        <v>9</v>
      </c>
      <c r="C1089" s="16" t="s">
        <v>40</v>
      </c>
      <c r="D1089" s="16" t="s">
        <v>41</v>
      </c>
      <c r="E1089" s="13" t="str">
        <f>+HYPERLINK("http://trademark.i-assist.jp/data/china/image_1891th/77509919.pdf","77509919")</f>
        <v>77509919</v>
      </c>
      <c r="F1089" s="16" t="s">
        <v>5668</v>
      </c>
      <c r="G1089" s="16" t="s">
        <v>3173</v>
      </c>
      <c r="H1089" s="16" t="s">
        <v>5669</v>
      </c>
      <c r="I1089" s="17">
        <v>45376</v>
      </c>
    </row>
    <row r="1090" spans="1:9" x14ac:dyDescent="0.15">
      <c r="A1090" s="16" t="s">
        <v>5673</v>
      </c>
      <c r="B1090" s="7" t="s">
        <v>9</v>
      </c>
      <c r="C1090" s="16" t="s">
        <v>40</v>
      </c>
      <c r="D1090" s="16" t="s">
        <v>41</v>
      </c>
      <c r="E1090" s="13" t="str">
        <f>+HYPERLINK("http://trademark.i-assist.jp/data/china/image_1891th/77510053.pdf","77510053")</f>
        <v>77510053</v>
      </c>
      <c r="F1090" s="16" t="s">
        <v>1667</v>
      </c>
      <c r="G1090" s="16" t="s">
        <v>1666</v>
      </c>
      <c r="H1090" s="16" t="s">
        <v>5672</v>
      </c>
      <c r="I1090" s="17">
        <v>45376</v>
      </c>
    </row>
    <row r="1091" spans="1:9" x14ac:dyDescent="0.15">
      <c r="A1091" s="16" t="s">
        <v>5678</v>
      </c>
      <c r="B1091" s="7" t="s">
        <v>9</v>
      </c>
      <c r="C1091" s="16" t="s">
        <v>40</v>
      </c>
      <c r="D1091" s="16" t="s">
        <v>41</v>
      </c>
      <c r="E1091" s="13" t="str">
        <f>+HYPERLINK("http://trademark.i-assist.jp/data/china/image_1891th/77510315.pdf","77510315")</f>
        <v>77510315</v>
      </c>
      <c r="F1091" s="16" t="s">
        <v>5676</v>
      </c>
      <c r="G1091" s="16" t="s">
        <v>5675</v>
      </c>
      <c r="H1091" s="16" t="s">
        <v>5677</v>
      </c>
      <c r="I1091" s="17">
        <v>45376</v>
      </c>
    </row>
    <row r="1092" spans="1:9" x14ac:dyDescent="0.15">
      <c r="A1092" s="16" t="s">
        <v>5683</v>
      </c>
      <c r="B1092" s="7" t="s">
        <v>9</v>
      </c>
      <c r="C1092" s="16" t="s">
        <v>40</v>
      </c>
      <c r="D1092" s="16" t="s">
        <v>41</v>
      </c>
      <c r="E1092" s="13" t="str">
        <f>+HYPERLINK("http://trademark.i-assist.jp/data/china/image_1891th/77510330.pdf","77510330")</f>
        <v>77510330</v>
      </c>
      <c r="F1092" s="16" t="s">
        <v>5681</v>
      </c>
      <c r="G1092" s="16" t="s">
        <v>5680</v>
      </c>
      <c r="H1092" s="16" t="s">
        <v>5682</v>
      </c>
      <c r="I1092" s="17">
        <v>45376</v>
      </c>
    </row>
    <row r="1093" spans="1:9" x14ac:dyDescent="0.15">
      <c r="A1093" s="16" t="s">
        <v>5688</v>
      </c>
      <c r="B1093" s="7" t="s">
        <v>9</v>
      </c>
      <c r="C1093" s="16" t="s">
        <v>40</v>
      </c>
      <c r="D1093" s="16" t="s">
        <v>41</v>
      </c>
      <c r="E1093" s="13" t="str">
        <f>+HYPERLINK("http://trademark.i-assist.jp/data/china/image_1891th/77510608.pdf","77510608")</f>
        <v>77510608</v>
      </c>
      <c r="F1093" s="16" t="s">
        <v>5686</v>
      </c>
      <c r="G1093" s="16" t="s">
        <v>5685</v>
      </c>
      <c r="H1093" s="16" t="s">
        <v>5687</v>
      </c>
      <c r="I1093" s="17">
        <v>45376</v>
      </c>
    </row>
    <row r="1094" spans="1:9" x14ac:dyDescent="0.15">
      <c r="A1094" s="16" t="s">
        <v>5692</v>
      </c>
      <c r="B1094" s="7" t="s">
        <v>9</v>
      </c>
      <c r="C1094" s="16" t="s">
        <v>40</v>
      </c>
      <c r="D1094" s="16" t="s">
        <v>41</v>
      </c>
      <c r="E1094" s="13" t="str">
        <f>+HYPERLINK("http://trademark.i-assist.jp/data/china/image_1891th/77510812.pdf","77510812")</f>
        <v>77510812</v>
      </c>
      <c r="F1094" s="16" t="s">
        <v>5690</v>
      </c>
      <c r="G1094" s="16" t="s">
        <v>1701</v>
      </c>
      <c r="H1094" s="16" t="s">
        <v>5691</v>
      </c>
      <c r="I1094" s="17">
        <v>45376</v>
      </c>
    </row>
    <row r="1095" spans="1:9" x14ac:dyDescent="0.15">
      <c r="A1095" s="16" t="s">
        <v>5697</v>
      </c>
      <c r="B1095" s="7" t="s">
        <v>9</v>
      </c>
      <c r="C1095" s="16" t="s">
        <v>40</v>
      </c>
      <c r="D1095" s="16" t="s">
        <v>41</v>
      </c>
      <c r="E1095" s="13" t="str">
        <f>+HYPERLINK("http://trademark.i-assist.jp/data/china/image_1891th/77511126.pdf","77511126")</f>
        <v>77511126</v>
      </c>
      <c r="F1095" s="16" t="s">
        <v>5695</v>
      </c>
      <c r="G1095" s="16" t="s">
        <v>5694</v>
      </c>
      <c r="H1095" s="16" t="s">
        <v>5696</v>
      </c>
      <c r="I1095" s="17">
        <v>45376</v>
      </c>
    </row>
    <row r="1096" spans="1:9" x14ac:dyDescent="0.15">
      <c r="A1096" s="16" t="s">
        <v>5702</v>
      </c>
      <c r="B1096" s="7" t="s">
        <v>9</v>
      </c>
      <c r="C1096" s="16" t="s">
        <v>40</v>
      </c>
      <c r="D1096" s="16" t="s">
        <v>41</v>
      </c>
      <c r="E1096" s="13" t="str">
        <f>+HYPERLINK("http://trademark.i-assist.jp/data/china/image_1891th/77511138.pdf","77511138")</f>
        <v>77511138</v>
      </c>
      <c r="F1096" s="16" t="s">
        <v>5700</v>
      </c>
      <c r="G1096" s="16" t="s">
        <v>5699</v>
      </c>
      <c r="H1096" s="16" t="s">
        <v>5701</v>
      </c>
      <c r="I1096" s="17">
        <v>45376</v>
      </c>
    </row>
    <row r="1097" spans="1:9" x14ac:dyDescent="0.15">
      <c r="A1097" s="16" t="s">
        <v>5707</v>
      </c>
      <c r="B1097" s="7" t="s">
        <v>9</v>
      </c>
      <c r="C1097" s="16" t="s">
        <v>40</v>
      </c>
      <c r="D1097" s="16" t="s">
        <v>41</v>
      </c>
      <c r="E1097" s="13" t="str">
        <f>+HYPERLINK("http://trademark.i-assist.jp/data/china/image_1891th/77511466.pdf","77511466")</f>
        <v>77511466</v>
      </c>
      <c r="F1097" s="16" t="s">
        <v>5705</v>
      </c>
      <c r="G1097" s="16" t="s">
        <v>5704</v>
      </c>
      <c r="H1097" s="16" t="s">
        <v>5706</v>
      </c>
      <c r="I1097" s="17">
        <v>45376</v>
      </c>
    </row>
    <row r="1098" spans="1:9" x14ac:dyDescent="0.15">
      <c r="A1098" s="16" t="s">
        <v>5712</v>
      </c>
      <c r="B1098" s="7" t="s">
        <v>9</v>
      </c>
      <c r="C1098" s="16" t="s">
        <v>40</v>
      </c>
      <c r="D1098" s="16" t="s">
        <v>41</v>
      </c>
      <c r="E1098" s="13" t="str">
        <f>+HYPERLINK("http://trademark.i-assist.jp/data/china/image_1891th/77511593.pdf","77511593")</f>
        <v>77511593</v>
      </c>
      <c r="F1098" s="16" t="s">
        <v>5710</v>
      </c>
      <c r="G1098" s="16" t="s">
        <v>5709</v>
      </c>
      <c r="H1098" s="16" t="s">
        <v>5711</v>
      </c>
      <c r="I1098" s="17">
        <v>45376</v>
      </c>
    </row>
    <row r="1099" spans="1:9" x14ac:dyDescent="0.15">
      <c r="A1099" s="16" t="s">
        <v>5717</v>
      </c>
      <c r="B1099" s="7" t="s">
        <v>9</v>
      </c>
      <c r="C1099" s="16" t="s">
        <v>40</v>
      </c>
      <c r="D1099" s="16" t="s">
        <v>41</v>
      </c>
      <c r="E1099" s="13" t="str">
        <f>+HYPERLINK("http://trademark.i-assist.jp/data/china/image_1891th/77511605.pdf","77511605")</f>
        <v>77511605</v>
      </c>
      <c r="F1099" s="16" t="s">
        <v>5715</v>
      </c>
      <c r="G1099" s="16" t="s">
        <v>5714</v>
      </c>
      <c r="H1099" s="16" t="s">
        <v>5716</v>
      </c>
      <c r="I1099" s="17">
        <v>45376</v>
      </c>
    </row>
    <row r="1100" spans="1:9" x14ac:dyDescent="0.15">
      <c r="A1100" s="16" t="s">
        <v>5722</v>
      </c>
      <c r="B1100" s="7" t="s">
        <v>9</v>
      </c>
      <c r="C1100" s="16" t="s">
        <v>40</v>
      </c>
      <c r="D1100" s="16" t="s">
        <v>41</v>
      </c>
      <c r="E1100" s="13" t="str">
        <f>+HYPERLINK("http://trademark.i-assist.jp/data/china/image_1891th/77511650.pdf","77511650")</f>
        <v>77511650</v>
      </c>
      <c r="F1100" s="16" t="s">
        <v>5720</v>
      </c>
      <c r="G1100" s="16" t="s">
        <v>5719</v>
      </c>
      <c r="H1100" s="16" t="s">
        <v>5721</v>
      </c>
      <c r="I1100" s="17">
        <v>45376</v>
      </c>
    </row>
    <row r="1101" spans="1:9" x14ac:dyDescent="0.15">
      <c r="A1101" s="16" t="s">
        <v>5726</v>
      </c>
      <c r="B1101" s="7" t="s">
        <v>9</v>
      </c>
      <c r="C1101" s="16" t="s">
        <v>40</v>
      </c>
      <c r="D1101" s="16" t="s">
        <v>41</v>
      </c>
      <c r="E1101" s="13" t="str">
        <f>+HYPERLINK("http://trademark.i-assist.jp/data/china/image_1891th/77511738.pdf","77511738")</f>
        <v>77511738</v>
      </c>
      <c r="F1101" s="16" t="s">
        <v>5724</v>
      </c>
      <c r="G1101" s="16" t="s">
        <v>2092</v>
      </c>
      <c r="H1101" s="16" t="s">
        <v>5725</v>
      </c>
      <c r="I1101" s="17">
        <v>45376</v>
      </c>
    </row>
    <row r="1102" spans="1:9" x14ac:dyDescent="0.15">
      <c r="A1102" s="16" t="s">
        <v>5731</v>
      </c>
      <c r="B1102" s="7" t="s">
        <v>9</v>
      </c>
      <c r="C1102" s="16" t="s">
        <v>40</v>
      </c>
      <c r="D1102" s="16" t="s">
        <v>41</v>
      </c>
      <c r="E1102" s="13" t="str">
        <f>+HYPERLINK("http://trademark.i-assist.jp/data/china/image_1891th/77511743.pdf","77511743")</f>
        <v>77511743</v>
      </c>
      <c r="F1102" s="16" t="s">
        <v>5729</v>
      </c>
      <c r="G1102" s="16" t="s">
        <v>5728</v>
      </c>
      <c r="H1102" s="16" t="s">
        <v>5730</v>
      </c>
      <c r="I1102" s="17">
        <v>45376</v>
      </c>
    </row>
    <row r="1103" spans="1:9" x14ac:dyDescent="0.15">
      <c r="A1103" s="16" t="s">
        <v>5736</v>
      </c>
      <c r="B1103" s="7" t="s">
        <v>9</v>
      </c>
      <c r="C1103" s="16" t="s">
        <v>40</v>
      </c>
      <c r="D1103" s="16" t="s">
        <v>41</v>
      </c>
      <c r="E1103" s="13" t="str">
        <f>+HYPERLINK("http://trademark.i-assist.jp/data/china/image_1891th/77511760.pdf","77511760")</f>
        <v>77511760</v>
      </c>
      <c r="F1103" s="16" t="s">
        <v>5734</v>
      </c>
      <c r="G1103" s="16" t="s">
        <v>5733</v>
      </c>
      <c r="H1103" s="16" t="s">
        <v>5735</v>
      </c>
      <c r="I1103" s="17">
        <v>45376</v>
      </c>
    </row>
    <row r="1104" spans="1:9" x14ac:dyDescent="0.15">
      <c r="A1104" s="16" t="s">
        <v>5740</v>
      </c>
      <c r="B1104" s="7" t="s">
        <v>9</v>
      </c>
      <c r="C1104" s="16" t="s">
        <v>40</v>
      </c>
      <c r="D1104" s="16" t="s">
        <v>41</v>
      </c>
      <c r="E1104" s="13" t="str">
        <f>+HYPERLINK("http://trademark.i-assist.jp/data/china/image_1891th/77511780.pdf","77511780")</f>
        <v>77511780</v>
      </c>
      <c r="F1104" s="16" t="s">
        <v>5738</v>
      </c>
      <c r="G1104" s="16" t="s">
        <v>5223</v>
      </c>
      <c r="H1104" s="16" t="s">
        <v>5739</v>
      </c>
      <c r="I1104" s="17">
        <v>45376</v>
      </c>
    </row>
    <row r="1105" spans="1:9" x14ac:dyDescent="0.15">
      <c r="A1105" s="16" t="s">
        <v>5745</v>
      </c>
      <c r="B1105" s="7" t="s">
        <v>9</v>
      </c>
      <c r="C1105" s="16" t="s">
        <v>40</v>
      </c>
      <c r="D1105" s="16" t="s">
        <v>41</v>
      </c>
      <c r="E1105" s="13" t="str">
        <f>+HYPERLINK("http://trademark.i-assist.jp/data/china/image_1891th/77511782.pdf","77511782")</f>
        <v>77511782</v>
      </c>
      <c r="F1105" s="16" t="s">
        <v>5743</v>
      </c>
      <c r="G1105" s="16" t="s">
        <v>5742</v>
      </c>
      <c r="H1105" s="16" t="s">
        <v>5744</v>
      </c>
      <c r="I1105" s="17">
        <v>45376</v>
      </c>
    </row>
    <row r="1106" spans="1:9" x14ac:dyDescent="0.15">
      <c r="A1106" s="16" t="s">
        <v>5750</v>
      </c>
      <c r="B1106" s="7" t="s">
        <v>9</v>
      </c>
      <c r="C1106" s="16" t="s">
        <v>40</v>
      </c>
      <c r="D1106" s="16" t="s">
        <v>41</v>
      </c>
      <c r="E1106" s="13" t="str">
        <f>+HYPERLINK("http://trademark.i-assist.jp/data/china/image_1891th/77511974.pdf","77511974")</f>
        <v>77511974</v>
      </c>
      <c r="F1106" s="16" t="s">
        <v>5748</v>
      </c>
      <c r="G1106" s="16" t="s">
        <v>5747</v>
      </c>
      <c r="H1106" s="16" t="s">
        <v>5749</v>
      </c>
      <c r="I1106" s="17">
        <v>45376</v>
      </c>
    </row>
    <row r="1107" spans="1:9" x14ac:dyDescent="0.15">
      <c r="A1107" s="16" t="s">
        <v>5755</v>
      </c>
      <c r="B1107" s="7" t="s">
        <v>9</v>
      </c>
      <c r="C1107" s="16" t="s">
        <v>40</v>
      </c>
      <c r="D1107" s="16" t="s">
        <v>41</v>
      </c>
      <c r="E1107" s="13" t="str">
        <f>+HYPERLINK("http://trademark.i-assist.jp/data/china/image_1891th/77511990.pdf","77511990")</f>
        <v>77511990</v>
      </c>
      <c r="F1107" s="16" t="s">
        <v>5753</v>
      </c>
      <c r="G1107" s="16" t="s">
        <v>5752</v>
      </c>
      <c r="H1107" s="16" t="s">
        <v>5754</v>
      </c>
      <c r="I1107" s="17">
        <v>45376</v>
      </c>
    </row>
    <row r="1108" spans="1:9" x14ac:dyDescent="0.15">
      <c r="A1108" s="16" t="s">
        <v>5760</v>
      </c>
      <c r="B1108" s="7" t="s">
        <v>9</v>
      </c>
      <c r="C1108" s="16" t="s">
        <v>40</v>
      </c>
      <c r="D1108" s="16" t="s">
        <v>41</v>
      </c>
      <c r="E1108" s="13" t="str">
        <f>+HYPERLINK("http://trademark.i-assist.jp/data/china/image_1891th/77512016.pdf","77512016")</f>
        <v>77512016</v>
      </c>
      <c r="F1108" s="16" t="s">
        <v>5758</v>
      </c>
      <c r="G1108" s="16" t="s">
        <v>5757</v>
      </c>
      <c r="H1108" s="16" t="s">
        <v>5759</v>
      </c>
      <c r="I1108" s="17">
        <v>45376</v>
      </c>
    </row>
    <row r="1109" spans="1:9" x14ac:dyDescent="0.15">
      <c r="A1109" s="16" t="s">
        <v>5765</v>
      </c>
      <c r="B1109" s="7" t="s">
        <v>9</v>
      </c>
      <c r="C1109" s="16" t="s">
        <v>40</v>
      </c>
      <c r="D1109" s="16" t="s">
        <v>41</v>
      </c>
      <c r="E1109" s="13" t="str">
        <f>+HYPERLINK("http://trademark.i-assist.jp/data/china/image_1891th/77512099.pdf","77512099")</f>
        <v>77512099</v>
      </c>
      <c r="F1109" s="16" t="s">
        <v>5763</v>
      </c>
      <c r="G1109" s="16" t="s">
        <v>5762</v>
      </c>
      <c r="H1109" s="16" t="s">
        <v>5764</v>
      </c>
      <c r="I1109" s="17">
        <v>45376</v>
      </c>
    </row>
    <row r="1110" spans="1:9" x14ac:dyDescent="0.15">
      <c r="A1110" s="16" t="s">
        <v>5770</v>
      </c>
      <c r="B1110" s="7" t="s">
        <v>9</v>
      </c>
      <c r="C1110" s="16" t="s">
        <v>40</v>
      </c>
      <c r="D1110" s="16" t="s">
        <v>41</v>
      </c>
      <c r="E1110" s="13" t="str">
        <f>+HYPERLINK("http://trademark.i-assist.jp/data/china/image_1891th/77512119.pdf","77512119")</f>
        <v>77512119</v>
      </c>
      <c r="F1110" s="16" t="s">
        <v>5768</v>
      </c>
      <c r="G1110" s="16" t="s">
        <v>5767</v>
      </c>
      <c r="H1110" s="16" t="s">
        <v>5769</v>
      </c>
      <c r="I1110" s="17">
        <v>45376</v>
      </c>
    </row>
    <row r="1111" spans="1:9" x14ac:dyDescent="0.15">
      <c r="A1111" s="16" t="s">
        <v>5774</v>
      </c>
      <c r="B1111" s="7" t="s">
        <v>9</v>
      </c>
      <c r="C1111" s="16" t="s">
        <v>40</v>
      </c>
      <c r="D1111" s="16" t="s">
        <v>41</v>
      </c>
      <c r="E1111" s="13" t="str">
        <f>+HYPERLINK("http://trademark.i-assist.jp/data/china/image_1891th/77512122.pdf","77512122")</f>
        <v>77512122</v>
      </c>
      <c r="F1111" s="16" t="s">
        <v>5772</v>
      </c>
      <c r="G1111" s="16" t="s">
        <v>2825</v>
      </c>
      <c r="H1111" s="16" t="s">
        <v>5773</v>
      </c>
      <c r="I1111" s="17">
        <v>45376</v>
      </c>
    </row>
    <row r="1112" spans="1:9" x14ac:dyDescent="0.15">
      <c r="A1112" s="16" t="s">
        <v>5778</v>
      </c>
      <c r="B1112" s="7" t="s">
        <v>9</v>
      </c>
      <c r="C1112" s="16" t="s">
        <v>40</v>
      </c>
      <c r="D1112" s="16" t="s">
        <v>41</v>
      </c>
      <c r="E1112" s="13" t="str">
        <f>+HYPERLINK("http://trademark.i-assist.jp/data/china/image_1891th/77512275.pdf","77512275")</f>
        <v>77512275</v>
      </c>
      <c r="F1112" s="16" t="s">
        <v>5776</v>
      </c>
      <c r="G1112" s="16" t="s">
        <v>5019</v>
      </c>
      <c r="H1112" s="16" t="s">
        <v>5777</v>
      </c>
      <c r="I1112" s="17">
        <v>45376</v>
      </c>
    </row>
    <row r="1113" spans="1:9" x14ac:dyDescent="0.15">
      <c r="A1113" s="16" t="s">
        <v>5782</v>
      </c>
      <c r="B1113" s="7" t="s">
        <v>9</v>
      </c>
      <c r="C1113" s="16" t="s">
        <v>40</v>
      </c>
      <c r="D1113" s="16" t="s">
        <v>41</v>
      </c>
      <c r="E1113" s="13" t="str">
        <f>+HYPERLINK("http://trademark.i-assist.jp/data/china/image_1891th/77512293.pdf","77512293")</f>
        <v>77512293</v>
      </c>
      <c r="F1113" s="16" t="s">
        <v>5780</v>
      </c>
      <c r="G1113" s="16" t="s">
        <v>5767</v>
      </c>
      <c r="H1113" s="16" t="s">
        <v>5781</v>
      </c>
      <c r="I1113" s="17">
        <v>45376</v>
      </c>
    </row>
    <row r="1114" spans="1:9" x14ac:dyDescent="0.15">
      <c r="A1114" s="16" t="s">
        <v>5786</v>
      </c>
      <c r="B1114" s="7" t="s">
        <v>9</v>
      </c>
      <c r="C1114" s="16" t="s">
        <v>40</v>
      </c>
      <c r="D1114" s="16" t="s">
        <v>41</v>
      </c>
      <c r="E1114" s="13" t="str">
        <f>+HYPERLINK("http://trademark.i-assist.jp/data/china/image_1891th/77512297.pdf","77512297")</f>
        <v>77512297</v>
      </c>
      <c r="F1114" s="16" t="s">
        <v>5784</v>
      </c>
      <c r="G1114" s="16" t="s">
        <v>5019</v>
      </c>
      <c r="H1114" s="16" t="s">
        <v>5785</v>
      </c>
      <c r="I1114" s="17">
        <v>45376</v>
      </c>
    </row>
    <row r="1115" spans="1:9" x14ac:dyDescent="0.15">
      <c r="A1115" s="16" t="s">
        <v>5790</v>
      </c>
      <c r="B1115" s="7" t="s">
        <v>9</v>
      </c>
      <c r="C1115" s="16" t="s">
        <v>40</v>
      </c>
      <c r="D1115" s="16" t="s">
        <v>41</v>
      </c>
      <c r="E1115" s="13" t="str">
        <f>+HYPERLINK("http://trademark.i-assist.jp/data/china/image_1891th/77512515.pdf","77512515")</f>
        <v>77512515</v>
      </c>
      <c r="F1115" s="16" t="s">
        <v>11129</v>
      </c>
      <c r="G1115" s="16" t="s">
        <v>5548</v>
      </c>
      <c r="H1115" s="16" t="s">
        <v>5789</v>
      </c>
      <c r="I1115" s="17">
        <v>45376</v>
      </c>
    </row>
    <row r="1116" spans="1:9" x14ac:dyDescent="0.15">
      <c r="A1116" s="16" t="s">
        <v>5795</v>
      </c>
      <c r="B1116" s="7" t="s">
        <v>9</v>
      </c>
      <c r="C1116" s="16" t="s">
        <v>40</v>
      </c>
      <c r="D1116" s="16" t="s">
        <v>41</v>
      </c>
      <c r="E1116" s="13" t="str">
        <f>+HYPERLINK("http://trademark.i-assist.jp/data/china/image_1891th/77512672.pdf","77512672")</f>
        <v>77512672</v>
      </c>
      <c r="F1116" s="16" t="s">
        <v>5793</v>
      </c>
      <c r="G1116" s="16" t="s">
        <v>5792</v>
      </c>
      <c r="H1116" s="16" t="s">
        <v>5794</v>
      </c>
      <c r="I1116" s="17">
        <v>45376</v>
      </c>
    </row>
    <row r="1117" spans="1:9" x14ac:dyDescent="0.15">
      <c r="A1117" s="16" t="s">
        <v>5799</v>
      </c>
      <c r="B1117" s="7" t="s">
        <v>9</v>
      </c>
      <c r="C1117" s="16" t="s">
        <v>40</v>
      </c>
      <c r="D1117" s="16" t="s">
        <v>41</v>
      </c>
      <c r="E1117" s="13" t="str">
        <f>+HYPERLINK("http://trademark.i-assist.jp/data/china/image_1891th/77512754.pdf","77512754")</f>
        <v>77512754</v>
      </c>
      <c r="F1117" s="16" t="s">
        <v>5797</v>
      </c>
      <c r="G1117" s="16" t="s">
        <v>5122</v>
      </c>
      <c r="H1117" s="16" t="s">
        <v>5798</v>
      </c>
      <c r="I1117" s="17">
        <v>45376</v>
      </c>
    </row>
    <row r="1118" spans="1:9" x14ac:dyDescent="0.15">
      <c r="A1118" s="16" t="s">
        <v>5804</v>
      </c>
      <c r="B1118" s="7" t="s">
        <v>9</v>
      </c>
      <c r="C1118" s="16" t="s">
        <v>40</v>
      </c>
      <c r="D1118" s="16" t="s">
        <v>41</v>
      </c>
      <c r="E1118" s="13" t="str">
        <f>+HYPERLINK("http://trademark.i-assist.jp/data/china/image_1891th/77513033.pdf","77513033")</f>
        <v>77513033</v>
      </c>
      <c r="F1118" s="16" t="s">
        <v>5802</v>
      </c>
      <c r="G1118" s="16" t="s">
        <v>5801</v>
      </c>
      <c r="H1118" s="16" t="s">
        <v>5803</v>
      </c>
      <c r="I1118" s="17">
        <v>45376</v>
      </c>
    </row>
    <row r="1119" spans="1:9" x14ac:dyDescent="0.15">
      <c r="A1119" s="16" t="s">
        <v>5808</v>
      </c>
      <c r="B1119" s="7" t="s">
        <v>9</v>
      </c>
      <c r="C1119" s="16" t="s">
        <v>40</v>
      </c>
      <c r="D1119" s="16" t="s">
        <v>41</v>
      </c>
      <c r="E1119" s="13" t="str">
        <f>+HYPERLINK("http://trademark.i-assist.jp/data/china/image_1891th/77513072.pdf","77513072")</f>
        <v>77513072</v>
      </c>
      <c r="F1119" s="16" t="s">
        <v>5806</v>
      </c>
      <c r="G1119" s="16" t="s">
        <v>1732</v>
      </c>
      <c r="H1119" s="16" t="s">
        <v>5807</v>
      </c>
      <c r="I1119" s="17">
        <v>45376</v>
      </c>
    </row>
    <row r="1120" spans="1:9" x14ac:dyDescent="0.15">
      <c r="A1120" s="16" t="s">
        <v>5813</v>
      </c>
      <c r="B1120" s="7" t="s">
        <v>9</v>
      </c>
      <c r="C1120" s="16" t="s">
        <v>40</v>
      </c>
      <c r="D1120" s="16" t="s">
        <v>41</v>
      </c>
      <c r="E1120" s="13" t="str">
        <f>+HYPERLINK("http://trademark.i-assist.jp/data/china/image_1891th/77513115.pdf","77513115")</f>
        <v>77513115</v>
      </c>
      <c r="F1120" s="16" t="s">
        <v>5811</v>
      </c>
      <c r="G1120" s="16" t="s">
        <v>5810</v>
      </c>
      <c r="H1120" s="16" t="s">
        <v>5812</v>
      </c>
      <c r="I1120" s="17">
        <v>45376</v>
      </c>
    </row>
    <row r="1121" spans="1:9" x14ac:dyDescent="0.15">
      <c r="A1121" s="16" t="s">
        <v>5817</v>
      </c>
      <c r="B1121" s="7" t="s">
        <v>9</v>
      </c>
      <c r="C1121" s="16" t="s">
        <v>40</v>
      </c>
      <c r="D1121" s="16" t="s">
        <v>41</v>
      </c>
      <c r="E1121" s="13" t="str">
        <f>+HYPERLINK("http://trademark.i-assist.jp/data/china/image_1891th/77513148.pdf","77513148")</f>
        <v>77513148</v>
      </c>
      <c r="F1121" s="16" t="s">
        <v>52</v>
      </c>
      <c r="G1121" s="16" t="s">
        <v>5815</v>
      </c>
      <c r="H1121" s="16" t="s">
        <v>5816</v>
      </c>
      <c r="I1121" s="17">
        <v>45376</v>
      </c>
    </row>
    <row r="1122" spans="1:9" x14ac:dyDescent="0.15">
      <c r="A1122" s="16" t="s">
        <v>5822</v>
      </c>
      <c r="B1122" s="7" t="s">
        <v>9</v>
      </c>
      <c r="C1122" s="16" t="s">
        <v>40</v>
      </c>
      <c r="D1122" s="16" t="s">
        <v>41</v>
      </c>
      <c r="E1122" s="13" t="str">
        <f>+HYPERLINK("http://trademark.i-assist.jp/data/china/image_1891th/77513272.pdf","77513272")</f>
        <v>77513272</v>
      </c>
      <c r="F1122" s="16" t="s">
        <v>5820</v>
      </c>
      <c r="G1122" s="16" t="s">
        <v>5819</v>
      </c>
      <c r="H1122" s="16" t="s">
        <v>5821</v>
      </c>
      <c r="I1122" s="17">
        <v>45376</v>
      </c>
    </row>
    <row r="1123" spans="1:9" x14ac:dyDescent="0.15">
      <c r="A1123" s="16" t="s">
        <v>5827</v>
      </c>
      <c r="B1123" s="7" t="s">
        <v>9</v>
      </c>
      <c r="C1123" s="16" t="s">
        <v>40</v>
      </c>
      <c r="D1123" s="16" t="s">
        <v>41</v>
      </c>
      <c r="E1123" s="13" t="str">
        <f>+HYPERLINK("http://trademark.i-assist.jp/data/china/image_1891th/77513385.pdf","77513385")</f>
        <v>77513385</v>
      </c>
      <c r="F1123" s="16" t="s">
        <v>5825</v>
      </c>
      <c r="G1123" s="16" t="s">
        <v>5824</v>
      </c>
      <c r="H1123" s="16" t="s">
        <v>5826</v>
      </c>
      <c r="I1123" s="17">
        <v>45376</v>
      </c>
    </row>
    <row r="1124" spans="1:9" x14ac:dyDescent="0.15">
      <c r="A1124" s="16" t="s">
        <v>5832</v>
      </c>
      <c r="B1124" s="7" t="s">
        <v>9</v>
      </c>
      <c r="C1124" s="16" t="s">
        <v>40</v>
      </c>
      <c r="D1124" s="16" t="s">
        <v>41</v>
      </c>
      <c r="E1124" s="13" t="str">
        <f>+HYPERLINK("http://trademark.i-assist.jp/data/china/image_1891th/77513410.pdf","77513410")</f>
        <v>77513410</v>
      </c>
      <c r="F1124" s="16" t="s">
        <v>5830</v>
      </c>
      <c r="G1124" s="16" t="s">
        <v>5829</v>
      </c>
      <c r="H1124" s="16" t="s">
        <v>5831</v>
      </c>
      <c r="I1124" s="17">
        <v>45376</v>
      </c>
    </row>
    <row r="1125" spans="1:9" x14ac:dyDescent="0.15">
      <c r="A1125" s="16" t="s">
        <v>5837</v>
      </c>
      <c r="B1125" s="7" t="s">
        <v>9</v>
      </c>
      <c r="C1125" s="16" t="s">
        <v>40</v>
      </c>
      <c r="D1125" s="16" t="s">
        <v>41</v>
      </c>
      <c r="E1125" s="13" t="str">
        <f>+HYPERLINK("http://trademark.i-assist.jp/data/china/image_1891th/77513477.pdf","77513477")</f>
        <v>77513477</v>
      </c>
      <c r="F1125" s="16" t="s">
        <v>5835</v>
      </c>
      <c r="G1125" s="16" t="s">
        <v>5834</v>
      </c>
      <c r="H1125" s="16" t="s">
        <v>5836</v>
      </c>
      <c r="I1125" s="17">
        <v>45376</v>
      </c>
    </row>
    <row r="1126" spans="1:9" x14ac:dyDescent="0.15">
      <c r="A1126" s="16" t="s">
        <v>5841</v>
      </c>
      <c r="B1126" s="7" t="s">
        <v>9</v>
      </c>
      <c r="C1126" s="16" t="s">
        <v>40</v>
      </c>
      <c r="D1126" s="16" t="s">
        <v>41</v>
      </c>
      <c r="E1126" s="13" t="str">
        <f>+HYPERLINK("http://trademark.i-assist.jp/data/china/image_1891th/77513560.pdf","77513560")</f>
        <v>77513560</v>
      </c>
      <c r="F1126" s="16" t="s">
        <v>5839</v>
      </c>
      <c r="G1126" s="16" t="s">
        <v>5290</v>
      </c>
      <c r="H1126" s="16" t="s">
        <v>5840</v>
      </c>
      <c r="I1126" s="17">
        <v>45376</v>
      </c>
    </row>
    <row r="1127" spans="1:9" x14ac:dyDescent="0.15">
      <c r="A1127" s="16" t="s">
        <v>5846</v>
      </c>
      <c r="B1127" s="7" t="s">
        <v>9</v>
      </c>
      <c r="C1127" s="16" t="s">
        <v>40</v>
      </c>
      <c r="D1127" s="16" t="s">
        <v>41</v>
      </c>
      <c r="E1127" s="13" t="str">
        <f>+HYPERLINK("http://trademark.i-assist.jp/data/china/image_1891th/77513840.pdf","77513840")</f>
        <v>77513840</v>
      </c>
      <c r="F1127" s="16" t="s">
        <v>5844</v>
      </c>
      <c r="G1127" s="16" t="s">
        <v>5843</v>
      </c>
      <c r="H1127" s="16" t="s">
        <v>5845</v>
      </c>
      <c r="I1127" s="17">
        <v>45376</v>
      </c>
    </row>
    <row r="1128" spans="1:9" x14ac:dyDescent="0.15">
      <c r="A1128" s="16" t="s">
        <v>5851</v>
      </c>
      <c r="B1128" s="7" t="s">
        <v>9</v>
      </c>
      <c r="C1128" s="16" t="s">
        <v>40</v>
      </c>
      <c r="D1128" s="16" t="s">
        <v>41</v>
      </c>
      <c r="E1128" s="13" t="str">
        <f>+HYPERLINK("http://trademark.i-assist.jp/data/china/image_1891th/77514020.pdf","77514020")</f>
        <v>77514020</v>
      </c>
      <c r="F1128" s="16" t="s">
        <v>5849</v>
      </c>
      <c r="G1128" s="16" t="s">
        <v>5848</v>
      </c>
      <c r="H1128" s="16" t="s">
        <v>5850</v>
      </c>
      <c r="I1128" s="17">
        <v>45376</v>
      </c>
    </row>
    <row r="1129" spans="1:9" x14ac:dyDescent="0.15">
      <c r="A1129" s="16" t="s">
        <v>5855</v>
      </c>
      <c r="B1129" s="7" t="s">
        <v>9</v>
      </c>
      <c r="C1129" s="16" t="s">
        <v>40</v>
      </c>
      <c r="D1129" s="16" t="s">
        <v>41</v>
      </c>
      <c r="E1129" s="13" t="str">
        <f>+HYPERLINK("http://trademark.i-assist.jp/data/china/image_1891th/77515035.pdf","77515035")</f>
        <v>77515035</v>
      </c>
      <c r="F1129" s="16" t="s">
        <v>5853</v>
      </c>
      <c r="G1129" s="16" t="s">
        <v>5451</v>
      </c>
      <c r="H1129" s="16" t="s">
        <v>5854</v>
      </c>
      <c r="I1129" s="17">
        <v>45376</v>
      </c>
    </row>
    <row r="1130" spans="1:9" x14ac:dyDescent="0.15">
      <c r="A1130" s="16" t="s">
        <v>5860</v>
      </c>
      <c r="B1130" s="7" t="s">
        <v>9</v>
      </c>
      <c r="C1130" s="16" t="s">
        <v>40</v>
      </c>
      <c r="D1130" s="16" t="s">
        <v>41</v>
      </c>
      <c r="E1130" s="13" t="str">
        <f>+HYPERLINK("http://trademark.i-assist.jp/data/china/image_1891th/77515173.pdf","77515173")</f>
        <v>77515173</v>
      </c>
      <c r="F1130" s="16" t="s">
        <v>5858</v>
      </c>
      <c r="G1130" s="16" t="s">
        <v>5857</v>
      </c>
      <c r="H1130" s="16" t="s">
        <v>5859</v>
      </c>
      <c r="I1130" s="17">
        <v>45376</v>
      </c>
    </row>
    <row r="1131" spans="1:9" x14ac:dyDescent="0.15">
      <c r="A1131" s="16" t="s">
        <v>5865</v>
      </c>
      <c r="B1131" s="7" t="s">
        <v>9</v>
      </c>
      <c r="C1131" s="16" t="s">
        <v>40</v>
      </c>
      <c r="D1131" s="16" t="s">
        <v>41</v>
      </c>
      <c r="E1131" s="13" t="str">
        <f>+HYPERLINK("http://trademark.i-assist.jp/data/china/image_1891th/77515276.pdf","77515276")</f>
        <v>77515276</v>
      </c>
      <c r="F1131" s="16" t="s">
        <v>5863</v>
      </c>
      <c r="G1131" s="16" t="s">
        <v>5862</v>
      </c>
      <c r="H1131" s="16" t="s">
        <v>5864</v>
      </c>
      <c r="I1131" s="17">
        <v>45376</v>
      </c>
    </row>
    <row r="1132" spans="1:9" x14ac:dyDescent="0.15">
      <c r="A1132" s="16" t="s">
        <v>5869</v>
      </c>
      <c r="B1132" s="7" t="s">
        <v>9</v>
      </c>
      <c r="C1132" s="16" t="s">
        <v>40</v>
      </c>
      <c r="D1132" s="16" t="s">
        <v>41</v>
      </c>
      <c r="E1132" s="13" t="str">
        <f>+HYPERLINK("http://trademark.i-assist.jp/data/china/image_1891th/77515285.pdf","77515285")</f>
        <v>77515285</v>
      </c>
      <c r="F1132" s="16" t="s">
        <v>5867</v>
      </c>
      <c r="G1132" s="16" t="s">
        <v>5422</v>
      </c>
      <c r="H1132" s="16" t="s">
        <v>5868</v>
      </c>
      <c r="I1132" s="17">
        <v>45376</v>
      </c>
    </row>
    <row r="1133" spans="1:9" x14ac:dyDescent="0.15">
      <c r="A1133" s="16" t="s">
        <v>5874</v>
      </c>
      <c r="B1133" s="7" t="s">
        <v>9</v>
      </c>
      <c r="C1133" s="16" t="s">
        <v>40</v>
      </c>
      <c r="D1133" s="16" t="s">
        <v>41</v>
      </c>
      <c r="E1133" s="13" t="str">
        <f>+HYPERLINK("http://trademark.i-assist.jp/data/china/image_1891th/77515315.pdf","77515315")</f>
        <v>77515315</v>
      </c>
      <c r="F1133" s="16" t="s">
        <v>5872</v>
      </c>
      <c r="G1133" s="16" t="s">
        <v>5871</v>
      </c>
      <c r="H1133" s="16" t="s">
        <v>5873</v>
      </c>
      <c r="I1133" s="17">
        <v>45376</v>
      </c>
    </row>
    <row r="1134" spans="1:9" x14ac:dyDescent="0.15">
      <c r="A1134" s="16" t="s">
        <v>5879</v>
      </c>
      <c r="B1134" s="7" t="s">
        <v>9</v>
      </c>
      <c r="C1134" s="16" t="s">
        <v>40</v>
      </c>
      <c r="D1134" s="16" t="s">
        <v>41</v>
      </c>
      <c r="E1134" s="13" t="str">
        <f>+HYPERLINK("http://trademark.i-assist.jp/data/china/image_1891th/77515333.pdf","77515333")</f>
        <v>77515333</v>
      </c>
      <c r="F1134" s="16" t="s">
        <v>5877</v>
      </c>
      <c r="G1134" s="16" t="s">
        <v>5876</v>
      </c>
      <c r="H1134" s="16" t="s">
        <v>5878</v>
      </c>
      <c r="I1134" s="17">
        <v>45376</v>
      </c>
    </row>
    <row r="1135" spans="1:9" x14ac:dyDescent="0.15">
      <c r="A1135" s="16" t="s">
        <v>5884</v>
      </c>
      <c r="B1135" s="7" t="s">
        <v>9</v>
      </c>
      <c r="C1135" s="16" t="s">
        <v>40</v>
      </c>
      <c r="D1135" s="16" t="s">
        <v>41</v>
      </c>
      <c r="E1135" s="13" t="str">
        <f>+HYPERLINK("http://trademark.i-assist.jp/data/china/image_1891th/77515442.pdf","77515442")</f>
        <v>77515442</v>
      </c>
      <c r="F1135" s="16" t="s">
        <v>5882</v>
      </c>
      <c r="G1135" s="16" t="s">
        <v>5881</v>
      </c>
      <c r="H1135" s="16" t="s">
        <v>5883</v>
      </c>
      <c r="I1135" s="17">
        <v>45376</v>
      </c>
    </row>
    <row r="1136" spans="1:9" x14ac:dyDescent="0.15">
      <c r="A1136" s="16" t="s">
        <v>5888</v>
      </c>
      <c r="B1136" s="7" t="s">
        <v>9</v>
      </c>
      <c r="C1136" s="16" t="s">
        <v>40</v>
      </c>
      <c r="D1136" s="16" t="s">
        <v>41</v>
      </c>
      <c r="E1136" s="13" t="str">
        <f>+HYPERLINK("http://trademark.i-assist.jp/data/china/image_1891th/77515605.pdf","77515605")</f>
        <v>77515605</v>
      </c>
      <c r="F1136" s="16" t="s">
        <v>5886</v>
      </c>
      <c r="G1136" s="16" t="s">
        <v>5363</v>
      </c>
      <c r="H1136" s="16" t="s">
        <v>5887</v>
      </c>
      <c r="I1136" s="17">
        <v>45376</v>
      </c>
    </row>
    <row r="1137" spans="1:9" x14ac:dyDescent="0.15">
      <c r="A1137" s="16" t="s">
        <v>5893</v>
      </c>
      <c r="B1137" s="7" t="s">
        <v>9</v>
      </c>
      <c r="C1137" s="16" t="s">
        <v>40</v>
      </c>
      <c r="D1137" s="16" t="s">
        <v>41</v>
      </c>
      <c r="E1137" s="13" t="str">
        <f>+HYPERLINK("http://trademark.i-assist.jp/data/china/image_1891th/77515728.pdf","77515728")</f>
        <v>77515728</v>
      </c>
      <c r="F1137" s="16" t="s">
        <v>5891</v>
      </c>
      <c r="G1137" s="16" t="s">
        <v>5890</v>
      </c>
      <c r="H1137" s="16" t="s">
        <v>5892</v>
      </c>
      <c r="I1137" s="17">
        <v>45376</v>
      </c>
    </row>
    <row r="1138" spans="1:9" x14ac:dyDescent="0.15">
      <c r="A1138" s="16" t="s">
        <v>5897</v>
      </c>
      <c r="B1138" s="7" t="s">
        <v>9</v>
      </c>
      <c r="C1138" s="16" t="s">
        <v>40</v>
      </c>
      <c r="D1138" s="16" t="s">
        <v>41</v>
      </c>
      <c r="E1138" s="13" t="str">
        <f>+HYPERLINK("http://trademark.i-assist.jp/data/china/image_1891th/77515736.pdf","77515736")</f>
        <v>77515736</v>
      </c>
      <c r="F1138" s="16" t="s">
        <v>5895</v>
      </c>
      <c r="G1138" s="16" t="s">
        <v>1968</v>
      </c>
      <c r="H1138" s="16" t="s">
        <v>5896</v>
      </c>
      <c r="I1138" s="17">
        <v>45376</v>
      </c>
    </row>
    <row r="1139" spans="1:9" x14ac:dyDescent="0.15">
      <c r="A1139" s="16" t="s">
        <v>5902</v>
      </c>
      <c r="B1139" s="7" t="s">
        <v>9</v>
      </c>
      <c r="C1139" s="16" t="s">
        <v>40</v>
      </c>
      <c r="D1139" s="16" t="s">
        <v>41</v>
      </c>
      <c r="E1139" s="13" t="str">
        <f>+HYPERLINK("http://trademark.i-assist.jp/data/china/image_1891th/77515821.pdf","77515821")</f>
        <v>77515821</v>
      </c>
      <c r="F1139" s="16" t="s">
        <v>5900</v>
      </c>
      <c r="G1139" s="16" t="s">
        <v>5899</v>
      </c>
      <c r="H1139" s="16" t="s">
        <v>5901</v>
      </c>
      <c r="I1139" s="17">
        <v>45376</v>
      </c>
    </row>
    <row r="1140" spans="1:9" x14ac:dyDescent="0.15">
      <c r="A1140" s="16" t="s">
        <v>5907</v>
      </c>
      <c r="B1140" s="7" t="s">
        <v>9</v>
      </c>
      <c r="C1140" s="16" t="s">
        <v>40</v>
      </c>
      <c r="D1140" s="16" t="s">
        <v>41</v>
      </c>
      <c r="E1140" s="13" t="str">
        <f>+HYPERLINK("http://trademark.i-assist.jp/data/china/image_1891th/77515828.pdf","77515828")</f>
        <v>77515828</v>
      </c>
      <c r="F1140" s="16" t="s">
        <v>5905</v>
      </c>
      <c r="G1140" s="16" t="s">
        <v>5904</v>
      </c>
      <c r="H1140" s="16" t="s">
        <v>5906</v>
      </c>
      <c r="I1140" s="17">
        <v>45376</v>
      </c>
    </row>
    <row r="1141" spans="1:9" x14ac:dyDescent="0.15">
      <c r="A1141" s="16" t="s">
        <v>5912</v>
      </c>
      <c r="B1141" s="7" t="s">
        <v>9</v>
      </c>
      <c r="C1141" s="16" t="s">
        <v>40</v>
      </c>
      <c r="D1141" s="16" t="s">
        <v>41</v>
      </c>
      <c r="E1141" s="13" t="str">
        <f>+HYPERLINK("http://trademark.i-assist.jp/data/china/image_1891th/77515847.pdf","77515847")</f>
        <v>77515847</v>
      </c>
      <c r="F1141" s="16" t="s">
        <v>5910</v>
      </c>
      <c r="G1141" s="16" t="s">
        <v>5909</v>
      </c>
      <c r="H1141" s="16" t="s">
        <v>5911</v>
      </c>
      <c r="I1141" s="17">
        <v>45376</v>
      </c>
    </row>
    <row r="1142" spans="1:9" x14ac:dyDescent="0.15">
      <c r="A1142" s="16" t="s">
        <v>5917</v>
      </c>
      <c r="B1142" s="7" t="s">
        <v>9</v>
      </c>
      <c r="C1142" s="16" t="s">
        <v>40</v>
      </c>
      <c r="D1142" s="16" t="s">
        <v>41</v>
      </c>
      <c r="E1142" s="13" t="str">
        <f>+HYPERLINK("http://trademark.i-assist.jp/data/china/image_1891th/77516424.pdf","77516424")</f>
        <v>77516424</v>
      </c>
      <c r="F1142" s="16" t="s">
        <v>5915</v>
      </c>
      <c r="G1142" s="16" t="s">
        <v>5914</v>
      </c>
      <c r="H1142" s="16" t="s">
        <v>5916</v>
      </c>
      <c r="I1142" s="17">
        <v>45376</v>
      </c>
    </row>
    <row r="1143" spans="1:9" x14ac:dyDescent="0.15">
      <c r="A1143" s="16" t="s">
        <v>5922</v>
      </c>
      <c r="B1143" s="7" t="s">
        <v>9</v>
      </c>
      <c r="C1143" s="16" t="s">
        <v>40</v>
      </c>
      <c r="D1143" s="16" t="s">
        <v>41</v>
      </c>
      <c r="E1143" s="13" t="str">
        <f>+HYPERLINK("http://trademark.i-assist.jp/data/china/image_1891th/77516468.pdf","77516468")</f>
        <v>77516468</v>
      </c>
      <c r="F1143" s="16" t="s">
        <v>5920</v>
      </c>
      <c r="G1143" s="16" t="s">
        <v>5919</v>
      </c>
      <c r="H1143" s="16" t="s">
        <v>5921</v>
      </c>
      <c r="I1143" s="17">
        <v>45376</v>
      </c>
    </row>
    <row r="1144" spans="1:9" x14ac:dyDescent="0.15">
      <c r="A1144" s="16" t="s">
        <v>5927</v>
      </c>
      <c r="B1144" s="7" t="s">
        <v>9</v>
      </c>
      <c r="C1144" s="16" t="s">
        <v>40</v>
      </c>
      <c r="D1144" s="16" t="s">
        <v>41</v>
      </c>
      <c r="E1144" s="13" t="str">
        <f>+HYPERLINK("http://trademark.i-assist.jp/data/china/image_1891th/77516655.pdf","77516655")</f>
        <v>77516655</v>
      </c>
      <c r="F1144" s="16" t="s">
        <v>5925</v>
      </c>
      <c r="G1144" s="16" t="s">
        <v>5924</v>
      </c>
      <c r="H1144" s="16" t="s">
        <v>5926</v>
      </c>
      <c r="I1144" s="17">
        <v>45376</v>
      </c>
    </row>
    <row r="1145" spans="1:9" x14ac:dyDescent="0.15">
      <c r="A1145" s="16" t="s">
        <v>5931</v>
      </c>
      <c r="B1145" s="7" t="s">
        <v>9</v>
      </c>
      <c r="C1145" s="16" t="s">
        <v>40</v>
      </c>
      <c r="D1145" s="16" t="s">
        <v>41</v>
      </c>
      <c r="E1145" s="13" t="str">
        <f>+HYPERLINK("http://trademark.i-assist.jp/data/china/image_1891th/77517013.pdf","77517013")</f>
        <v>77517013</v>
      </c>
      <c r="F1145" s="16" t="s">
        <v>5929</v>
      </c>
      <c r="G1145" s="16" t="s">
        <v>5363</v>
      </c>
      <c r="H1145" s="16" t="s">
        <v>5930</v>
      </c>
      <c r="I1145" s="17">
        <v>45376</v>
      </c>
    </row>
    <row r="1146" spans="1:9" x14ac:dyDescent="0.15">
      <c r="A1146" s="16" t="s">
        <v>5936</v>
      </c>
      <c r="B1146" s="7" t="s">
        <v>9</v>
      </c>
      <c r="C1146" s="16" t="s">
        <v>40</v>
      </c>
      <c r="D1146" s="16" t="s">
        <v>41</v>
      </c>
      <c r="E1146" s="13" t="str">
        <f>+HYPERLINK("http://trademark.i-assist.jp/data/china/image_1891th/77517017.pdf","77517017")</f>
        <v>77517017</v>
      </c>
      <c r="F1146" s="16" t="s">
        <v>5934</v>
      </c>
      <c r="G1146" s="16" t="s">
        <v>5933</v>
      </c>
      <c r="H1146" s="16" t="s">
        <v>5935</v>
      </c>
      <c r="I1146" s="17">
        <v>45376</v>
      </c>
    </row>
    <row r="1147" spans="1:9" x14ac:dyDescent="0.15">
      <c r="A1147" s="16" t="s">
        <v>5940</v>
      </c>
      <c r="B1147" s="7" t="s">
        <v>9</v>
      </c>
      <c r="C1147" s="16" t="s">
        <v>40</v>
      </c>
      <c r="D1147" s="16" t="s">
        <v>41</v>
      </c>
      <c r="E1147" s="13" t="str">
        <f>+HYPERLINK("http://trademark.i-assist.jp/data/china/image_1891th/77517052.pdf","77517052")</f>
        <v>77517052</v>
      </c>
      <c r="F1147" s="16" t="s">
        <v>5938</v>
      </c>
      <c r="G1147" s="16" t="s">
        <v>5548</v>
      </c>
      <c r="H1147" s="16" t="s">
        <v>5939</v>
      </c>
      <c r="I1147" s="17">
        <v>45376</v>
      </c>
    </row>
    <row r="1148" spans="1:9" x14ac:dyDescent="0.15">
      <c r="A1148" s="16" t="s">
        <v>5945</v>
      </c>
      <c r="B1148" s="7" t="s">
        <v>9</v>
      </c>
      <c r="C1148" s="16" t="s">
        <v>40</v>
      </c>
      <c r="D1148" s="16" t="s">
        <v>41</v>
      </c>
      <c r="E1148" s="13" t="str">
        <f>+HYPERLINK("http://trademark.i-assist.jp/data/china/image_1891th/77517171.pdf","77517171")</f>
        <v>77517171</v>
      </c>
      <c r="F1148" s="16" t="s">
        <v>5943</v>
      </c>
      <c r="G1148" s="16" t="s">
        <v>5942</v>
      </c>
      <c r="H1148" s="16" t="s">
        <v>5944</v>
      </c>
      <c r="I1148" s="17">
        <v>45376</v>
      </c>
    </row>
    <row r="1149" spans="1:9" x14ac:dyDescent="0.15">
      <c r="A1149" s="16" t="s">
        <v>5950</v>
      </c>
      <c r="B1149" s="7" t="s">
        <v>9</v>
      </c>
      <c r="C1149" s="16" t="s">
        <v>40</v>
      </c>
      <c r="D1149" s="16" t="s">
        <v>41</v>
      </c>
      <c r="E1149" s="13" t="str">
        <f>+HYPERLINK("http://trademark.i-assist.jp/data/china/image_1891th/77517189.pdf","77517189")</f>
        <v>77517189</v>
      </c>
      <c r="F1149" s="16" t="s">
        <v>5948</v>
      </c>
      <c r="G1149" s="16" t="s">
        <v>5947</v>
      </c>
      <c r="H1149" s="16" t="s">
        <v>5949</v>
      </c>
      <c r="I1149" s="17">
        <v>45376</v>
      </c>
    </row>
    <row r="1150" spans="1:9" x14ac:dyDescent="0.15">
      <c r="A1150" s="16" t="s">
        <v>5955</v>
      </c>
      <c r="B1150" s="7" t="s">
        <v>9</v>
      </c>
      <c r="C1150" s="16" t="s">
        <v>40</v>
      </c>
      <c r="D1150" s="16" t="s">
        <v>41</v>
      </c>
      <c r="E1150" s="13" t="str">
        <f>+HYPERLINK("http://trademark.i-assist.jp/data/china/image_1891th/77517211.pdf","77517211")</f>
        <v>77517211</v>
      </c>
      <c r="F1150" s="16" t="s">
        <v>5953</v>
      </c>
      <c r="G1150" s="16" t="s">
        <v>5952</v>
      </c>
      <c r="H1150" s="16" t="s">
        <v>5954</v>
      </c>
      <c r="I1150" s="17">
        <v>45376</v>
      </c>
    </row>
    <row r="1151" spans="1:9" x14ac:dyDescent="0.15">
      <c r="A1151" s="16" t="s">
        <v>5960</v>
      </c>
      <c r="B1151" s="7" t="s">
        <v>9</v>
      </c>
      <c r="C1151" s="16" t="s">
        <v>40</v>
      </c>
      <c r="D1151" s="16" t="s">
        <v>41</v>
      </c>
      <c r="E1151" s="13" t="str">
        <f>+HYPERLINK("http://trademark.i-assist.jp/data/china/image_1891th/77517644.pdf","77517644")</f>
        <v>77517644</v>
      </c>
      <c r="F1151" s="16" t="s">
        <v>5958</v>
      </c>
      <c r="G1151" s="16" t="s">
        <v>5957</v>
      </c>
      <c r="H1151" s="16" t="s">
        <v>5959</v>
      </c>
      <c r="I1151" s="17">
        <v>45376</v>
      </c>
    </row>
    <row r="1152" spans="1:9" x14ac:dyDescent="0.15">
      <c r="A1152" s="16" t="s">
        <v>5964</v>
      </c>
      <c r="B1152" s="7" t="s">
        <v>9</v>
      </c>
      <c r="C1152" s="16" t="s">
        <v>40</v>
      </c>
      <c r="D1152" s="16" t="s">
        <v>41</v>
      </c>
      <c r="E1152" s="13" t="str">
        <f>+HYPERLINK("http://trademark.i-assist.jp/data/china/image_1891th/77517835.pdf","77517835")</f>
        <v>77517835</v>
      </c>
      <c r="F1152" s="16" t="s">
        <v>5962</v>
      </c>
      <c r="G1152" s="16" t="s">
        <v>5728</v>
      </c>
      <c r="H1152" s="16" t="s">
        <v>5963</v>
      </c>
      <c r="I1152" s="17">
        <v>45376</v>
      </c>
    </row>
    <row r="1153" spans="1:9" x14ac:dyDescent="0.15">
      <c r="A1153" s="16" t="s">
        <v>5969</v>
      </c>
      <c r="B1153" s="7" t="s">
        <v>9</v>
      </c>
      <c r="C1153" s="16" t="s">
        <v>40</v>
      </c>
      <c r="D1153" s="16" t="s">
        <v>41</v>
      </c>
      <c r="E1153" s="13" t="str">
        <f>+HYPERLINK("http://trademark.i-assist.jp/data/china/image_1891th/77517882.pdf","77517882")</f>
        <v>77517882</v>
      </c>
      <c r="F1153" s="16" t="s">
        <v>5967</v>
      </c>
      <c r="G1153" s="16" t="s">
        <v>5966</v>
      </c>
      <c r="H1153" s="16" t="s">
        <v>5968</v>
      </c>
      <c r="I1153" s="17">
        <v>45376</v>
      </c>
    </row>
    <row r="1154" spans="1:9" x14ac:dyDescent="0.15">
      <c r="A1154" s="16" t="s">
        <v>5973</v>
      </c>
      <c r="B1154" s="7" t="s">
        <v>9</v>
      </c>
      <c r="C1154" s="16" t="s">
        <v>40</v>
      </c>
      <c r="D1154" s="16" t="s">
        <v>41</v>
      </c>
      <c r="E1154" s="13" t="str">
        <f>+HYPERLINK("http://trademark.i-assist.jp/data/china/image_1891th/77518002.pdf","77518002")</f>
        <v>77518002</v>
      </c>
      <c r="F1154" s="16" t="s">
        <v>5971</v>
      </c>
      <c r="G1154" s="16" t="s">
        <v>1622</v>
      </c>
      <c r="H1154" s="16" t="s">
        <v>5972</v>
      </c>
      <c r="I1154" s="17">
        <v>45376</v>
      </c>
    </row>
    <row r="1155" spans="1:9" x14ac:dyDescent="0.15">
      <c r="A1155" s="16" t="s">
        <v>5978</v>
      </c>
      <c r="B1155" s="7" t="s">
        <v>9</v>
      </c>
      <c r="C1155" s="16" t="s">
        <v>40</v>
      </c>
      <c r="D1155" s="16" t="s">
        <v>41</v>
      </c>
      <c r="E1155" s="13" t="str">
        <f>+HYPERLINK("http://trademark.i-assist.jp/data/china/image_1891th/77518327.pdf","77518327")</f>
        <v>77518327</v>
      </c>
      <c r="F1155" s="16" t="s">
        <v>5976</v>
      </c>
      <c r="G1155" s="16" t="s">
        <v>5975</v>
      </c>
      <c r="H1155" s="16" t="s">
        <v>5977</v>
      </c>
      <c r="I1155" s="17">
        <v>45376</v>
      </c>
    </row>
    <row r="1156" spans="1:9" x14ac:dyDescent="0.15">
      <c r="A1156" s="16" t="s">
        <v>5983</v>
      </c>
      <c r="B1156" s="7" t="s">
        <v>9</v>
      </c>
      <c r="C1156" s="16" t="s">
        <v>40</v>
      </c>
      <c r="D1156" s="16" t="s">
        <v>41</v>
      </c>
      <c r="E1156" s="13" t="str">
        <f>+HYPERLINK("http://trademark.i-assist.jp/data/china/image_1891th/77518572.pdf","77518572")</f>
        <v>77518572</v>
      </c>
      <c r="F1156" s="16" t="s">
        <v>5981</v>
      </c>
      <c r="G1156" s="16" t="s">
        <v>5980</v>
      </c>
      <c r="H1156" s="16" t="s">
        <v>5982</v>
      </c>
      <c r="I1156" s="17">
        <v>45376</v>
      </c>
    </row>
    <row r="1157" spans="1:9" x14ac:dyDescent="0.15">
      <c r="A1157" s="16" t="s">
        <v>5988</v>
      </c>
      <c r="B1157" s="7" t="s">
        <v>9</v>
      </c>
      <c r="C1157" s="16" t="s">
        <v>40</v>
      </c>
      <c r="D1157" s="16" t="s">
        <v>41</v>
      </c>
      <c r="E1157" s="13" t="str">
        <f>+HYPERLINK("http://trademark.i-assist.jp/data/china/image_1891th/77518584.pdf","77518584")</f>
        <v>77518584</v>
      </c>
      <c r="F1157" s="16" t="s">
        <v>5986</v>
      </c>
      <c r="G1157" s="16" t="s">
        <v>5985</v>
      </c>
      <c r="H1157" s="16" t="s">
        <v>5987</v>
      </c>
      <c r="I1157" s="17">
        <v>45376</v>
      </c>
    </row>
    <row r="1158" spans="1:9" x14ac:dyDescent="0.15">
      <c r="A1158" s="16" t="s">
        <v>5993</v>
      </c>
      <c r="B1158" s="7" t="s">
        <v>9</v>
      </c>
      <c r="C1158" s="16" t="s">
        <v>40</v>
      </c>
      <c r="D1158" s="16" t="s">
        <v>41</v>
      </c>
      <c r="E1158" s="13" t="str">
        <f>+HYPERLINK("http://trademark.i-assist.jp/data/china/image_1891th/77518628.pdf","77518628")</f>
        <v>77518628</v>
      </c>
      <c r="F1158" s="16" t="s">
        <v>5991</v>
      </c>
      <c r="G1158" s="16" t="s">
        <v>5990</v>
      </c>
      <c r="H1158" s="16" t="s">
        <v>5992</v>
      </c>
      <c r="I1158" s="17">
        <v>45376</v>
      </c>
    </row>
    <row r="1159" spans="1:9" x14ac:dyDescent="0.15">
      <c r="A1159" s="16" t="s">
        <v>5998</v>
      </c>
      <c r="B1159" s="7" t="s">
        <v>9</v>
      </c>
      <c r="C1159" s="16" t="s">
        <v>40</v>
      </c>
      <c r="D1159" s="16" t="s">
        <v>41</v>
      </c>
      <c r="E1159" s="13" t="str">
        <f>+HYPERLINK("http://trademark.i-assist.jp/data/china/image_1891th/77518763.pdf","77518763")</f>
        <v>77518763</v>
      </c>
      <c r="F1159" s="16" t="s">
        <v>5996</v>
      </c>
      <c r="G1159" s="16" t="s">
        <v>5995</v>
      </c>
      <c r="H1159" s="16" t="s">
        <v>5997</v>
      </c>
      <c r="I1159" s="17">
        <v>45376</v>
      </c>
    </row>
    <row r="1160" spans="1:9" x14ac:dyDescent="0.15">
      <c r="A1160" s="16" t="s">
        <v>6003</v>
      </c>
      <c r="B1160" s="7" t="s">
        <v>9</v>
      </c>
      <c r="C1160" s="16" t="s">
        <v>40</v>
      </c>
      <c r="D1160" s="16" t="s">
        <v>41</v>
      </c>
      <c r="E1160" s="13" t="str">
        <f>+HYPERLINK("http://trademark.i-assist.jp/data/china/image_1891th/77518930.pdf","77518930")</f>
        <v>77518930</v>
      </c>
      <c r="F1160" s="16" t="s">
        <v>6001</v>
      </c>
      <c r="G1160" s="16" t="s">
        <v>6000</v>
      </c>
      <c r="H1160" s="16" t="s">
        <v>6002</v>
      </c>
      <c r="I1160" s="17">
        <v>45376</v>
      </c>
    </row>
    <row r="1161" spans="1:9" x14ac:dyDescent="0.15">
      <c r="A1161" s="16" t="s">
        <v>6008</v>
      </c>
      <c r="B1161" s="7" t="s">
        <v>9</v>
      </c>
      <c r="C1161" s="16" t="s">
        <v>40</v>
      </c>
      <c r="D1161" s="16" t="s">
        <v>41</v>
      </c>
      <c r="E1161" s="13" t="str">
        <f>+HYPERLINK("http://trademark.i-assist.jp/data/china/image_1891th/77518995.pdf","77518995")</f>
        <v>77518995</v>
      </c>
      <c r="F1161" s="16" t="s">
        <v>6006</v>
      </c>
      <c r="G1161" s="16" t="s">
        <v>6005</v>
      </c>
      <c r="H1161" s="16" t="s">
        <v>6007</v>
      </c>
      <c r="I1161" s="17">
        <v>45376</v>
      </c>
    </row>
    <row r="1162" spans="1:9" x14ac:dyDescent="0.15">
      <c r="A1162" s="16" t="s">
        <v>6013</v>
      </c>
      <c r="B1162" s="7" t="s">
        <v>9</v>
      </c>
      <c r="C1162" s="16" t="s">
        <v>40</v>
      </c>
      <c r="D1162" s="16" t="s">
        <v>41</v>
      </c>
      <c r="E1162" s="13" t="str">
        <f>+HYPERLINK("http://trademark.i-assist.jp/data/china/image_1891th/77519024.pdf","77519024")</f>
        <v>77519024</v>
      </c>
      <c r="F1162" s="16" t="s">
        <v>6011</v>
      </c>
      <c r="G1162" s="16" t="s">
        <v>6010</v>
      </c>
      <c r="H1162" s="16" t="s">
        <v>6012</v>
      </c>
      <c r="I1162" s="17">
        <v>45376</v>
      </c>
    </row>
    <row r="1163" spans="1:9" x14ac:dyDescent="0.15">
      <c r="A1163" s="16" t="s">
        <v>4736</v>
      </c>
      <c r="B1163" s="7" t="s">
        <v>9</v>
      </c>
      <c r="C1163" s="16" t="s">
        <v>40</v>
      </c>
      <c r="D1163" s="16" t="s">
        <v>41</v>
      </c>
      <c r="E1163" s="13" t="str">
        <f>+HYPERLINK("http://trademark.i-assist.jp/data/china/image_1891th/77519070.pdf","77519070")</f>
        <v>77519070</v>
      </c>
      <c r="F1163" s="16" t="s">
        <v>6016</v>
      </c>
      <c r="G1163" s="16" t="s">
        <v>6015</v>
      </c>
      <c r="H1163" s="16" t="s">
        <v>6017</v>
      </c>
      <c r="I1163" s="17">
        <v>45376</v>
      </c>
    </row>
    <row r="1164" spans="1:9" x14ac:dyDescent="0.15">
      <c r="A1164" s="16" t="s">
        <v>4741</v>
      </c>
      <c r="B1164" s="7" t="s">
        <v>9</v>
      </c>
      <c r="C1164" s="16" t="s">
        <v>40</v>
      </c>
      <c r="D1164" s="16" t="s">
        <v>41</v>
      </c>
      <c r="E1164" s="13" t="str">
        <f>+HYPERLINK("http://trademark.i-assist.jp/data/china/image_1891th/77519240.pdf","77519240")</f>
        <v>77519240</v>
      </c>
      <c r="F1164" s="16" t="s">
        <v>4739</v>
      </c>
      <c r="G1164" s="16" t="s">
        <v>4738</v>
      </c>
      <c r="H1164" s="16" t="s">
        <v>4740</v>
      </c>
      <c r="I1164" s="17">
        <v>45376</v>
      </c>
    </row>
    <row r="1165" spans="1:9" x14ac:dyDescent="0.15">
      <c r="A1165" s="16" t="s">
        <v>4746</v>
      </c>
      <c r="B1165" s="7" t="s">
        <v>9</v>
      </c>
      <c r="C1165" s="16" t="s">
        <v>40</v>
      </c>
      <c r="D1165" s="16" t="s">
        <v>41</v>
      </c>
      <c r="E1165" s="13" t="str">
        <f>+HYPERLINK("http://trademark.i-assist.jp/data/china/image_1891th/77519309.pdf","77519309")</f>
        <v>77519309</v>
      </c>
      <c r="F1165" s="16" t="s">
        <v>4744</v>
      </c>
      <c r="G1165" s="16" t="s">
        <v>4743</v>
      </c>
      <c r="H1165" s="16" t="s">
        <v>4745</v>
      </c>
      <c r="I1165" s="17">
        <v>45376</v>
      </c>
    </row>
    <row r="1166" spans="1:9" x14ac:dyDescent="0.15">
      <c r="A1166" s="16" t="s">
        <v>4751</v>
      </c>
      <c r="B1166" s="7" t="s">
        <v>9</v>
      </c>
      <c r="C1166" s="16" t="s">
        <v>40</v>
      </c>
      <c r="D1166" s="16" t="s">
        <v>41</v>
      </c>
      <c r="E1166" s="13" t="str">
        <f>+HYPERLINK("http://trademark.i-assist.jp/data/china/image_1891th/77519487.pdf","77519487")</f>
        <v>77519487</v>
      </c>
      <c r="F1166" s="16" t="s">
        <v>4749</v>
      </c>
      <c r="G1166" s="16" t="s">
        <v>4748</v>
      </c>
      <c r="H1166" s="16" t="s">
        <v>4750</v>
      </c>
      <c r="I1166" s="17">
        <v>45376</v>
      </c>
    </row>
    <row r="1167" spans="1:9" x14ac:dyDescent="0.15">
      <c r="A1167" s="16" t="s">
        <v>4756</v>
      </c>
      <c r="B1167" s="7" t="s">
        <v>9</v>
      </c>
      <c r="C1167" s="16" t="s">
        <v>40</v>
      </c>
      <c r="D1167" s="16" t="s">
        <v>41</v>
      </c>
      <c r="E1167" s="13" t="str">
        <f>+HYPERLINK("http://trademark.i-assist.jp/data/china/image_1891th/77519796.pdf","77519796")</f>
        <v>77519796</v>
      </c>
      <c r="F1167" s="16" t="s">
        <v>4754</v>
      </c>
      <c r="G1167" s="16" t="s">
        <v>4753</v>
      </c>
      <c r="H1167" s="16" t="s">
        <v>4755</v>
      </c>
      <c r="I1167" s="17">
        <v>45376</v>
      </c>
    </row>
    <row r="1168" spans="1:9" x14ac:dyDescent="0.15">
      <c r="A1168" s="16" t="s">
        <v>4760</v>
      </c>
      <c r="B1168" s="7" t="s">
        <v>9</v>
      </c>
      <c r="C1168" s="16" t="s">
        <v>40</v>
      </c>
      <c r="D1168" s="16" t="s">
        <v>41</v>
      </c>
      <c r="E1168" s="13" t="str">
        <f>+HYPERLINK("http://trademark.i-assist.jp/data/china/image_1891th/77519929.pdf","77519929")</f>
        <v>77519929</v>
      </c>
      <c r="F1168" s="16" t="s">
        <v>4758</v>
      </c>
      <c r="G1168" s="16" t="s">
        <v>4708</v>
      </c>
      <c r="H1168" s="16" t="s">
        <v>4759</v>
      </c>
      <c r="I1168" s="17">
        <v>45376</v>
      </c>
    </row>
    <row r="1169" spans="1:9" x14ac:dyDescent="0.15">
      <c r="A1169" s="16" t="s">
        <v>4764</v>
      </c>
      <c r="B1169" s="7" t="s">
        <v>9</v>
      </c>
      <c r="C1169" s="16" t="s">
        <v>40</v>
      </c>
      <c r="D1169" s="16" t="s">
        <v>41</v>
      </c>
      <c r="E1169" s="13" t="str">
        <f>+HYPERLINK("http://trademark.i-assist.jp/data/china/image_1891th/77520030.pdf","77520030")</f>
        <v>77520030</v>
      </c>
      <c r="F1169" s="16" t="s">
        <v>4762</v>
      </c>
      <c r="G1169" s="16" t="s">
        <v>1790</v>
      </c>
      <c r="H1169" s="16" t="s">
        <v>4763</v>
      </c>
      <c r="I1169" s="17">
        <v>45376</v>
      </c>
    </row>
    <row r="1170" spans="1:9" x14ac:dyDescent="0.15">
      <c r="A1170" s="16" t="s">
        <v>4769</v>
      </c>
      <c r="B1170" s="7" t="s">
        <v>9</v>
      </c>
      <c r="C1170" s="16" t="s">
        <v>40</v>
      </c>
      <c r="D1170" s="16" t="s">
        <v>41</v>
      </c>
      <c r="E1170" s="13" t="str">
        <f>+HYPERLINK("http://trademark.i-assist.jp/data/china/image_1891th/77520388.pdf","77520388")</f>
        <v>77520388</v>
      </c>
      <c r="F1170" s="16" t="s">
        <v>4767</v>
      </c>
      <c r="G1170" s="16" t="s">
        <v>4766</v>
      </c>
      <c r="H1170" s="16" t="s">
        <v>4768</v>
      </c>
      <c r="I1170" s="17">
        <v>45376</v>
      </c>
    </row>
    <row r="1171" spans="1:9" x14ac:dyDescent="0.15">
      <c r="A1171" s="16" t="s">
        <v>4774</v>
      </c>
      <c r="B1171" s="7" t="s">
        <v>9</v>
      </c>
      <c r="C1171" s="16" t="s">
        <v>40</v>
      </c>
      <c r="D1171" s="16" t="s">
        <v>41</v>
      </c>
      <c r="E1171" s="13" t="str">
        <f>+HYPERLINK("http://trademark.i-assist.jp/data/china/image_1891th/77520752.pdf","77520752")</f>
        <v>77520752</v>
      </c>
      <c r="F1171" s="16" t="s">
        <v>4772</v>
      </c>
      <c r="G1171" s="16" t="s">
        <v>4771</v>
      </c>
      <c r="H1171" s="16" t="s">
        <v>4773</v>
      </c>
      <c r="I1171" s="17">
        <v>45376</v>
      </c>
    </row>
    <row r="1172" spans="1:9" x14ac:dyDescent="0.15">
      <c r="A1172" s="16" t="s">
        <v>4779</v>
      </c>
      <c r="B1172" s="7" t="s">
        <v>9</v>
      </c>
      <c r="C1172" s="16" t="s">
        <v>40</v>
      </c>
      <c r="D1172" s="16" t="s">
        <v>41</v>
      </c>
      <c r="E1172" s="13" t="str">
        <f>+HYPERLINK("http://trademark.i-assist.jp/data/china/image_1891th/77520772.pdf","77520772")</f>
        <v>77520772</v>
      </c>
      <c r="F1172" s="16" t="s">
        <v>11098</v>
      </c>
      <c r="G1172" s="16" t="s">
        <v>4776</v>
      </c>
      <c r="H1172" s="16" t="s">
        <v>4778</v>
      </c>
      <c r="I1172" s="17">
        <v>45376</v>
      </c>
    </row>
    <row r="1173" spans="1:9" x14ac:dyDescent="0.15">
      <c r="A1173" s="16" t="s">
        <v>4783</v>
      </c>
      <c r="B1173" s="7" t="s">
        <v>9</v>
      </c>
      <c r="C1173" s="16" t="s">
        <v>40</v>
      </c>
      <c r="D1173" s="16" t="s">
        <v>41</v>
      </c>
      <c r="E1173" s="13" t="str">
        <f>+HYPERLINK("http://trademark.i-assist.jp/data/china/image_1891th/77520944.pdf","77520944")</f>
        <v>77520944</v>
      </c>
      <c r="F1173" s="16" t="s">
        <v>4781</v>
      </c>
      <c r="G1173" s="16" t="s">
        <v>3867</v>
      </c>
      <c r="H1173" s="16" t="s">
        <v>4782</v>
      </c>
      <c r="I1173" s="17">
        <v>45376</v>
      </c>
    </row>
    <row r="1174" spans="1:9" x14ac:dyDescent="0.15">
      <c r="A1174" s="16" t="s">
        <v>4788</v>
      </c>
      <c r="B1174" s="7" t="s">
        <v>9</v>
      </c>
      <c r="C1174" s="16" t="s">
        <v>40</v>
      </c>
      <c r="D1174" s="16" t="s">
        <v>41</v>
      </c>
      <c r="E1174" s="13" t="str">
        <f>+HYPERLINK("http://trademark.i-assist.jp/data/china/image_1891th/77521114.pdf","77521114")</f>
        <v>77521114</v>
      </c>
      <c r="F1174" s="16" t="s">
        <v>4786</v>
      </c>
      <c r="G1174" s="16" t="s">
        <v>4785</v>
      </c>
      <c r="H1174" s="16" t="s">
        <v>4787</v>
      </c>
      <c r="I1174" s="17">
        <v>45376</v>
      </c>
    </row>
    <row r="1175" spans="1:9" x14ac:dyDescent="0.15">
      <c r="A1175" s="16" t="s">
        <v>4793</v>
      </c>
      <c r="B1175" s="7" t="s">
        <v>9</v>
      </c>
      <c r="C1175" s="16" t="s">
        <v>40</v>
      </c>
      <c r="D1175" s="16" t="s">
        <v>41</v>
      </c>
      <c r="E1175" s="13" t="str">
        <f>+HYPERLINK("http://trademark.i-assist.jp/data/china/image_1891th/77521194.pdf","77521194")</f>
        <v>77521194</v>
      </c>
      <c r="F1175" s="16" t="s">
        <v>4791</v>
      </c>
      <c r="G1175" s="16" t="s">
        <v>4790</v>
      </c>
      <c r="H1175" s="16" t="s">
        <v>4792</v>
      </c>
      <c r="I1175" s="17">
        <v>45376</v>
      </c>
    </row>
    <row r="1176" spans="1:9" x14ac:dyDescent="0.15">
      <c r="A1176" s="16" t="s">
        <v>4798</v>
      </c>
      <c r="B1176" s="7" t="s">
        <v>9</v>
      </c>
      <c r="C1176" s="16" t="s">
        <v>40</v>
      </c>
      <c r="D1176" s="16" t="s">
        <v>41</v>
      </c>
      <c r="E1176" s="13" t="str">
        <f>+HYPERLINK("http://trademark.i-assist.jp/data/china/image_1891th/77521355.pdf","77521355")</f>
        <v>77521355</v>
      </c>
      <c r="F1176" s="16" t="s">
        <v>4796</v>
      </c>
      <c r="G1176" s="16" t="s">
        <v>4795</v>
      </c>
      <c r="H1176" s="16" t="s">
        <v>4797</v>
      </c>
      <c r="I1176" s="17">
        <v>45376</v>
      </c>
    </row>
    <row r="1177" spans="1:9" x14ac:dyDescent="0.15">
      <c r="A1177" s="16" t="s">
        <v>4803</v>
      </c>
      <c r="B1177" s="7" t="s">
        <v>9</v>
      </c>
      <c r="C1177" s="16" t="s">
        <v>40</v>
      </c>
      <c r="D1177" s="16" t="s">
        <v>41</v>
      </c>
      <c r="E1177" s="13" t="str">
        <f>+HYPERLINK("http://trademark.i-assist.jp/data/china/image_1891th/77521387.pdf","77521387")</f>
        <v>77521387</v>
      </c>
      <c r="F1177" s="16" t="s">
        <v>4801</v>
      </c>
      <c r="G1177" s="16" t="s">
        <v>4800</v>
      </c>
      <c r="H1177" s="16" t="s">
        <v>4802</v>
      </c>
      <c r="I1177" s="17">
        <v>45376</v>
      </c>
    </row>
    <row r="1178" spans="1:9" x14ac:dyDescent="0.15">
      <c r="A1178" s="16" t="s">
        <v>4808</v>
      </c>
      <c r="B1178" s="7" t="s">
        <v>9</v>
      </c>
      <c r="C1178" s="16" t="s">
        <v>40</v>
      </c>
      <c r="D1178" s="16" t="s">
        <v>41</v>
      </c>
      <c r="E1178" s="13" t="str">
        <f>+HYPERLINK("http://trademark.i-assist.jp/data/china/image_1891th/77521410.pdf","77521410")</f>
        <v>77521410</v>
      </c>
      <c r="F1178" s="16" t="s">
        <v>4806</v>
      </c>
      <c r="G1178" s="16" t="s">
        <v>4805</v>
      </c>
      <c r="H1178" s="16" t="s">
        <v>4807</v>
      </c>
      <c r="I1178" s="17">
        <v>45376</v>
      </c>
    </row>
    <row r="1179" spans="1:9" x14ac:dyDescent="0.15">
      <c r="A1179" s="16" t="s">
        <v>4813</v>
      </c>
      <c r="B1179" s="7" t="s">
        <v>9</v>
      </c>
      <c r="C1179" s="16" t="s">
        <v>40</v>
      </c>
      <c r="D1179" s="16" t="s">
        <v>41</v>
      </c>
      <c r="E1179" s="13" t="str">
        <f>+HYPERLINK("http://trademark.i-assist.jp/data/china/image_1891th/77521416.pdf","77521416")</f>
        <v>77521416</v>
      </c>
      <c r="F1179" s="16" t="s">
        <v>4811</v>
      </c>
      <c r="G1179" s="16" t="s">
        <v>4810</v>
      </c>
      <c r="H1179" s="16" t="s">
        <v>4812</v>
      </c>
      <c r="I1179" s="17">
        <v>45376</v>
      </c>
    </row>
    <row r="1180" spans="1:9" x14ac:dyDescent="0.15">
      <c r="A1180" s="16" t="s">
        <v>4818</v>
      </c>
      <c r="B1180" s="7" t="s">
        <v>9</v>
      </c>
      <c r="C1180" s="16" t="s">
        <v>40</v>
      </c>
      <c r="D1180" s="16" t="s">
        <v>41</v>
      </c>
      <c r="E1180" s="13" t="str">
        <f>+HYPERLINK("http://trademark.i-assist.jp/data/china/image_1891th/77521535.pdf","77521535")</f>
        <v>77521535</v>
      </c>
      <c r="F1180" s="16" t="s">
        <v>4816</v>
      </c>
      <c r="G1180" s="16" t="s">
        <v>4815</v>
      </c>
      <c r="H1180" s="16" t="s">
        <v>4817</v>
      </c>
      <c r="I1180" s="17">
        <v>45376</v>
      </c>
    </row>
    <row r="1181" spans="1:9" x14ac:dyDescent="0.15">
      <c r="A1181" s="16" t="s">
        <v>4823</v>
      </c>
      <c r="B1181" s="7" t="s">
        <v>9</v>
      </c>
      <c r="C1181" s="16" t="s">
        <v>40</v>
      </c>
      <c r="D1181" s="16" t="s">
        <v>41</v>
      </c>
      <c r="E1181" s="13" t="str">
        <f>+HYPERLINK("http://trademark.i-assist.jp/data/china/image_1891th/77521716.pdf","77521716")</f>
        <v>77521716</v>
      </c>
      <c r="F1181" s="16" t="s">
        <v>4821</v>
      </c>
      <c r="G1181" s="16" t="s">
        <v>4820</v>
      </c>
      <c r="H1181" s="16" t="s">
        <v>4822</v>
      </c>
      <c r="I1181" s="17">
        <v>45376</v>
      </c>
    </row>
    <row r="1182" spans="1:9" x14ac:dyDescent="0.15">
      <c r="A1182" s="16" t="s">
        <v>4828</v>
      </c>
      <c r="B1182" s="7" t="s">
        <v>9</v>
      </c>
      <c r="C1182" s="16" t="s">
        <v>40</v>
      </c>
      <c r="D1182" s="16" t="s">
        <v>41</v>
      </c>
      <c r="E1182" s="13" t="str">
        <f>+HYPERLINK("http://trademark.i-assist.jp/data/china/image_1891th/77521728.pdf","77521728")</f>
        <v>77521728</v>
      </c>
      <c r="F1182" s="16" t="s">
        <v>4826</v>
      </c>
      <c r="G1182" s="16" t="s">
        <v>4825</v>
      </c>
      <c r="H1182" s="16" t="s">
        <v>4827</v>
      </c>
      <c r="I1182" s="17">
        <v>45376</v>
      </c>
    </row>
    <row r="1183" spans="1:9" x14ac:dyDescent="0.15">
      <c r="A1183" s="16" t="s">
        <v>4833</v>
      </c>
      <c r="B1183" s="7" t="s">
        <v>9</v>
      </c>
      <c r="C1183" s="16" t="s">
        <v>40</v>
      </c>
      <c r="D1183" s="16" t="s">
        <v>41</v>
      </c>
      <c r="E1183" s="13" t="str">
        <f>+HYPERLINK("http://trademark.i-assist.jp/data/china/image_1891th/77521784.pdf","77521784")</f>
        <v>77521784</v>
      </c>
      <c r="F1183" s="16" t="s">
        <v>4831</v>
      </c>
      <c r="G1183" s="16" t="s">
        <v>4830</v>
      </c>
      <c r="H1183" s="16" t="s">
        <v>4832</v>
      </c>
      <c r="I1183" s="17">
        <v>45376</v>
      </c>
    </row>
    <row r="1184" spans="1:9" x14ac:dyDescent="0.15">
      <c r="A1184" s="16" t="s">
        <v>4838</v>
      </c>
      <c r="B1184" s="7" t="s">
        <v>9</v>
      </c>
      <c r="C1184" s="16" t="s">
        <v>40</v>
      </c>
      <c r="D1184" s="16" t="s">
        <v>41</v>
      </c>
      <c r="E1184" s="13" t="str">
        <f>+HYPERLINK("http://trademark.i-assist.jp/data/china/image_1891th/77521883.pdf","77521883")</f>
        <v>77521883</v>
      </c>
      <c r="F1184" s="16" t="s">
        <v>4836</v>
      </c>
      <c r="G1184" s="16" t="s">
        <v>4835</v>
      </c>
      <c r="H1184" s="16" t="s">
        <v>4837</v>
      </c>
      <c r="I1184" s="17">
        <v>45376</v>
      </c>
    </row>
    <row r="1185" spans="1:9" x14ac:dyDescent="0.15">
      <c r="A1185" s="16" t="s">
        <v>4843</v>
      </c>
      <c r="B1185" s="7" t="s">
        <v>9</v>
      </c>
      <c r="C1185" s="16" t="s">
        <v>40</v>
      </c>
      <c r="D1185" s="16" t="s">
        <v>41</v>
      </c>
      <c r="E1185" s="13" t="str">
        <f>+HYPERLINK("http://trademark.i-assist.jp/data/china/image_1891th/77522502.pdf","77522502")</f>
        <v>77522502</v>
      </c>
      <c r="F1185" s="16" t="s">
        <v>4841</v>
      </c>
      <c r="G1185" s="16" t="s">
        <v>4840</v>
      </c>
      <c r="H1185" s="16" t="s">
        <v>4842</v>
      </c>
      <c r="I1185" s="17">
        <v>45376</v>
      </c>
    </row>
    <row r="1186" spans="1:9" x14ac:dyDescent="0.15">
      <c r="A1186" s="16" t="s">
        <v>4848</v>
      </c>
      <c r="B1186" s="7" t="s">
        <v>9</v>
      </c>
      <c r="C1186" s="16" t="s">
        <v>40</v>
      </c>
      <c r="D1186" s="16" t="s">
        <v>41</v>
      </c>
      <c r="E1186" s="13" t="str">
        <f>+HYPERLINK("http://trademark.i-assist.jp/data/china/image_1891th/77522709.pdf","77522709")</f>
        <v>77522709</v>
      </c>
      <c r="F1186" s="16" t="s">
        <v>4846</v>
      </c>
      <c r="G1186" s="16" t="s">
        <v>4845</v>
      </c>
      <c r="H1186" s="16" t="s">
        <v>4847</v>
      </c>
      <c r="I1186" s="17">
        <v>45376</v>
      </c>
    </row>
    <row r="1187" spans="1:9" x14ac:dyDescent="0.15">
      <c r="A1187" s="16" t="s">
        <v>4853</v>
      </c>
      <c r="B1187" s="7" t="s">
        <v>9</v>
      </c>
      <c r="C1187" s="16" t="s">
        <v>40</v>
      </c>
      <c r="D1187" s="16" t="s">
        <v>41</v>
      </c>
      <c r="E1187" s="13" t="str">
        <f>+HYPERLINK("http://trademark.i-assist.jp/data/china/image_1891th/77522720.pdf","77522720")</f>
        <v>77522720</v>
      </c>
      <c r="F1187" s="16" t="s">
        <v>4851</v>
      </c>
      <c r="G1187" s="16" t="s">
        <v>4850</v>
      </c>
      <c r="H1187" s="16" t="s">
        <v>4852</v>
      </c>
      <c r="I1187" s="17">
        <v>45376</v>
      </c>
    </row>
    <row r="1188" spans="1:9" x14ac:dyDescent="0.15">
      <c r="A1188" s="16" t="s">
        <v>4858</v>
      </c>
      <c r="B1188" s="7" t="s">
        <v>9</v>
      </c>
      <c r="C1188" s="16" t="s">
        <v>40</v>
      </c>
      <c r="D1188" s="16" t="s">
        <v>41</v>
      </c>
      <c r="E1188" s="13" t="str">
        <f>+HYPERLINK("http://trademark.i-assist.jp/data/china/image_1891th/77523982.pdf","77523982")</f>
        <v>77523982</v>
      </c>
      <c r="F1188" s="16" t="s">
        <v>4856</v>
      </c>
      <c r="G1188" s="16" t="s">
        <v>4855</v>
      </c>
      <c r="H1188" s="16" t="s">
        <v>4857</v>
      </c>
      <c r="I1188" s="17">
        <v>45376</v>
      </c>
    </row>
    <row r="1189" spans="1:9" x14ac:dyDescent="0.15">
      <c r="A1189" s="16" t="s">
        <v>4862</v>
      </c>
      <c r="B1189" s="7" t="s">
        <v>9</v>
      </c>
      <c r="C1189" s="16" t="s">
        <v>40</v>
      </c>
      <c r="D1189" s="16" t="s">
        <v>41</v>
      </c>
      <c r="E1189" s="13" t="str">
        <f>+HYPERLINK("http://trademark.i-assist.jp/data/china/image_1891th/77523986.pdf","77523986")</f>
        <v>77523986</v>
      </c>
      <c r="F1189" s="16" t="s">
        <v>4860</v>
      </c>
      <c r="G1189" s="16" t="s">
        <v>4855</v>
      </c>
      <c r="H1189" s="16" t="s">
        <v>4861</v>
      </c>
      <c r="I1189" s="17">
        <v>45376</v>
      </c>
    </row>
    <row r="1190" spans="1:9" x14ac:dyDescent="0.15">
      <c r="A1190" s="16" t="s">
        <v>4867</v>
      </c>
      <c r="B1190" s="7" t="s">
        <v>9</v>
      </c>
      <c r="C1190" s="16" t="s">
        <v>40</v>
      </c>
      <c r="D1190" s="16" t="s">
        <v>41</v>
      </c>
      <c r="E1190" s="13" t="str">
        <f>+HYPERLINK("http://trademark.i-assist.jp/data/china/image_1891th/77524269.pdf","77524269")</f>
        <v>77524269</v>
      </c>
      <c r="F1190" s="16" t="s">
        <v>4865</v>
      </c>
      <c r="G1190" s="16" t="s">
        <v>4864</v>
      </c>
      <c r="H1190" s="16" t="s">
        <v>4866</v>
      </c>
      <c r="I1190" s="17">
        <v>45376</v>
      </c>
    </row>
    <row r="1191" spans="1:9" x14ac:dyDescent="0.15">
      <c r="A1191" s="16" t="s">
        <v>6018</v>
      </c>
      <c r="B1191" s="7" t="s">
        <v>9</v>
      </c>
      <c r="C1191" s="16" t="s">
        <v>40</v>
      </c>
      <c r="D1191" s="16" t="s">
        <v>41</v>
      </c>
      <c r="E1191" s="13" t="str">
        <f>+HYPERLINK("http://trademark.i-assist.jp/data/china/image_1891th/77524376.pdf","77524376")</f>
        <v>77524376</v>
      </c>
      <c r="F1191" s="16" t="s">
        <v>4870</v>
      </c>
      <c r="G1191" s="16" t="s">
        <v>4869</v>
      </c>
      <c r="H1191" s="16" t="s">
        <v>4871</v>
      </c>
      <c r="I1191" s="17">
        <v>45376</v>
      </c>
    </row>
    <row r="1192" spans="1:9" x14ac:dyDescent="0.15">
      <c r="A1192" s="16" t="s">
        <v>6023</v>
      </c>
      <c r="B1192" s="7" t="s">
        <v>9</v>
      </c>
      <c r="C1192" s="16" t="s">
        <v>40</v>
      </c>
      <c r="D1192" s="16" t="s">
        <v>41</v>
      </c>
      <c r="E1192" s="13" t="str">
        <f>+HYPERLINK("http://trademark.i-assist.jp/data/china/image_1891th/77524414.pdf","77524414")</f>
        <v>77524414</v>
      </c>
      <c r="F1192" s="16" t="s">
        <v>6021</v>
      </c>
      <c r="G1192" s="16" t="s">
        <v>6020</v>
      </c>
      <c r="H1192" s="16" t="s">
        <v>6022</v>
      </c>
      <c r="I1192" s="17">
        <v>45376</v>
      </c>
    </row>
    <row r="1193" spans="1:9" x14ac:dyDescent="0.15">
      <c r="A1193" s="16" t="s">
        <v>6028</v>
      </c>
      <c r="B1193" s="7" t="s">
        <v>9</v>
      </c>
      <c r="C1193" s="16" t="s">
        <v>40</v>
      </c>
      <c r="D1193" s="16" t="s">
        <v>41</v>
      </c>
      <c r="E1193" s="13" t="str">
        <f>+HYPERLINK("http://trademark.i-assist.jp/data/china/image_1891th/77524466.pdf","77524466")</f>
        <v>77524466</v>
      </c>
      <c r="F1193" s="16" t="s">
        <v>11130</v>
      </c>
      <c r="G1193" s="16" t="s">
        <v>6025</v>
      </c>
      <c r="H1193" s="16" t="s">
        <v>6027</v>
      </c>
      <c r="I1193" s="17">
        <v>45376</v>
      </c>
    </row>
    <row r="1194" spans="1:9" x14ac:dyDescent="0.15">
      <c r="A1194" s="16" t="s">
        <v>6033</v>
      </c>
      <c r="B1194" s="7" t="s">
        <v>9</v>
      </c>
      <c r="C1194" s="16" t="s">
        <v>40</v>
      </c>
      <c r="D1194" s="16" t="s">
        <v>41</v>
      </c>
      <c r="E1194" s="13" t="str">
        <f>+HYPERLINK("http://trademark.i-assist.jp/data/china/image_1891th/77524603.pdf","77524603")</f>
        <v>77524603</v>
      </c>
      <c r="F1194" s="16" t="s">
        <v>6031</v>
      </c>
      <c r="G1194" s="16" t="s">
        <v>6030</v>
      </c>
      <c r="H1194" s="16" t="s">
        <v>6032</v>
      </c>
      <c r="I1194" s="17">
        <v>45376</v>
      </c>
    </row>
    <row r="1195" spans="1:9" x14ac:dyDescent="0.15">
      <c r="A1195" s="16" t="s">
        <v>6038</v>
      </c>
      <c r="B1195" s="7" t="s">
        <v>9</v>
      </c>
      <c r="C1195" s="16" t="s">
        <v>40</v>
      </c>
      <c r="D1195" s="16" t="s">
        <v>41</v>
      </c>
      <c r="E1195" s="13" t="str">
        <f>+HYPERLINK("http://trademark.i-assist.jp/data/china/image_1891th/77524702.pdf","77524702")</f>
        <v>77524702</v>
      </c>
      <c r="F1195" s="16" t="s">
        <v>6036</v>
      </c>
      <c r="G1195" s="16" t="s">
        <v>6035</v>
      </c>
      <c r="H1195" s="16" t="s">
        <v>6037</v>
      </c>
      <c r="I1195" s="17">
        <v>45376</v>
      </c>
    </row>
    <row r="1196" spans="1:9" x14ac:dyDescent="0.15">
      <c r="A1196" s="16" t="s">
        <v>6042</v>
      </c>
      <c r="B1196" s="7" t="s">
        <v>9</v>
      </c>
      <c r="C1196" s="16" t="s">
        <v>40</v>
      </c>
      <c r="D1196" s="16" t="s">
        <v>41</v>
      </c>
      <c r="E1196" s="13" t="str">
        <f>+HYPERLINK("http://trademark.i-assist.jp/data/china/image_1891th/77524704.pdf","77524704")</f>
        <v>77524704</v>
      </c>
      <c r="F1196" s="16" t="s">
        <v>6040</v>
      </c>
      <c r="G1196" s="16" t="s">
        <v>5038</v>
      </c>
      <c r="H1196" s="16" t="s">
        <v>6041</v>
      </c>
      <c r="I1196" s="17">
        <v>45376</v>
      </c>
    </row>
    <row r="1197" spans="1:9" x14ac:dyDescent="0.15">
      <c r="A1197" s="16" t="s">
        <v>6047</v>
      </c>
      <c r="B1197" s="7" t="s">
        <v>9</v>
      </c>
      <c r="C1197" s="16" t="s">
        <v>40</v>
      </c>
      <c r="D1197" s="16" t="s">
        <v>41</v>
      </c>
      <c r="E1197" s="13" t="str">
        <f>+HYPERLINK("http://trademark.i-assist.jp/data/china/image_1891th/77524918.pdf","77524918")</f>
        <v>77524918</v>
      </c>
      <c r="F1197" s="16" t="s">
        <v>6045</v>
      </c>
      <c r="G1197" s="16" t="s">
        <v>6044</v>
      </c>
      <c r="H1197" s="16" t="s">
        <v>6046</v>
      </c>
      <c r="I1197" s="17">
        <v>45376</v>
      </c>
    </row>
    <row r="1198" spans="1:9" x14ac:dyDescent="0.15">
      <c r="A1198" s="16" t="s">
        <v>6052</v>
      </c>
      <c r="B1198" s="7" t="s">
        <v>9</v>
      </c>
      <c r="C1198" s="16" t="s">
        <v>40</v>
      </c>
      <c r="D1198" s="16" t="s">
        <v>41</v>
      </c>
      <c r="E1198" s="13" t="str">
        <f>+HYPERLINK("http://trademark.i-assist.jp/data/china/image_1891th/77525035.pdf","77525035")</f>
        <v>77525035</v>
      </c>
      <c r="F1198" s="16" t="s">
        <v>6050</v>
      </c>
      <c r="G1198" s="16" t="s">
        <v>6049</v>
      </c>
      <c r="H1198" s="16" t="s">
        <v>6051</v>
      </c>
      <c r="I1198" s="17">
        <v>45376</v>
      </c>
    </row>
    <row r="1199" spans="1:9" x14ac:dyDescent="0.15">
      <c r="A1199" s="16" t="s">
        <v>6056</v>
      </c>
      <c r="B1199" s="7" t="s">
        <v>9</v>
      </c>
      <c r="C1199" s="16" t="s">
        <v>40</v>
      </c>
      <c r="D1199" s="16" t="s">
        <v>41</v>
      </c>
      <c r="E1199" s="13" t="str">
        <f>+HYPERLINK("http://trademark.i-assist.jp/data/china/image_1891th/77525294.pdf","77525294")</f>
        <v>77525294</v>
      </c>
      <c r="F1199" s="16" t="s">
        <v>6054</v>
      </c>
      <c r="G1199" s="16" t="s">
        <v>4411</v>
      </c>
      <c r="H1199" s="16" t="s">
        <v>6055</v>
      </c>
      <c r="I1199" s="17">
        <v>45376</v>
      </c>
    </row>
    <row r="1200" spans="1:9" x14ac:dyDescent="0.15">
      <c r="A1200" s="16" t="s">
        <v>6061</v>
      </c>
      <c r="B1200" s="7" t="s">
        <v>9</v>
      </c>
      <c r="C1200" s="16" t="s">
        <v>40</v>
      </c>
      <c r="D1200" s="16" t="s">
        <v>41</v>
      </c>
      <c r="E1200" s="13" t="str">
        <f>+HYPERLINK("http://trademark.i-assist.jp/data/china/image_1891th/77525327.pdf","77525327")</f>
        <v>77525327</v>
      </c>
      <c r="F1200" s="16" t="s">
        <v>6059</v>
      </c>
      <c r="G1200" s="16" t="s">
        <v>6058</v>
      </c>
      <c r="H1200" s="16" t="s">
        <v>6060</v>
      </c>
      <c r="I1200" s="17">
        <v>45376</v>
      </c>
    </row>
    <row r="1201" spans="1:9" x14ac:dyDescent="0.15">
      <c r="A1201" s="16" t="s">
        <v>6066</v>
      </c>
      <c r="B1201" s="7" t="s">
        <v>9</v>
      </c>
      <c r="C1201" s="16" t="s">
        <v>40</v>
      </c>
      <c r="D1201" s="16" t="s">
        <v>41</v>
      </c>
      <c r="E1201" s="13" t="str">
        <f>+HYPERLINK("http://trademark.i-assist.jp/data/china/image_1891th/77525868.pdf","77525868")</f>
        <v>77525868</v>
      </c>
      <c r="F1201" s="16" t="s">
        <v>6064</v>
      </c>
      <c r="G1201" s="16" t="s">
        <v>6063</v>
      </c>
      <c r="H1201" s="16" t="s">
        <v>6065</v>
      </c>
      <c r="I1201" s="17">
        <v>45376</v>
      </c>
    </row>
    <row r="1202" spans="1:9" x14ac:dyDescent="0.15">
      <c r="A1202" s="16" t="s">
        <v>6071</v>
      </c>
      <c r="B1202" s="7" t="s">
        <v>9</v>
      </c>
      <c r="C1202" s="16" t="s">
        <v>40</v>
      </c>
      <c r="D1202" s="16" t="s">
        <v>41</v>
      </c>
      <c r="E1202" s="13" t="str">
        <f>+HYPERLINK("http://trademark.i-assist.jp/data/china/image_1891th/77526170.pdf","77526170")</f>
        <v>77526170</v>
      </c>
      <c r="F1202" s="16" t="s">
        <v>6069</v>
      </c>
      <c r="G1202" s="16" t="s">
        <v>6068</v>
      </c>
      <c r="H1202" s="16" t="s">
        <v>6070</v>
      </c>
      <c r="I1202" s="17">
        <v>45376</v>
      </c>
    </row>
    <row r="1203" spans="1:9" x14ac:dyDescent="0.15">
      <c r="A1203" s="16" t="s">
        <v>6076</v>
      </c>
      <c r="B1203" s="7" t="s">
        <v>9</v>
      </c>
      <c r="C1203" s="16" t="s">
        <v>40</v>
      </c>
      <c r="D1203" s="16" t="s">
        <v>41</v>
      </c>
      <c r="E1203" s="13" t="str">
        <f>+HYPERLINK("http://trademark.i-assist.jp/data/china/image_1891th/77526194.pdf","77526194")</f>
        <v>77526194</v>
      </c>
      <c r="F1203" s="16" t="s">
        <v>6074</v>
      </c>
      <c r="G1203" s="16" t="s">
        <v>6073</v>
      </c>
      <c r="H1203" s="16" t="s">
        <v>6075</v>
      </c>
      <c r="I1203" s="17">
        <v>45376</v>
      </c>
    </row>
    <row r="1204" spans="1:9" x14ac:dyDescent="0.15">
      <c r="A1204" s="16" t="s">
        <v>6081</v>
      </c>
      <c r="B1204" s="7" t="s">
        <v>9</v>
      </c>
      <c r="C1204" s="16" t="s">
        <v>40</v>
      </c>
      <c r="D1204" s="16" t="s">
        <v>41</v>
      </c>
      <c r="E1204" s="13" t="str">
        <f>+HYPERLINK("http://trademark.i-assist.jp/data/china/image_1891th/77526421.pdf","77526421")</f>
        <v>77526421</v>
      </c>
      <c r="F1204" s="16" t="s">
        <v>6079</v>
      </c>
      <c r="G1204" s="16" t="s">
        <v>6078</v>
      </c>
      <c r="H1204" s="16" t="s">
        <v>6080</v>
      </c>
      <c r="I1204" s="17">
        <v>45376</v>
      </c>
    </row>
    <row r="1205" spans="1:9" x14ac:dyDescent="0.15">
      <c r="A1205" s="16" t="s">
        <v>6085</v>
      </c>
      <c r="B1205" s="7" t="s">
        <v>9</v>
      </c>
      <c r="C1205" s="16" t="s">
        <v>40</v>
      </c>
      <c r="D1205" s="16" t="s">
        <v>41</v>
      </c>
      <c r="E1205" s="13" t="str">
        <f>+HYPERLINK("http://trademark.i-assist.jp/data/china/image_1891th/77526556.pdf","77526556")</f>
        <v>77526556</v>
      </c>
      <c r="F1205" s="16" t="s">
        <v>6083</v>
      </c>
      <c r="G1205" s="16" t="s">
        <v>1671</v>
      </c>
      <c r="H1205" s="16" t="s">
        <v>6084</v>
      </c>
      <c r="I1205" s="17">
        <v>45376</v>
      </c>
    </row>
    <row r="1206" spans="1:9" x14ac:dyDescent="0.15">
      <c r="A1206" s="16" t="s">
        <v>6089</v>
      </c>
      <c r="B1206" s="7" t="s">
        <v>9</v>
      </c>
      <c r="C1206" s="16" t="s">
        <v>40</v>
      </c>
      <c r="D1206" s="16" t="s">
        <v>41</v>
      </c>
      <c r="E1206" s="13" t="str">
        <f>+HYPERLINK("http://trademark.i-assist.jp/data/china/image_1891th/77526557.pdf","77526557")</f>
        <v>77526557</v>
      </c>
      <c r="F1206" s="16" t="s">
        <v>6087</v>
      </c>
      <c r="G1206" s="16" t="s">
        <v>1752</v>
      </c>
      <c r="H1206" s="16" t="s">
        <v>6088</v>
      </c>
      <c r="I1206" s="17">
        <v>45376</v>
      </c>
    </row>
    <row r="1207" spans="1:9" x14ac:dyDescent="0.15">
      <c r="A1207" s="16" t="s">
        <v>6094</v>
      </c>
      <c r="B1207" s="7" t="s">
        <v>9</v>
      </c>
      <c r="C1207" s="16" t="s">
        <v>40</v>
      </c>
      <c r="D1207" s="16" t="s">
        <v>41</v>
      </c>
      <c r="E1207" s="13" t="str">
        <f>+HYPERLINK("http://trademark.i-assist.jp/data/china/image_1891th/77526572.pdf","77526572")</f>
        <v>77526572</v>
      </c>
      <c r="F1207" s="16" t="s">
        <v>6092</v>
      </c>
      <c r="G1207" s="16" t="s">
        <v>6091</v>
      </c>
      <c r="H1207" s="16" t="s">
        <v>6093</v>
      </c>
      <c r="I1207" s="17">
        <v>45376</v>
      </c>
    </row>
    <row r="1208" spans="1:9" x14ac:dyDescent="0.15">
      <c r="A1208" s="16" t="s">
        <v>6099</v>
      </c>
      <c r="B1208" s="7" t="s">
        <v>9</v>
      </c>
      <c r="C1208" s="16" t="s">
        <v>40</v>
      </c>
      <c r="D1208" s="16" t="s">
        <v>41</v>
      </c>
      <c r="E1208" s="13" t="str">
        <f>+HYPERLINK("http://trademark.i-assist.jp/data/china/image_1891th/77526634.pdf","77526634")</f>
        <v>77526634</v>
      </c>
      <c r="F1208" s="16" t="s">
        <v>6097</v>
      </c>
      <c r="G1208" s="16" t="s">
        <v>6096</v>
      </c>
      <c r="H1208" s="16" t="s">
        <v>6098</v>
      </c>
      <c r="I1208" s="17">
        <v>45376</v>
      </c>
    </row>
    <row r="1209" spans="1:9" x14ac:dyDescent="0.15">
      <c r="A1209" s="16" t="s">
        <v>6102</v>
      </c>
      <c r="B1209" s="7" t="s">
        <v>9</v>
      </c>
      <c r="C1209" s="16" t="s">
        <v>40</v>
      </c>
      <c r="D1209" s="16" t="s">
        <v>41</v>
      </c>
      <c r="E1209" s="13" t="str">
        <f>+HYPERLINK("http://trademark.i-assist.jp/data/china/image_1891th/77526722.pdf","77526722")</f>
        <v>77526722</v>
      </c>
      <c r="F1209" s="16" t="s">
        <v>5276</v>
      </c>
      <c r="G1209" s="16" t="s">
        <v>5275</v>
      </c>
      <c r="H1209" s="16" t="s">
        <v>6101</v>
      </c>
      <c r="I1209" s="17">
        <v>45376</v>
      </c>
    </row>
    <row r="1210" spans="1:9" x14ac:dyDescent="0.15">
      <c r="A1210" s="16" t="s">
        <v>6107</v>
      </c>
      <c r="B1210" s="7" t="s">
        <v>9</v>
      </c>
      <c r="C1210" s="16" t="s">
        <v>40</v>
      </c>
      <c r="D1210" s="16" t="s">
        <v>41</v>
      </c>
      <c r="E1210" s="13" t="str">
        <f>+HYPERLINK("http://trademark.i-assist.jp/data/china/image_1891th/77526795.pdf","77526795")</f>
        <v>77526795</v>
      </c>
      <c r="F1210" s="16" t="s">
        <v>6105</v>
      </c>
      <c r="G1210" s="16" t="s">
        <v>6104</v>
      </c>
      <c r="H1210" s="16" t="s">
        <v>6106</v>
      </c>
      <c r="I1210" s="17">
        <v>45376</v>
      </c>
    </row>
    <row r="1211" spans="1:9" x14ac:dyDescent="0.15">
      <c r="A1211" s="16" t="s">
        <v>6111</v>
      </c>
      <c r="B1211" s="7" t="s">
        <v>9</v>
      </c>
      <c r="C1211" s="16" t="s">
        <v>40</v>
      </c>
      <c r="D1211" s="16" t="s">
        <v>41</v>
      </c>
      <c r="E1211" s="13" t="str">
        <f>+HYPERLINK("http://trademark.i-assist.jp/data/china/image_1891th/77526821.pdf","77526821")</f>
        <v>77526821</v>
      </c>
      <c r="F1211" s="16" t="s">
        <v>6109</v>
      </c>
      <c r="G1211" s="16" t="s">
        <v>4363</v>
      </c>
      <c r="H1211" s="16" t="s">
        <v>6110</v>
      </c>
      <c r="I1211" s="17">
        <v>45376</v>
      </c>
    </row>
    <row r="1212" spans="1:9" x14ac:dyDescent="0.15">
      <c r="A1212" s="16" t="s">
        <v>6115</v>
      </c>
      <c r="B1212" s="7" t="s">
        <v>9</v>
      </c>
      <c r="C1212" s="16" t="s">
        <v>40</v>
      </c>
      <c r="D1212" s="16" t="s">
        <v>41</v>
      </c>
      <c r="E1212" s="13" t="str">
        <f>+HYPERLINK("http://trademark.i-assist.jp/data/china/image_1891th/77526988.pdf","77526988")</f>
        <v>77526988</v>
      </c>
      <c r="F1212" s="16" t="s">
        <v>6113</v>
      </c>
      <c r="G1212" s="16" t="s">
        <v>5019</v>
      </c>
      <c r="H1212" s="16" t="s">
        <v>6114</v>
      </c>
      <c r="I1212" s="17">
        <v>45376</v>
      </c>
    </row>
    <row r="1213" spans="1:9" x14ac:dyDescent="0.15">
      <c r="A1213" s="16" t="s">
        <v>6120</v>
      </c>
      <c r="B1213" s="7" t="s">
        <v>9</v>
      </c>
      <c r="C1213" s="16" t="s">
        <v>40</v>
      </c>
      <c r="D1213" s="16" t="s">
        <v>41</v>
      </c>
      <c r="E1213" s="13" t="str">
        <f>+HYPERLINK("http://trademark.i-assist.jp/data/china/image_1891th/77527078.pdf","77527078")</f>
        <v>77527078</v>
      </c>
      <c r="F1213" s="16" t="s">
        <v>6118</v>
      </c>
      <c r="G1213" s="16" t="s">
        <v>6117</v>
      </c>
      <c r="H1213" s="16" t="s">
        <v>6119</v>
      </c>
      <c r="I1213" s="17">
        <v>45376</v>
      </c>
    </row>
    <row r="1214" spans="1:9" x14ac:dyDescent="0.15">
      <c r="A1214" s="16" t="s">
        <v>6125</v>
      </c>
      <c r="B1214" s="7" t="s">
        <v>9</v>
      </c>
      <c r="C1214" s="16" t="s">
        <v>40</v>
      </c>
      <c r="D1214" s="16" t="s">
        <v>41</v>
      </c>
      <c r="E1214" s="13" t="str">
        <f>+HYPERLINK("http://trademark.i-assist.jp/data/china/image_1891th/77527120.pdf","77527120")</f>
        <v>77527120</v>
      </c>
      <c r="F1214" s="16" t="s">
        <v>6123</v>
      </c>
      <c r="G1214" s="16" t="s">
        <v>6122</v>
      </c>
      <c r="H1214" s="16" t="s">
        <v>6124</v>
      </c>
      <c r="I1214" s="17">
        <v>45376</v>
      </c>
    </row>
    <row r="1215" spans="1:9" x14ac:dyDescent="0.15">
      <c r="A1215" s="16" t="s">
        <v>6130</v>
      </c>
      <c r="B1215" s="7" t="s">
        <v>9</v>
      </c>
      <c r="C1215" s="16" t="s">
        <v>40</v>
      </c>
      <c r="D1215" s="16" t="s">
        <v>41</v>
      </c>
      <c r="E1215" s="13" t="str">
        <f>+HYPERLINK("http://trademark.i-assist.jp/data/china/image_1891th/77527279.pdf","77527279")</f>
        <v>77527279</v>
      </c>
      <c r="F1215" s="16" t="s">
        <v>6128</v>
      </c>
      <c r="G1215" s="16" t="s">
        <v>6127</v>
      </c>
      <c r="H1215" s="16" t="s">
        <v>6129</v>
      </c>
      <c r="I1215" s="17">
        <v>45376</v>
      </c>
    </row>
    <row r="1216" spans="1:9" x14ac:dyDescent="0.15">
      <c r="A1216" s="16" t="s">
        <v>6135</v>
      </c>
      <c r="B1216" s="7" t="s">
        <v>9</v>
      </c>
      <c r="C1216" s="16" t="s">
        <v>40</v>
      </c>
      <c r="D1216" s="16" t="s">
        <v>41</v>
      </c>
      <c r="E1216" s="13" t="str">
        <f>+HYPERLINK("http://trademark.i-assist.jp/data/china/image_1891th/77527887.pdf","77527887")</f>
        <v>77527887</v>
      </c>
      <c r="F1216" s="16" t="s">
        <v>6133</v>
      </c>
      <c r="G1216" s="16" t="s">
        <v>6132</v>
      </c>
      <c r="H1216" s="16" t="s">
        <v>6134</v>
      </c>
      <c r="I1216" s="17">
        <v>45376</v>
      </c>
    </row>
    <row r="1217" spans="1:9" x14ac:dyDescent="0.15">
      <c r="A1217" s="16" t="s">
        <v>6140</v>
      </c>
      <c r="B1217" s="7" t="s">
        <v>9</v>
      </c>
      <c r="C1217" s="16" t="s">
        <v>40</v>
      </c>
      <c r="D1217" s="16" t="s">
        <v>41</v>
      </c>
      <c r="E1217" s="13" t="str">
        <f>+HYPERLINK("http://trademark.i-assist.jp/data/china/image_1891th/77527936.pdf","77527936")</f>
        <v>77527936</v>
      </c>
      <c r="F1217" s="16" t="s">
        <v>11097</v>
      </c>
      <c r="G1217" s="16" t="s">
        <v>6137</v>
      </c>
      <c r="H1217" s="16" t="s">
        <v>6139</v>
      </c>
      <c r="I1217" s="17">
        <v>45376</v>
      </c>
    </row>
    <row r="1218" spans="1:9" x14ac:dyDescent="0.15">
      <c r="A1218" s="16" t="s">
        <v>6145</v>
      </c>
      <c r="B1218" s="7" t="s">
        <v>9</v>
      </c>
      <c r="C1218" s="16" t="s">
        <v>40</v>
      </c>
      <c r="D1218" s="16" t="s">
        <v>41</v>
      </c>
      <c r="E1218" s="13" t="str">
        <f>+HYPERLINK("http://trademark.i-assist.jp/data/china/image_1891th/77527999.pdf","77527999")</f>
        <v>77527999</v>
      </c>
      <c r="F1218" s="16" t="s">
        <v>6143</v>
      </c>
      <c r="G1218" s="16" t="s">
        <v>6142</v>
      </c>
      <c r="H1218" s="16" t="s">
        <v>6144</v>
      </c>
      <c r="I1218" s="17">
        <v>45376</v>
      </c>
    </row>
    <row r="1219" spans="1:9" x14ac:dyDescent="0.15">
      <c r="A1219" s="16" t="s">
        <v>6150</v>
      </c>
      <c r="B1219" s="7" t="s">
        <v>9</v>
      </c>
      <c r="C1219" s="16" t="s">
        <v>40</v>
      </c>
      <c r="D1219" s="16" t="s">
        <v>41</v>
      </c>
      <c r="E1219" s="13" t="str">
        <f>+HYPERLINK("http://trademark.i-assist.jp/data/china/image_1891th/77528137.pdf","77528137")</f>
        <v>77528137</v>
      </c>
      <c r="F1219" s="16" t="s">
        <v>6148</v>
      </c>
      <c r="G1219" s="16" t="s">
        <v>6147</v>
      </c>
      <c r="H1219" s="16" t="s">
        <v>6149</v>
      </c>
      <c r="I1219" s="17">
        <v>45376</v>
      </c>
    </row>
    <row r="1220" spans="1:9" x14ac:dyDescent="0.15">
      <c r="A1220" s="16" t="s">
        <v>6154</v>
      </c>
      <c r="B1220" s="7" t="s">
        <v>9</v>
      </c>
      <c r="C1220" s="16" t="s">
        <v>40</v>
      </c>
      <c r="D1220" s="16" t="s">
        <v>41</v>
      </c>
      <c r="E1220" s="13" t="str">
        <f>+HYPERLINK("http://trademark.i-assist.jp/data/china/image_1891th/77528257.pdf","77528257")</f>
        <v>77528257</v>
      </c>
      <c r="F1220" s="16" t="s">
        <v>6152</v>
      </c>
      <c r="G1220" s="16" t="s">
        <v>3231</v>
      </c>
      <c r="H1220" s="16" t="s">
        <v>6153</v>
      </c>
      <c r="I1220" s="17">
        <v>45376</v>
      </c>
    </row>
    <row r="1221" spans="1:9" x14ac:dyDescent="0.15">
      <c r="A1221" s="16" t="s">
        <v>6159</v>
      </c>
      <c r="B1221" s="7" t="s">
        <v>9</v>
      </c>
      <c r="C1221" s="16" t="s">
        <v>40</v>
      </c>
      <c r="D1221" s="16" t="s">
        <v>41</v>
      </c>
      <c r="E1221" s="13" t="str">
        <f>+HYPERLINK("http://trademark.i-assist.jp/data/china/image_1891th/77528420.pdf","77528420")</f>
        <v>77528420</v>
      </c>
      <c r="F1221" s="16" t="s">
        <v>6157</v>
      </c>
      <c r="G1221" s="16" t="s">
        <v>6156</v>
      </c>
      <c r="H1221" s="16" t="s">
        <v>6158</v>
      </c>
      <c r="I1221" s="17">
        <v>45376</v>
      </c>
    </row>
    <row r="1222" spans="1:9" x14ac:dyDescent="0.15">
      <c r="A1222" s="16" t="s">
        <v>6164</v>
      </c>
      <c r="B1222" s="7" t="s">
        <v>9</v>
      </c>
      <c r="C1222" s="16" t="s">
        <v>40</v>
      </c>
      <c r="D1222" s="16" t="s">
        <v>41</v>
      </c>
      <c r="E1222" s="13" t="str">
        <f>+HYPERLINK("http://trademark.i-assist.jp/data/china/image_1891th/77528837.pdf","77528837")</f>
        <v>77528837</v>
      </c>
      <c r="F1222" s="16" t="s">
        <v>6162</v>
      </c>
      <c r="G1222" s="16" t="s">
        <v>6161</v>
      </c>
      <c r="H1222" s="16" t="s">
        <v>6163</v>
      </c>
      <c r="I1222" s="17">
        <v>45376</v>
      </c>
    </row>
    <row r="1223" spans="1:9" x14ac:dyDescent="0.15">
      <c r="A1223" s="16" t="s">
        <v>6168</v>
      </c>
      <c r="B1223" s="7" t="s">
        <v>9</v>
      </c>
      <c r="C1223" s="16" t="s">
        <v>40</v>
      </c>
      <c r="D1223" s="16" t="s">
        <v>41</v>
      </c>
      <c r="E1223" s="13" t="str">
        <f>+HYPERLINK("http://trademark.i-assist.jp/data/china/image_1891th/77528870.pdf","77528870")</f>
        <v>77528870</v>
      </c>
      <c r="F1223" s="16" t="s">
        <v>6166</v>
      </c>
      <c r="G1223" s="16" t="s">
        <v>4698</v>
      </c>
      <c r="H1223" s="16" t="s">
        <v>6167</v>
      </c>
      <c r="I1223" s="17">
        <v>45376</v>
      </c>
    </row>
    <row r="1224" spans="1:9" x14ac:dyDescent="0.15">
      <c r="A1224" s="16" t="s">
        <v>6172</v>
      </c>
      <c r="B1224" s="7" t="s">
        <v>9</v>
      </c>
      <c r="C1224" s="16" t="s">
        <v>40</v>
      </c>
      <c r="D1224" s="16" t="s">
        <v>41</v>
      </c>
      <c r="E1224" s="13" t="str">
        <f>+HYPERLINK("http://trademark.i-assist.jp/data/china/image_1891th/77528877.pdf","77528877")</f>
        <v>77528877</v>
      </c>
      <c r="F1224" s="16" t="s">
        <v>6170</v>
      </c>
      <c r="G1224" s="16" t="s">
        <v>3173</v>
      </c>
      <c r="H1224" s="16" t="s">
        <v>6171</v>
      </c>
      <c r="I1224" s="17">
        <v>45376</v>
      </c>
    </row>
    <row r="1225" spans="1:9" x14ac:dyDescent="0.15">
      <c r="A1225" s="16" t="s">
        <v>6177</v>
      </c>
      <c r="B1225" s="7" t="s">
        <v>9</v>
      </c>
      <c r="C1225" s="16" t="s">
        <v>40</v>
      </c>
      <c r="D1225" s="16" t="s">
        <v>41</v>
      </c>
      <c r="E1225" s="13" t="str">
        <f>+HYPERLINK("http://trademark.i-assist.jp/data/china/image_1891th/77528918.pdf","77528918")</f>
        <v>77528918</v>
      </c>
      <c r="F1225" s="16" t="s">
        <v>6175</v>
      </c>
      <c r="G1225" s="16" t="s">
        <v>6174</v>
      </c>
      <c r="H1225" s="16" t="s">
        <v>6176</v>
      </c>
      <c r="I1225" s="17">
        <v>45376</v>
      </c>
    </row>
    <row r="1226" spans="1:9" x14ac:dyDescent="0.15">
      <c r="A1226" s="16" t="s">
        <v>6182</v>
      </c>
      <c r="B1226" s="7" t="s">
        <v>9</v>
      </c>
      <c r="C1226" s="16" t="s">
        <v>40</v>
      </c>
      <c r="D1226" s="16" t="s">
        <v>41</v>
      </c>
      <c r="E1226" s="13" t="str">
        <f>+HYPERLINK("http://trademark.i-assist.jp/data/china/image_1891th/77528952.pdf","77528952")</f>
        <v>77528952</v>
      </c>
      <c r="F1226" s="16" t="s">
        <v>6180</v>
      </c>
      <c r="G1226" s="16" t="s">
        <v>6179</v>
      </c>
      <c r="H1226" s="16" t="s">
        <v>6181</v>
      </c>
      <c r="I1226" s="17">
        <v>45376</v>
      </c>
    </row>
    <row r="1227" spans="1:9" x14ac:dyDescent="0.15">
      <c r="A1227" s="16" t="s">
        <v>6187</v>
      </c>
      <c r="B1227" s="7" t="s">
        <v>9</v>
      </c>
      <c r="C1227" s="16" t="s">
        <v>40</v>
      </c>
      <c r="D1227" s="16" t="s">
        <v>41</v>
      </c>
      <c r="E1227" s="13" t="str">
        <f>+HYPERLINK("http://trademark.i-assist.jp/data/china/image_1891th/77528974.pdf","77528974")</f>
        <v>77528974</v>
      </c>
      <c r="F1227" s="16" t="s">
        <v>6185</v>
      </c>
      <c r="G1227" s="16" t="s">
        <v>6184</v>
      </c>
      <c r="H1227" s="16" t="s">
        <v>6186</v>
      </c>
      <c r="I1227" s="17">
        <v>45376</v>
      </c>
    </row>
    <row r="1228" spans="1:9" x14ac:dyDescent="0.15">
      <c r="A1228" s="16" t="s">
        <v>6191</v>
      </c>
      <c r="B1228" s="7" t="s">
        <v>9</v>
      </c>
      <c r="C1228" s="16" t="s">
        <v>40</v>
      </c>
      <c r="D1228" s="16" t="s">
        <v>41</v>
      </c>
      <c r="E1228" s="13" t="str">
        <f>+HYPERLINK("http://trademark.i-assist.jp/data/china/image_1891th/77528993.pdf","77528993")</f>
        <v>77528993</v>
      </c>
      <c r="F1228" s="16" t="s">
        <v>6189</v>
      </c>
      <c r="G1228" s="16" t="s">
        <v>4703</v>
      </c>
      <c r="H1228" s="16" t="s">
        <v>6190</v>
      </c>
      <c r="I1228" s="17">
        <v>45376</v>
      </c>
    </row>
    <row r="1229" spans="1:9" x14ac:dyDescent="0.15">
      <c r="A1229" s="16" t="s">
        <v>6195</v>
      </c>
      <c r="B1229" s="7" t="s">
        <v>9</v>
      </c>
      <c r="C1229" s="16" t="s">
        <v>40</v>
      </c>
      <c r="D1229" s="16" t="s">
        <v>41</v>
      </c>
      <c r="E1229" s="13" t="str">
        <f>+HYPERLINK("http://trademark.i-assist.jp/data/china/image_1891th/77529390.pdf","77529390")</f>
        <v>77529390</v>
      </c>
      <c r="F1229" s="16" t="s">
        <v>6193</v>
      </c>
      <c r="G1229" s="16" t="s">
        <v>6147</v>
      </c>
      <c r="H1229" s="16" t="s">
        <v>6194</v>
      </c>
      <c r="I1229" s="17">
        <v>45376</v>
      </c>
    </row>
    <row r="1230" spans="1:9" x14ac:dyDescent="0.15">
      <c r="A1230" s="16" t="s">
        <v>6199</v>
      </c>
      <c r="B1230" s="7" t="s">
        <v>9</v>
      </c>
      <c r="C1230" s="16" t="s">
        <v>40</v>
      </c>
      <c r="D1230" s="16" t="s">
        <v>41</v>
      </c>
      <c r="E1230" s="13" t="str">
        <f>+HYPERLINK("http://trademark.i-assist.jp/data/china/image_1891th/77529525.pdf","77529525")</f>
        <v>77529525</v>
      </c>
      <c r="F1230" s="16" t="s">
        <v>6197</v>
      </c>
      <c r="G1230" s="16" t="s">
        <v>5122</v>
      </c>
      <c r="H1230" s="16" t="s">
        <v>6198</v>
      </c>
      <c r="I1230" s="17">
        <v>45376</v>
      </c>
    </row>
    <row r="1231" spans="1:9" x14ac:dyDescent="0.15">
      <c r="A1231" s="16" t="s">
        <v>6204</v>
      </c>
      <c r="B1231" s="7" t="s">
        <v>9</v>
      </c>
      <c r="C1231" s="16" t="s">
        <v>40</v>
      </c>
      <c r="D1231" s="16" t="s">
        <v>41</v>
      </c>
      <c r="E1231" s="13" t="str">
        <f>+HYPERLINK("http://trademark.i-assist.jp/data/china/image_1891th/77529531.pdf","77529531")</f>
        <v>77529531</v>
      </c>
      <c r="F1231" s="16" t="s">
        <v>6202</v>
      </c>
      <c r="G1231" s="16" t="s">
        <v>6201</v>
      </c>
      <c r="H1231" s="16" t="s">
        <v>6203</v>
      </c>
      <c r="I1231" s="17">
        <v>45376</v>
      </c>
    </row>
    <row r="1232" spans="1:9" x14ac:dyDescent="0.15">
      <c r="A1232" s="16" t="s">
        <v>6208</v>
      </c>
      <c r="B1232" s="7" t="s">
        <v>9</v>
      </c>
      <c r="C1232" s="16" t="s">
        <v>40</v>
      </c>
      <c r="D1232" s="16" t="s">
        <v>41</v>
      </c>
      <c r="E1232" s="13" t="str">
        <f>+HYPERLINK("http://trademark.i-assist.jp/data/china/image_1891th/77529550.pdf","77529550")</f>
        <v>77529550</v>
      </c>
      <c r="F1232" s="16" t="s">
        <v>6206</v>
      </c>
      <c r="G1232" s="16" t="s">
        <v>6201</v>
      </c>
      <c r="H1232" s="16" t="s">
        <v>6207</v>
      </c>
      <c r="I1232" s="17">
        <v>45376</v>
      </c>
    </row>
    <row r="1233" spans="1:9" x14ac:dyDescent="0.15">
      <c r="A1233" s="16" t="s">
        <v>6211</v>
      </c>
      <c r="B1233" s="7" t="s">
        <v>9</v>
      </c>
      <c r="C1233" s="16" t="s">
        <v>40</v>
      </c>
      <c r="D1233" s="16" t="s">
        <v>41</v>
      </c>
      <c r="E1233" s="13" t="str">
        <f>+HYPERLINK("http://trademark.i-assist.jp/data/china/image_1891th/77529588.pdf","77529588")</f>
        <v>77529588</v>
      </c>
      <c r="F1233" s="16" t="s">
        <v>52</v>
      </c>
      <c r="G1233" s="16" t="s">
        <v>5947</v>
      </c>
      <c r="H1233" s="16" t="s">
        <v>6210</v>
      </c>
      <c r="I1233" s="17">
        <v>45376</v>
      </c>
    </row>
    <row r="1234" spans="1:9" x14ac:dyDescent="0.15">
      <c r="A1234" s="16" t="s">
        <v>6216</v>
      </c>
      <c r="B1234" s="7" t="s">
        <v>9</v>
      </c>
      <c r="C1234" s="16" t="s">
        <v>40</v>
      </c>
      <c r="D1234" s="16" t="s">
        <v>41</v>
      </c>
      <c r="E1234" s="13" t="str">
        <f>+HYPERLINK("http://trademark.i-assist.jp/data/china/image_1891th/77529713.pdf","77529713")</f>
        <v>77529713</v>
      </c>
      <c r="F1234" s="16" t="s">
        <v>6214</v>
      </c>
      <c r="G1234" s="16" t="s">
        <v>6213</v>
      </c>
      <c r="H1234" s="16" t="s">
        <v>6215</v>
      </c>
      <c r="I1234" s="17">
        <v>45376</v>
      </c>
    </row>
    <row r="1235" spans="1:9" x14ac:dyDescent="0.15">
      <c r="A1235" s="16" t="s">
        <v>6221</v>
      </c>
      <c r="B1235" s="7" t="s">
        <v>9</v>
      </c>
      <c r="C1235" s="16" t="s">
        <v>40</v>
      </c>
      <c r="D1235" s="16" t="s">
        <v>41</v>
      </c>
      <c r="E1235" s="13" t="str">
        <f>+HYPERLINK("http://trademark.i-assist.jp/data/china/image_1891th/77529960.pdf","77529960")</f>
        <v>77529960</v>
      </c>
      <c r="F1235" s="16" t="s">
        <v>6219</v>
      </c>
      <c r="G1235" s="16" t="s">
        <v>6218</v>
      </c>
      <c r="H1235" s="16" t="s">
        <v>6220</v>
      </c>
      <c r="I1235" s="17">
        <v>45376</v>
      </c>
    </row>
    <row r="1236" spans="1:9" x14ac:dyDescent="0.15">
      <c r="A1236" s="16" t="s">
        <v>6225</v>
      </c>
      <c r="B1236" s="7" t="s">
        <v>9</v>
      </c>
      <c r="C1236" s="16" t="s">
        <v>40</v>
      </c>
      <c r="D1236" s="16" t="s">
        <v>41</v>
      </c>
      <c r="E1236" s="13" t="str">
        <f>+HYPERLINK("http://trademark.i-assist.jp/data/china/image_1891th/77530051.pdf","77530051")</f>
        <v>77530051</v>
      </c>
      <c r="F1236" s="16" t="s">
        <v>6223</v>
      </c>
      <c r="G1236" s="16" t="s">
        <v>3231</v>
      </c>
      <c r="H1236" s="16" t="s">
        <v>6224</v>
      </c>
      <c r="I1236" s="17">
        <v>45376</v>
      </c>
    </row>
    <row r="1237" spans="1:9" x14ac:dyDescent="0.15">
      <c r="A1237" s="16" t="s">
        <v>6230</v>
      </c>
      <c r="B1237" s="7" t="s">
        <v>9</v>
      </c>
      <c r="C1237" s="16" t="s">
        <v>40</v>
      </c>
      <c r="D1237" s="16" t="s">
        <v>41</v>
      </c>
      <c r="E1237" s="13" t="str">
        <f>+HYPERLINK("http://trademark.i-assist.jp/data/china/image_1891th/77530266.pdf","77530266")</f>
        <v>77530266</v>
      </c>
      <c r="F1237" s="16" t="s">
        <v>6228</v>
      </c>
      <c r="G1237" s="16" t="s">
        <v>6227</v>
      </c>
      <c r="H1237" s="16" t="s">
        <v>6229</v>
      </c>
      <c r="I1237" s="17">
        <v>45376</v>
      </c>
    </row>
    <row r="1238" spans="1:9" x14ac:dyDescent="0.15">
      <c r="A1238" s="16" t="s">
        <v>6235</v>
      </c>
      <c r="B1238" s="7" t="s">
        <v>9</v>
      </c>
      <c r="C1238" s="16" t="s">
        <v>40</v>
      </c>
      <c r="D1238" s="16" t="s">
        <v>41</v>
      </c>
      <c r="E1238" s="13" t="str">
        <f>+HYPERLINK("http://trademark.i-assist.jp/data/china/image_1891th/77530280.pdf","77530280")</f>
        <v>77530280</v>
      </c>
      <c r="F1238" s="16" t="s">
        <v>6233</v>
      </c>
      <c r="G1238" s="16" t="s">
        <v>6232</v>
      </c>
      <c r="H1238" s="16" t="s">
        <v>6234</v>
      </c>
      <c r="I1238" s="17">
        <v>45376</v>
      </c>
    </row>
    <row r="1239" spans="1:9" x14ac:dyDescent="0.15">
      <c r="A1239" s="16" t="s">
        <v>6240</v>
      </c>
      <c r="B1239" s="7" t="s">
        <v>9</v>
      </c>
      <c r="C1239" s="16" t="s">
        <v>40</v>
      </c>
      <c r="D1239" s="16" t="s">
        <v>41</v>
      </c>
      <c r="E1239" s="13" t="str">
        <f>+HYPERLINK("http://trademark.i-assist.jp/data/china/image_1891th/77530296.pdf","77530296")</f>
        <v>77530296</v>
      </c>
      <c r="F1239" s="16" t="s">
        <v>6238</v>
      </c>
      <c r="G1239" s="16" t="s">
        <v>6237</v>
      </c>
      <c r="H1239" s="16" t="s">
        <v>6239</v>
      </c>
      <c r="I1239" s="17">
        <v>45376</v>
      </c>
    </row>
    <row r="1240" spans="1:9" x14ac:dyDescent="0.15">
      <c r="A1240" s="16" t="s">
        <v>6245</v>
      </c>
      <c r="B1240" s="7" t="s">
        <v>9</v>
      </c>
      <c r="C1240" s="16" t="s">
        <v>40</v>
      </c>
      <c r="D1240" s="16" t="s">
        <v>41</v>
      </c>
      <c r="E1240" s="13" t="str">
        <f>+HYPERLINK("http://trademark.i-assist.jp/data/china/image_1891th/77530962.pdf","77530962")</f>
        <v>77530962</v>
      </c>
      <c r="F1240" s="16" t="s">
        <v>6243</v>
      </c>
      <c r="G1240" s="16" t="s">
        <v>6242</v>
      </c>
      <c r="H1240" s="16" t="s">
        <v>6244</v>
      </c>
      <c r="I1240" s="17">
        <v>45376</v>
      </c>
    </row>
    <row r="1241" spans="1:9" x14ac:dyDescent="0.15">
      <c r="A1241" s="16" t="s">
        <v>6250</v>
      </c>
      <c r="B1241" s="7" t="s">
        <v>9</v>
      </c>
      <c r="C1241" s="16" t="s">
        <v>40</v>
      </c>
      <c r="D1241" s="16" t="s">
        <v>41</v>
      </c>
      <c r="E1241" s="13" t="str">
        <f>+HYPERLINK("http://trademark.i-assist.jp/data/china/image_1891th/77530971.pdf","77530971")</f>
        <v>77530971</v>
      </c>
      <c r="F1241" s="16" t="s">
        <v>6248</v>
      </c>
      <c r="G1241" s="16" t="s">
        <v>6247</v>
      </c>
      <c r="H1241" s="16" t="s">
        <v>6249</v>
      </c>
      <c r="I1241" s="17">
        <v>45376</v>
      </c>
    </row>
    <row r="1242" spans="1:9" x14ac:dyDescent="0.15">
      <c r="A1242" s="16" t="s">
        <v>6255</v>
      </c>
      <c r="B1242" s="7" t="s">
        <v>9</v>
      </c>
      <c r="C1242" s="16" t="s">
        <v>40</v>
      </c>
      <c r="D1242" s="16" t="s">
        <v>41</v>
      </c>
      <c r="E1242" s="13" t="str">
        <f>+HYPERLINK("http://trademark.i-assist.jp/data/china/image_1891th/77531026.pdf","77531026")</f>
        <v>77531026</v>
      </c>
      <c r="F1242" s="16" t="s">
        <v>6253</v>
      </c>
      <c r="G1242" s="16" t="s">
        <v>6252</v>
      </c>
      <c r="H1242" s="16" t="s">
        <v>6254</v>
      </c>
      <c r="I1242" s="17">
        <v>45376</v>
      </c>
    </row>
    <row r="1243" spans="1:9" x14ac:dyDescent="0.15">
      <c r="A1243" s="16" t="s">
        <v>6260</v>
      </c>
      <c r="B1243" s="7" t="s">
        <v>9</v>
      </c>
      <c r="C1243" s="16" t="s">
        <v>40</v>
      </c>
      <c r="D1243" s="16" t="s">
        <v>41</v>
      </c>
      <c r="E1243" s="13" t="str">
        <f>+HYPERLINK("http://trademark.i-assist.jp/data/china/image_1891th/77531027.pdf","77531027")</f>
        <v>77531027</v>
      </c>
      <c r="F1243" s="16" t="s">
        <v>6258</v>
      </c>
      <c r="G1243" s="16" t="s">
        <v>6257</v>
      </c>
      <c r="H1243" s="16" t="s">
        <v>6259</v>
      </c>
      <c r="I1243" s="17">
        <v>45376</v>
      </c>
    </row>
    <row r="1244" spans="1:9" x14ac:dyDescent="0.15">
      <c r="A1244" s="16" t="s">
        <v>6265</v>
      </c>
      <c r="B1244" s="7" t="s">
        <v>9</v>
      </c>
      <c r="C1244" s="16" t="s">
        <v>40</v>
      </c>
      <c r="D1244" s="16" t="s">
        <v>41</v>
      </c>
      <c r="E1244" s="13" t="str">
        <f>+HYPERLINK("http://trademark.i-assist.jp/data/china/image_1891th/77531091.pdf","77531091")</f>
        <v>77531091</v>
      </c>
      <c r="F1244" s="16" t="s">
        <v>6263</v>
      </c>
      <c r="G1244" s="16" t="s">
        <v>6262</v>
      </c>
      <c r="H1244" s="16" t="s">
        <v>6264</v>
      </c>
      <c r="I1244" s="17">
        <v>45376</v>
      </c>
    </row>
    <row r="1245" spans="1:9" x14ac:dyDescent="0.15">
      <c r="A1245" s="16" t="s">
        <v>6270</v>
      </c>
      <c r="B1245" s="7" t="s">
        <v>9</v>
      </c>
      <c r="C1245" s="16" t="s">
        <v>40</v>
      </c>
      <c r="D1245" s="16" t="s">
        <v>41</v>
      </c>
      <c r="E1245" s="13" t="str">
        <f>+HYPERLINK("http://trademark.i-assist.jp/data/china/image_1891th/77531121.pdf","77531121")</f>
        <v>77531121</v>
      </c>
      <c r="F1245" s="16" t="s">
        <v>6268</v>
      </c>
      <c r="G1245" s="16" t="s">
        <v>6267</v>
      </c>
      <c r="H1245" s="16" t="s">
        <v>6269</v>
      </c>
      <c r="I1245" s="17">
        <v>45376</v>
      </c>
    </row>
    <row r="1246" spans="1:9" x14ac:dyDescent="0.15">
      <c r="A1246" s="16" t="s">
        <v>6275</v>
      </c>
      <c r="B1246" s="7" t="s">
        <v>9</v>
      </c>
      <c r="C1246" s="16" t="s">
        <v>40</v>
      </c>
      <c r="D1246" s="16" t="s">
        <v>41</v>
      </c>
      <c r="E1246" s="13" t="str">
        <f>+HYPERLINK("http://trademark.i-assist.jp/data/china/image_1891th/77531312.pdf","77531312")</f>
        <v>77531312</v>
      </c>
      <c r="F1246" s="16" t="s">
        <v>6273</v>
      </c>
      <c r="G1246" s="16" t="s">
        <v>6272</v>
      </c>
      <c r="H1246" s="16" t="s">
        <v>6274</v>
      </c>
      <c r="I1246" s="17">
        <v>45376</v>
      </c>
    </row>
    <row r="1247" spans="1:9" x14ac:dyDescent="0.15">
      <c r="A1247" s="16" t="s">
        <v>1653</v>
      </c>
      <c r="B1247" s="7" t="s">
        <v>9</v>
      </c>
      <c r="C1247" s="16" t="s">
        <v>40</v>
      </c>
      <c r="D1247" s="16" t="s">
        <v>41</v>
      </c>
      <c r="E1247" s="13" t="str">
        <f>+HYPERLINK("http://trademark.i-assist.jp/data/china/image_1891th/77531756.pdf","77531756")</f>
        <v>77531756</v>
      </c>
      <c r="F1247" s="16" t="s">
        <v>6278</v>
      </c>
      <c r="G1247" s="16" t="s">
        <v>6277</v>
      </c>
      <c r="H1247" s="16" t="s">
        <v>6279</v>
      </c>
      <c r="I1247" s="17">
        <v>45376</v>
      </c>
    </row>
    <row r="1248" spans="1:9" x14ac:dyDescent="0.15">
      <c r="A1248" s="16" t="s">
        <v>1659</v>
      </c>
      <c r="B1248" s="7" t="s">
        <v>9</v>
      </c>
      <c r="C1248" s="16" t="s">
        <v>40</v>
      </c>
      <c r="D1248" s="16" t="s">
        <v>41</v>
      </c>
      <c r="E1248" s="13" t="str">
        <f>+HYPERLINK("http://trademark.i-assist.jp/data/china/image_1891th/77531988.pdf","77531988")</f>
        <v>77531988</v>
      </c>
      <c r="F1248" s="16" t="s">
        <v>1656</v>
      </c>
      <c r="G1248" s="16" t="s">
        <v>1655</v>
      </c>
      <c r="H1248" s="16" t="s">
        <v>1657</v>
      </c>
      <c r="I1248" s="17">
        <v>45376</v>
      </c>
    </row>
    <row r="1249" spans="1:9" x14ac:dyDescent="0.15">
      <c r="A1249" s="16" t="s">
        <v>1664</v>
      </c>
      <c r="B1249" s="7" t="s">
        <v>9</v>
      </c>
      <c r="C1249" s="16" t="s">
        <v>40</v>
      </c>
      <c r="D1249" s="16" t="s">
        <v>41</v>
      </c>
      <c r="E1249" s="13" t="str">
        <f>+HYPERLINK("http://trademark.i-assist.jp/data/china/image_1891th/77532054.pdf","77532054")</f>
        <v>77532054</v>
      </c>
      <c r="F1249" s="16" t="s">
        <v>1662</v>
      </c>
      <c r="G1249" s="16" t="s">
        <v>1661</v>
      </c>
      <c r="H1249" s="16" t="s">
        <v>1663</v>
      </c>
      <c r="I1249" s="17">
        <v>45376</v>
      </c>
    </row>
    <row r="1250" spans="1:9" x14ac:dyDescent="0.15">
      <c r="A1250" s="16" t="s">
        <v>1669</v>
      </c>
      <c r="B1250" s="7" t="s">
        <v>9</v>
      </c>
      <c r="C1250" s="16" t="s">
        <v>40</v>
      </c>
      <c r="D1250" s="16" t="s">
        <v>41</v>
      </c>
      <c r="E1250" s="13" t="str">
        <f>+HYPERLINK("http://trademark.i-assist.jp/data/china/image_1891th/77532318.pdf","77532318")</f>
        <v>77532318</v>
      </c>
      <c r="F1250" s="16" t="s">
        <v>1667</v>
      </c>
      <c r="G1250" s="16" t="s">
        <v>1666</v>
      </c>
      <c r="H1250" s="16" t="s">
        <v>1668</v>
      </c>
      <c r="I1250" s="17">
        <v>45376</v>
      </c>
    </row>
    <row r="1251" spans="1:9" x14ac:dyDescent="0.15">
      <c r="A1251" s="16" t="s">
        <v>1674</v>
      </c>
      <c r="B1251" s="7" t="s">
        <v>9</v>
      </c>
      <c r="C1251" s="16" t="s">
        <v>40</v>
      </c>
      <c r="D1251" s="16" t="s">
        <v>41</v>
      </c>
      <c r="E1251" s="13" t="str">
        <f>+HYPERLINK("http://trademark.i-assist.jp/data/china/image_1891th/77532632.pdf","77532632")</f>
        <v>77532632</v>
      </c>
      <c r="F1251" s="16" t="s">
        <v>1672</v>
      </c>
      <c r="G1251" s="16" t="s">
        <v>1671</v>
      </c>
      <c r="H1251" s="16" t="s">
        <v>1673</v>
      </c>
      <c r="I1251" s="17">
        <v>45376</v>
      </c>
    </row>
    <row r="1252" spans="1:9" x14ac:dyDescent="0.15">
      <c r="A1252" s="16" t="s">
        <v>1679</v>
      </c>
      <c r="B1252" s="7" t="s">
        <v>9</v>
      </c>
      <c r="C1252" s="16" t="s">
        <v>40</v>
      </c>
      <c r="D1252" s="16" t="s">
        <v>41</v>
      </c>
      <c r="E1252" s="13" t="str">
        <f>+HYPERLINK("http://trademark.i-assist.jp/data/china/image_1891th/77532797.pdf","77532797")</f>
        <v>77532797</v>
      </c>
      <c r="F1252" s="16" t="s">
        <v>1677</v>
      </c>
      <c r="G1252" s="16" t="s">
        <v>1676</v>
      </c>
      <c r="H1252" s="16" t="s">
        <v>1678</v>
      </c>
      <c r="I1252" s="17">
        <v>45376</v>
      </c>
    </row>
    <row r="1253" spans="1:9" x14ac:dyDescent="0.15">
      <c r="A1253" s="16" t="s">
        <v>1684</v>
      </c>
      <c r="B1253" s="7" t="s">
        <v>9</v>
      </c>
      <c r="C1253" s="16" t="s">
        <v>40</v>
      </c>
      <c r="D1253" s="16" t="s">
        <v>41</v>
      </c>
      <c r="E1253" s="13" t="str">
        <f>+HYPERLINK("http://trademark.i-assist.jp/data/china/image_1891th/77532939.pdf","77532939")</f>
        <v>77532939</v>
      </c>
      <c r="F1253" s="16" t="s">
        <v>1682</v>
      </c>
      <c r="G1253" s="16" t="s">
        <v>1681</v>
      </c>
      <c r="H1253" s="16" t="s">
        <v>1683</v>
      </c>
      <c r="I1253" s="17">
        <v>45376</v>
      </c>
    </row>
    <row r="1254" spans="1:9" x14ac:dyDescent="0.15">
      <c r="A1254" s="16" t="s">
        <v>1689</v>
      </c>
      <c r="B1254" s="7" t="s">
        <v>9</v>
      </c>
      <c r="C1254" s="16" t="s">
        <v>40</v>
      </c>
      <c r="D1254" s="16" t="s">
        <v>41</v>
      </c>
      <c r="E1254" s="13" t="str">
        <f>+HYPERLINK("http://trademark.i-assist.jp/data/china/image_1891th/77533091.pdf","77533091")</f>
        <v>77533091</v>
      </c>
      <c r="F1254" s="16" t="s">
        <v>11108</v>
      </c>
      <c r="G1254" s="16" t="s">
        <v>1686</v>
      </c>
      <c r="H1254" s="16" t="s">
        <v>1688</v>
      </c>
      <c r="I1254" s="17">
        <v>45376</v>
      </c>
    </row>
    <row r="1255" spans="1:9" x14ac:dyDescent="0.15">
      <c r="A1255" s="16" t="s">
        <v>1694</v>
      </c>
      <c r="B1255" s="7" t="s">
        <v>9</v>
      </c>
      <c r="C1255" s="16" t="s">
        <v>40</v>
      </c>
      <c r="D1255" s="16" t="s">
        <v>41</v>
      </c>
      <c r="E1255" s="13" t="str">
        <f>+HYPERLINK("http://trademark.i-assist.jp/data/china/image_1891th/77533239.pdf","77533239")</f>
        <v>77533239</v>
      </c>
      <c r="F1255" s="16" t="s">
        <v>1692</v>
      </c>
      <c r="G1255" s="16" t="s">
        <v>1691</v>
      </c>
      <c r="H1255" s="16" t="s">
        <v>1693</v>
      </c>
      <c r="I1255" s="17">
        <v>45376</v>
      </c>
    </row>
    <row r="1256" spans="1:9" x14ac:dyDescent="0.15">
      <c r="A1256" s="16" t="s">
        <v>1699</v>
      </c>
      <c r="B1256" s="7" t="s">
        <v>9</v>
      </c>
      <c r="C1256" s="16" t="s">
        <v>40</v>
      </c>
      <c r="D1256" s="16" t="s">
        <v>41</v>
      </c>
      <c r="E1256" s="13" t="str">
        <f>+HYPERLINK("http://trademark.i-assist.jp/data/china/image_1891th/77533249.pdf","77533249")</f>
        <v>77533249</v>
      </c>
      <c r="F1256" s="16" t="s">
        <v>1697</v>
      </c>
      <c r="G1256" s="16" t="s">
        <v>1696</v>
      </c>
      <c r="H1256" s="16" t="s">
        <v>1698</v>
      </c>
      <c r="I1256" s="17">
        <v>45376</v>
      </c>
    </row>
    <row r="1257" spans="1:9" x14ac:dyDescent="0.15">
      <c r="A1257" s="16" t="s">
        <v>1704</v>
      </c>
      <c r="B1257" s="7" t="s">
        <v>9</v>
      </c>
      <c r="C1257" s="16" t="s">
        <v>40</v>
      </c>
      <c r="D1257" s="16" t="s">
        <v>41</v>
      </c>
      <c r="E1257" s="13" t="str">
        <f>+HYPERLINK("http://trademark.i-assist.jp/data/china/image_1891th/77533440.pdf","77533440")</f>
        <v>77533440</v>
      </c>
      <c r="F1257" s="16" t="s">
        <v>1702</v>
      </c>
      <c r="G1257" s="16" t="s">
        <v>1701</v>
      </c>
      <c r="H1257" s="16" t="s">
        <v>1703</v>
      </c>
      <c r="I1257" s="17">
        <v>45376</v>
      </c>
    </row>
    <row r="1258" spans="1:9" x14ac:dyDescent="0.15">
      <c r="A1258" s="16" t="s">
        <v>1710</v>
      </c>
      <c r="B1258" s="7" t="s">
        <v>9</v>
      </c>
      <c r="C1258" s="16" t="s">
        <v>40</v>
      </c>
      <c r="D1258" s="16" t="s">
        <v>41</v>
      </c>
      <c r="E1258" s="13" t="str">
        <f>+HYPERLINK("http://trademark.i-assist.jp/data/china/image_1891th/77533776.pdf","77533776")</f>
        <v>77533776</v>
      </c>
      <c r="F1258" s="16" t="s">
        <v>1707</v>
      </c>
      <c r="G1258" s="16" t="s">
        <v>1706</v>
      </c>
      <c r="H1258" s="16" t="s">
        <v>1708</v>
      </c>
      <c r="I1258" s="17">
        <v>45377</v>
      </c>
    </row>
    <row r="1259" spans="1:9" x14ac:dyDescent="0.15">
      <c r="A1259" s="16" t="s">
        <v>1715</v>
      </c>
      <c r="B1259" s="7" t="s">
        <v>9</v>
      </c>
      <c r="C1259" s="16" t="s">
        <v>40</v>
      </c>
      <c r="D1259" s="16" t="s">
        <v>41</v>
      </c>
      <c r="E1259" s="13" t="str">
        <f>+HYPERLINK("http://trademark.i-assist.jp/data/china/image_1891th/77534017.pdf","77534017")</f>
        <v>77534017</v>
      </c>
      <c r="F1259" s="16" t="s">
        <v>1713</v>
      </c>
      <c r="G1259" s="16" t="s">
        <v>1712</v>
      </c>
      <c r="H1259" s="16" t="s">
        <v>1714</v>
      </c>
      <c r="I1259" s="17">
        <v>45377</v>
      </c>
    </row>
    <row r="1260" spans="1:9" x14ac:dyDescent="0.15">
      <c r="A1260" s="16" t="s">
        <v>1720</v>
      </c>
      <c r="B1260" s="7" t="s">
        <v>9</v>
      </c>
      <c r="C1260" s="16" t="s">
        <v>40</v>
      </c>
      <c r="D1260" s="16" t="s">
        <v>41</v>
      </c>
      <c r="E1260" s="13" t="str">
        <f>+HYPERLINK("http://trademark.i-assist.jp/data/china/image_1891th/77534803.pdf","77534803")</f>
        <v>77534803</v>
      </c>
      <c r="F1260" s="16" t="s">
        <v>1718</v>
      </c>
      <c r="G1260" s="16" t="s">
        <v>1717</v>
      </c>
      <c r="H1260" s="16" t="s">
        <v>1719</v>
      </c>
      <c r="I1260" s="17">
        <v>45377</v>
      </c>
    </row>
    <row r="1261" spans="1:9" x14ac:dyDescent="0.15">
      <c r="A1261" s="16" t="s">
        <v>1931</v>
      </c>
      <c r="B1261" s="7" t="s">
        <v>9</v>
      </c>
      <c r="C1261" s="16" t="s">
        <v>40</v>
      </c>
      <c r="D1261" s="16" t="s">
        <v>41</v>
      </c>
      <c r="E1261" s="13" t="str">
        <f>+HYPERLINK("http://trademark.i-assist.jp/data/china/image_1891th/77534841.pdf","77534841")</f>
        <v>77534841</v>
      </c>
      <c r="F1261" s="16" t="s">
        <v>1723</v>
      </c>
      <c r="G1261" s="16" t="s">
        <v>1722</v>
      </c>
      <c r="H1261" s="16" t="s">
        <v>1724</v>
      </c>
      <c r="I1261" s="17">
        <v>45377</v>
      </c>
    </row>
    <row r="1262" spans="1:9" x14ac:dyDescent="0.15">
      <c r="A1262" s="16" t="s">
        <v>1936</v>
      </c>
      <c r="B1262" s="7" t="s">
        <v>9</v>
      </c>
      <c r="C1262" s="16" t="s">
        <v>40</v>
      </c>
      <c r="D1262" s="16" t="s">
        <v>41</v>
      </c>
      <c r="E1262" s="13" t="str">
        <f>+HYPERLINK("http://trademark.i-assist.jp/data/china/image_1891th/77535111.pdf","77535111")</f>
        <v>77535111</v>
      </c>
      <c r="F1262" s="16" t="s">
        <v>1934</v>
      </c>
      <c r="G1262" s="16" t="s">
        <v>1933</v>
      </c>
      <c r="H1262" s="16" t="s">
        <v>1935</v>
      </c>
      <c r="I1262" s="17">
        <v>45378</v>
      </c>
    </row>
    <row r="1263" spans="1:9" x14ac:dyDescent="0.15">
      <c r="A1263" s="16" t="s">
        <v>1941</v>
      </c>
      <c r="B1263" s="7" t="s">
        <v>9</v>
      </c>
      <c r="C1263" s="16" t="s">
        <v>40</v>
      </c>
      <c r="D1263" s="16" t="s">
        <v>41</v>
      </c>
      <c r="E1263" s="13" t="str">
        <f>+HYPERLINK("http://trademark.i-assist.jp/data/china/image_1891th/77535218.pdf","77535218")</f>
        <v>77535218</v>
      </c>
      <c r="F1263" s="16" t="s">
        <v>1939</v>
      </c>
      <c r="G1263" s="16" t="s">
        <v>1938</v>
      </c>
      <c r="H1263" s="16" t="s">
        <v>1940</v>
      </c>
      <c r="I1263" s="17">
        <v>45377</v>
      </c>
    </row>
    <row r="1264" spans="1:9" x14ac:dyDescent="0.15">
      <c r="A1264" s="16" t="s">
        <v>1946</v>
      </c>
      <c r="B1264" s="7" t="s">
        <v>9</v>
      </c>
      <c r="C1264" s="16" t="s">
        <v>40</v>
      </c>
      <c r="D1264" s="16" t="s">
        <v>41</v>
      </c>
      <c r="E1264" s="13" t="str">
        <f>+HYPERLINK("http://trademark.i-assist.jp/data/china/image_1891th/77535225.pdf","77535225")</f>
        <v>77535225</v>
      </c>
      <c r="F1264" s="16" t="s">
        <v>1944</v>
      </c>
      <c r="G1264" s="16" t="s">
        <v>1943</v>
      </c>
      <c r="H1264" s="16" t="s">
        <v>1945</v>
      </c>
      <c r="I1264" s="17">
        <v>45377</v>
      </c>
    </row>
    <row r="1265" spans="1:9" x14ac:dyDescent="0.15">
      <c r="A1265" s="16" t="s">
        <v>1951</v>
      </c>
      <c r="B1265" s="7" t="s">
        <v>9</v>
      </c>
      <c r="C1265" s="16" t="s">
        <v>40</v>
      </c>
      <c r="D1265" s="16" t="s">
        <v>41</v>
      </c>
      <c r="E1265" s="13" t="str">
        <f>+HYPERLINK("http://trademark.i-assist.jp/data/china/image_1891th/77535250.pdf","77535250")</f>
        <v>77535250</v>
      </c>
      <c r="F1265" s="16" t="s">
        <v>1949</v>
      </c>
      <c r="G1265" s="16" t="s">
        <v>1948</v>
      </c>
      <c r="H1265" s="16" t="s">
        <v>1950</v>
      </c>
      <c r="I1265" s="17">
        <v>45377</v>
      </c>
    </row>
    <row r="1266" spans="1:9" x14ac:dyDescent="0.15">
      <c r="A1266" s="16" t="s">
        <v>1956</v>
      </c>
      <c r="B1266" s="7" t="s">
        <v>9</v>
      </c>
      <c r="C1266" s="16" t="s">
        <v>40</v>
      </c>
      <c r="D1266" s="16" t="s">
        <v>41</v>
      </c>
      <c r="E1266" s="13" t="str">
        <f>+HYPERLINK("http://trademark.i-assist.jp/data/china/image_1891th/77535562.pdf","77535562")</f>
        <v>77535562</v>
      </c>
      <c r="F1266" s="16" t="s">
        <v>1954</v>
      </c>
      <c r="G1266" s="16" t="s">
        <v>1953</v>
      </c>
      <c r="H1266" s="16" t="s">
        <v>1955</v>
      </c>
      <c r="I1266" s="17">
        <v>45377</v>
      </c>
    </row>
    <row r="1267" spans="1:9" x14ac:dyDescent="0.15">
      <c r="A1267" s="16" t="s">
        <v>1961</v>
      </c>
      <c r="B1267" s="7" t="s">
        <v>9</v>
      </c>
      <c r="C1267" s="16" t="s">
        <v>40</v>
      </c>
      <c r="D1267" s="16" t="s">
        <v>41</v>
      </c>
      <c r="E1267" s="13" t="str">
        <f>+HYPERLINK("http://trademark.i-assist.jp/data/china/image_1891th/77535587.pdf","77535587")</f>
        <v>77535587</v>
      </c>
      <c r="F1267" s="16" t="s">
        <v>1959</v>
      </c>
      <c r="G1267" s="16" t="s">
        <v>1958</v>
      </c>
      <c r="H1267" s="16" t="s">
        <v>1960</v>
      </c>
      <c r="I1267" s="17">
        <v>45377</v>
      </c>
    </row>
    <row r="1268" spans="1:9" x14ac:dyDescent="0.15">
      <c r="A1268" s="16" t="s">
        <v>1966</v>
      </c>
      <c r="B1268" s="7" t="s">
        <v>9</v>
      </c>
      <c r="C1268" s="16" t="s">
        <v>40</v>
      </c>
      <c r="D1268" s="16" t="s">
        <v>41</v>
      </c>
      <c r="E1268" s="13" t="str">
        <f>+HYPERLINK("http://trademark.i-assist.jp/data/china/image_1891th/77535788.pdf","77535788")</f>
        <v>77535788</v>
      </c>
      <c r="F1268" s="16" t="s">
        <v>1964</v>
      </c>
      <c r="G1268" s="16" t="s">
        <v>1963</v>
      </c>
      <c r="H1268" s="16" t="s">
        <v>1965</v>
      </c>
      <c r="I1268" s="17">
        <v>45377</v>
      </c>
    </row>
    <row r="1269" spans="1:9" x14ac:dyDescent="0.15">
      <c r="A1269" s="16" t="s">
        <v>1971</v>
      </c>
      <c r="B1269" s="7" t="s">
        <v>9</v>
      </c>
      <c r="C1269" s="16" t="s">
        <v>40</v>
      </c>
      <c r="D1269" s="16" t="s">
        <v>41</v>
      </c>
      <c r="E1269" s="13" t="str">
        <f>+HYPERLINK("http://trademark.i-assist.jp/data/china/image_1891th/77535792.pdf","77535792")</f>
        <v>77535792</v>
      </c>
      <c r="F1269" s="16" t="s">
        <v>1969</v>
      </c>
      <c r="G1269" s="16" t="s">
        <v>1968</v>
      </c>
      <c r="H1269" s="16" t="s">
        <v>1970</v>
      </c>
      <c r="I1269" s="17">
        <v>45377</v>
      </c>
    </row>
    <row r="1270" spans="1:9" x14ac:dyDescent="0.15">
      <c r="A1270" s="16" t="s">
        <v>1976</v>
      </c>
      <c r="B1270" s="7" t="s">
        <v>9</v>
      </c>
      <c r="C1270" s="16" t="s">
        <v>40</v>
      </c>
      <c r="D1270" s="16" t="s">
        <v>41</v>
      </c>
      <c r="E1270" s="13" t="str">
        <f>+HYPERLINK("http://trademark.i-assist.jp/data/china/image_1891th/77537052.pdf","77537052")</f>
        <v>77537052</v>
      </c>
      <c r="F1270" s="16" t="s">
        <v>1974</v>
      </c>
      <c r="G1270" s="16" t="s">
        <v>1973</v>
      </c>
      <c r="H1270" s="16" t="s">
        <v>1975</v>
      </c>
      <c r="I1270" s="17">
        <v>45377</v>
      </c>
    </row>
    <row r="1271" spans="1:9" x14ac:dyDescent="0.15">
      <c r="A1271" s="16" t="s">
        <v>1981</v>
      </c>
      <c r="B1271" s="7" t="s">
        <v>9</v>
      </c>
      <c r="C1271" s="16" t="s">
        <v>40</v>
      </c>
      <c r="D1271" s="16" t="s">
        <v>41</v>
      </c>
      <c r="E1271" s="13" t="str">
        <f>+HYPERLINK("http://trademark.i-assist.jp/data/china/image_1891th/77537381.pdf","77537381")</f>
        <v>77537381</v>
      </c>
      <c r="F1271" s="16" t="s">
        <v>1979</v>
      </c>
      <c r="G1271" s="16" t="s">
        <v>1978</v>
      </c>
      <c r="H1271" s="16" t="s">
        <v>11141</v>
      </c>
      <c r="I1271" s="17">
        <v>45377</v>
      </c>
    </row>
    <row r="1272" spans="1:9" x14ac:dyDescent="0.15">
      <c r="A1272" s="16" t="s">
        <v>1985</v>
      </c>
      <c r="B1272" s="7" t="s">
        <v>9</v>
      </c>
      <c r="C1272" s="16" t="s">
        <v>40</v>
      </c>
      <c r="D1272" s="16" t="s">
        <v>41</v>
      </c>
      <c r="E1272" s="13" t="str">
        <f>+HYPERLINK("http://trademark.i-assist.jp/data/china/image_1891th/77537447.pdf","77537447")</f>
        <v>77537447</v>
      </c>
      <c r="F1272" s="16" t="s">
        <v>1983</v>
      </c>
      <c r="G1272" s="16" t="s">
        <v>1978</v>
      </c>
      <c r="H1272" s="16" t="s">
        <v>1984</v>
      </c>
      <c r="I1272" s="17">
        <v>45377</v>
      </c>
    </row>
    <row r="1273" spans="1:9" x14ac:dyDescent="0.15">
      <c r="A1273" s="16" t="s">
        <v>1990</v>
      </c>
      <c r="B1273" s="7" t="s">
        <v>9</v>
      </c>
      <c r="C1273" s="16" t="s">
        <v>40</v>
      </c>
      <c r="D1273" s="16" t="s">
        <v>41</v>
      </c>
      <c r="E1273" s="13" t="str">
        <f>+HYPERLINK("http://trademark.i-assist.jp/data/china/image_1891th/77537816.pdf","77537816")</f>
        <v>77537816</v>
      </c>
      <c r="F1273" s="16" t="s">
        <v>1988</v>
      </c>
      <c r="G1273" s="16" t="s">
        <v>1987</v>
      </c>
      <c r="H1273" s="16" t="s">
        <v>1989</v>
      </c>
      <c r="I1273" s="17">
        <v>45377</v>
      </c>
    </row>
    <row r="1274" spans="1:9" x14ac:dyDescent="0.15">
      <c r="A1274" s="16" t="s">
        <v>1995</v>
      </c>
      <c r="B1274" s="7" t="s">
        <v>9</v>
      </c>
      <c r="C1274" s="16" t="s">
        <v>40</v>
      </c>
      <c r="D1274" s="16" t="s">
        <v>41</v>
      </c>
      <c r="E1274" s="13" t="str">
        <f>+HYPERLINK("http://trademark.i-assist.jp/data/china/image_1891th/77537883.pdf","77537883")</f>
        <v>77537883</v>
      </c>
      <c r="F1274" s="16" t="s">
        <v>1993</v>
      </c>
      <c r="G1274" s="16" t="s">
        <v>1992</v>
      </c>
      <c r="H1274" s="16" t="s">
        <v>1994</v>
      </c>
      <c r="I1274" s="17">
        <v>45377</v>
      </c>
    </row>
    <row r="1275" spans="1:9" x14ac:dyDescent="0.15">
      <c r="A1275" s="16" t="s">
        <v>6280</v>
      </c>
      <c r="B1275" s="7" t="s">
        <v>9</v>
      </c>
      <c r="C1275" s="16" t="s">
        <v>40</v>
      </c>
      <c r="D1275" s="16" t="s">
        <v>41</v>
      </c>
      <c r="E1275" s="13" t="str">
        <f>+HYPERLINK("http://trademark.i-assist.jp/data/china/image_1891th/77537910.pdf","77537910")</f>
        <v>77537910</v>
      </c>
      <c r="F1275" s="16" t="s">
        <v>52</v>
      </c>
      <c r="G1275" s="16" t="s">
        <v>1997</v>
      </c>
      <c r="H1275" s="16" t="s">
        <v>1998</v>
      </c>
      <c r="I1275" s="17">
        <v>45377</v>
      </c>
    </row>
    <row r="1276" spans="1:9" x14ac:dyDescent="0.15">
      <c r="A1276" s="16" t="s">
        <v>6284</v>
      </c>
      <c r="B1276" s="7" t="s">
        <v>9</v>
      </c>
      <c r="C1276" s="16" t="s">
        <v>40</v>
      </c>
      <c r="D1276" s="16" t="s">
        <v>41</v>
      </c>
      <c r="E1276" s="13" t="str">
        <f>+HYPERLINK("http://trademark.i-assist.jp/data/china/image_1891th/77538062.pdf","77538062")</f>
        <v>77538062</v>
      </c>
      <c r="F1276" s="16" t="s">
        <v>6282</v>
      </c>
      <c r="G1276" s="16" t="s">
        <v>1795</v>
      </c>
      <c r="H1276" s="16" t="s">
        <v>6283</v>
      </c>
      <c r="I1276" s="17">
        <v>45377</v>
      </c>
    </row>
    <row r="1277" spans="1:9" x14ac:dyDescent="0.15">
      <c r="A1277" s="16" t="s">
        <v>6289</v>
      </c>
      <c r="B1277" s="7" t="s">
        <v>9</v>
      </c>
      <c r="C1277" s="16" t="s">
        <v>40</v>
      </c>
      <c r="D1277" s="16" t="s">
        <v>41</v>
      </c>
      <c r="E1277" s="13" t="str">
        <f>+HYPERLINK("http://trademark.i-assist.jp/data/china/image_1891th/77538326.pdf","77538326")</f>
        <v>77538326</v>
      </c>
      <c r="F1277" s="16" t="s">
        <v>6287</v>
      </c>
      <c r="G1277" s="16" t="s">
        <v>6286</v>
      </c>
      <c r="H1277" s="16" t="s">
        <v>6288</v>
      </c>
      <c r="I1277" s="17">
        <v>45377</v>
      </c>
    </row>
    <row r="1278" spans="1:9" x14ac:dyDescent="0.15">
      <c r="A1278" s="16" t="s">
        <v>6293</v>
      </c>
      <c r="B1278" s="7" t="s">
        <v>9</v>
      </c>
      <c r="C1278" s="16" t="s">
        <v>40</v>
      </c>
      <c r="D1278" s="16" t="s">
        <v>41</v>
      </c>
      <c r="E1278" s="13" t="str">
        <f>+HYPERLINK("http://trademark.i-assist.jp/data/china/image_1891th/77538634.pdf","77538634")</f>
        <v>77538634</v>
      </c>
      <c r="F1278" s="16" t="s">
        <v>6291</v>
      </c>
      <c r="G1278" s="16" t="s">
        <v>1879</v>
      </c>
      <c r="H1278" s="16" t="s">
        <v>6292</v>
      </c>
      <c r="I1278" s="17">
        <v>45377</v>
      </c>
    </row>
    <row r="1279" spans="1:9" x14ac:dyDescent="0.15">
      <c r="A1279" s="16" t="s">
        <v>6298</v>
      </c>
      <c r="B1279" s="7" t="s">
        <v>9</v>
      </c>
      <c r="C1279" s="16" t="s">
        <v>40</v>
      </c>
      <c r="D1279" s="16" t="s">
        <v>41</v>
      </c>
      <c r="E1279" s="13" t="str">
        <f>+HYPERLINK("http://trademark.i-assist.jp/data/china/image_1891th/77538736.pdf","77538736")</f>
        <v>77538736</v>
      </c>
      <c r="F1279" s="16" t="s">
        <v>6296</v>
      </c>
      <c r="G1279" s="16" t="s">
        <v>6295</v>
      </c>
      <c r="H1279" s="16" t="s">
        <v>6297</v>
      </c>
      <c r="I1279" s="17">
        <v>45377</v>
      </c>
    </row>
    <row r="1280" spans="1:9" x14ac:dyDescent="0.15">
      <c r="A1280" s="16" t="s">
        <v>6303</v>
      </c>
      <c r="B1280" s="7" t="s">
        <v>9</v>
      </c>
      <c r="C1280" s="16" t="s">
        <v>40</v>
      </c>
      <c r="D1280" s="16" t="s">
        <v>41</v>
      </c>
      <c r="E1280" s="13" t="str">
        <f>+HYPERLINK("http://trademark.i-assist.jp/data/china/image_1891th/77539414.pdf","77539414")</f>
        <v>77539414</v>
      </c>
      <c r="F1280" s="16" t="s">
        <v>6301</v>
      </c>
      <c r="G1280" s="16" t="s">
        <v>6300</v>
      </c>
      <c r="H1280" s="16" t="s">
        <v>6302</v>
      </c>
      <c r="I1280" s="17">
        <v>45377</v>
      </c>
    </row>
    <row r="1281" spans="1:9" x14ac:dyDescent="0.15">
      <c r="A1281" s="16" t="s">
        <v>6308</v>
      </c>
      <c r="B1281" s="7" t="s">
        <v>9</v>
      </c>
      <c r="C1281" s="16" t="s">
        <v>40</v>
      </c>
      <c r="D1281" s="16" t="s">
        <v>41</v>
      </c>
      <c r="E1281" s="13" t="str">
        <f>+HYPERLINK("http://trademark.i-assist.jp/data/china/image_1891th/77539492.pdf","77539492")</f>
        <v>77539492</v>
      </c>
      <c r="F1281" s="16" t="s">
        <v>6306</v>
      </c>
      <c r="G1281" s="16" t="s">
        <v>6305</v>
      </c>
      <c r="H1281" s="16" t="s">
        <v>6307</v>
      </c>
      <c r="I1281" s="17">
        <v>45377</v>
      </c>
    </row>
    <row r="1282" spans="1:9" x14ac:dyDescent="0.15">
      <c r="A1282" s="16" t="s">
        <v>6313</v>
      </c>
      <c r="B1282" s="7" t="s">
        <v>9</v>
      </c>
      <c r="C1282" s="16" t="s">
        <v>40</v>
      </c>
      <c r="D1282" s="16" t="s">
        <v>41</v>
      </c>
      <c r="E1282" s="13" t="str">
        <f>+HYPERLINK("http://trademark.i-assist.jp/data/china/image_1891th/77539780.pdf","77539780")</f>
        <v>77539780</v>
      </c>
      <c r="F1282" s="16" t="s">
        <v>6311</v>
      </c>
      <c r="G1282" s="16" t="s">
        <v>6310</v>
      </c>
      <c r="H1282" s="16" t="s">
        <v>6312</v>
      </c>
      <c r="I1282" s="17">
        <v>45377</v>
      </c>
    </row>
    <row r="1283" spans="1:9" x14ac:dyDescent="0.15">
      <c r="A1283" s="16" t="s">
        <v>6317</v>
      </c>
      <c r="B1283" s="7" t="s">
        <v>9</v>
      </c>
      <c r="C1283" s="16" t="s">
        <v>40</v>
      </c>
      <c r="D1283" s="16" t="s">
        <v>41</v>
      </c>
      <c r="E1283" s="13" t="str">
        <f>+HYPERLINK("http://trademark.i-assist.jp/data/china/image_1891th/77539845.pdf","77539845")</f>
        <v>77539845</v>
      </c>
      <c r="F1283" s="16" t="s">
        <v>6315</v>
      </c>
      <c r="G1283" s="16" t="s">
        <v>2963</v>
      </c>
      <c r="H1283" s="16" t="s">
        <v>6316</v>
      </c>
      <c r="I1283" s="17">
        <v>45377</v>
      </c>
    </row>
    <row r="1284" spans="1:9" x14ac:dyDescent="0.15">
      <c r="A1284" s="16" t="s">
        <v>6322</v>
      </c>
      <c r="B1284" s="7" t="s">
        <v>9</v>
      </c>
      <c r="C1284" s="16" t="s">
        <v>40</v>
      </c>
      <c r="D1284" s="16" t="s">
        <v>41</v>
      </c>
      <c r="E1284" s="13" t="str">
        <f>+HYPERLINK("http://trademark.i-assist.jp/data/china/image_1891th/77540183.pdf","77540183")</f>
        <v>77540183</v>
      </c>
      <c r="F1284" s="16" t="s">
        <v>6320</v>
      </c>
      <c r="G1284" s="16" t="s">
        <v>6319</v>
      </c>
      <c r="H1284" s="16" t="s">
        <v>6321</v>
      </c>
      <c r="I1284" s="17">
        <v>45377</v>
      </c>
    </row>
    <row r="1285" spans="1:9" x14ac:dyDescent="0.15">
      <c r="A1285" s="16" t="s">
        <v>6327</v>
      </c>
      <c r="B1285" s="7" t="s">
        <v>9</v>
      </c>
      <c r="C1285" s="16" t="s">
        <v>40</v>
      </c>
      <c r="D1285" s="16" t="s">
        <v>41</v>
      </c>
      <c r="E1285" s="13" t="str">
        <f>+HYPERLINK("http://trademark.i-assist.jp/data/china/image_1891th/77540281.pdf","77540281")</f>
        <v>77540281</v>
      </c>
      <c r="F1285" s="16" t="s">
        <v>6325</v>
      </c>
      <c r="G1285" s="16" t="s">
        <v>6324</v>
      </c>
      <c r="H1285" s="16" t="s">
        <v>6326</v>
      </c>
      <c r="I1285" s="17">
        <v>45377</v>
      </c>
    </row>
    <row r="1286" spans="1:9" x14ac:dyDescent="0.15">
      <c r="A1286" s="16" t="s">
        <v>6331</v>
      </c>
      <c r="B1286" s="7" t="s">
        <v>9</v>
      </c>
      <c r="C1286" s="16" t="s">
        <v>40</v>
      </c>
      <c r="D1286" s="16" t="s">
        <v>41</v>
      </c>
      <c r="E1286" s="13" t="str">
        <f>+HYPERLINK("http://trademark.i-assist.jp/data/china/image_1891th/77540337.pdf","77540337")</f>
        <v>77540337</v>
      </c>
      <c r="F1286" s="16" t="s">
        <v>6329</v>
      </c>
      <c r="G1286" s="16" t="s">
        <v>1815</v>
      </c>
      <c r="H1286" s="16" t="s">
        <v>6330</v>
      </c>
      <c r="I1286" s="17">
        <v>45377</v>
      </c>
    </row>
    <row r="1287" spans="1:9" x14ac:dyDescent="0.15">
      <c r="A1287" s="16" t="s">
        <v>6336</v>
      </c>
      <c r="B1287" s="7" t="s">
        <v>9</v>
      </c>
      <c r="C1287" s="16" t="s">
        <v>40</v>
      </c>
      <c r="D1287" s="16" t="s">
        <v>41</v>
      </c>
      <c r="E1287" s="13" t="str">
        <f>+HYPERLINK("http://trademark.i-assist.jp/data/china/image_1891th/77540404.pdf","77540404")</f>
        <v>77540404</v>
      </c>
      <c r="F1287" s="16" t="s">
        <v>6334</v>
      </c>
      <c r="G1287" s="16" t="s">
        <v>6333</v>
      </c>
      <c r="H1287" s="16" t="s">
        <v>6335</v>
      </c>
      <c r="I1287" s="17">
        <v>45377</v>
      </c>
    </row>
    <row r="1288" spans="1:9" x14ac:dyDescent="0.15">
      <c r="A1288" s="16" t="s">
        <v>6341</v>
      </c>
      <c r="B1288" s="7" t="s">
        <v>9</v>
      </c>
      <c r="C1288" s="16" t="s">
        <v>40</v>
      </c>
      <c r="D1288" s="16" t="s">
        <v>41</v>
      </c>
      <c r="E1288" s="13" t="str">
        <f>+HYPERLINK("http://trademark.i-assist.jp/data/china/image_1891th/77540424.pdf","77540424")</f>
        <v>77540424</v>
      </c>
      <c r="F1288" s="16" t="s">
        <v>6339</v>
      </c>
      <c r="G1288" s="16" t="s">
        <v>6338</v>
      </c>
      <c r="H1288" s="16" t="s">
        <v>6340</v>
      </c>
      <c r="I1288" s="17">
        <v>45377</v>
      </c>
    </row>
    <row r="1289" spans="1:9" x14ac:dyDescent="0.15">
      <c r="A1289" s="16" t="s">
        <v>6346</v>
      </c>
      <c r="B1289" s="7" t="s">
        <v>9</v>
      </c>
      <c r="C1289" s="16" t="s">
        <v>40</v>
      </c>
      <c r="D1289" s="16" t="s">
        <v>41</v>
      </c>
      <c r="E1289" s="13" t="str">
        <f>+HYPERLINK("http://trademark.i-assist.jp/data/china/image_1891th/77540535.pdf","77540535")</f>
        <v>77540535</v>
      </c>
      <c r="F1289" s="16" t="s">
        <v>6344</v>
      </c>
      <c r="G1289" s="16" t="s">
        <v>6343</v>
      </c>
      <c r="H1289" s="16" t="s">
        <v>6345</v>
      </c>
      <c r="I1289" s="17">
        <v>45377</v>
      </c>
    </row>
    <row r="1290" spans="1:9" x14ac:dyDescent="0.15">
      <c r="A1290" s="16" t="s">
        <v>6351</v>
      </c>
      <c r="B1290" s="7" t="s">
        <v>9</v>
      </c>
      <c r="C1290" s="16" t="s">
        <v>40</v>
      </c>
      <c r="D1290" s="16" t="s">
        <v>41</v>
      </c>
      <c r="E1290" s="13" t="str">
        <f>+HYPERLINK("http://trademark.i-assist.jp/data/china/image_1891th/77540635.pdf","77540635")</f>
        <v>77540635</v>
      </c>
      <c r="F1290" s="16" t="s">
        <v>6349</v>
      </c>
      <c r="G1290" s="16" t="s">
        <v>6348</v>
      </c>
      <c r="H1290" s="16" t="s">
        <v>6350</v>
      </c>
      <c r="I1290" s="17">
        <v>45377</v>
      </c>
    </row>
    <row r="1291" spans="1:9" x14ac:dyDescent="0.15">
      <c r="A1291" s="16" t="s">
        <v>6356</v>
      </c>
      <c r="B1291" s="7" t="s">
        <v>9</v>
      </c>
      <c r="C1291" s="16" t="s">
        <v>40</v>
      </c>
      <c r="D1291" s="16" t="s">
        <v>41</v>
      </c>
      <c r="E1291" s="13" t="str">
        <f>+HYPERLINK("http://trademark.i-assist.jp/data/china/image_1891th/77540706.pdf","77540706")</f>
        <v>77540706</v>
      </c>
      <c r="F1291" s="16" t="s">
        <v>6354</v>
      </c>
      <c r="G1291" s="16" t="s">
        <v>6353</v>
      </c>
      <c r="H1291" s="16" t="s">
        <v>6355</v>
      </c>
      <c r="I1291" s="17">
        <v>45377</v>
      </c>
    </row>
    <row r="1292" spans="1:9" x14ac:dyDescent="0.15">
      <c r="A1292" s="16" t="s">
        <v>6361</v>
      </c>
      <c r="B1292" s="7" t="s">
        <v>9</v>
      </c>
      <c r="C1292" s="16" t="s">
        <v>40</v>
      </c>
      <c r="D1292" s="16" t="s">
        <v>41</v>
      </c>
      <c r="E1292" s="13" t="str">
        <f>+HYPERLINK("http://trademark.i-assist.jp/data/china/image_1891th/77540928.pdf","77540928")</f>
        <v>77540928</v>
      </c>
      <c r="F1292" s="16" t="s">
        <v>6359</v>
      </c>
      <c r="G1292" s="16" t="s">
        <v>11119</v>
      </c>
      <c r="H1292" s="16" t="s">
        <v>6360</v>
      </c>
      <c r="I1292" s="17">
        <v>45377</v>
      </c>
    </row>
    <row r="1293" spans="1:9" x14ac:dyDescent="0.15">
      <c r="A1293" s="16" t="s">
        <v>6366</v>
      </c>
      <c r="B1293" s="7" t="s">
        <v>9</v>
      </c>
      <c r="C1293" s="16" t="s">
        <v>40</v>
      </c>
      <c r="D1293" s="16" t="s">
        <v>41</v>
      </c>
      <c r="E1293" s="13" t="str">
        <f>+HYPERLINK("http://trademark.i-assist.jp/data/china/image_1891th/77541127.pdf","77541127")</f>
        <v>77541127</v>
      </c>
      <c r="F1293" s="16" t="s">
        <v>6364</v>
      </c>
      <c r="G1293" s="16" t="s">
        <v>6363</v>
      </c>
      <c r="H1293" s="16" t="s">
        <v>6365</v>
      </c>
      <c r="I1293" s="17">
        <v>45377</v>
      </c>
    </row>
    <row r="1294" spans="1:9" x14ac:dyDescent="0.15">
      <c r="A1294" s="16" t="s">
        <v>6371</v>
      </c>
      <c r="B1294" s="7" t="s">
        <v>9</v>
      </c>
      <c r="C1294" s="16" t="s">
        <v>40</v>
      </c>
      <c r="D1294" s="16" t="s">
        <v>41</v>
      </c>
      <c r="E1294" s="13" t="str">
        <f>+HYPERLINK("http://trademark.i-assist.jp/data/china/image_1891th/77541195.pdf","77541195")</f>
        <v>77541195</v>
      </c>
      <c r="F1294" s="16" t="s">
        <v>6369</v>
      </c>
      <c r="G1294" s="16" t="s">
        <v>6368</v>
      </c>
      <c r="H1294" s="16" t="s">
        <v>6370</v>
      </c>
      <c r="I1294" s="17">
        <v>45377</v>
      </c>
    </row>
    <row r="1295" spans="1:9" x14ac:dyDescent="0.15">
      <c r="A1295" s="16" t="s">
        <v>6376</v>
      </c>
      <c r="B1295" s="7" t="s">
        <v>9</v>
      </c>
      <c r="C1295" s="16" t="s">
        <v>40</v>
      </c>
      <c r="D1295" s="16" t="s">
        <v>41</v>
      </c>
      <c r="E1295" s="13" t="str">
        <f>+HYPERLINK("http://trademark.i-assist.jp/data/china/image_1891th/77541218.pdf","77541218")</f>
        <v>77541218</v>
      </c>
      <c r="F1295" s="16" t="s">
        <v>6374</v>
      </c>
      <c r="G1295" s="16" t="s">
        <v>6373</v>
      </c>
      <c r="H1295" s="16" t="s">
        <v>6375</v>
      </c>
      <c r="I1295" s="17">
        <v>45377</v>
      </c>
    </row>
    <row r="1296" spans="1:9" x14ac:dyDescent="0.15">
      <c r="A1296" s="16" t="s">
        <v>6381</v>
      </c>
      <c r="B1296" s="7" t="s">
        <v>9</v>
      </c>
      <c r="C1296" s="16" t="s">
        <v>40</v>
      </c>
      <c r="D1296" s="16" t="s">
        <v>41</v>
      </c>
      <c r="E1296" s="13" t="str">
        <f>+HYPERLINK("http://trademark.i-assist.jp/data/china/image_1891th/77541450.pdf","77541450")</f>
        <v>77541450</v>
      </c>
      <c r="F1296" s="16" t="s">
        <v>6379</v>
      </c>
      <c r="G1296" s="16" t="s">
        <v>6378</v>
      </c>
      <c r="H1296" s="16" t="s">
        <v>6380</v>
      </c>
      <c r="I1296" s="17">
        <v>45377</v>
      </c>
    </row>
    <row r="1297" spans="1:9" x14ac:dyDescent="0.15">
      <c r="A1297" s="16" t="s">
        <v>6384</v>
      </c>
      <c r="B1297" s="7" t="s">
        <v>9</v>
      </c>
      <c r="C1297" s="16" t="s">
        <v>40</v>
      </c>
      <c r="D1297" s="16" t="s">
        <v>41</v>
      </c>
      <c r="E1297" s="13" t="str">
        <f>+HYPERLINK("http://trademark.i-assist.jp/data/china/image_1891th/77541611.pdf","77541611")</f>
        <v>77541611</v>
      </c>
      <c r="F1297" s="16" t="s">
        <v>6339</v>
      </c>
      <c r="G1297" s="16" t="s">
        <v>6338</v>
      </c>
      <c r="H1297" s="16" t="s">
        <v>6383</v>
      </c>
      <c r="I1297" s="17">
        <v>45377</v>
      </c>
    </row>
    <row r="1298" spans="1:9" x14ac:dyDescent="0.15">
      <c r="A1298" s="16" t="s">
        <v>6389</v>
      </c>
      <c r="B1298" s="7" t="s">
        <v>9</v>
      </c>
      <c r="C1298" s="16" t="s">
        <v>40</v>
      </c>
      <c r="D1298" s="16" t="s">
        <v>41</v>
      </c>
      <c r="E1298" s="13" t="str">
        <f>+HYPERLINK("http://trademark.i-assist.jp/data/china/image_1891th/77541710.pdf","77541710")</f>
        <v>77541710</v>
      </c>
      <c r="F1298" s="16" t="s">
        <v>6387</v>
      </c>
      <c r="G1298" s="16" t="s">
        <v>6386</v>
      </c>
      <c r="H1298" s="16" t="s">
        <v>6388</v>
      </c>
      <c r="I1298" s="17">
        <v>45377</v>
      </c>
    </row>
    <row r="1299" spans="1:9" x14ac:dyDescent="0.15">
      <c r="A1299" s="16" t="s">
        <v>6394</v>
      </c>
      <c r="B1299" s="7" t="s">
        <v>9</v>
      </c>
      <c r="C1299" s="16" t="s">
        <v>40</v>
      </c>
      <c r="D1299" s="16" t="s">
        <v>41</v>
      </c>
      <c r="E1299" s="13" t="str">
        <f>+HYPERLINK("http://trademark.i-assist.jp/data/china/image_1891th/77541941.pdf","77541941")</f>
        <v>77541941</v>
      </c>
      <c r="F1299" s="16" t="s">
        <v>6392</v>
      </c>
      <c r="G1299" s="16" t="s">
        <v>6391</v>
      </c>
      <c r="H1299" s="16" t="s">
        <v>6393</v>
      </c>
      <c r="I1299" s="17">
        <v>45377</v>
      </c>
    </row>
    <row r="1300" spans="1:9" x14ac:dyDescent="0.15">
      <c r="A1300" s="16" t="s">
        <v>6398</v>
      </c>
      <c r="B1300" s="7" t="s">
        <v>9</v>
      </c>
      <c r="C1300" s="16" t="s">
        <v>40</v>
      </c>
      <c r="D1300" s="16" t="s">
        <v>41</v>
      </c>
      <c r="E1300" s="13" t="str">
        <f>+HYPERLINK("http://trademark.i-assist.jp/data/china/image_1891th/77541983.pdf","77541983")</f>
        <v>77541983</v>
      </c>
      <c r="F1300" s="16" t="s">
        <v>6396</v>
      </c>
      <c r="G1300" s="16" t="s">
        <v>2900</v>
      </c>
      <c r="H1300" s="16" t="s">
        <v>6397</v>
      </c>
      <c r="I1300" s="17">
        <v>45377</v>
      </c>
    </row>
    <row r="1301" spans="1:9" x14ac:dyDescent="0.15">
      <c r="A1301" s="16" t="s">
        <v>6403</v>
      </c>
      <c r="B1301" s="7" t="s">
        <v>9</v>
      </c>
      <c r="C1301" s="16" t="s">
        <v>40</v>
      </c>
      <c r="D1301" s="16" t="s">
        <v>41</v>
      </c>
      <c r="E1301" s="13" t="str">
        <f>+HYPERLINK("http://trademark.i-assist.jp/data/china/image_1891th/77542187.pdf","77542187")</f>
        <v>77542187</v>
      </c>
      <c r="F1301" s="16" t="s">
        <v>6401</v>
      </c>
      <c r="G1301" s="16" t="s">
        <v>6400</v>
      </c>
      <c r="H1301" s="16" t="s">
        <v>6402</v>
      </c>
      <c r="I1301" s="17">
        <v>45377</v>
      </c>
    </row>
    <row r="1302" spans="1:9" x14ac:dyDescent="0.15">
      <c r="A1302" s="16" t="s">
        <v>6407</v>
      </c>
      <c r="B1302" s="7" t="s">
        <v>9</v>
      </c>
      <c r="C1302" s="16" t="s">
        <v>40</v>
      </c>
      <c r="D1302" s="16" t="s">
        <v>41</v>
      </c>
      <c r="E1302" s="13" t="str">
        <f>+HYPERLINK("http://trademark.i-assist.jp/data/china/image_1891th/77542938.pdf","77542938")</f>
        <v>77542938</v>
      </c>
      <c r="F1302" s="16" t="s">
        <v>6405</v>
      </c>
      <c r="G1302" s="16" t="s">
        <v>1834</v>
      </c>
      <c r="H1302" s="16" t="s">
        <v>6406</v>
      </c>
      <c r="I1302" s="17">
        <v>45377</v>
      </c>
    </row>
    <row r="1303" spans="1:9" x14ac:dyDescent="0.15">
      <c r="A1303" s="16" t="s">
        <v>6412</v>
      </c>
      <c r="B1303" s="7" t="s">
        <v>9</v>
      </c>
      <c r="C1303" s="16" t="s">
        <v>40</v>
      </c>
      <c r="D1303" s="16" t="s">
        <v>41</v>
      </c>
      <c r="E1303" s="13" t="str">
        <f>+HYPERLINK("http://trademark.i-assist.jp/data/china/image_1891th/77543543.pdf","77543543")</f>
        <v>77543543</v>
      </c>
      <c r="F1303" s="16" t="s">
        <v>6410</v>
      </c>
      <c r="G1303" s="16" t="s">
        <v>6409</v>
      </c>
      <c r="H1303" s="16" t="s">
        <v>6411</v>
      </c>
      <c r="I1303" s="17">
        <v>45377</v>
      </c>
    </row>
    <row r="1304" spans="1:9" x14ac:dyDescent="0.15">
      <c r="A1304" s="16" t="s">
        <v>6417</v>
      </c>
      <c r="B1304" s="7" t="s">
        <v>9</v>
      </c>
      <c r="C1304" s="16" t="s">
        <v>40</v>
      </c>
      <c r="D1304" s="16" t="s">
        <v>41</v>
      </c>
      <c r="E1304" s="13" t="str">
        <f>+HYPERLINK("http://trademark.i-assist.jp/data/china/image_1891th/77544292.pdf","77544292")</f>
        <v>77544292</v>
      </c>
      <c r="F1304" s="16" t="s">
        <v>6415</v>
      </c>
      <c r="G1304" s="16" t="s">
        <v>6414</v>
      </c>
      <c r="H1304" s="16" t="s">
        <v>6416</v>
      </c>
      <c r="I1304" s="17">
        <v>45377</v>
      </c>
    </row>
    <row r="1305" spans="1:9" x14ac:dyDescent="0.15">
      <c r="A1305" s="16" t="s">
        <v>6422</v>
      </c>
      <c r="B1305" s="7" t="s">
        <v>9</v>
      </c>
      <c r="C1305" s="16" t="s">
        <v>40</v>
      </c>
      <c r="D1305" s="16" t="s">
        <v>41</v>
      </c>
      <c r="E1305" s="13" t="str">
        <f>+HYPERLINK("http://trademark.i-assist.jp/data/china/image_1891th/77544345.pdf","77544345")</f>
        <v>77544345</v>
      </c>
      <c r="F1305" s="16" t="s">
        <v>6420</v>
      </c>
      <c r="G1305" s="16" t="s">
        <v>6419</v>
      </c>
      <c r="H1305" s="16" t="s">
        <v>6421</v>
      </c>
      <c r="I1305" s="17">
        <v>45377</v>
      </c>
    </row>
    <row r="1306" spans="1:9" x14ac:dyDescent="0.15">
      <c r="A1306" s="16" t="s">
        <v>6427</v>
      </c>
      <c r="B1306" s="7" t="s">
        <v>9</v>
      </c>
      <c r="C1306" s="16" t="s">
        <v>40</v>
      </c>
      <c r="D1306" s="16" t="s">
        <v>41</v>
      </c>
      <c r="E1306" s="13" t="str">
        <f>+HYPERLINK("http://trademark.i-assist.jp/data/china/image_1891th/77544423.pdf","77544423")</f>
        <v>77544423</v>
      </c>
      <c r="F1306" s="16" t="s">
        <v>6425</v>
      </c>
      <c r="G1306" s="16" t="s">
        <v>6424</v>
      </c>
      <c r="H1306" s="16" t="s">
        <v>6426</v>
      </c>
      <c r="I1306" s="17">
        <v>45377</v>
      </c>
    </row>
    <row r="1307" spans="1:9" x14ac:dyDescent="0.15">
      <c r="A1307" s="16" t="s">
        <v>6432</v>
      </c>
      <c r="B1307" s="7" t="s">
        <v>9</v>
      </c>
      <c r="C1307" s="16" t="s">
        <v>40</v>
      </c>
      <c r="D1307" s="16" t="s">
        <v>41</v>
      </c>
      <c r="E1307" s="13" t="str">
        <f>+HYPERLINK("http://trademark.i-assist.jp/data/china/image_1891th/77545216.pdf","77545216")</f>
        <v>77545216</v>
      </c>
      <c r="F1307" s="16" t="s">
        <v>6430</v>
      </c>
      <c r="G1307" s="16" t="s">
        <v>6429</v>
      </c>
      <c r="H1307" s="16" t="s">
        <v>6431</v>
      </c>
      <c r="I1307" s="17">
        <v>45377</v>
      </c>
    </row>
    <row r="1308" spans="1:9" x14ac:dyDescent="0.15">
      <c r="A1308" s="16" t="s">
        <v>6437</v>
      </c>
      <c r="B1308" s="7" t="s">
        <v>9</v>
      </c>
      <c r="C1308" s="16" t="s">
        <v>40</v>
      </c>
      <c r="D1308" s="16" t="s">
        <v>41</v>
      </c>
      <c r="E1308" s="13" t="str">
        <f>+HYPERLINK("http://trademark.i-assist.jp/data/china/image_1891th/77545323.pdf","77545323")</f>
        <v>77545323</v>
      </c>
      <c r="F1308" s="16" t="s">
        <v>6435</v>
      </c>
      <c r="G1308" s="16" t="s">
        <v>6434</v>
      </c>
      <c r="H1308" s="16" t="s">
        <v>6436</v>
      </c>
      <c r="I1308" s="17">
        <v>45377</v>
      </c>
    </row>
    <row r="1309" spans="1:9" x14ac:dyDescent="0.15">
      <c r="A1309" s="16" t="s">
        <v>6442</v>
      </c>
      <c r="B1309" s="7" t="s">
        <v>9</v>
      </c>
      <c r="C1309" s="16" t="s">
        <v>40</v>
      </c>
      <c r="D1309" s="16" t="s">
        <v>41</v>
      </c>
      <c r="E1309" s="13" t="str">
        <f>+HYPERLINK("http://trademark.i-assist.jp/data/china/image_1891th/77545667.pdf","77545667")</f>
        <v>77545667</v>
      </c>
      <c r="F1309" s="16" t="s">
        <v>6440</v>
      </c>
      <c r="G1309" s="16" t="s">
        <v>6439</v>
      </c>
      <c r="H1309" s="16" t="s">
        <v>6441</v>
      </c>
      <c r="I1309" s="17">
        <v>45377</v>
      </c>
    </row>
    <row r="1310" spans="1:9" x14ac:dyDescent="0.15">
      <c r="A1310" s="16" t="s">
        <v>6446</v>
      </c>
      <c r="B1310" s="7" t="s">
        <v>9</v>
      </c>
      <c r="C1310" s="16" t="s">
        <v>40</v>
      </c>
      <c r="D1310" s="16" t="s">
        <v>41</v>
      </c>
      <c r="E1310" s="13" t="str">
        <f>+HYPERLINK("http://trademark.i-assist.jp/data/china/image_1891th/77545746.pdf","77545746")</f>
        <v>77545746</v>
      </c>
      <c r="F1310" s="16" t="s">
        <v>6444</v>
      </c>
      <c r="G1310" s="16" t="s">
        <v>3173</v>
      </c>
      <c r="H1310" s="16" t="s">
        <v>6445</v>
      </c>
      <c r="I1310" s="17">
        <v>45377</v>
      </c>
    </row>
    <row r="1311" spans="1:9" x14ac:dyDescent="0.15">
      <c r="A1311" s="16" t="s">
        <v>6451</v>
      </c>
      <c r="B1311" s="7" t="s">
        <v>9</v>
      </c>
      <c r="C1311" s="16" t="s">
        <v>40</v>
      </c>
      <c r="D1311" s="16" t="s">
        <v>41</v>
      </c>
      <c r="E1311" s="13" t="str">
        <f>+HYPERLINK("http://trademark.i-assist.jp/data/china/image_1891th/77545855.pdf","77545855")</f>
        <v>77545855</v>
      </c>
      <c r="F1311" s="16" t="s">
        <v>6449</v>
      </c>
      <c r="G1311" s="16" t="s">
        <v>6448</v>
      </c>
      <c r="H1311" s="16" t="s">
        <v>6450</v>
      </c>
      <c r="I1311" s="17">
        <v>45377</v>
      </c>
    </row>
    <row r="1312" spans="1:9" x14ac:dyDescent="0.15">
      <c r="A1312" s="16" t="s">
        <v>6456</v>
      </c>
      <c r="B1312" s="7" t="s">
        <v>9</v>
      </c>
      <c r="C1312" s="16" t="s">
        <v>40</v>
      </c>
      <c r="D1312" s="16" t="s">
        <v>41</v>
      </c>
      <c r="E1312" s="13" t="str">
        <f>+HYPERLINK("http://trademark.i-assist.jp/data/china/image_1891th/77546070.pdf","77546070")</f>
        <v>77546070</v>
      </c>
      <c r="F1312" s="16" t="s">
        <v>6454</v>
      </c>
      <c r="G1312" s="16" t="s">
        <v>6453</v>
      </c>
      <c r="H1312" s="16" t="s">
        <v>6455</v>
      </c>
      <c r="I1312" s="17">
        <v>45377</v>
      </c>
    </row>
    <row r="1313" spans="1:9" x14ac:dyDescent="0.15">
      <c r="A1313" s="16" t="s">
        <v>6461</v>
      </c>
      <c r="B1313" s="7" t="s">
        <v>9</v>
      </c>
      <c r="C1313" s="16" t="s">
        <v>40</v>
      </c>
      <c r="D1313" s="16" t="s">
        <v>41</v>
      </c>
      <c r="E1313" s="13" t="str">
        <f>+HYPERLINK("http://trademark.i-assist.jp/data/china/image_1891th/77546170.pdf","77546170")</f>
        <v>77546170</v>
      </c>
      <c r="F1313" s="16" t="s">
        <v>6459</v>
      </c>
      <c r="G1313" s="16" t="s">
        <v>6458</v>
      </c>
      <c r="H1313" s="16" t="s">
        <v>6460</v>
      </c>
      <c r="I1313" s="17">
        <v>45377</v>
      </c>
    </row>
    <row r="1314" spans="1:9" x14ac:dyDescent="0.15">
      <c r="A1314" s="16" t="s">
        <v>6466</v>
      </c>
      <c r="B1314" s="7" t="s">
        <v>9</v>
      </c>
      <c r="C1314" s="16" t="s">
        <v>40</v>
      </c>
      <c r="D1314" s="16" t="s">
        <v>41</v>
      </c>
      <c r="E1314" s="13" t="str">
        <f>+HYPERLINK("http://trademark.i-assist.jp/data/china/image_1891th/77546416.pdf","77546416")</f>
        <v>77546416</v>
      </c>
      <c r="F1314" s="16" t="s">
        <v>6464</v>
      </c>
      <c r="G1314" s="16" t="s">
        <v>6463</v>
      </c>
      <c r="H1314" s="16" t="s">
        <v>6465</v>
      </c>
      <c r="I1314" s="17">
        <v>45377</v>
      </c>
    </row>
    <row r="1315" spans="1:9" x14ac:dyDescent="0.15">
      <c r="A1315" s="16" t="s">
        <v>6471</v>
      </c>
      <c r="B1315" s="7" t="s">
        <v>9</v>
      </c>
      <c r="C1315" s="16" t="s">
        <v>40</v>
      </c>
      <c r="D1315" s="16" t="s">
        <v>41</v>
      </c>
      <c r="E1315" s="13" t="str">
        <f>+HYPERLINK("http://trademark.i-assist.jp/data/china/image_1891th/77546761.pdf","77546761")</f>
        <v>77546761</v>
      </c>
      <c r="F1315" s="16" t="s">
        <v>6469</v>
      </c>
      <c r="G1315" s="16" t="s">
        <v>6468</v>
      </c>
      <c r="H1315" s="16" t="s">
        <v>6470</v>
      </c>
      <c r="I1315" s="17">
        <v>45377</v>
      </c>
    </row>
    <row r="1316" spans="1:9" x14ac:dyDescent="0.15">
      <c r="A1316" s="16" t="s">
        <v>6476</v>
      </c>
      <c r="B1316" s="7" t="s">
        <v>9</v>
      </c>
      <c r="C1316" s="16" t="s">
        <v>40</v>
      </c>
      <c r="D1316" s="16" t="s">
        <v>41</v>
      </c>
      <c r="E1316" s="13" t="str">
        <f>+HYPERLINK("http://trademark.i-assist.jp/data/china/image_1891th/77547014.pdf","77547014")</f>
        <v>77547014</v>
      </c>
      <c r="F1316" s="16" t="s">
        <v>6474</v>
      </c>
      <c r="G1316" s="16" t="s">
        <v>6473</v>
      </c>
      <c r="H1316" s="16" t="s">
        <v>6475</v>
      </c>
      <c r="I1316" s="17">
        <v>45377</v>
      </c>
    </row>
    <row r="1317" spans="1:9" x14ac:dyDescent="0.15">
      <c r="A1317" s="16" t="s">
        <v>6481</v>
      </c>
      <c r="B1317" s="7" t="s">
        <v>9</v>
      </c>
      <c r="C1317" s="16" t="s">
        <v>40</v>
      </c>
      <c r="D1317" s="16" t="s">
        <v>41</v>
      </c>
      <c r="E1317" s="13" t="str">
        <f>+HYPERLINK("http://trademark.i-assist.jp/data/china/image_1891th/77547054.pdf","77547054")</f>
        <v>77547054</v>
      </c>
      <c r="F1317" s="16" t="s">
        <v>6479</v>
      </c>
      <c r="G1317" s="16" t="s">
        <v>6478</v>
      </c>
      <c r="H1317" s="16" t="s">
        <v>6480</v>
      </c>
      <c r="I1317" s="17">
        <v>45377</v>
      </c>
    </row>
    <row r="1318" spans="1:9" x14ac:dyDescent="0.15">
      <c r="A1318" s="16" t="s">
        <v>6486</v>
      </c>
      <c r="B1318" s="7" t="s">
        <v>9</v>
      </c>
      <c r="C1318" s="16" t="s">
        <v>40</v>
      </c>
      <c r="D1318" s="16" t="s">
        <v>41</v>
      </c>
      <c r="E1318" s="13" t="str">
        <f>+HYPERLINK("http://trademark.i-assist.jp/data/china/image_1891th/77547119.pdf","77547119")</f>
        <v>77547119</v>
      </c>
      <c r="F1318" s="16" t="s">
        <v>6484</v>
      </c>
      <c r="G1318" s="16" t="s">
        <v>6483</v>
      </c>
      <c r="H1318" s="16" t="s">
        <v>6485</v>
      </c>
      <c r="I1318" s="17">
        <v>45377</v>
      </c>
    </row>
    <row r="1319" spans="1:9" x14ac:dyDescent="0.15">
      <c r="A1319" s="16" t="s">
        <v>6491</v>
      </c>
      <c r="B1319" s="7" t="s">
        <v>9</v>
      </c>
      <c r="C1319" s="16" t="s">
        <v>40</v>
      </c>
      <c r="D1319" s="16" t="s">
        <v>41</v>
      </c>
      <c r="E1319" s="13" t="str">
        <f>+HYPERLINK("http://trademark.i-assist.jp/data/china/image_1891th/77547272.pdf","77547272")</f>
        <v>77547272</v>
      </c>
      <c r="F1319" s="16" t="s">
        <v>6489</v>
      </c>
      <c r="G1319" s="16" t="s">
        <v>6488</v>
      </c>
      <c r="H1319" s="16" t="s">
        <v>6490</v>
      </c>
      <c r="I1319" s="17">
        <v>45377</v>
      </c>
    </row>
    <row r="1320" spans="1:9" x14ac:dyDescent="0.15">
      <c r="A1320" s="16" t="s">
        <v>6496</v>
      </c>
      <c r="B1320" s="7" t="s">
        <v>9</v>
      </c>
      <c r="C1320" s="16" t="s">
        <v>40</v>
      </c>
      <c r="D1320" s="16" t="s">
        <v>41</v>
      </c>
      <c r="E1320" s="13" t="str">
        <f>+HYPERLINK("http://trademark.i-assist.jp/data/china/image_1891th/77547498.pdf","77547498")</f>
        <v>77547498</v>
      </c>
      <c r="F1320" s="16" t="s">
        <v>6494</v>
      </c>
      <c r="G1320" s="16" t="s">
        <v>6493</v>
      </c>
      <c r="H1320" s="16" t="s">
        <v>6495</v>
      </c>
      <c r="I1320" s="17">
        <v>45377</v>
      </c>
    </row>
    <row r="1321" spans="1:9" x14ac:dyDescent="0.15">
      <c r="A1321" s="16" t="s">
        <v>6501</v>
      </c>
      <c r="B1321" s="7" t="s">
        <v>9</v>
      </c>
      <c r="C1321" s="16" t="s">
        <v>40</v>
      </c>
      <c r="D1321" s="16" t="s">
        <v>41</v>
      </c>
      <c r="E1321" s="13" t="str">
        <f>+HYPERLINK("http://trademark.i-assist.jp/data/china/image_1891th/77547526.pdf","77547526")</f>
        <v>77547526</v>
      </c>
      <c r="F1321" s="16" t="s">
        <v>6499</v>
      </c>
      <c r="G1321" s="16" t="s">
        <v>6498</v>
      </c>
      <c r="H1321" s="16" t="s">
        <v>6500</v>
      </c>
      <c r="I1321" s="17">
        <v>45377</v>
      </c>
    </row>
    <row r="1322" spans="1:9" x14ac:dyDescent="0.15">
      <c r="A1322" s="16" t="s">
        <v>6506</v>
      </c>
      <c r="B1322" s="7" t="s">
        <v>9</v>
      </c>
      <c r="C1322" s="16" t="s">
        <v>40</v>
      </c>
      <c r="D1322" s="16" t="s">
        <v>41</v>
      </c>
      <c r="E1322" s="13" t="str">
        <f>+HYPERLINK("http://trademark.i-assist.jp/data/china/image_1891th/77547875.pdf","77547875")</f>
        <v>77547875</v>
      </c>
      <c r="F1322" s="16" t="s">
        <v>6504</v>
      </c>
      <c r="G1322" s="16" t="s">
        <v>6503</v>
      </c>
      <c r="H1322" s="16" t="s">
        <v>6505</v>
      </c>
      <c r="I1322" s="17">
        <v>45377</v>
      </c>
    </row>
    <row r="1323" spans="1:9" x14ac:dyDescent="0.15">
      <c r="A1323" s="16" t="s">
        <v>6510</v>
      </c>
      <c r="B1323" s="7" t="s">
        <v>9</v>
      </c>
      <c r="C1323" s="16" t="s">
        <v>40</v>
      </c>
      <c r="D1323" s="16" t="s">
        <v>41</v>
      </c>
      <c r="E1323" s="13" t="str">
        <f>+HYPERLINK("http://trademark.i-assist.jp/data/china/image_1891th/77547931.pdf","77547931")</f>
        <v>77547931</v>
      </c>
      <c r="F1323" s="16" t="s">
        <v>6508</v>
      </c>
      <c r="G1323" s="16" t="s">
        <v>1879</v>
      </c>
      <c r="H1323" s="16" t="s">
        <v>6509</v>
      </c>
      <c r="I1323" s="17">
        <v>45377</v>
      </c>
    </row>
    <row r="1324" spans="1:9" x14ac:dyDescent="0.15">
      <c r="A1324" s="16" t="s">
        <v>6515</v>
      </c>
      <c r="B1324" s="7" t="s">
        <v>9</v>
      </c>
      <c r="C1324" s="16" t="s">
        <v>40</v>
      </c>
      <c r="D1324" s="16" t="s">
        <v>41</v>
      </c>
      <c r="E1324" s="13" t="str">
        <f>+HYPERLINK("http://trademark.i-assist.jp/data/china/image_1891th/77547986.pdf","77547986")</f>
        <v>77547986</v>
      </c>
      <c r="F1324" s="16" t="s">
        <v>6513</v>
      </c>
      <c r="G1324" s="16" t="s">
        <v>6512</v>
      </c>
      <c r="H1324" s="16" t="s">
        <v>6514</v>
      </c>
      <c r="I1324" s="17">
        <v>45377</v>
      </c>
    </row>
    <row r="1325" spans="1:9" x14ac:dyDescent="0.15">
      <c r="A1325" s="16" t="s">
        <v>6519</v>
      </c>
      <c r="B1325" s="7" t="s">
        <v>9</v>
      </c>
      <c r="C1325" s="16" t="s">
        <v>40</v>
      </c>
      <c r="D1325" s="16" t="s">
        <v>41</v>
      </c>
      <c r="E1325" s="13" t="str">
        <f>+HYPERLINK("http://trademark.i-assist.jp/data/china/image_1891th/77548219.pdf","77548219")</f>
        <v>77548219</v>
      </c>
      <c r="F1325" s="16" t="s">
        <v>6517</v>
      </c>
      <c r="G1325" s="16" t="s">
        <v>1943</v>
      </c>
      <c r="H1325" s="16" t="s">
        <v>6518</v>
      </c>
      <c r="I1325" s="17">
        <v>45377</v>
      </c>
    </row>
    <row r="1326" spans="1:9" x14ac:dyDescent="0.15">
      <c r="A1326" s="16" t="s">
        <v>6523</v>
      </c>
      <c r="B1326" s="7" t="s">
        <v>9</v>
      </c>
      <c r="C1326" s="16" t="s">
        <v>40</v>
      </c>
      <c r="D1326" s="16" t="s">
        <v>41</v>
      </c>
      <c r="E1326" s="13" t="str">
        <f>+HYPERLINK("http://trademark.i-assist.jp/data/china/image_1891th/77548641.pdf","77548641")</f>
        <v>77548641</v>
      </c>
      <c r="F1326" s="16" t="s">
        <v>6521</v>
      </c>
      <c r="G1326" s="16" t="s">
        <v>11136</v>
      </c>
      <c r="H1326" s="16" t="s">
        <v>6522</v>
      </c>
      <c r="I1326" s="17">
        <v>45377</v>
      </c>
    </row>
    <row r="1327" spans="1:9" x14ac:dyDescent="0.15">
      <c r="A1327" s="16" t="s">
        <v>6528</v>
      </c>
      <c r="B1327" s="7" t="s">
        <v>9</v>
      </c>
      <c r="C1327" s="16" t="s">
        <v>40</v>
      </c>
      <c r="D1327" s="16" t="s">
        <v>41</v>
      </c>
      <c r="E1327" s="13" t="str">
        <f>+HYPERLINK("http://trademark.i-assist.jp/data/china/image_1891th/77549058.pdf","77549058")</f>
        <v>77549058</v>
      </c>
      <c r="F1327" s="16" t="s">
        <v>6526</v>
      </c>
      <c r="G1327" s="16" t="s">
        <v>6525</v>
      </c>
      <c r="H1327" s="16" t="s">
        <v>6527</v>
      </c>
      <c r="I1327" s="17">
        <v>45377</v>
      </c>
    </row>
    <row r="1328" spans="1:9" x14ac:dyDescent="0.15">
      <c r="A1328" s="16" t="s">
        <v>6533</v>
      </c>
      <c r="B1328" s="7" t="s">
        <v>9</v>
      </c>
      <c r="C1328" s="16" t="s">
        <v>40</v>
      </c>
      <c r="D1328" s="16" t="s">
        <v>41</v>
      </c>
      <c r="E1328" s="13" t="str">
        <f>+HYPERLINK("http://trademark.i-assist.jp/data/china/image_1891th/77549221.pdf","77549221")</f>
        <v>77549221</v>
      </c>
      <c r="F1328" s="16" t="s">
        <v>6531</v>
      </c>
      <c r="G1328" s="16" t="s">
        <v>6530</v>
      </c>
      <c r="H1328" s="16" t="s">
        <v>6532</v>
      </c>
      <c r="I1328" s="17">
        <v>45377</v>
      </c>
    </row>
    <row r="1329" spans="1:9" x14ac:dyDescent="0.15">
      <c r="A1329" s="16" t="s">
        <v>6538</v>
      </c>
      <c r="B1329" s="7" t="s">
        <v>9</v>
      </c>
      <c r="C1329" s="16" t="s">
        <v>40</v>
      </c>
      <c r="D1329" s="16" t="s">
        <v>41</v>
      </c>
      <c r="E1329" s="13" t="str">
        <f>+HYPERLINK("http://trademark.i-assist.jp/data/china/image_1891th/77549257.pdf","77549257")</f>
        <v>77549257</v>
      </c>
      <c r="F1329" s="16" t="s">
        <v>6536</v>
      </c>
      <c r="G1329" s="16" t="s">
        <v>6535</v>
      </c>
      <c r="H1329" s="16" t="s">
        <v>6537</v>
      </c>
      <c r="I1329" s="17">
        <v>45377</v>
      </c>
    </row>
    <row r="1330" spans="1:9" x14ac:dyDescent="0.15">
      <c r="A1330" s="16" t="s">
        <v>6542</v>
      </c>
      <c r="B1330" s="7" t="s">
        <v>9</v>
      </c>
      <c r="C1330" s="16" t="s">
        <v>40</v>
      </c>
      <c r="D1330" s="16" t="s">
        <v>41</v>
      </c>
      <c r="E1330" s="13" t="str">
        <f>+HYPERLINK("http://trademark.i-assist.jp/data/china/image_1891th/77549269.pdf","77549269")</f>
        <v>77549269</v>
      </c>
      <c r="F1330" s="16" t="s">
        <v>6540</v>
      </c>
      <c r="G1330" s="16" t="s">
        <v>3257</v>
      </c>
      <c r="H1330" s="16" t="s">
        <v>6541</v>
      </c>
      <c r="I1330" s="17">
        <v>45377</v>
      </c>
    </row>
    <row r="1331" spans="1:9" x14ac:dyDescent="0.15">
      <c r="A1331" s="16" t="s">
        <v>1793</v>
      </c>
      <c r="B1331" s="7" t="s">
        <v>9</v>
      </c>
      <c r="C1331" s="16" t="s">
        <v>40</v>
      </c>
      <c r="D1331" s="16" t="s">
        <v>41</v>
      </c>
      <c r="E1331" s="13" t="str">
        <f>+HYPERLINK("http://trademark.i-assist.jp/data/china/image_1891th/77549284.pdf","77549284")</f>
        <v>77549284</v>
      </c>
      <c r="F1331" s="16" t="s">
        <v>6545</v>
      </c>
      <c r="G1331" s="16" t="s">
        <v>6544</v>
      </c>
      <c r="H1331" s="16" t="s">
        <v>6546</v>
      </c>
      <c r="I1331" s="17">
        <v>45377</v>
      </c>
    </row>
    <row r="1332" spans="1:9" x14ac:dyDescent="0.15">
      <c r="A1332" s="16" t="s">
        <v>1798</v>
      </c>
      <c r="B1332" s="7" t="s">
        <v>9</v>
      </c>
      <c r="C1332" s="16" t="s">
        <v>40</v>
      </c>
      <c r="D1332" s="16" t="s">
        <v>41</v>
      </c>
      <c r="E1332" s="13" t="str">
        <f>+HYPERLINK("http://trademark.i-assist.jp/data/china/image_1891th/77549285.pdf","77549285")</f>
        <v>77549285</v>
      </c>
      <c r="F1332" s="16" t="s">
        <v>1796</v>
      </c>
      <c r="G1332" s="16" t="s">
        <v>1795</v>
      </c>
      <c r="H1332" s="16" t="s">
        <v>1797</v>
      </c>
      <c r="I1332" s="17">
        <v>45377</v>
      </c>
    </row>
    <row r="1333" spans="1:9" x14ac:dyDescent="0.15">
      <c r="A1333" s="16" t="s">
        <v>1803</v>
      </c>
      <c r="B1333" s="7" t="s">
        <v>9</v>
      </c>
      <c r="C1333" s="16" t="s">
        <v>40</v>
      </c>
      <c r="D1333" s="16" t="s">
        <v>41</v>
      </c>
      <c r="E1333" s="13" t="str">
        <f>+HYPERLINK("http://trademark.i-assist.jp/data/china/image_1891th/77549557.pdf","77549557")</f>
        <v>77549557</v>
      </c>
      <c r="F1333" s="16" t="s">
        <v>1801</v>
      </c>
      <c r="G1333" s="16" t="s">
        <v>1800</v>
      </c>
      <c r="H1333" s="16" t="s">
        <v>1802</v>
      </c>
      <c r="I1333" s="17">
        <v>45377</v>
      </c>
    </row>
    <row r="1334" spans="1:9" x14ac:dyDescent="0.15">
      <c r="A1334" s="16" t="s">
        <v>1808</v>
      </c>
      <c r="B1334" s="7" t="s">
        <v>9</v>
      </c>
      <c r="C1334" s="16" t="s">
        <v>40</v>
      </c>
      <c r="D1334" s="16" t="s">
        <v>41</v>
      </c>
      <c r="E1334" s="13" t="str">
        <f>+HYPERLINK("http://trademark.i-assist.jp/data/china/image_1891th/77549578.pdf","77549578")</f>
        <v>77549578</v>
      </c>
      <c r="F1334" s="16" t="s">
        <v>1806</v>
      </c>
      <c r="G1334" s="16" t="s">
        <v>1805</v>
      </c>
      <c r="H1334" s="16" t="s">
        <v>1807</v>
      </c>
      <c r="I1334" s="17">
        <v>45377</v>
      </c>
    </row>
    <row r="1335" spans="1:9" x14ac:dyDescent="0.15">
      <c r="A1335" s="16" t="s">
        <v>1813</v>
      </c>
      <c r="B1335" s="7" t="s">
        <v>9</v>
      </c>
      <c r="C1335" s="16" t="s">
        <v>40</v>
      </c>
      <c r="D1335" s="16" t="s">
        <v>41</v>
      </c>
      <c r="E1335" s="13" t="str">
        <f>+HYPERLINK("http://trademark.i-assist.jp/data/china/image_1891th/77549675.pdf","77549675")</f>
        <v>77549675</v>
      </c>
      <c r="F1335" s="16" t="s">
        <v>1811</v>
      </c>
      <c r="G1335" s="16" t="s">
        <v>1810</v>
      </c>
      <c r="H1335" s="16" t="s">
        <v>1812</v>
      </c>
      <c r="I1335" s="17">
        <v>45377</v>
      </c>
    </row>
    <row r="1336" spans="1:9" x14ac:dyDescent="0.15">
      <c r="A1336" s="16" t="s">
        <v>1818</v>
      </c>
      <c r="B1336" s="7" t="s">
        <v>9</v>
      </c>
      <c r="C1336" s="16" t="s">
        <v>40</v>
      </c>
      <c r="D1336" s="16" t="s">
        <v>41</v>
      </c>
      <c r="E1336" s="13" t="str">
        <f>+HYPERLINK("http://trademark.i-assist.jp/data/china/image_1891th/77549676.pdf","77549676")</f>
        <v>77549676</v>
      </c>
      <c r="F1336" s="16" t="s">
        <v>1816</v>
      </c>
      <c r="G1336" s="16" t="s">
        <v>1815</v>
      </c>
      <c r="H1336" s="16" t="s">
        <v>1817</v>
      </c>
      <c r="I1336" s="17">
        <v>45377</v>
      </c>
    </row>
    <row r="1337" spans="1:9" x14ac:dyDescent="0.15">
      <c r="A1337" s="16" t="s">
        <v>1822</v>
      </c>
      <c r="B1337" s="7" t="s">
        <v>9</v>
      </c>
      <c r="C1337" s="16" t="s">
        <v>40</v>
      </c>
      <c r="D1337" s="16" t="s">
        <v>41</v>
      </c>
      <c r="E1337" s="13" t="str">
        <f>+HYPERLINK("http://trademark.i-assist.jp/data/china/image_1891th/77549778.pdf","77549778")</f>
        <v>77549778</v>
      </c>
      <c r="F1337" s="16" t="s">
        <v>52</v>
      </c>
      <c r="G1337" s="16" t="s">
        <v>1820</v>
      </c>
      <c r="H1337" s="16" t="s">
        <v>1821</v>
      </c>
      <c r="I1337" s="17">
        <v>45377</v>
      </c>
    </row>
    <row r="1338" spans="1:9" x14ac:dyDescent="0.15">
      <c r="A1338" s="16" t="s">
        <v>1827</v>
      </c>
      <c r="B1338" s="7" t="s">
        <v>9</v>
      </c>
      <c r="C1338" s="16" t="s">
        <v>40</v>
      </c>
      <c r="D1338" s="16" t="s">
        <v>41</v>
      </c>
      <c r="E1338" s="13" t="str">
        <f>+HYPERLINK("http://trademark.i-assist.jp/data/china/image_1891th/77549861.pdf","77549861")</f>
        <v>77549861</v>
      </c>
      <c r="F1338" s="16" t="s">
        <v>1825</v>
      </c>
      <c r="G1338" s="16" t="s">
        <v>1824</v>
      </c>
      <c r="H1338" s="16" t="s">
        <v>1826</v>
      </c>
      <c r="I1338" s="17">
        <v>45377</v>
      </c>
    </row>
    <row r="1339" spans="1:9" x14ac:dyDescent="0.15">
      <c r="A1339" s="16" t="s">
        <v>1832</v>
      </c>
      <c r="B1339" s="7" t="s">
        <v>9</v>
      </c>
      <c r="C1339" s="16" t="s">
        <v>40</v>
      </c>
      <c r="D1339" s="16" t="s">
        <v>41</v>
      </c>
      <c r="E1339" s="13" t="str">
        <f>+HYPERLINK("http://trademark.i-assist.jp/data/china/image_1891th/77549866.pdf","77549866")</f>
        <v>77549866</v>
      </c>
      <c r="F1339" s="16" t="s">
        <v>1830</v>
      </c>
      <c r="G1339" s="16" t="s">
        <v>1829</v>
      </c>
      <c r="H1339" s="16" t="s">
        <v>1831</v>
      </c>
      <c r="I1339" s="17">
        <v>45377</v>
      </c>
    </row>
    <row r="1340" spans="1:9" x14ac:dyDescent="0.15">
      <c r="A1340" s="16" t="s">
        <v>1837</v>
      </c>
      <c r="B1340" s="7" t="s">
        <v>9</v>
      </c>
      <c r="C1340" s="16" t="s">
        <v>40</v>
      </c>
      <c r="D1340" s="16" t="s">
        <v>41</v>
      </c>
      <c r="E1340" s="13" t="str">
        <f>+HYPERLINK("http://trademark.i-assist.jp/data/china/image_1891th/77549966.pdf","77549966")</f>
        <v>77549966</v>
      </c>
      <c r="F1340" s="16" t="s">
        <v>1835</v>
      </c>
      <c r="G1340" s="16" t="s">
        <v>1834</v>
      </c>
      <c r="H1340" s="16" t="s">
        <v>1836</v>
      </c>
      <c r="I1340" s="17">
        <v>45377</v>
      </c>
    </row>
    <row r="1341" spans="1:9" x14ac:dyDescent="0.15">
      <c r="A1341" s="16" t="s">
        <v>1842</v>
      </c>
      <c r="B1341" s="7" t="s">
        <v>9</v>
      </c>
      <c r="C1341" s="16" t="s">
        <v>40</v>
      </c>
      <c r="D1341" s="16" t="s">
        <v>41</v>
      </c>
      <c r="E1341" s="13" t="str">
        <f>+HYPERLINK("http://trademark.i-assist.jp/data/china/image_1891th/77550057.pdf","77550057")</f>
        <v>77550057</v>
      </c>
      <c r="F1341" s="16" t="s">
        <v>1840</v>
      </c>
      <c r="G1341" s="16" t="s">
        <v>1839</v>
      </c>
      <c r="H1341" s="16" t="s">
        <v>1841</v>
      </c>
      <c r="I1341" s="17">
        <v>45377</v>
      </c>
    </row>
    <row r="1342" spans="1:9" x14ac:dyDescent="0.15">
      <c r="A1342" s="16" t="s">
        <v>1847</v>
      </c>
      <c r="B1342" s="7" t="s">
        <v>9</v>
      </c>
      <c r="C1342" s="16" t="s">
        <v>40</v>
      </c>
      <c r="D1342" s="16" t="s">
        <v>41</v>
      </c>
      <c r="E1342" s="13" t="str">
        <f>+HYPERLINK("http://trademark.i-assist.jp/data/china/image_1891th/77550362.pdf","77550362")</f>
        <v>77550362</v>
      </c>
      <c r="F1342" s="16" t="s">
        <v>1845</v>
      </c>
      <c r="G1342" s="16" t="s">
        <v>1844</v>
      </c>
      <c r="H1342" s="16" t="s">
        <v>1846</v>
      </c>
      <c r="I1342" s="17">
        <v>45377</v>
      </c>
    </row>
    <row r="1343" spans="1:9" x14ac:dyDescent="0.15">
      <c r="A1343" s="16" t="s">
        <v>1852</v>
      </c>
      <c r="B1343" s="7" t="s">
        <v>9</v>
      </c>
      <c r="C1343" s="16" t="s">
        <v>40</v>
      </c>
      <c r="D1343" s="16" t="s">
        <v>41</v>
      </c>
      <c r="E1343" s="13" t="str">
        <f>+HYPERLINK("http://trademark.i-assist.jp/data/china/image_1891th/77550386.pdf","77550386")</f>
        <v>77550386</v>
      </c>
      <c r="F1343" s="16" t="s">
        <v>1850</v>
      </c>
      <c r="G1343" s="16" t="s">
        <v>1849</v>
      </c>
      <c r="H1343" s="16" t="s">
        <v>1851</v>
      </c>
      <c r="I1343" s="17">
        <v>45377</v>
      </c>
    </row>
    <row r="1344" spans="1:9" x14ac:dyDescent="0.15">
      <c r="A1344" s="16" t="s">
        <v>1857</v>
      </c>
      <c r="B1344" s="7" t="s">
        <v>9</v>
      </c>
      <c r="C1344" s="16" t="s">
        <v>40</v>
      </c>
      <c r="D1344" s="16" t="s">
        <v>41</v>
      </c>
      <c r="E1344" s="13" t="str">
        <f>+HYPERLINK("http://trademark.i-assist.jp/data/china/image_1891th/77550566.pdf","77550566")</f>
        <v>77550566</v>
      </c>
      <c r="F1344" s="16" t="s">
        <v>1855</v>
      </c>
      <c r="G1344" s="16" t="s">
        <v>1854</v>
      </c>
      <c r="H1344" s="16" t="s">
        <v>1856</v>
      </c>
      <c r="I1344" s="17">
        <v>45377</v>
      </c>
    </row>
    <row r="1345" spans="1:9" x14ac:dyDescent="0.15">
      <c r="A1345" s="16" t="s">
        <v>1862</v>
      </c>
      <c r="B1345" s="7" t="s">
        <v>9</v>
      </c>
      <c r="C1345" s="16" t="s">
        <v>40</v>
      </c>
      <c r="D1345" s="16" t="s">
        <v>41</v>
      </c>
      <c r="E1345" s="13" t="str">
        <f>+HYPERLINK("http://trademark.i-assist.jp/data/china/image_1891th/77550712.pdf","77550712")</f>
        <v>77550712</v>
      </c>
      <c r="F1345" s="16" t="s">
        <v>1860</v>
      </c>
      <c r="G1345" s="16" t="s">
        <v>1859</v>
      </c>
      <c r="H1345" s="16" t="s">
        <v>1861</v>
      </c>
      <c r="I1345" s="17">
        <v>45377</v>
      </c>
    </row>
    <row r="1346" spans="1:9" x14ac:dyDescent="0.15">
      <c r="A1346" s="16" t="s">
        <v>1867</v>
      </c>
      <c r="B1346" s="7" t="s">
        <v>9</v>
      </c>
      <c r="C1346" s="16" t="s">
        <v>40</v>
      </c>
      <c r="D1346" s="16" t="s">
        <v>41</v>
      </c>
      <c r="E1346" s="13" t="str">
        <f>+HYPERLINK("http://trademark.i-assist.jp/data/china/image_1891th/77550912.pdf","77550912")</f>
        <v>77550912</v>
      </c>
      <c r="F1346" s="16" t="s">
        <v>1865</v>
      </c>
      <c r="G1346" s="16" t="s">
        <v>1864</v>
      </c>
      <c r="H1346" s="16" t="s">
        <v>1866</v>
      </c>
      <c r="I1346" s="17">
        <v>45377</v>
      </c>
    </row>
    <row r="1347" spans="1:9" x14ac:dyDescent="0.15">
      <c r="A1347" s="16" t="s">
        <v>1872</v>
      </c>
      <c r="B1347" s="7" t="s">
        <v>9</v>
      </c>
      <c r="C1347" s="16" t="s">
        <v>40</v>
      </c>
      <c r="D1347" s="16" t="s">
        <v>41</v>
      </c>
      <c r="E1347" s="13" t="str">
        <f>+HYPERLINK("http://trademark.i-assist.jp/data/china/image_1891th/77551125.pdf","77551125")</f>
        <v>77551125</v>
      </c>
      <c r="F1347" s="16" t="s">
        <v>1870</v>
      </c>
      <c r="G1347" s="16" t="s">
        <v>1869</v>
      </c>
      <c r="H1347" s="16" t="s">
        <v>1871</v>
      </c>
      <c r="I1347" s="17">
        <v>45377</v>
      </c>
    </row>
    <row r="1348" spans="1:9" x14ac:dyDescent="0.15">
      <c r="A1348" s="16" t="s">
        <v>1877</v>
      </c>
      <c r="B1348" s="7" t="s">
        <v>9</v>
      </c>
      <c r="C1348" s="16" t="s">
        <v>40</v>
      </c>
      <c r="D1348" s="16" t="s">
        <v>41</v>
      </c>
      <c r="E1348" s="13" t="str">
        <f>+HYPERLINK("http://trademark.i-assist.jp/data/china/image_1891th/77551139.pdf","77551139")</f>
        <v>77551139</v>
      </c>
      <c r="F1348" s="16" t="s">
        <v>1875</v>
      </c>
      <c r="G1348" s="16" t="s">
        <v>1874</v>
      </c>
      <c r="H1348" s="16" t="s">
        <v>1876</v>
      </c>
      <c r="I1348" s="17">
        <v>45377</v>
      </c>
    </row>
    <row r="1349" spans="1:9" x14ac:dyDescent="0.15">
      <c r="A1349" s="16" t="s">
        <v>1882</v>
      </c>
      <c r="B1349" s="7" t="s">
        <v>9</v>
      </c>
      <c r="C1349" s="16" t="s">
        <v>40</v>
      </c>
      <c r="D1349" s="16" t="s">
        <v>41</v>
      </c>
      <c r="E1349" s="13" t="str">
        <f>+HYPERLINK("http://trademark.i-assist.jp/data/china/image_1891th/77551212.pdf","77551212")</f>
        <v>77551212</v>
      </c>
      <c r="F1349" s="16" t="s">
        <v>1880</v>
      </c>
      <c r="G1349" s="16" t="s">
        <v>1879</v>
      </c>
      <c r="H1349" s="16" t="s">
        <v>1881</v>
      </c>
      <c r="I1349" s="17">
        <v>45377</v>
      </c>
    </row>
    <row r="1350" spans="1:9" x14ac:dyDescent="0.15">
      <c r="A1350" s="16" t="s">
        <v>1887</v>
      </c>
      <c r="B1350" s="7" t="s">
        <v>9</v>
      </c>
      <c r="C1350" s="16" t="s">
        <v>40</v>
      </c>
      <c r="D1350" s="16" t="s">
        <v>41</v>
      </c>
      <c r="E1350" s="13" t="str">
        <f>+HYPERLINK("http://trademark.i-assist.jp/data/china/image_1891th/77551388.pdf","77551388")</f>
        <v>77551388</v>
      </c>
      <c r="F1350" s="16" t="s">
        <v>1885</v>
      </c>
      <c r="G1350" s="16" t="s">
        <v>1884</v>
      </c>
      <c r="H1350" s="16" t="s">
        <v>1886</v>
      </c>
      <c r="I1350" s="17">
        <v>45377</v>
      </c>
    </row>
    <row r="1351" spans="1:9" x14ac:dyDescent="0.15">
      <c r="A1351" s="16" t="s">
        <v>1892</v>
      </c>
      <c r="B1351" s="7" t="s">
        <v>9</v>
      </c>
      <c r="C1351" s="16" t="s">
        <v>40</v>
      </c>
      <c r="D1351" s="16" t="s">
        <v>41</v>
      </c>
      <c r="E1351" s="13" t="str">
        <f>+HYPERLINK("http://trademark.i-assist.jp/data/china/image_1891th/77551409.pdf","77551409")</f>
        <v>77551409</v>
      </c>
      <c r="F1351" s="16" t="s">
        <v>1890</v>
      </c>
      <c r="G1351" s="16" t="s">
        <v>1889</v>
      </c>
      <c r="H1351" s="16" t="s">
        <v>1891</v>
      </c>
      <c r="I1351" s="17">
        <v>45377</v>
      </c>
    </row>
    <row r="1352" spans="1:9" x14ac:dyDescent="0.15">
      <c r="A1352" s="16" t="s">
        <v>6728</v>
      </c>
      <c r="B1352" s="7" t="s">
        <v>9</v>
      </c>
      <c r="C1352" s="16" t="s">
        <v>40</v>
      </c>
      <c r="D1352" s="16" t="s">
        <v>41</v>
      </c>
      <c r="E1352" s="13" t="str">
        <f>+HYPERLINK("http://trademark.i-assist.jp/data/china/image_1891th/77551551.pdf","77551551")</f>
        <v>77551551</v>
      </c>
      <c r="F1352" s="16" t="s">
        <v>1895</v>
      </c>
      <c r="G1352" s="16" t="s">
        <v>1894</v>
      </c>
      <c r="H1352" s="16" t="s">
        <v>1896</v>
      </c>
      <c r="I1352" s="17">
        <v>45377</v>
      </c>
    </row>
    <row r="1353" spans="1:9" x14ac:dyDescent="0.15">
      <c r="A1353" s="16" t="s">
        <v>6733</v>
      </c>
      <c r="B1353" s="7" t="s">
        <v>9</v>
      </c>
      <c r="C1353" s="16" t="s">
        <v>40</v>
      </c>
      <c r="D1353" s="16" t="s">
        <v>41</v>
      </c>
      <c r="E1353" s="13" t="str">
        <f>+HYPERLINK("http://trademark.i-assist.jp/data/china/image_1891th/77551682.pdf","77551682")</f>
        <v>77551682</v>
      </c>
      <c r="F1353" s="16" t="s">
        <v>6731</v>
      </c>
      <c r="G1353" s="16" t="s">
        <v>6730</v>
      </c>
      <c r="H1353" s="16" t="s">
        <v>6732</v>
      </c>
      <c r="I1353" s="17">
        <v>45377</v>
      </c>
    </row>
    <row r="1354" spans="1:9" x14ac:dyDescent="0.15">
      <c r="A1354" s="16" t="s">
        <v>6738</v>
      </c>
      <c r="B1354" s="7" t="s">
        <v>9</v>
      </c>
      <c r="C1354" s="16" t="s">
        <v>40</v>
      </c>
      <c r="D1354" s="16" t="s">
        <v>41</v>
      </c>
      <c r="E1354" s="13" t="str">
        <f>+HYPERLINK("http://trademark.i-assist.jp/data/china/image_1891th/77551804.pdf","77551804")</f>
        <v>77551804</v>
      </c>
      <c r="F1354" s="16" t="s">
        <v>6736</v>
      </c>
      <c r="G1354" s="16" t="s">
        <v>6735</v>
      </c>
      <c r="H1354" s="16" t="s">
        <v>6737</v>
      </c>
      <c r="I1354" s="17">
        <v>45377</v>
      </c>
    </row>
    <row r="1355" spans="1:9" x14ac:dyDescent="0.15">
      <c r="A1355" s="16" t="s">
        <v>6743</v>
      </c>
      <c r="B1355" s="7" t="s">
        <v>9</v>
      </c>
      <c r="C1355" s="16" t="s">
        <v>40</v>
      </c>
      <c r="D1355" s="16" t="s">
        <v>41</v>
      </c>
      <c r="E1355" s="13" t="str">
        <f>+HYPERLINK("http://trademark.i-assist.jp/data/china/image_1891th/77551865.pdf","77551865")</f>
        <v>77551865</v>
      </c>
      <c r="F1355" s="16" t="s">
        <v>6741</v>
      </c>
      <c r="G1355" s="16" t="s">
        <v>6740</v>
      </c>
      <c r="H1355" s="16" t="s">
        <v>6742</v>
      </c>
      <c r="I1355" s="17">
        <v>45377</v>
      </c>
    </row>
    <row r="1356" spans="1:9" x14ac:dyDescent="0.15">
      <c r="A1356" s="16" t="s">
        <v>2828</v>
      </c>
      <c r="B1356" s="7" t="s">
        <v>9</v>
      </c>
      <c r="C1356" s="16" t="s">
        <v>40</v>
      </c>
      <c r="D1356" s="16" t="s">
        <v>41</v>
      </c>
      <c r="E1356" s="13" t="str">
        <f>+HYPERLINK("http://trademark.i-assist.jp/data/china/image_1891th/77551954.pdf","77551954")</f>
        <v>77551954</v>
      </c>
      <c r="F1356" s="16" t="s">
        <v>6745</v>
      </c>
      <c r="G1356" s="16" t="s">
        <v>4685</v>
      </c>
      <c r="H1356" s="16" t="s">
        <v>6746</v>
      </c>
      <c r="I1356" s="17">
        <v>45377</v>
      </c>
    </row>
    <row r="1357" spans="1:9" x14ac:dyDescent="0.15">
      <c r="A1357" s="16" t="s">
        <v>2833</v>
      </c>
      <c r="B1357" s="7" t="s">
        <v>9</v>
      </c>
      <c r="C1357" s="16" t="s">
        <v>40</v>
      </c>
      <c r="D1357" s="16" t="s">
        <v>41</v>
      </c>
      <c r="E1357" s="13" t="str">
        <f>+HYPERLINK("http://trademark.i-assist.jp/data/china/image_1891th/77552147.pdf","77552147")</f>
        <v>77552147</v>
      </c>
      <c r="F1357" s="16" t="s">
        <v>2831</v>
      </c>
      <c r="G1357" s="16" t="s">
        <v>2830</v>
      </c>
      <c r="H1357" s="16" t="s">
        <v>2832</v>
      </c>
      <c r="I1357" s="17">
        <v>45377</v>
      </c>
    </row>
    <row r="1358" spans="1:9" x14ac:dyDescent="0.15">
      <c r="A1358" s="16" t="s">
        <v>2838</v>
      </c>
      <c r="B1358" s="7" t="s">
        <v>9</v>
      </c>
      <c r="C1358" s="16" t="s">
        <v>40</v>
      </c>
      <c r="D1358" s="16" t="s">
        <v>41</v>
      </c>
      <c r="E1358" s="13" t="str">
        <f>+HYPERLINK("http://trademark.i-assist.jp/data/china/image_1891th/77552543.pdf","77552543")</f>
        <v>77552543</v>
      </c>
      <c r="F1358" s="16" t="s">
        <v>2836</v>
      </c>
      <c r="G1358" s="16" t="s">
        <v>2835</v>
      </c>
      <c r="H1358" s="16" t="s">
        <v>2837</v>
      </c>
      <c r="I1358" s="17">
        <v>45377</v>
      </c>
    </row>
    <row r="1359" spans="1:9" x14ac:dyDescent="0.15">
      <c r="A1359" s="16" t="s">
        <v>2843</v>
      </c>
      <c r="B1359" s="7" t="s">
        <v>9</v>
      </c>
      <c r="C1359" s="16" t="s">
        <v>40</v>
      </c>
      <c r="D1359" s="16" t="s">
        <v>41</v>
      </c>
      <c r="E1359" s="13" t="str">
        <f>+HYPERLINK("http://trademark.i-assist.jp/data/china/image_1891th/77552545.pdf","77552545")</f>
        <v>77552545</v>
      </c>
      <c r="F1359" s="16" t="s">
        <v>2841</v>
      </c>
      <c r="G1359" s="16" t="s">
        <v>2840</v>
      </c>
      <c r="H1359" s="16" t="s">
        <v>2842</v>
      </c>
      <c r="I1359" s="17">
        <v>45377</v>
      </c>
    </row>
    <row r="1360" spans="1:9" x14ac:dyDescent="0.15">
      <c r="A1360" s="16" t="s">
        <v>2848</v>
      </c>
      <c r="B1360" s="7" t="s">
        <v>9</v>
      </c>
      <c r="C1360" s="16" t="s">
        <v>40</v>
      </c>
      <c r="D1360" s="16" t="s">
        <v>41</v>
      </c>
      <c r="E1360" s="13" t="str">
        <f>+HYPERLINK("http://trademark.i-assist.jp/data/china/image_1891th/77552645.pdf","77552645")</f>
        <v>77552645</v>
      </c>
      <c r="F1360" s="16" t="s">
        <v>2846</v>
      </c>
      <c r="G1360" s="16" t="s">
        <v>2845</v>
      </c>
      <c r="H1360" s="16" t="s">
        <v>2847</v>
      </c>
      <c r="I1360" s="17">
        <v>45377</v>
      </c>
    </row>
    <row r="1361" spans="1:9" x14ac:dyDescent="0.15">
      <c r="A1361" s="16" t="s">
        <v>2853</v>
      </c>
      <c r="B1361" s="7" t="s">
        <v>9</v>
      </c>
      <c r="C1361" s="16" t="s">
        <v>40</v>
      </c>
      <c r="D1361" s="16" t="s">
        <v>41</v>
      </c>
      <c r="E1361" s="13" t="str">
        <f>+HYPERLINK("http://trademark.i-assist.jp/data/china/image_1891th/77552688.pdf","77552688")</f>
        <v>77552688</v>
      </c>
      <c r="F1361" s="16" t="s">
        <v>2851</v>
      </c>
      <c r="G1361" s="16" t="s">
        <v>2850</v>
      </c>
      <c r="H1361" s="16" t="s">
        <v>2852</v>
      </c>
      <c r="I1361" s="17">
        <v>45377</v>
      </c>
    </row>
    <row r="1362" spans="1:9" x14ac:dyDescent="0.15">
      <c r="A1362" s="16" t="s">
        <v>2858</v>
      </c>
      <c r="B1362" s="7" t="s">
        <v>9</v>
      </c>
      <c r="C1362" s="16" t="s">
        <v>40</v>
      </c>
      <c r="D1362" s="16" t="s">
        <v>41</v>
      </c>
      <c r="E1362" s="13" t="str">
        <f>+HYPERLINK("http://trademark.i-assist.jp/data/china/image_1891th/77552763.pdf","77552763")</f>
        <v>77552763</v>
      </c>
      <c r="F1362" s="16" t="s">
        <v>2856</v>
      </c>
      <c r="G1362" s="16" t="s">
        <v>2855</v>
      </c>
      <c r="H1362" s="16" t="s">
        <v>2857</v>
      </c>
      <c r="I1362" s="17">
        <v>45377</v>
      </c>
    </row>
    <row r="1363" spans="1:9" x14ac:dyDescent="0.15">
      <c r="A1363" s="16" t="s">
        <v>2863</v>
      </c>
      <c r="B1363" s="7" t="s">
        <v>9</v>
      </c>
      <c r="C1363" s="16" t="s">
        <v>40</v>
      </c>
      <c r="D1363" s="16" t="s">
        <v>41</v>
      </c>
      <c r="E1363" s="13" t="str">
        <f>+HYPERLINK("http://trademark.i-assist.jp/data/china/image_1891th/77552796.pdf","77552796")</f>
        <v>77552796</v>
      </c>
      <c r="F1363" s="16" t="s">
        <v>2861</v>
      </c>
      <c r="G1363" s="16" t="s">
        <v>2860</v>
      </c>
      <c r="H1363" s="16" t="s">
        <v>2862</v>
      </c>
      <c r="I1363" s="17">
        <v>45377</v>
      </c>
    </row>
    <row r="1364" spans="1:9" x14ac:dyDescent="0.15">
      <c r="A1364" s="16" t="s">
        <v>2868</v>
      </c>
      <c r="B1364" s="7" t="s">
        <v>9</v>
      </c>
      <c r="C1364" s="16" t="s">
        <v>40</v>
      </c>
      <c r="D1364" s="16" t="s">
        <v>41</v>
      </c>
      <c r="E1364" s="13" t="str">
        <f>+HYPERLINK("http://trademark.i-assist.jp/data/china/image_1891th/77553048.pdf","77553048")</f>
        <v>77553048</v>
      </c>
      <c r="F1364" s="16" t="s">
        <v>2866</v>
      </c>
      <c r="G1364" s="16" t="s">
        <v>2865</v>
      </c>
      <c r="H1364" s="16" t="s">
        <v>2867</v>
      </c>
      <c r="I1364" s="17">
        <v>45377</v>
      </c>
    </row>
    <row r="1365" spans="1:9" x14ac:dyDescent="0.15">
      <c r="A1365" s="16" t="s">
        <v>2873</v>
      </c>
      <c r="B1365" s="7" t="s">
        <v>9</v>
      </c>
      <c r="C1365" s="16" t="s">
        <v>40</v>
      </c>
      <c r="D1365" s="16" t="s">
        <v>41</v>
      </c>
      <c r="E1365" s="13" t="str">
        <f>+HYPERLINK("http://trademark.i-assist.jp/data/china/image_1891th/77553074.pdf","77553074")</f>
        <v>77553074</v>
      </c>
      <c r="F1365" s="16" t="s">
        <v>2871</v>
      </c>
      <c r="G1365" s="16" t="s">
        <v>2870</v>
      </c>
      <c r="H1365" s="16" t="s">
        <v>2872</v>
      </c>
      <c r="I1365" s="17">
        <v>45377</v>
      </c>
    </row>
    <row r="1366" spans="1:9" x14ac:dyDescent="0.15">
      <c r="A1366" s="16" t="s">
        <v>2878</v>
      </c>
      <c r="B1366" s="7" t="s">
        <v>9</v>
      </c>
      <c r="C1366" s="16" t="s">
        <v>40</v>
      </c>
      <c r="D1366" s="16" t="s">
        <v>41</v>
      </c>
      <c r="E1366" s="13" t="str">
        <f>+HYPERLINK("http://trademark.i-assist.jp/data/china/image_1891th/77553436.pdf","77553436")</f>
        <v>77553436</v>
      </c>
      <c r="F1366" s="16" t="s">
        <v>2876</v>
      </c>
      <c r="G1366" s="16" t="s">
        <v>2875</v>
      </c>
      <c r="H1366" s="16" t="s">
        <v>2877</v>
      </c>
      <c r="I1366" s="17">
        <v>45377</v>
      </c>
    </row>
    <row r="1367" spans="1:9" x14ac:dyDescent="0.15">
      <c r="A1367" s="16" t="s">
        <v>2883</v>
      </c>
      <c r="B1367" s="7" t="s">
        <v>9</v>
      </c>
      <c r="C1367" s="16" t="s">
        <v>40</v>
      </c>
      <c r="D1367" s="16" t="s">
        <v>41</v>
      </c>
      <c r="E1367" s="13" t="str">
        <f>+HYPERLINK("http://trademark.i-assist.jp/data/china/image_1891th/77553452.pdf","77553452")</f>
        <v>77553452</v>
      </c>
      <c r="F1367" s="16" t="s">
        <v>2881</v>
      </c>
      <c r="G1367" s="16" t="s">
        <v>2880</v>
      </c>
      <c r="H1367" s="16" t="s">
        <v>2882</v>
      </c>
      <c r="I1367" s="17">
        <v>45377</v>
      </c>
    </row>
    <row r="1368" spans="1:9" x14ac:dyDescent="0.15">
      <c r="A1368" s="16" t="s">
        <v>2888</v>
      </c>
      <c r="B1368" s="7" t="s">
        <v>9</v>
      </c>
      <c r="C1368" s="16" t="s">
        <v>40</v>
      </c>
      <c r="D1368" s="16" t="s">
        <v>41</v>
      </c>
      <c r="E1368" s="13" t="str">
        <f>+HYPERLINK("http://trademark.i-assist.jp/data/china/image_1891th/77553502.pdf","77553502")</f>
        <v>77553502</v>
      </c>
      <c r="F1368" s="16" t="s">
        <v>2886</v>
      </c>
      <c r="G1368" s="16" t="s">
        <v>2885</v>
      </c>
      <c r="H1368" s="16" t="s">
        <v>2887</v>
      </c>
      <c r="I1368" s="17">
        <v>45377</v>
      </c>
    </row>
    <row r="1369" spans="1:9" x14ac:dyDescent="0.15">
      <c r="A1369" s="16" t="s">
        <v>2893</v>
      </c>
      <c r="B1369" s="7" t="s">
        <v>9</v>
      </c>
      <c r="C1369" s="16" t="s">
        <v>40</v>
      </c>
      <c r="D1369" s="16" t="s">
        <v>41</v>
      </c>
      <c r="E1369" s="13" t="str">
        <f>+HYPERLINK("http://trademark.i-assist.jp/data/china/image_1891th/77553511.pdf","77553511")</f>
        <v>77553511</v>
      </c>
      <c r="F1369" s="16" t="s">
        <v>2891</v>
      </c>
      <c r="G1369" s="16" t="s">
        <v>2890</v>
      </c>
      <c r="H1369" s="16" t="s">
        <v>2892</v>
      </c>
      <c r="I1369" s="17">
        <v>45377</v>
      </c>
    </row>
    <row r="1370" spans="1:9" x14ac:dyDescent="0.15">
      <c r="A1370" s="16" t="s">
        <v>2898</v>
      </c>
      <c r="B1370" s="7" t="s">
        <v>9</v>
      </c>
      <c r="C1370" s="16" t="s">
        <v>40</v>
      </c>
      <c r="D1370" s="16" t="s">
        <v>41</v>
      </c>
      <c r="E1370" s="13" t="str">
        <f>+HYPERLINK("http://trademark.i-assist.jp/data/china/image_1891th/77553555.pdf","77553555")</f>
        <v>77553555</v>
      </c>
      <c r="F1370" s="16" t="s">
        <v>2896</v>
      </c>
      <c r="G1370" s="16" t="s">
        <v>2895</v>
      </c>
      <c r="H1370" s="16" t="s">
        <v>2897</v>
      </c>
      <c r="I1370" s="17">
        <v>45377</v>
      </c>
    </row>
    <row r="1371" spans="1:9" x14ac:dyDescent="0.15">
      <c r="A1371" s="16" t="s">
        <v>2903</v>
      </c>
      <c r="B1371" s="7" t="s">
        <v>9</v>
      </c>
      <c r="C1371" s="16" t="s">
        <v>40</v>
      </c>
      <c r="D1371" s="16" t="s">
        <v>41</v>
      </c>
      <c r="E1371" s="13" t="str">
        <f>+HYPERLINK("http://trademark.i-assist.jp/data/china/image_1891th/77553589.pdf","77553589")</f>
        <v>77553589</v>
      </c>
      <c r="F1371" s="16" t="s">
        <v>2901</v>
      </c>
      <c r="G1371" s="16" t="s">
        <v>2900</v>
      </c>
      <c r="H1371" s="16" t="s">
        <v>2902</v>
      </c>
      <c r="I1371" s="17">
        <v>45377</v>
      </c>
    </row>
    <row r="1372" spans="1:9" x14ac:dyDescent="0.15">
      <c r="A1372" s="16" t="s">
        <v>2908</v>
      </c>
      <c r="B1372" s="7" t="s">
        <v>9</v>
      </c>
      <c r="C1372" s="16" t="s">
        <v>40</v>
      </c>
      <c r="D1372" s="16" t="s">
        <v>41</v>
      </c>
      <c r="E1372" s="13" t="str">
        <f>+HYPERLINK("http://trademark.i-assist.jp/data/china/image_1891th/77554010.pdf","77554010")</f>
        <v>77554010</v>
      </c>
      <c r="F1372" s="16" t="s">
        <v>2906</v>
      </c>
      <c r="G1372" s="16" t="s">
        <v>2905</v>
      </c>
      <c r="H1372" s="16" t="s">
        <v>2907</v>
      </c>
      <c r="I1372" s="17">
        <v>45377</v>
      </c>
    </row>
    <row r="1373" spans="1:9" x14ac:dyDescent="0.15">
      <c r="A1373" s="16" t="s">
        <v>2913</v>
      </c>
      <c r="B1373" s="7" t="s">
        <v>9</v>
      </c>
      <c r="C1373" s="16" t="s">
        <v>40</v>
      </c>
      <c r="D1373" s="16" t="s">
        <v>41</v>
      </c>
      <c r="E1373" s="13" t="str">
        <f>+HYPERLINK("http://trademark.i-assist.jp/data/china/image_1891th/77554198.pdf","77554198")</f>
        <v>77554198</v>
      </c>
      <c r="F1373" s="16" t="s">
        <v>2911</v>
      </c>
      <c r="G1373" s="16" t="s">
        <v>2910</v>
      </c>
      <c r="H1373" s="16" t="s">
        <v>2912</v>
      </c>
      <c r="I1373" s="17">
        <v>45377</v>
      </c>
    </row>
    <row r="1374" spans="1:9" x14ac:dyDescent="0.15">
      <c r="A1374" s="16" t="s">
        <v>2918</v>
      </c>
      <c r="B1374" s="7" t="s">
        <v>9</v>
      </c>
      <c r="C1374" s="16" t="s">
        <v>40</v>
      </c>
      <c r="D1374" s="16" t="s">
        <v>41</v>
      </c>
      <c r="E1374" s="13" t="str">
        <f>+HYPERLINK("http://trademark.i-assist.jp/data/china/image_1891th/77554237.pdf","77554237")</f>
        <v>77554237</v>
      </c>
      <c r="F1374" s="16" t="s">
        <v>2916</v>
      </c>
      <c r="G1374" s="16" t="s">
        <v>2915</v>
      </c>
      <c r="H1374" s="16" t="s">
        <v>2917</v>
      </c>
      <c r="I1374" s="17">
        <v>45377</v>
      </c>
    </row>
    <row r="1375" spans="1:9" x14ac:dyDescent="0.15">
      <c r="A1375" s="16" t="s">
        <v>2923</v>
      </c>
      <c r="B1375" s="7" t="s">
        <v>9</v>
      </c>
      <c r="C1375" s="16" t="s">
        <v>40</v>
      </c>
      <c r="D1375" s="16" t="s">
        <v>41</v>
      </c>
      <c r="E1375" s="13" t="str">
        <f>+HYPERLINK("http://trademark.i-assist.jp/data/china/image_1891th/77554728.pdf","77554728")</f>
        <v>77554728</v>
      </c>
      <c r="F1375" s="16" t="s">
        <v>2921</v>
      </c>
      <c r="G1375" s="16" t="s">
        <v>2920</v>
      </c>
      <c r="H1375" s="16" t="s">
        <v>2922</v>
      </c>
      <c r="I1375" s="17">
        <v>45377</v>
      </c>
    </row>
    <row r="1376" spans="1:9" x14ac:dyDescent="0.15">
      <c r="A1376" s="16" t="s">
        <v>2928</v>
      </c>
      <c r="B1376" s="7" t="s">
        <v>9</v>
      </c>
      <c r="C1376" s="16" t="s">
        <v>40</v>
      </c>
      <c r="D1376" s="16" t="s">
        <v>41</v>
      </c>
      <c r="E1376" s="13" t="str">
        <f>+HYPERLINK("http://trademark.i-assist.jp/data/china/image_1891th/77554903.pdf","77554903")</f>
        <v>77554903</v>
      </c>
      <c r="F1376" s="16" t="s">
        <v>2926</v>
      </c>
      <c r="G1376" s="16" t="s">
        <v>2925</v>
      </c>
      <c r="H1376" s="16" t="s">
        <v>2927</v>
      </c>
      <c r="I1376" s="17">
        <v>45377</v>
      </c>
    </row>
    <row r="1377" spans="1:9" x14ac:dyDescent="0.15">
      <c r="A1377" s="16" t="s">
        <v>2933</v>
      </c>
      <c r="B1377" s="7" t="s">
        <v>9</v>
      </c>
      <c r="C1377" s="16" t="s">
        <v>40</v>
      </c>
      <c r="D1377" s="16" t="s">
        <v>41</v>
      </c>
      <c r="E1377" s="13" t="str">
        <f>+HYPERLINK("http://trademark.i-assist.jp/data/china/image_1891th/77554991.pdf","77554991")</f>
        <v>77554991</v>
      </c>
      <c r="F1377" s="16" t="s">
        <v>2931</v>
      </c>
      <c r="G1377" s="16" t="s">
        <v>2930</v>
      </c>
      <c r="H1377" s="16" t="s">
        <v>2932</v>
      </c>
      <c r="I1377" s="17">
        <v>45377</v>
      </c>
    </row>
    <row r="1378" spans="1:9" x14ac:dyDescent="0.15">
      <c r="A1378" s="16" t="s">
        <v>2938</v>
      </c>
      <c r="B1378" s="7" t="s">
        <v>9</v>
      </c>
      <c r="C1378" s="16" t="s">
        <v>40</v>
      </c>
      <c r="D1378" s="16" t="s">
        <v>41</v>
      </c>
      <c r="E1378" s="13" t="str">
        <f>+HYPERLINK("http://trademark.i-assist.jp/data/china/image_1891th/77555018.pdf","77555018")</f>
        <v>77555018</v>
      </c>
      <c r="F1378" s="16" t="s">
        <v>2936</v>
      </c>
      <c r="G1378" s="16" t="s">
        <v>2935</v>
      </c>
      <c r="H1378" s="16" t="s">
        <v>2937</v>
      </c>
      <c r="I1378" s="17">
        <v>45377</v>
      </c>
    </row>
    <row r="1379" spans="1:9" x14ac:dyDescent="0.15">
      <c r="A1379" s="16" t="s">
        <v>2943</v>
      </c>
      <c r="B1379" s="7" t="s">
        <v>9</v>
      </c>
      <c r="C1379" s="16" t="s">
        <v>40</v>
      </c>
      <c r="D1379" s="16" t="s">
        <v>41</v>
      </c>
      <c r="E1379" s="13" t="str">
        <f>+HYPERLINK("http://trademark.i-assist.jp/data/china/image_1891th/77555108.pdf","77555108")</f>
        <v>77555108</v>
      </c>
      <c r="F1379" s="16" t="s">
        <v>2941</v>
      </c>
      <c r="G1379" s="16" t="s">
        <v>2940</v>
      </c>
      <c r="H1379" s="16" t="s">
        <v>2942</v>
      </c>
      <c r="I1379" s="17">
        <v>45377</v>
      </c>
    </row>
    <row r="1380" spans="1:9" x14ac:dyDescent="0.15">
      <c r="A1380" s="16" t="s">
        <v>2948</v>
      </c>
      <c r="B1380" s="7" t="s">
        <v>9</v>
      </c>
      <c r="C1380" s="16" t="s">
        <v>40</v>
      </c>
      <c r="D1380" s="16" t="s">
        <v>41</v>
      </c>
      <c r="E1380" s="13" t="str">
        <f>+HYPERLINK("http://trademark.i-assist.jp/data/china/image_1891th/77555536.pdf","77555536")</f>
        <v>77555536</v>
      </c>
      <c r="F1380" s="16" t="s">
        <v>2946</v>
      </c>
      <c r="G1380" s="16" t="s">
        <v>2945</v>
      </c>
      <c r="H1380" s="16" t="s">
        <v>2947</v>
      </c>
      <c r="I1380" s="17">
        <v>45377</v>
      </c>
    </row>
    <row r="1381" spans="1:9" x14ac:dyDescent="0.15">
      <c r="A1381" s="16" t="s">
        <v>2953</v>
      </c>
      <c r="B1381" s="7" t="s">
        <v>9</v>
      </c>
      <c r="C1381" s="16" t="s">
        <v>40</v>
      </c>
      <c r="D1381" s="16" t="s">
        <v>41</v>
      </c>
      <c r="E1381" s="13" t="str">
        <f>+HYPERLINK("http://trademark.i-assist.jp/data/china/image_1891th/77555671.pdf","77555671")</f>
        <v>77555671</v>
      </c>
      <c r="F1381" s="16" t="s">
        <v>2951</v>
      </c>
      <c r="G1381" s="16" t="s">
        <v>2950</v>
      </c>
      <c r="H1381" s="16" t="s">
        <v>2952</v>
      </c>
      <c r="I1381" s="17">
        <v>45377</v>
      </c>
    </row>
    <row r="1382" spans="1:9" x14ac:dyDescent="0.15">
      <c r="A1382" s="16" t="s">
        <v>2957</v>
      </c>
      <c r="B1382" s="7" t="s">
        <v>9</v>
      </c>
      <c r="C1382" s="16" t="s">
        <v>40</v>
      </c>
      <c r="D1382" s="16" t="s">
        <v>41</v>
      </c>
      <c r="E1382" s="13" t="str">
        <f>+HYPERLINK("http://trademark.i-assist.jp/data/china/image_1891th/77555692.pdf","77555692")</f>
        <v>77555692</v>
      </c>
      <c r="F1382" s="16" t="s">
        <v>2955</v>
      </c>
      <c r="G1382" s="16" t="s">
        <v>1717</v>
      </c>
      <c r="H1382" s="16" t="s">
        <v>2956</v>
      </c>
      <c r="I1382" s="17">
        <v>45377</v>
      </c>
    </row>
    <row r="1383" spans="1:9" x14ac:dyDescent="0.15">
      <c r="A1383" s="16" t="s">
        <v>2961</v>
      </c>
      <c r="B1383" s="7" t="s">
        <v>9</v>
      </c>
      <c r="C1383" s="16" t="s">
        <v>40</v>
      </c>
      <c r="D1383" s="16" t="s">
        <v>41</v>
      </c>
      <c r="E1383" s="13" t="str">
        <f>+HYPERLINK("http://trademark.i-assist.jp/data/china/image_1891th/77555737.pdf","77555737")</f>
        <v>77555737</v>
      </c>
      <c r="F1383" s="16" t="s">
        <v>52</v>
      </c>
      <c r="G1383" s="16" t="s">
        <v>2959</v>
      </c>
      <c r="H1383" s="16" t="s">
        <v>2960</v>
      </c>
      <c r="I1383" s="17">
        <v>45377</v>
      </c>
    </row>
    <row r="1384" spans="1:9" x14ac:dyDescent="0.15">
      <c r="A1384" s="16" t="s">
        <v>6747</v>
      </c>
      <c r="B1384" s="7" t="s">
        <v>9</v>
      </c>
      <c r="C1384" s="16" t="s">
        <v>40</v>
      </c>
      <c r="D1384" s="16" t="s">
        <v>41</v>
      </c>
      <c r="E1384" s="13" t="str">
        <f>+HYPERLINK("http://trademark.i-assist.jp/data/china/image_1891th/77555825.pdf","77555825")</f>
        <v>77555825</v>
      </c>
      <c r="F1384" s="16" t="s">
        <v>2964</v>
      </c>
      <c r="G1384" s="16" t="s">
        <v>2963</v>
      </c>
      <c r="H1384" s="16" t="s">
        <v>2965</v>
      </c>
      <c r="I1384" s="17">
        <v>45377</v>
      </c>
    </row>
    <row r="1385" spans="1:9" x14ac:dyDescent="0.15">
      <c r="A1385" s="16" t="s">
        <v>6752</v>
      </c>
      <c r="B1385" s="7" t="s">
        <v>9</v>
      </c>
      <c r="C1385" s="16" t="s">
        <v>40</v>
      </c>
      <c r="D1385" s="16" t="s">
        <v>41</v>
      </c>
      <c r="E1385" s="13" t="str">
        <f>+HYPERLINK("http://trademark.i-assist.jp/data/china/image_1891th/77556016.pdf","77556016")</f>
        <v>77556016</v>
      </c>
      <c r="F1385" s="16" t="s">
        <v>6750</v>
      </c>
      <c r="G1385" s="16" t="s">
        <v>6749</v>
      </c>
      <c r="H1385" s="16" t="s">
        <v>6751</v>
      </c>
      <c r="I1385" s="17">
        <v>45377</v>
      </c>
    </row>
    <row r="1386" spans="1:9" x14ac:dyDescent="0.15">
      <c r="A1386" s="16" t="s">
        <v>6756</v>
      </c>
      <c r="B1386" s="7" t="s">
        <v>9</v>
      </c>
      <c r="C1386" s="16" t="s">
        <v>40</v>
      </c>
      <c r="D1386" s="16" t="s">
        <v>41</v>
      </c>
      <c r="E1386" s="13" t="str">
        <f>+HYPERLINK("http://trademark.i-assist.jp/data/china/image_1891th/77556221.pdf","77556221")</f>
        <v>77556221</v>
      </c>
      <c r="F1386" s="16" t="s">
        <v>52</v>
      </c>
      <c r="G1386" s="16" t="s">
        <v>6754</v>
      </c>
      <c r="H1386" s="16" t="s">
        <v>6755</v>
      </c>
      <c r="I1386" s="17">
        <v>45377</v>
      </c>
    </row>
    <row r="1387" spans="1:9" x14ac:dyDescent="0.15">
      <c r="A1387" s="16" t="s">
        <v>6761</v>
      </c>
      <c r="B1387" s="7" t="s">
        <v>9</v>
      </c>
      <c r="C1387" s="16" t="s">
        <v>40</v>
      </c>
      <c r="D1387" s="16" t="s">
        <v>41</v>
      </c>
      <c r="E1387" s="13" t="str">
        <f>+HYPERLINK("http://trademark.i-assist.jp/data/china/image_1891th/77556240.pdf","77556240")</f>
        <v>77556240</v>
      </c>
      <c r="F1387" s="16" t="s">
        <v>6759</v>
      </c>
      <c r="G1387" s="16" t="s">
        <v>6758</v>
      </c>
      <c r="H1387" s="16" t="s">
        <v>6760</v>
      </c>
      <c r="I1387" s="17">
        <v>45377</v>
      </c>
    </row>
    <row r="1388" spans="1:9" x14ac:dyDescent="0.15">
      <c r="A1388" s="16" t="s">
        <v>6766</v>
      </c>
      <c r="B1388" s="7" t="s">
        <v>9</v>
      </c>
      <c r="C1388" s="16" t="s">
        <v>40</v>
      </c>
      <c r="D1388" s="16" t="s">
        <v>41</v>
      </c>
      <c r="E1388" s="13" t="str">
        <f>+HYPERLINK("http://trademark.i-assist.jp/data/china/image_1891th/77556342.pdf","77556342")</f>
        <v>77556342</v>
      </c>
      <c r="F1388" s="16" t="s">
        <v>6764</v>
      </c>
      <c r="G1388" s="16" t="s">
        <v>6763</v>
      </c>
      <c r="H1388" s="16" t="s">
        <v>6765</v>
      </c>
      <c r="I1388" s="17">
        <v>45377</v>
      </c>
    </row>
    <row r="1389" spans="1:9" x14ac:dyDescent="0.15">
      <c r="A1389" s="16" t="s">
        <v>6770</v>
      </c>
      <c r="B1389" s="7" t="s">
        <v>9</v>
      </c>
      <c r="C1389" s="16" t="s">
        <v>40</v>
      </c>
      <c r="D1389" s="16" t="s">
        <v>41</v>
      </c>
      <c r="E1389" s="13" t="str">
        <f>+HYPERLINK("http://trademark.i-assist.jp/data/china/image_1891th/77556448.pdf","77556448")</f>
        <v>77556448</v>
      </c>
      <c r="F1389" s="16" t="s">
        <v>6768</v>
      </c>
      <c r="G1389" s="16" t="s">
        <v>6414</v>
      </c>
      <c r="H1389" s="16" t="s">
        <v>6769</v>
      </c>
      <c r="I1389" s="17">
        <v>45377</v>
      </c>
    </row>
    <row r="1390" spans="1:9" x14ac:dyDescent="0.15">
      <c r="A1390" s="16" t="s">
        <v>6775</v>
      </c>
      <c r="B1390" s="7" t="s">
        <v>9</v>
      </c>
      <c r="C1390" s="16" t="s">
        <v>40</v>
      </c>
      <c r="D1390" s="16" t="s">
        <v>41</v>
      </c>
      <c r="E1390" s="13" t="str">
        <f>+HYPERLINK("http://trademark.i-assist.jp/data/china/image_1891th/77556518.pdf","77556518")</f>
        <v>77556518</v>
      </c>
      <c r="F1390" s="16" t="s">
        <v>6773</v>
      </c>
      <c r="G1390" s="16" t="s">
        <v>6772</v>
      </c>
      <c r="H1390" s="16" t="s">
        <v>6774</v>
      </c>
      <c r="I1390" s="17">
        <v>45377</v>
      </c>
    </row>
    <row r="1391" spans="1:9" x14ac:dyDescent="0.15">
      <c r="A1391" s="16" t="s">
        <v>6780</v>
      </c>
      <c r="B1391" s="7" t="s">
        <v>9</v>
      </c>
      <c r="C1391" s="16" t="s">
        <v>40</v>
      </c>
      <c r="D1391" s="16" t="s">
        <v>41</v>
      </c>
      <c r="E1391" s="13" t="str">
        <f>+HYPERLINK("http://trademark.i-assist.jp/data/china/image_1891th/77556621.pdf","77556621")</f>
        <v>77556621</v>
      </c>
      <c r="F1391" s="16" t="s">
        <v>6778</v>
      </c>
      <c r="G1391" s="16" t="s">
        <v>6777</v>
      </c>
      <c r="H1391" s="16" t="s">
        <v>6779</v>
      </c>
      <c r="I1391" s="17">
        <v>45377</v>
      </c>
    </row>
    <row r="1392" spans="1:9" x14ac:dyDescent="0.15">
      <c r="A1392" s="16" t="s">
        <v>6785</v>
      </c>
      <c r="B1392" s="7" t="s">
        <v>9</v>
      </c>
      <c r="C1392" s="16" t="s">
        <v>40</v>
      </c>
      <c r="D1392" s="16" t="s">
        <v>41</v>
      </c>
      <c r="E1392" s="13" t="str">
        <f>+HYPERLINK("http://trademark.i-assist.jp/data/china/image_1891th/77556720.pdf","77556720")</f>
        <v>77556720</v>
      </c>
      <c r="F1392" s="16" t="s">
        <v>6783</v>
      </c>
      <c r="G1392" s="16" t="s">
        <v>6782</v>
      </c>
      <c r="H1392" s="16" t="s">
        <v>6784</v>
      </c>
      <c r="I1392" s="17">
        <v>45377</v>
      </c>
    </row>
    <row r="1393" spans="1:9" x14ac:dyDescent="0.15">
      <c r="A1393" s="16" t="s">
        <v>6790</v>
      </c>
      <c r="B1393" s="7" t="s">
        <v>9</v>
      </c>
      <c r="C1393" s="16" t="s">
        <v>40</v>
      </c>
      <c r="D1393" s="16" t="s">
        <v>41</v>
      </c>
      <c r="E1393" s="13" t="str">
        <f>+HYPERLINK("http://trademark.i-assist.jp/data/china/image_1891th/77556957.pdf","77556957")</f>
        <v>77556957</v>
      </c>
      <c r="F1393" s="16" t="s">
        <v>6788</v>
      </c>
      <c r="G1393" s="16" t="s">
        <v>6787</v>
      </c>
      <c r="H1393" s="16" t="s">
        <v>6789</v>
      </c>
      <c r="I1393" s="17">
        <v>45377</v>
      </c>
    </row>
    <row r="1394" spans="1:9" x14ac:dyDescent="0.15">
      <c r="A1394" s="16" t="s">
        <v>6793</v>
      </c>
      <c r="B1394" s="7" t="s">
        <v>9</v>
      </c>
      <c r="C1394" s="16" t="s">
        <v>40</v>
      </c>
      <c r="D1394" s="16" t="s">
        <v>41</v>
      </c>
      <c r="E1394" s="13" t="str">
        <f>+HYPERLINK("http://trademark.i-assist.jp/data/china/image_1891th/77557006.pdf","77557006")</f>
        <v>77557006</v>
      </c>
      <c r="F1394" s="16" t="s">
        <v>1825</v>
      </c>
      <c r="G1394" s="16" t="s">
        <v>1824</v>
      </c>
      <c r="H1394" s="16" t="s">
        <v>6792</v>
      </c>
      <c r="I1394" s="17">
        <v>45377</v>
      </c>
    </row>
    <row r="1395" spans="1:9" x14ac:dyDescent="0.15">
      <c r="A1395" s="16" t="s">
        <v>6798</v>
      </c>
      <c r="B1395" s="7" t="s">
        <v>9</v>
      </c>
      <c r="C1395" s="16" t="s">
        <v>40</v>
      </c>
      <c r="D1395" s="16" t="s">
        <v>41</v>
      </c>
      <c r="E1395" s="13" t="str">
        <f>+HYPERLINK("http://trademark.i-assist.jp/data/china/image_1891th/77557125.pdf","77557125")</f>
        <v>77557125</v>
      </c>
      <c r="F1395" s="16" t="s">
        <v>6796</v>
      </c>
      <c r="G1395" s="16" t="s">
        <v>6795</v>
      </c>
      <c r="H1395" s="16" t="s">
        <v>6797</v>
      </c>
      <c r="I1395" s="17">
        <v>45377</v>
      </c>
    </row>
    <row r="1396" spans="1:9" x14ac:dyDescent="0.15">
      <c r="A1396" s="16" t="s">
        <v>6803</v>
      </c>
      <c r="B1396" s="7" t="s">
        <v>9</v>
      </c>
      <c r="C1396" s="16" t="s">
        <v>40</v>
      </c>
      <c r="D1396" s="16" t="s">
        <v>41</v>
      </c>
      <c r="E1396" s="13" t="str">
        <f>+HYPERLINK("http://trademark.i-assist.jp/data/china/image_1891th/77557141.pdf","77557141")</f>
        <v>77557141</v>
      </c>
      <c r="F1396" s="16" t="s">
        <v>6801</v>
      </c>
      <c r="G1396" s="16" t="s">
        <v>6800</v>
      </c>
      <c r="H1396" s="16" t="s">
        <v>6802</v>
      </c>
      <c r="I1396" s="17">
        <v>45377</v>
      </c>
    </row>
    <row r="1397" spans="1:9" x14ac:dyDescent="0.15">
      <c r="A1397" s="16" t="s">
        <v>6808</v>
      </c>
      <c r="B1397" s="7" t="s">
        <v>9</v>
      </c>
      <c r="C1397" s="16" t="s">
        <v>40</v>
      </c>
      <c r="D1397" s="16" t="s">
        <v>41</v>
      </c>
      <c r="E1397" s="13" t="str">
        <f>+HYPERLINK("http://trademark.i-assist.jp/data/china/image_1891th/77557395.pdf","77557395")</f>
        <v>77557395</v>
      </c>
      <c r="F1397" s="16" t="s">
        <v>6806</v>
      </c>
      <c r="G1397" s="16" t="s">
        <v>6805</v>
      </c>
      <c r="H1397" s="16" t="s">
        <v>6807</v>
      </c>
      <c r="I1397" s="17">
        <v>45377</v>
      </c>
    </row>
    <row r="1398" spans="1:9" x14ac:dyDescent="0.15">
      <c r="A1398" s="16" t="s">
        <v>6813</v>
      </c>
      <c r="B1398" s="7" t="s">
        <v>9</v>
      </c>
      <c r="C1398" s="16" t="s">
        <v>40</v>
      </c>
      <c r="D1398" s="16" t="s">
        <v>41</v>
      </c>
      <c r="E1398" s="13" t="str">
        <f>+HYPERLINK("http://trademark.i-assist.jp/data/china/image_1891th/77557753.pdf","77557753")</f>
        <v>77557753</v>
      </c>
      <c r="F1398" s="16" t="s">
        <v>6811</v>
      </c>
      <c r="G1398" s="16" t="s">
        <v>6810</v>
      </c>
      <c r="H1398" s="16" t="s">
        <v>6812</v>
      </c>
      <c r="I1398" s="17">
        <v>45377</v>
      </c>
    </row>
    <row r="1399" spans="1:9" x14ac:dyDescent="0.15">
      <c r="A1399" s="16" t="s">
        <v>6818</v>
      </c>
      <c r="B1399" s="7" t="s">
        <v>9</v>
      </c>
      <c r="C1399" s="16" t="s">
        <v>40</v>
      </c>
      <c r="D1399" s="16" t="s">
        <v>41</v>
      </c>
      <c r="E1399" s="13" t="str">
        <f>+HYPERLINK("http://trademark.i-assist.jp/data/china/image_1891th/77558197.pdf","77558197")</f>
        <v>77558197</v>
      </c>
      <c r="F1399" s="16" t="s">
        <v>6816</v>
      </c>
      <c r="G1399" s="16" t="s">
        <v>6815</v>
      </c>
      <c r="H1399" s="16" t="s">
        <v>6817</v>
      </c>
      <c r="I1399" s="17">
        <v>45377</v>
      </c>
    </row>
    <row r="1400" spans="1:9" x14ac:dyDescent="0.15">
      <c r="A1400" s="16" t="s">
        <v>6823</v>
      </c>
      <c r="B1400" s="7" t="s">
        <v>9</v>
      </c>
      <c r="C1400" s="16" t="s">
        <v>40</v>
      </c>
      <c r="D1400" s="16" t="s">
        <v>41</v>
      </c>
      <c r="E1400" s="13" t="str">
        <f>+HYPERLINK("http://trademark.i-assist.jp/data/china/image_1891th/77558567.pdf","77558567")</f>
        <v>77558567</v>
      </c>
      <c r="F1400" s="16" t="s">
        <v>6821</v>
      </c>
      <c r="G1400" s="16" t="s">
        <v>6820</v>
      </c>
      <c r="H1400" s="16" t="s">
        <v>6822</v>
      </c>
      <c r="I1400" s="17">
        <v>45377</v>
      </c>
    </row>
    <row r="1401" spans="1:9" x14ac:dyDescent="0.15">
      <c r="A1401" s="16" t="s">
        <v>6828</v>
      </c>
      <c r="B1401" s="7" t="s">
        <v>9</v>
      </c>
      <c r="C1401" s="16" t="s">
        <v>40</v>
      </c>
      <c r="D1401" s="16" t="s">
        <v>41</v>
      </c>
      <c r="E1401" s="13" t="str">
        <f>+HYPERLINK("http://trademark.i-assist.jp/data/china/image_1891th/77558595.pdf","77558595")</f>
        <v>77558595</v>
      </c>
      <c r="F1401" s="16" t="s">
        <v>6826</v>
      </c>
      <c r="G1401" s="16" t="s">
        <v>6825</v>
      </c>
      <c r="H1401" s="16" t="s">
        <v>6827</v>
      </c>
      <c r="I1401" s="17">
        <v>45377</v>
      </c>
    </row>
    <row r="1402" spans="1:9" x14ac:dyDescent="0.15">
      <c r="A1402" s="16" t="s">
        <v>6832</v>
      </c>
      <c r="B1402" s="7" t="s">
        <v>9</v>
      </c>
      <c r="C1402" s="16" t="s">
        <v>40</v>
      </c>
      <c r="D1402" s="16" t="s">
        <v>41</v>
      </c>
      <c r="E1402" s="13" t="str">
        <f>+HYPERLINK("http://trademark.i-assist.jp/data/china/image_1891th/77558695.pdf","77558695")</f>
        <v>77558695</v>
      </c>
      <c r="F1402" s="16" t="s">
        <v>6830</v>
      </c>
      <c r="G1402" s="16" t="s">
        <v>2850</v>
      </c>
      <c r="H1402" s="16" t="s">
        <v>6831</v>
      </c>
      <c r="I1402" s="17">
        <v>45377</v>
      </c>
    </row>
    <row r="1403" spans="1:9" x14ac:dyDescent="0.15">
      <c r="A1403" s="16" t="s">
        <v>6837</v>
      </c>
      <c r="B1403" s="7" t="s">
        <v>9</v>
      </c>
      <c r="C1403" s="16" t="s">
        <v>40</v>
      </c>
      <c r="D1403" s="16" t="s">
        <v>41</v>
      </c>
      <c r="E1403" s="13" t="str">
        <f>+HYPERLINK("http://trademark.i-assist.jp/data/china/image_1891th/77558891.pdf","77558891")</f>
        <v>77558891</v>
      </c>
      <c r="F1403" s="16" t="s">
        <v>6835</v>
      </c>
      <c r="G1403" s="16" t="s">
        <v>6834</v>
      </c>
      <c r="H1403" s="16" t="s">
        <v>6836</v>
      </c>
      <c r="I1403" s="17">
        <v>45377</v>
      </c>
    </row>
    <row r="1404" spans="1:9" x14ac:dyDescent="0.15">
      <c r="A1404" s="16" t="s">
        <v>6841</v>
      </c>
      <c r="B1404" s="7" t="s">
        <v>9</v>
      </c>
      <c r="C1404" s="16" t="s">
        <v>40</v>
      </c>
      <c r="D1404" s="16" t="s">
        <v>41</v>
      </c>
      <c r="E1404" s="13" t="str">
        <f>+HYPERLINK("http://trademark.i-assist.jp/data/china/image_1891th/77559101.pdf","77559101")</f>
        <v>77559101</v>
      </c>
      <c r="F1404" s="16" t="s">
        <v>6839</v>
      </c>
      <c r="G1404" s="16" t="s">
        <v>6453</v>
      </c>
      <c r="H1404" s="16" t="s">
        <v>6840</v>
      </c>
      <c r="I1404" s="17">
        <v>45377</v>
      </c>
    </row>
    <row r="1405" spans="1:9" x14ac:dyDescent="0.15">
      <c r="A1405" s="16" t="s">
        <v>6846</v>
      </c>
      <c r="B1405" s="7" t="s">
        <v>9</v>
      </c>
      <c r="C1405" s="16" t="s">
        <v>40</v>
      </c>
      <c r="D1405" s="16" t="s">
        <v>41</v>
      </c>
      <c r="E1405" s="13" t="str">
        <f>+HYPERLINK("http://trademark.i-assist.jp/data/china/image_1891th/77560266.pdf","77560266")</f>
        <v>77560266</v>
      </c>
      <c r="F1405" s="16" t="s">
        <v>6844</v>
      </c>
      <c r="G1405" s="16" t="s">
        <v>6843</v>
      </c>
      <c r="H1405" s="16" t="s">
        <v>6845</v>
      </c>
      <c r="I1405" s="17">
        <v>45377</v>
      </c>
    </row>
    <row r="1406" spans="1:9" x14ac:dyDescent="0.15">
      <c r="A1406" s="16" t="s">
        <v>6851</v>
      </c>
      <c r="B1406" s="7" t="s">
        <v>9</v>
      </c>
      <c r="C1406" s="16" t="s">
        <v>40</v>
      </c>
      <c r="D1406" s="16" t="s">
        <v>41</v>
      </c>
      <c r="E1406" s="13" t="str">
        <f>+HYPERLINK("http://trademark.i-assist.jp/data/china/image_1891th/77560520.pdf","77560520")</f>
        <v>77560520</v>
      </c>
      <c r="F1406" s="16" t="s">
        <v>6849</v>
      </c>
      <c r="G1406" s="16" t="s">
        <v>6848</v>
      </c>
      <c r="H1406" s="16" t="s">
        <v>6850</v>
      </c>
      <c r="I1406" s="17">
        <v>45377</v>
      </c>
    </row>
    <row r="1407" spans="1:9" x14ac:dyDescent="0.15">
      <c r="A1407" s="16" t="s">
        <v>6856</v>
      </c>
      <c r="B1407" s="7" t="s">
        <v>9</v>
      </c>
      <c r="C1407" s="16" t="s">
        <v>40</v>
      </c>
      <c r="D1407" s="16" t="s">
        <v>41</v>
      </c>
      <c r="E1407" s="13" t="str">
        <f>+HYPERLINK("http://trademark.i-assist.jp/data/china/image_1891th/77560545.pdf","77560545")</f>
        <v>77560545</v>
      </c>
      <c r="F1407" s="16" t="s">
        <v>6854</v>
      </c>
      <c r="G1407" s="16" t="s">
        <v>6853</v>
      </c>
      <c r="H1407" s="16" t="s">
        <v>6855</v>
      </c>
      <c r="I1407" s="17">
        <v>45377</v>
      </c>
    </row>
    <row r="1408" spans="1:9" x14ac:dyDescent="0.15">
      <c r="A1408" s="16" t="s">
        <v>6861</v>
      </c>
      <c r="B1408" s="7" t="s">
        <v>9</v>
      </c>
      <c r="C1408" s="16" t="s">
        <v>40</v>
      </c>
      <c r="D1408" s="16" t="s">
        <v>41</v>
      </c>
      <c r="E1408" s="13" t="str">
        <f>+HYPERLINK("http://trademark.i-assist.jp/data/china/image_1891th/77560625.pdf","77560625")</f>
        <v>77560625</v>
      </c>
      <c r="F1408" s="16" t="s">
        <v>6859</v>
      </c>
      <c r="G1408" s="16" t="s">
        <v>6858</v>
      </c>
      <c r="H1408" s="16" t="s">
        <v>6860</v>
      </c>
      <c r="I1408" s="17">
        <v>45377</v>
      </c>
    </row>
    <row r="1409" spans="1:9" x14ac:dyDescent="0.15">
      <c r="A1409" s="16" t="s">
        <v>6866</v>
      </c>
      <c r="B1409" s="7" t="s">
        <v>9</v>
      </c>
      <c r="C1409" s="16" t="s">
        <v>40</v>
      </c>
      <c r="D1409" s="16" t="s">
        <v>41</v>
      </c>
      <c r="E1409" s="13" t="str">
        <f>+HYPERLINK("http://trademark.i-assist.jp/data/china/image_1891th/77560661.pdf","77560661")</f>
        <v>77560661</v>
      </c>
      <c r="F1409" s="16" t="s">
        <v>6864</v>
      </c>
      <c r="G1409" s="16" t="s">
        <v>6863</v>
      </c>
      <c r="H1409" s="16" t="s">
        <v>6865</v>
      </c>
      <c r="I1409" s="17">
        <v>45377</v>
      </c>
    </row>
    <row r="1410" spans="1:9" x14ac:dyDescent="0.15">
      <c r="A1410" s="16" t="s">
        <v>6871</v>
      </c>
      <c r="B1410" s="7" t="s">
        <v>9</v>
      </c>
      <c r="C1410" s="16" t="s">
        <v>40</v>
      </c>
      <c r="D1410" s="16" t="s">
        <v>41</v>
      </c>
      <c r="E1410" s="13" t="str">
        <f>+HYPERLINK("http://trademark.i-assist.jp/data/china/image_1891th/77560860.pdf","77560860")</f>
        <v>77560860</v>
      </c>
      <c r="F1410" s="16" t="s">
        <v>6869</v>
      </c>
      <c r="G1410" s="16" t="s">
        <v>6868</v>
      </c>
      <c r="H1410" s="16" t="s">
        <v>6870</v>
      </c>
      <c r="I1410" s="17">
        <v>45377</v>
      </c>
    </row>
    <row r="1411" spans="1:9" x14ac:dyDescent="0.15">
      <c r="A1411" s="16" t="s">
        <v>6876</v>
      </c>
      <c r="B1411" s="7" t="s">
        <v>9</v>
      </c>
      <c r="C1411" s="16" t="s">
        <v>40</v>
      </c>
      <c r="D1411" s="16" t="s">
        <v>41</v>
      </c>
      <c r="E1411" s="13" t="str">
        <f>+HYPERLINK("http://trademark.i-assist.jp/data/china/image_1891th/77560870.pdf","77560870")</f>
        <v>77560870</v>
      </c>
      <c r="F1411" s="16" t="s">
        <v>6874</v>
      </c>
      <c r="G1411" s="16" t="s">
        <v>6873</v>
      </c>
      <c r="H1411" s="16" t="s">
        <v>6875</v>
      </c>
      <c r="I1411" s="17">
        <v>45377</v>
      </c>
    </row>
    <row r="1412" spans="1:9" x14ac:dyDescent="0.15">
      <c r="A1412" s="16" t="s">
        <v>6881</v>
      </c>
      <c r="B1412" s="7" t="s">
        <v>9</v>
      </c>
      <c r="C1412" s="16" t="s">
        <v>40</v>
      </c>
      <c r="D1412" s="16" t="s">
        <v>41</v>
      </c>
      <c r="E1412" s="13" t="str">
        <f>+HYPERLINK("http://trademark.i-assist.jp/data/china/image_1891th/77560919.pdf","77560919")</f>
        <v>77560919</v>
      </c>
      <c r="F1412" s="16" t="s">
        <v>6879</v>
      </c>
      <c r="G1412" s="16" t="s">
        <v>6878</v>
      </c>
      <c r="H1412" s="16" t="s">
        <v>6880</v>
      </c>
      <c r="I1412" s="17">
        <v>45377</v>
      </c>
    </row>
    <row r="1413" spans="1:9" x14ac:dyDescent="0.15">
      <c r="A1413" s="16" t="s">
        <v>6886</v>
      </c>
      <c r="B1413" s="7" t="s">
        <v>9</v>
      </c>
      <c r="C1413" s="16" t="s">
        <v>40</v>
      </c>
      <c r="D1413" s="16" t="s">
        <v>41</v>
      </c>
      <c r="E1413" s="13" t="str">
        <f>+HYPERLINK("http://trademark.i-assist.jp/data/china/image_1891th/77561003.pdf","77561003")</f>
        <v>77561003</v>
      </c>
      <c r="F1413" s="16" t="s">
        <v>6884</v>
      </c>
      <c r="G1413" s="16" t="s">
        <v>6883</v>
      </c>
      <c r="H1413" s="16" t="s">
        <v>6885</v>
      </c>
      <c r="I1413" s="17">
        <v>45377</v>
      </c>
    </row>
    <row r="1414" spans="1:9" x14ac:dyDescent="0.15">
      <c r="A1414" s="16" t="s">
        <v>6891</v>
      </c>
      <c r="B1414" s="7" t="s">
        <v>9</v>
      </c>
      <c r="C1414" s="16" t="s">
        <v>40</v>
      </c>
      <c r="D1414" s="16" t="s">
        <v>41</v>
      </c>
      <c r="E1414" s="13" t="str">
        <f>+HYPERLINK("http://trademark.i-assist.jp/data/china/image_1891th/77561033.pdf","77561033")</f>
        <v>77561033</v>
      </c>
      <c r="F1414" s="16" t="s">
        <v>6889</v>
      </c>
      <c r="G1414" s="16" t="s">
        <v>6888</v>
      </c>
      <c r="H1414" s="16" t="s">
        <v>6890</v>
      </c>
      <c r="I1414" s="17">
        <v>45377</v>
      </c>
    </row>
    <row r="1415" spans="1:9" x14ac:dyDescent="0.15">
      <c r="A1415" s="16" t="s">
        <v>6896</v>
      </c>
      <c r="B1415" s="7" t="s">
        <v>9</v>
      </c>
      <c r="C1415" s="16" t="s">
        <v>40</v>
      </c>
      <c r="D1415" s="16" t="s">
        <v>41</v>
      </c>
      <c r="E1415" s="13" t="str">
        <f>+HYPERLINK("http://trademark.i-assist.jp/data/china/image_1891th/77561171.pdf","77561171")</f>
        <v>77561171</v>
      </c>
      <c r="F1415" s="16" t="s">
        <v>6894</v>
      </c>
      <c r="G1415" s="16" t="s">
        <v>6893</v>
      </c>
      <c r="H1415" s="16" t="s">
        <v>6895</v>
      </c>
      <c r="I1415" s="17">
        <v>45377</v>
      </c>
    </row>
    <row r="1416" spans="1:9" x14ac:dyDescent="0.15">
      <c r="A1416" s="16" t="s">
        <v>6900</v>
      </c>
      <c r="B1416" s="7" t="s">
        <v>9</v>
      </c>
      <c r="C1416" s="16" t="s">
        <v>40</v>
      </c>
      <c r="D1416" s="16" t="s">
        <v>41</v>
      </c>
      <c r="E1416" s="13" t="str">
        <f>+HYPERLINK("http://trademark.i-assist.jp/data/china/image_1891th/77561455.pdf","77561455")</f>
        <v>77561455</v>
      </c>
      <c r="F1416" s="16" t="s">
        <v>52</v>
      </c>
      <c r="G1416" s="16" t="s">
        <v>6898</v>
      </c>
      <c r="H1416" s="16" t="s">
        <v>6899</v>
      </c>
      <c r="I1416" s="17">
        <v>45377</v>
      </c>
    </row>
    <row r="1417" spans="1:9" x14ac:dyDescent="0.15">
      <c r="A1417" s="16" t="s">
        <v>6904</v>
      </c>
      <c r="B1417" s="7" t="s">
        <v>9</v>
      </c>
      <c r="C1417" s="16" t="s">
        <v>40</v>
      </c>
      <c r="D1417" s="16" t="s">
        <v>41</v>
      </c>
      <c r="E1417" s="13" t="str">
        <f>+HYPERLINK("http://trademark.i-assist.jp/data/china/image_1891th/77561760.pdf","77561760")</f>
        <v>77561760</v>
      </c>
      <c r="F1417" s="16" t="s">
        <v>6902</v>
      </c>
      <c r="G1417" s="16" t="s">
        <v>3257</v>
      </c>
      <c r="H1417" s="16" t="s">
        <v>6903</v>
      </c>
      <c r="I1417" s="17">
        <v>45377</v>
      </c>
    </row>
    <row r="1418" spans="1:9" x14ac:dyDescent="0.15">
      <c r="A1418" s="16" t="s">
        <v>6908</v>
      </c>
      <c r="B1418" s="7" t="s">
        <v>9</v>
      </c>
      <c r="C1418" s="16" t="s">
        <v>40</v>
      </c>
      <c r="D1418" s="16" t="s">
        <v>41</v>
      </c>
      <c r="E1418" s="13" t="str">
        <f>+HYPERLINK("http://trademark.i-assist.jp/data/china/image_1891th/77561773.pdf","77561773")</f>
        <v>77561773</v>
      </c>
      <c r="F1418" s="16" t="s">
        <v>6906</v>
      </c>
      <c r="G1418" s="16" t="s">
        <v>3257</v>
      </c>
      <c r="H1418" s="16" t="s">
        <v>6907</v>
      </c>
      <c r="I1418" s="17">
        <v>45377</v>
      </c>
    </row>
    <row r="1419" spans="1:9" x14ac:dyDescent="0.15">
      <c r="A1419" s="16" t="s">
        <v>6913</v>
      </c>
      <c r="B1419" s="7" t="s">
        <v>9</v>
      </c>
      <c r="C1419" s="16" t="s">
        <v>40</v>
      </c>
      <c r="D1419" s="16" t="s">
        <v>41</v>
      </c>
      <c r="E1419" s="13" t="str">
        <f>+HYPERLINK("http://trademark.i-assist.jp/data/china/image_1891th/77561887.pdf","77561887")</f>
        <v>77561887</v>
      </c>
      <c r="F1419" s="16" t="s">
        <v>6911</v>
      </c>
      <c r="G1419" s="16" t="s">
        <v>6910</v>
      </c>
      <c r="H1419" s="16" t="s">
        <v>6912</v>
      </c>
      <c r="I1419" s="17">
        <v>45377</v>
      </c>
    </row>
    <row r="1420" spans="1:9" x14ac:dyDescent="0.15">
      <c r="A1420" s="16" t="s">
        <v>6918</v>
      </c>
      <c r="B1420" s="7" t="s">
        <v>9</v>
      </c>
      <c r="C1420" s="16" t="s">
        <v>40</v>
      </c>
      <c r="D1420" s="16" t="s">
        <v>41</v>
      </c>
      <c r="E1420" s="13" t="str">
        <f>+HYPERLINK("http://trademark.i-assist.jp/data/china/image_1891th/77561977.pdf","77561977")</f>
        <v>77561977</v>
      </c>
      <c r="F1420" s="16" t="s">
        <v>6916</v>
      </c>
      <c r="G1420" s="16" t="s">
        <v>6915</v>
      </c>
      <c r="H1420" s="16" t="s">
        <v>6917</v>
      </c>
      <c r="I1420" s="17">
        <v>45377</v>
      </c>
    </row>
    <row r="1421" spans="1:9" x14ac:dyDescent="0.15">
      <c r="A1421" s="16" t="s">
        <v>6923</v>
      </c>
      <c r="B1421" s="7" t="s">
        <v>9</v>
      </c>
      <c r="C1421" s="16" t="s">
        <v>40</v>
      </c>
      <c r="D1421" s="16" t="s">
        <v>41</v>
      </c>
      <c r="E1421" s="13" t="str">
        <f>+HYPERLINK("http://trademark.i-assist.jp/data/china/image_1891th/77562183.pdf","77562183")</f>
        <v>77562183</v>
      </c>
      <c r="F1421" s="16" t="s">
        <v>6921</v>
      </c>
      <c r="G1421" s="16" t="s">
        <v>6920</v>
      </c>
      <c r="H1421" s="16" t="s">
        <v>6922</v>
      </c>
      <c r="I1421" s="17">
        <v>45377</v>
      </c>
    </row>
    <row r="1422" spans="1:9" x14ac:dyDescent="0.15">
      <c r="A1422" s="16" t="s">
        <v>6928</v>
      </c>
      <c r="B1422" s="7" t="s">
        <v>9</v>
      </c>
      <c r="C1422" s="16" t="s">
        <v>40</v>
      </c>
      <c r="D1422" s="16" t="s">
        <v>41</v>
      </c>
      <c r="E1422" s="13" t="str">
        <f>+HYPERLINK("http://trademark.i-assist.jp/data/china/image_1891th/77562253.pdf","77562253")</f>
        <v>77562253</v>
      </c>
      <c r="F1422" s="16" t="s">
        <v>6926</v>
      </c>
      <c r="G1422" s="16" t="s">
        <v>6925</v>
      </c>
      <c r="H1422" s="16" t="s">
        <v>6927</v>
      </c>
      <c r="I1422" s="17">
        <v>45377</v>
      </c>
    </row>
    <row r="1423" spans="1:9" x14ac:dyDescent="0.15">
      <c r="A1423" s="16" t="s">
        <v>6933</v>
      </c>
      <c r="B1423" s="7" t="s">
        <v>9</v>
      </c>
      <c r="C1423" s="16" t="s">
        <v>40</v>
      </c>
      <c r="D1423" s="16" t="s">
        <v>41</v>
      </c>
      <c r="E1423" s="13" t="str">
        <f>+HYPERLINK("http://trademark.i-assist.jp/data/china/image_1891th/77562589.pdf","77562589")</f>
        <v>77562589</v>
      </c>
      <c r="F1423" s="16" t="s">
        <v>6931</v>
      </c>
      <c r="G1423" s="16" t="s">
        <v>11137</v>
      </c>
      <c r="H1423" s="16" t="s">
        <v>6932</v>
      </c>
      <c r="I1423" s="17">
        <v>45377</v>
      </c>
    </row>
    <row r="1424" spans="1:9" x14ac:dyDescent="0.15">
      <c r="A1424" s="16" t="s">
        <v>6937</v>
      </c>
      <c r="B1424" s="7" t="s">
        <v>9</v>
      </c>
      <c r="C1424" s="16" t="s">
        <v>40</v>
      </c>
      <c r="D1424" s="16" t="s">
        <v>41</v>
      </c>
      <c r="E1424" s="13" t="str">
        <f>+HYPERLINK("http://trademark.i-assist.jp/data/china/image_1891th/77562741.pdf","77562741")</f>
        <v>77562741</v>
      </c>
      <c r="F1424" s="16" t="s">
        <v>6935</v>
      </c>
      <c r="G1424" s="16" t="s">
        <v>2850</v>
      </c>
      <c r="H1424" s="16" t="s">
        <v>6936</v>
      </c>
      <c r="I1424" s="17">
        <v>45377</v>
      </c>
    </row>
    <row r="1425" spans="1:9" x14ac:dyDescent="0.15">
      <c r="A1425" s="16" t="s">
        <v>6941</v>
      </c>
      <c r="B1425" s="7" t="s">
        <v>9</v>
      </c>
      <c r="C1425" s="16" t="s">
        <v>40</v>
      </c>
      <c r="D1425" s="16" t="s">
        <v>41</v>
      </c>
      <c r="E1425" s="13" t="str">
        <f>+HYPERLINK("http://trademark.i-assist.jp/data/china/image_1891th/77562785.pdf","77562785")</f>
        <v>77562785</v>
      </c>
      <c r="F1425" s="16" t="s">
        <v>6939</v>
      </c>
      <c r="G1425" s="16" t="s">
        <v>2850</v>
      </c>
      <c r="H1425" s="16" t="s">
        <v>6940</v>
      </c>
      <c r="I1425" s="17">
        <v>45377</v>
      </c>
    </row>
    <row r="1426" spans="1:9" x14ac:dyDescent="0.15">
      <c r="A1426" s="16" t="s">
        <v>6946</v>
      </c>
      <c r="B1426" s="7" t="s">
        <v>9</v>
      </c>
      <c r="C1426" s="16" t="s">
        <v>40</v>
      </c>
      <c r="D1426" s="16" t="s">
        <v>41</v>
      </c>
      <c r="E1426" s="13" t="str">
        <f>+HYPERLINK("http://trademark.i-assist.jp/data/china/image_1891th/77562789.pdf","77562789")</f>
        <v>77562789</v>
      </c>
      <c r="F1426" s="16" t="s">
        <v>6944</v>
      </c>
      <c r="G1426" s="16" t="s">
        <v>6943</v>
      </c>
      <c r="H1426" s="16" t="s">
        <v>6945</v>
      </c>
      <c r="I1426" s="17">
        <v>45377</v>
      </c>
    </row>
    <row r="1427" spans="1:9" x14ac:dyDescent="0.15">
      <c r="A1427" s="16" t="s">
        <v>6950</v>
      </c>
      <c r="B1427" s="7" t="s">
        <v>9</v>
      </c>
      <c r="C1427" s="16" t="s">
        <v>40</v>
      </c>
      <c r="D1427" s="16" t="s">
        <v>41</v>
      </c>
      <c r="E1427" s="13" t="str">
        <f>+HYPERLINK("http://trademark.i-assist.jp/data/china/image_1891th/77562964.pdf","77562964")</f>
        <v>77562964</v>
      </c>
      <c r="F1427" s="16" t="s">
        <v>6948</v>
      </c>
      <c r="G1427" s="16" t="s">
        <v>1854</v>
      </c>
      <c r="H1427" s="16" t="s">
        <v>6949</v>
      </c>
      <c r="I1427" s="17">
        <v>45377</v>
      </c>
    </row>
    <row r="1428" spans="1:9" x14ac:dyDescent="0.15">
      <c r="A1428" s="16" t="s">
        <v>6955</v>
      </c>
      <c r="B1428" s="7" t="s">
        <v>9</v>
      </c>
      <c r="C1428" s="16" t="s">
        <v>40</v>
      </c>
      <c r="D1428" s="16" t="s">
        <v>41</v>
      </c>
      <c r="E1428" s="13" t="str">
        <f>+HYPERLINK("http://trademark.i-assist.jp/data/china/image_1891th/77562971.pdf","77562971")</f>
        <v>77562971</v>
      </c>
      <c r="F1428" s="16" t="s">
        <v>6953</v>
      </c>
      <c r="G1428" s="16" t="s">
        <v>6952</v>
      </c>
      <c r="H1428" s="16" t="s">
        <v>6954</v>
      </c>
      <c r="I1428" s="17">
        <v>45377</v>
      </c>
    </row>
    <row r="1429" spans="1:9" x14ac:dyDescent="0.15">
      <c r="A1429" s="16" t="s">
        <v>6959</v>
      </c>
      <c r="B1429" s="7" t="s">
        <v>9</v>
      </c>
      <c r="C1429" s="16" t="s">
        <v>40</v>
      </c>
      <c r="D1429" s="16" t="s">
        <v>41</v>
      </c>
      <c r="E1429" s="13" t="str">
        <f>+HYPERLINK("http://trademark.i-assist.jp/data/china/image_1891th/77563183.pdf","77563183")</f>
        <v>77563183</v>
      </c>
      <c r="F1429" s="16" t="s">
        <v>6957</v>
      </c>
      <c r="G1429" s="16" t="s">
        <v>3125</v>
      </c>
      <c r="H1429" s="16" t="s">
        <v>6958</v>
      </c>
      <c r="I1429" s="17">
        <v>45377</v>
      </c>
    </row>
    <row r="1430" spans="1:9" x14ac:dyDescent="0.15">
      <c r="A1430" s="16" t="s">
        <v>6964</v>
      </c>
      <c r="B1430" s="7" t="s">
        <v>9</v>
      </c>
      <c r="C1430" s="16" t="s">
        <v>40</v>
      </c>
      <c r="D1430" s="16" t="s">
        <v>41</v>
      </c>
      <c r="E1430" s="13" t="str">
        <f>+HYPERLINK("http://trademark.i-assist.jp/data/china/image_1891th/77563416.pdf","77563416")</f>
        <v>77563416</v>
      </c>
      <c r="F1430" s="16" t="s">
        <v>6962</v>
      </c>
      <c r="G1430" s="16" t="s">
        <v>6961</v>
      </c>
      <c r="H1430" s="16" t="s">
        <v>6963</v>
      </c>
      <c r="I1430" s="17">
        <v>45377</v>
      </c>
    </row>
    <row r="1431" spans="1:9" x14ac:dyDescent="0.15">
      <c r="A1431" s="16" t="s">
        <v>6969</v>
      </c>
      <c r="B1431" s="7" t="s">
        <v>9</v>
      </c>
      <c r="C1431" s="16" t="s">
        <v>40</v>
      </c>
      <c r="D1431" s="16" t="s">
        <v>41</v>
      </c>
      <c r="E1431" s="13" t="str">
        <f>+HYPERLINK("http://trademark.i-assist.jp/data/china/image_1891th/77563440.pdf","77563440")</f>
        <v>77563440</v>
      </c>
      <c r="F1431" s="16" t="s">
        <v>6967</v>
      </c>
      <c r="G1431" s="16" t="s">
        <v>6966</v>
      </c>
      <c r="H1431" s="16" t="s">
        <v>6968</v>
      </c>
      <c r="I1431" s="17">
        <v>45377</v>
      </c>
    </row>
    <row r="1432" spans="1:9" x14ac:dyDescent="0.15">
      <c r="A1432" s="16" t="s">
        <v>6974</v>
      </c>
      <c r="B1432" s="7" t="s">
        <v>9</v>
      </c>
      <c r="C1432" s="16" t="s">
        <v>40</v>
      </c>
      <c r="D1432" s="16" t="s">
        <v>41</v>
      </c>
      <c r="E1432" s="13" t="str">
        <f>+HYPERLINK("http://trademark.i-assist.jp/data/china/image_1891th/77563653.pdf","77563653")</f>
        <v>77563653</v>
      </c>
      <c r="F1432" s="16" t="s">
        <v>6972</v>
      </c>
      <c r="G1432" s="16" t="s">
        <v>6971</v>
      </c>
      <c r="H1432" s="16" t="s">
        <v>6973</v>
      </c>
      <c r="I1432" s="17">
        <v>45377</v>
      </c>
    </row>
    <row r="1433" spans="1:9" x14ac:dyDescent="0.15">
      <c r="A1433" s="16" t="s">
        <v>6979</v>
      </c>
      <c r="B1433" s="7" t="s">
        <v>9</v>
      </c>
      <c r="C1433" s="16" t="s">
        <v>40</v>
      </c>
      <c r="D1433" s="16" t="s">
        <v>41</v>
      </c>
      <c r="E1433" s="13" t="str">
        <f>+HYPERLINK("http://trademark.i-assist.jp/data/china/image_1891th/77563800.pdf","77563800")</f>
        <v>77563800</v>
      </c>
      <c r="F1433" s="16" t="s">
        <v>6977</v>
      </c>
      <c r="G1433" s="16" t="s">
        <v>6976</v>
      </c>
      <c r="H1433" s="16" t="s">
        <v>6978</v>
      </c>
      <c r="I1433" s="17">
        <v>45377</v>
      </c>
    </row>
    <row r="1434" spans="1:9" x14ac:dyDescent="0.15">
      <c r="A1434" s="16" t="s">
        <v>6984</v>
      </c>
      <c r="B1434" s="7" t="s">
        <v>9</v>
      </c>
      <c r="C1434" s="16" t="s">
        <v>40</v>
      </c>
      <c r="D1434" s="16" t="s">
        <v>41</v>
      </c>
      <c r="E1434" s="13" t="str">
        <f>+HYPERLINK("http://trademark.i-assist.jp/data/china/image_1891th/77564244.pdf","77564244")</f>
        <v>77564244</v>
      </c>
      <c r="F1434" s="16" t="s">
        <v>6982</v>
      </c>
      <c r="G1434" s="16" t="s">
        <v>6981</v>
      </c>
      <c r="H1434" s="16" t="s">
        <v>6983</v>
      </c>
      <c r="I1434" s="17">
        <v>45377</v>
      </c>
    </row>
    <row r="1435" spans="1:9" x14ac:dyDescent="0.15">
      <c r="A1435" s="16" t="s">
        <v>6988</v>
      </c>
      <c r="B1435" s="7" t="s">
        <v>9</v>
      </c>
      <c r="C1435" s="16" t="s">
        <v>40</v>
      </c>
      <c r="D1435" s="16" t="s">
        <v>41</v>
      </c>
      <c r="E1435" s="13" t="str">
        <f>+HYPERLINK("http://trademark.i-assist.jp/data/china/image_1891th/77564474.pdf","77564474")</f>
        <v>77564474</v>
      </c>
      <c r="F1435" s="16" t="s">
        <v>6986</v>
      </c>
      <c r="G1435" s="16" t="s">
        <v>1879</v>
      </c>
      <c r="H1435" s="16" t="s">
        <v>6987</v>
      </c>
      <c r="I1435" s="17">
        <v>45377</v>
      </c>
    </row>
    <row r="1436" spans="1:9" x14ac:dyDescent="0.15">
      <c r="A1436" s="16" t="s">
        <v>6993</v>
      </c>
      <c r="B1436" s="7" t="s">
        <v>9</v>
      </c>
      <c r="C1436" s="16" t="s">
        <v>40</v>
      </c>
      <c r="D1436" s="16" t="s">
        <v>41</v>
      </c>
      <c r="E1436" s="13" t="str">
        <f>+HYPERLINK("http://trademark.i-assist.jp/data/china/image_1891th/77564547.pdf","77564547")</f>
        <v>77564547</v>
      </c>
      <c r="F1436" s="16" t="s">
        <v>6991</v>
      </c>
      <c r="G1436" s="16" t="s">
        <v>6990</v>
      </c>
      <c r="H1436" s="16" t="s">
        <v>6992</v>
      </c>
      <c r="I1436" s="17">
        <v>45377</v>
      </c>
    </row>
    <row r="1437" spans="1:9" x14ac:dyDescent="0.15">
      <c r="A1437" s="16" t="s">
        <v>6998</v>
      </c>
      <c r="B1437" s="7" t="s">
        <v>9</v>
      </c>
      <c r="C1437" s="16" t="s">
        <v>40</v>
      </c>
      <c r="D1437" s="16" t="s">
        <v>41</v>
      </c>
      <c r="E1437" s="13" t="str">
        <f>+HYPERLINK("http://trademark.i-assist.jp/data/china/image_1891th/77564661.pdf","77564661")</f>
        <v>77564661</v>
      </c>
      <c r="F1437" s="16" t="s">
        <v>6996</v>
      </c>
      <c r="G1437" s="16" t="s">
        <v>6995</v>
      </c>
      <c r="H1437" s="16" t="s">
        <v>6997</v>
      </c>
      <c r="I1437" s="17">
        <v>45377</v>
      </c>
    </row>
    <row r="1438" spans="1:9" x14ac:dyDescent="0.15">
      <c r="A1438" s="16" t="s">
        <v>7003</v>
      </c>
      <c r="B1438" s="7" t="s">
        <v>9</v>
      </c>
      <c r="C1438" s="16" t="s">
        <v>40</v>
      </c>
      <c r="D1438" s="16" t="s">
        <v>41</v>
      </c>
      <c r="E1438" s="13" t="str">
        <f>+HYPERLINK("http://trademark.i-assist.jp/data/china/image_1891th/77564857.pdf","77564857")</f>
        <v>77564857</v>
      </c>
      <c r="F1438" s="16" t="s">
        <v>7001</v>
      </c>
      <c r="G1438" s="16" t="s">
        <v>7000</v>
      </c>
      <c r="H1438" s="16" t="s">
        <v>7002</v>
      </c>
      <c r="I1438" s="17">
        <v>45377</v>
      </c>
    </row>
    <row r="1439" spans="1:9" x14ac:dyDescent="0.15">
      <c r="A1439" s="16" t="s">
        <v>7007</v>
      </c>
      <c r="B1439" s="7" t="s">
        <v>9</v>
      </c>
      <c r="C1439" s="16" t="s">
        <v>40</v>
      </c>
      <c r="D1439" s="16" t="s">
        <v>41</v>
      </c>
      <c r="E1439" s="13" t="str">
        <f>+HYPERLINK("http://trademark.i-assist.jp/data/china/image_1891th/77565048.pdf","77565048")</f>
        <v>77565048</v>
      </c>
      <c r="F1439" s="16" t="s">
        <v>7005</v>
      </c>
      <c r="G1439" s="16" t="s">
        <v>6878</v>
      </c>
      <c r="H1439" s="16" t="s">
        <v>7006</v>
      </c>
      <c r="I1439" s="17">
        <v>45377</v>
      </c>
    </row>
    <row r="1440" spans="1:9" x14ac:dyDescent="0.15">
      <c r="A1440" s="16" t="s">
        <v>7011</v>
      </c>
      <c r="B1440" s="7" t="s">
        <v>9</v>
      </c>
      <c r="C1440" s="16" t="s">
        <v>40</v>
      </c>
      <c r="D1440" s="16" t="s">
        <v>41</v>
      </c>
      <c r="E1440" s="13" t="str">
        <f>+HYPERLINK("http://trademark.i-assist.jp/data/china/image_1891th/77565088.pdf","77565088")</f>
        <v>77565088</v>
      </c>
      <c r="F1440" s="16" t="s">
        <v>7009</v>
      </c>
      <c r="G1440" s="16" t="s">
        <v>6920</v>
      </c>
      <c r="H1440" s="16" t="s">
        <v>7010</v>
      </c>
      <c r="I1440" s="17">
        <v>45377</v>
      </c>
    </row>
    <row r="1441" spans="1:9" x14ac:dyDescent="0.15">
      <c r="A1441" s="16" t="s">
        <v>7016</v>
      </c>
      <c r="B1441" s="7" t="s">
        <v>9</v>
      </c>
      <c r="C1441" s="16" t="s">
        <v>40</v>
      </c>
      <c r="D1441" s="16" t="s">
        <v>41</v>
      </c>
      <c r="E1441" s="13" t="str">
        <f>+HYPERLINK("http://trademark.i-assist.jp/data/china/image_1891th/77565184.pdf","77565184")</f>
        <v>77565184</v>
      </c>
      <c r="F1441" s="16" t="s">
        <v>7014</v>
      </c>
      <c r="G1441" s="16" t="s">
        <v>7013</v>
      </c>
      <c r="H1441" s="16" t="s">
        <v>7015</v>
      </c>
      <c r="I1441" s="17">
        <v>45377</v>
      </c>
    </row>
    <row r="1442" spans="1:9" x14ac:dyDescent="0.15">
      <c r="A1442" s="16" t="s">
        <v>7020</v>
      </c>
      <c r="B1442" s="7" t="s">
        <v>9</v>
      </c>
      <c r="C1442" s="16" t="s">
        <v>40</v>
      </c>
      <c r="D1442" s="16" t="s">
        <v>41</v>
      </c>
      <c r="E1442" s="13" t="str">
        <f>+HYPERLINK("http://trademark.i-assist.jp/data/china/image_1891th/77565217.pdf","77565217")</f>
        <v>77565217</v>
      </c>
      <c r="F1442" s="16" t="s">
        <v>7018</v>
      </c>
      <c r="G1442" s="16" t="s">
        <v>4708</v>
      </c>
      <c r="H1442" s="16" t="s">
        <v>7019</v>
      </c>
      <c r="I1442" s="17">
        <v>45377</v>
      </c>
    </row>
    <row r="1443" spans="1:9" x14ac:dyDescent="0.15">
      <c r="A1443" s="16" t="s">
        <v>7024</v>
      </c>
      <c r="B1443" s="7" t="s">
        <v>9</v>
      </c>
      <c r="C1443" s="16" t="s">
        <v>40</v>
      </c>
      <c r="D1443" s="16" t="s">
        <v>41</v>
      </c>
      <c r="E1443" s="13" t="str">
        <f>+HYPERLINK("http://trademark.i-assist.jp/data/china/image_1891th/77565398.pdf","77565398")</f>
        <v>77565398</v>
      </c>
      <c r="F1443" s="16" t="s">
        <v>7022</v>
      </c>
      <c r="G1443" s="16" t="s">
        <v>6943</v>
      </c>
      <c r="H1443" s="16" t="s">
        <v>7023</v>
      </c>
      <c r="I1443" s="17">
        <v>45377</v>
      </c>
    </row>
    <row r="1444" spans="1:9" x14ac:dyDescent="0.15">
      <c r="A1444" s="16" t="s">
        <v>7028</v>
      </c>
      <c r="B1444" s="7" t="s">
        <v>9</v>
      </c>
      <c r="C1444" s="16" t="s">
        <v>40</v>
      </c>
      <c r="D1444" s="16" t="s">
        <v>41</v>
      </c>
      <c r="E1444" s="13" t="str">
        <f>+HYPERLINK("http://trademark.i-assist.jp/data/china/image_1891th/77565500.pdf","77565500")</f>
        <v>77565500</v>
      </c>
      <c r="F1444" s="16" t="s">
        <v>7026</v>
      </c>
      <c r="G1444" s="16" t="s">
        <v>1854</v>
      </c>
      <c r="H1444" s="16" t="s">
        <v>7027</v>
      </c>
      <c r="I1444" s="17">
        <v>45377</v>
      </c>
    </row>
    <row r="1445" spans="1:9" x14ac:dyDescent="0.15">
      <c r="A1445" s="16" t="s">
        <v>7033</v>
      </c>
      <c r="B1445" s="7" t="s">
        <v>9</v>
      </c>
      <c r="C1445" s="16" t="s">
        <v>40</v>
      </c>
      <c r="D1445" s="16" t="s">
        <v>41</v>
      </c>
      <c r="E1445" s="13" t="str">
        <f>+HYPERLINK("http://trademark.i-assist.jp/data/china/image_1891th/77565550.pdf","77565550")</f>
        <v>77565550</v>
      </c>
      <c r="F1445" s="16" t="s">
        <v>7031</v>
      </c>
      <c r="G1445" s="16" t="s">
        <v>7030</v>
      </c>
      <c r="H1445" s="16" t="s">
        <v>7032</v>
      </c>
      <c r="I1445" s="17">
        <v>45377</v>
      </c>
    </row>
    <row r="1446" spans="1:9" x14ac:dyDescent="0.15">
      <c r="A1446" s="16" t="s">
        <v>7038</v>
      </c>
      <c r="B1446" s="7" t="s">
        <v>9</v>
      </c>
      <c r="C1446" s="16" t="s">
        <v>40</v>
      </c>
      <c r="D1446" s="16" t="s">
        <v>41</v>
      </c>
      <c r="E1446" s="13" t="str">
        <f>+HYPERLINK("http://trademark.i-assist.jp/data/china/image_1891th/77565566.pdf","77565566")</f>
        <v>77565566</v>
      </c>
      <c r="F1446" s="16" t="s">
        <v>7036</v>
      </c>
      <c r="G1446" s="16" t="s">
        <v>7035</v>
      </c>
      <c r="H1446" s="16" t="s">
        <v>7037</v>
      </c>
      <c r="I1446" s="17">
        <v>45377</v>
      </c>
    </row>
    <row r="1447" spans="1:9" x14ac:dyDescent="0.15">
      <c r="A1447" s="16" t="s">
        <v>7042</v>
      </c>
      <c r="B1447" s="7" t="s">
        <v>9</v>
      </c>
      <c r="C1447" s="16" t="s">
        <v>40</v>
      </c>
      <c r="D1447" s="16" t="s">
        <v>41</v>
      </c>
      <c r="E1447" s="13" t="str">
        <f>+HYPERLINK("http://trademark.i-assist.jp/data/china/image_1891th/77565586.pdf","77565586")</f>
        <v>77565586</v>
      </c>
      <c r="F1447" s="16" t="s">
        <v>7040</v>
      </c>
      <c r="G1447" s="16" t="s">
        <v>6429</v>
      </c>
      <c r="H1447" s="16" t="s">
        <v>7041</v>
      </c>
      <c r="I1447" s="17">
        <v>45377</v>
      </c>
    </row>
    <row r="1448" spans="1:9" x14ac:dyDescent="0.15">
      <c r="A1448" s="16" t="s">
        <v>7047</v>
      </c>
      <c r="B1448" s="7" t="s">
        <v>9</v>
      </c>
      <c r="C1448" s="16" t="s">
        <v>40</v>
      </c>
      <c r="D1448" s="16" t="s">
        <v>41</v>
      </c>
      <c r="E1448" s="13" t="str">
        <f>+HYPERLINK("http://trademark.i-assist.jp/data/china/image_1891th/77565937.pdf","77565937")</f>
        <v>77565937</v>
      </c>
      <c r="F1448" s="16" t="s">
        <v>7045</v>
      </c>
      <c r="G1448" s="16" t="s">
        <v>7044</v>
      </c>
      <c r="H1448" s="16" t="s">
        <v>7046</v>
      </c>
      <c r="I1448" s="17">
        <v>45377</v>
      </c>
    </row>
    <row r="1449" spans="1:9" x14ac:dyDescent="0.15">
      <c r="A1449" s="16" t="s">
        <v>7052</v>
      </c>
      <c r="B1449" s="7" t="s">
        <v>9</v>
      </c>
      <c r="C1449" s="16" t="s">
        <v>40</v>
      </c>
      <c r="D1449" s="16" t="s">
        <v>41</v>
      </c>
      <c r="E1449" s="13" t="str">
        <f>+HYPERLINK("http://trademark.i-assist.jp/data/china/image_1891th/77566023.pdf","77566023")</f>
        <v>77566023</v>
      </c>
      <c r="F1449" s="16" t="s">
        <v>7050</v>
      </c>
      <c r="G1449" s="16" t="s">
        <v>7049</v>
      </c>
      <c r="H1449" s="16" t="s">
        <v>7051</v>
      </c>
      <c r="I1449" s="17">
        <v>45377</v>
      </c>
    </row>
    <row r="1450" spans="1:9" x14ac:dyDescent="0.15">
      <c r="A1450" s="16" t="s">
        <v>7057</v>
      </c>
      <c r="B1450" s="7" t="s">
        <v>9</v>
      </c>
      <c r="C1450" s="16" t="s">
        <v>40</v>
      </c>
      <c r="D1450" s="16" t="s">
        <v>41</v>
      </c>
      <c r="E1450" s="13" t="str">
        <f>+HYPERLINK("http://trademark.i-assist.jp/data/china/image_1891th/77566337.pdf","77566337")</f>
        <v>77566337</v>
      </c>
      <c r="F1450" s="16" t="s">
        <v>7055</v>
      </c>
      <c r="G1450" s="16" t="s">
        <v>7054</v>
      </c>
      <c r="H1450" s="16" t="s">
        <v>7056</v>
      </c>
      <c r="I1450" s="17">
        <v>45377</v>
      </c>
    </row>
    <row r="1451" spans="1:9" x14ac:dyDescent="0.15">
      <c r="A1451" s="16" t="s">
        <v>7061</v>
      </c>
      <c r="B1451" s="7" t="s">
        <v>9</v>
      </c>
      <c r="C1451" s="16" t="s">
        <v>40</v>
      </c>
      <c r="D1451" s="16" t="s">
        <v>41</v>
      </c>
      <c r="E1451" s="13" t="str">
        <f>+HYPERLINK("http://trademark.i-assist.jp/data/china/image_1891th/77566610.pdf","77566610")</f>
        <v>77566610</v>
      </c>
      <c r="F1451" s="16" t="s">
        <v>7059</v>
      </c>
      <c r="G1451" s="16" t="s">
        <v>2850</v>
      </c>
      <c r="H1451" s="16" t="s">
        <v>7060</v>
      </c>
      <c r="I1451" s="17">
        <v>45377</v>
      </c>
    </row>
    <row r="1452" spans="1:9" x14ac:dyDescent="0.15">
      <c r="A1452" s="16" t="s">
        <v>7066</v>
      </c>
      <c r="B1452" s="7" t="s">
        <v>9</v>
      </c>
      <c r="C1452" s="16" t="s">
        <v>40</v>
      </c>
      <c r="D1452" s="16" t="s">
        <v>41</v>
      </c>
      <c r="E1452" s="13" t="str">
        <f>+HYPERLINK("http://trademark.i-assist.jp/data/china/image_1891th/77567051.pdf","77567051")</f>
        <v>77567051</v>
      </c>
      <c r="F1452" s="16" t="s">
        <v>7064</v>
      </c>
      <c r="G1452" s="16" t="s">
        <v>7063</v>
      </c>
      <c r="H1452" s="16" t="s">
        <v>7065</v>
      </c>
      <c r="I1452" s="17">
        <v>45378</v>
      </c>
    </row>
    <row r="1453" spans="1:9" x14ac:dyDescent="0.15">
      <c r="A1453" s="16" t="s">
        <v>7071</v>
      </c>
      <c r="B1453" s="7" t="s">
        <v>9</v>
      </c>
      <c r="C1453" s="16" t="s">
        <v>40</v>
      </c>
      <c r="D1453" s="16" t="s">
        <v>41</v>
      </c>
      <c r="E1453" s="13" t="str">
        <f>+HYPERLINK("http://trademark.i-assist.jp/data/china/image_1891th/77567241.pdf","77567241")</f>
        <v>77567241</v>
      </c>
      <c r="F1453" s="16" t="s">
        <v>7069</v>
      </c>
      <c r="G1453" s="16" t="s">
        <v>7068</v>
      </c>
      <c r="H1453" s="16" t="s">
        <v>7070</v>
      </c>
      <c r="I1453" s="17">
        <v>45378</v>
      </c>
    </row>
    <row r="1454" spans="1:9" x14ac:dyDescent="0.15">
      <c r="A1454" s="16" t="s">
        <v>7076</v>
      </c>
      <c r="B1454" s="7" t="s">
        <v>9</v>
      </c>
      <c r="C1454" s="16" t="s">
        <v>40</v>
      </c>
      <c r="D1454" s="16" t="s">
        <v>41</v>
      </c>
      <c r="E1454" s="13" t="str">
        <f>+HYPERLINK("http://trademark.i-assist.jp/data/china/image_1891th/77567519.pdf","77567519")</f>
        <v>77567519</v>
      </c>
      <c r="F1454" s="16" t="s">
        <v>7074</v>
      </c>
      <c r="G1454" s="16" t="s">
        <v>7073</v>
      </c>
      <c r="H1454" s="16" t="s">
        <v>7075</v>
      </c>
      <c r="I1454" s="17">
        <v>45378</v>
      </c>
    </row>
    <row r="1455" spans="1:9" x14ac:dyDescent="0.15">
      <c r="A1455" s="16" t="s">
        <v>7081</v>
      </c>
      <c r="B1455" s="7" t="s">
        <v>9</v>
      </c>
      <c r="C1455" s="16" t="s">
        <v>40</v>
      </c>
      <c r="D1455" s="16" t="s">
        <v>41</v>
      </c>
      <c r="E1455" s="13" t="str">
        <f>+HYPERLINK("http://trademark.i-assist.jp/data/china/image_1891th/77567522.pdf","77567522")</f>
        <v>77567522</v>
      </c>
      <c r="F1455" s="16" t="s">
        <v>7079</v>
      </c>
      <c r="G1455" s="16" t="s">
        <v>7078</v>
      </c>
      <c r="H1455" s="16" t="s">
        <v>7080</v>
      </c>
      <c r="I1455" s="17">
        <v>45378</v>
      </c>
    </row>
    <row r="1456" spans="1:9" x14ac:dyDescent="0.15">
      <c r="A1456" s="16" t="s">
        <v>4872</v>
      </c>
      <c r="B1456" s="7" t="s">
        <v>9</v>
      </c>
      <c r="C1456" s="16" t="s">
        <v>40</v>
      </c>
      <c r="D1456" s="16" t="s">
        <v>41</v>
      </c>
      <c r="E1456" s="13" t="str">
        <f>+HYPERLINK("http://trademark.i-assist.jp/data/china/image_1891th/77567847.pdf","77567847")</f>
        <v>77567847</v>
      </c>
      <c r="F1456" s="16" t="s">
        <v>7084</v>
      </c>
      <c r="G1456" s="16" t="s">
        <v>7083</v>
      </c>
      <c r="H1456" s="16" t="s">
        <v>7085</v>
      </c>
      <c r="I1456" s="17">
        <v>45377</v>
      </c>
    </row>
    <row r="1457" spans="1:9" x14ac:dyDescent="0.15">
      <c r="A1457" s="16" t="s">
        <v>341</v>
      </c>
      <c r="B1457" s="7" t="s">
        <v>9</v>
      </c>
      <c r="C1457" s="16" t="s">
        <v>40</v>
      </c>
      <c r="D1457" s="16" t="s">
        <v>41</v>
      </c>
      <c r="E1457" s="13" t="str">
        <f>+HYPERLINK("http://trademark.i-assist.jp/data/china/image_1891th/77567930.pdf","77567930")</f>
        <v>77567930</v>
      </c>
      <c r="F1457" s="16" t="s">
        <v>4875</v>
      </c>
      <c r="G1457" s="16" t="s">
        <v>4874</v>
      </c>
      <c r="H1457" s="16" t="s">
        <v>4876</v>
      </c>
      <c r="I1457" s="17">
        <v>45378</v>
      </c>
    </row>
    <row r="1458" spans="1:9" x14ac:dyDescent="0.15">
      <c r="A1458" s="16" t="s">
        <v>347</v>
      </c>
      <c r="B1458" s="7" t="s">
        <v>9</v>
      </c>
      <c r="C1458" s="16" t="s">
        <v>40</v>
      </c>
      <c r="D1458" s="16" t="s">
        <v>41</v>
      </c>
      <c r="E1458" s="13" t="str">
        <f>+HYPERLINK("http://trademark.i-assist.jp/data/china/image_1891th/77568219.pdf","77568219")</f>
        <v>77568219</v>
      </c>
      <c r="F1458" s="16" t="s">
        <v>11109</v>
      </c>
      <c r="G1458" s="16" t="s">
        <v>343</v>
      </c>
      <c r="H1458" s="16" t="s">
        <v>345</v>
      </c>
      <c r="I1458" s="17">
        <v>45378</v>
      </c>
    </row>
    <row r="1459" spans="1:9" x14ac:dyDescent="0.15">
      <c r="A1459" s="16" t="s">
        <v>352</v>
      </c>
      <c r="B1459" s="7" t="s">
        <v>9</v>
      </c>
      <c r="C1459" s="16" t="s">
        <v>40</v>
      </c>
      <c r="D1459" s="16" t="s">
        <v>41</v>
      </c>
      <c r="E1459" s="13" t="str">
        <f>+HYPERLINK("http://trademark.i-assist.jp/data/china/image_1891th/77568238.pdf","77568238")</f>
        <v>77568238</v>
      </c>
      <c r="F1459" s="16" t="s">
        <v>350</v>
      </c>
      <c r="G1459" s="16" t="s">
        <v>349</v>
      </c>
      <c r="H1459" s="16" t="s">
        <v>351</v>
      </c>
      <c r="I1459" s="17">
        <v>45378</v>
      </c>
    </row>
    <row r="1460" spans="1:9" x14ac:dyDescent="0.15">
      <c r="A1460" s="16" t="s">
        <v>357</v>
      </c>
      <c r="B1460" s="7" t="s">
        <v>9</v>
      </c>
      <c r="C1460" s="16" t="s">
        <v>40</v>
      </c>
      <c r="D1460" s="16" t="s">
        <v>41</v>
      </c>
      <c r="E1460" s="13" t="str">
        <f>+HYPERLINK("http://trademark.i-assist.jp/data/china/image_1891th/77568320.pdf","77568320")</f>
        <v>77568320</v>
      </c>
      <c r="F1460" s="16" t="s">
        <v>355</v>
      </c>
      <c r="G1460" s="16" t="s">
        <v>354</v>
      </c>
      <c r="H1460" s="16" t="s">
        <v>356</v>
      </c>
      <c r="I1460" s="17">
        <v>45378</v>
      </c>
    </row>
    <row r="1461" spans="1:9" x14ac:dyDescent="0.15">
      <c r="A1461" s="16" t="s">
        <v>362</v>
      </c>
      <c r="B1461" s="7" t="s">
        <v>9</v>
      </c>
      <c r="C1461" s="16" t="s">
        <v>40</v>
      </c>
      <c r="D1461" s="16" t="s">
        <v>41</v>
      </c>
      <c r="E1461" s="13" t="str">
        <f>+HYPERLINK("http://trademark.i-assist.jp/data/china/image_1891th/77568799.pdf","77568799")</f>
        <v>77568799</v>
      </c>
      <c r="F1461" s="16" t="s">
        <v>360</v>
      </c>
      <c r="G1461" s="16" t="s">
        <v>359</v>
      </c>
      <c r="H1461" s="16" t="s">
        <v>361</v>
      </c>
      <c r="I1461" s="17">
        <v>45378</v>
      </c>
    </row>
    <row r="1462" spans="1:9" x14ac:dyDescent="0.15">
      <c r="A1462" s="16" t="s">
        <v>367</v>
      </c>
      <c r="B1462" s="7" t="s">
        <v>9</v>
      </c>
      <c r="C1462" s="16" t="s">
        <v>40</v>
      </c>
      <c r="D1462" s="16" t="s">
        <v>41</v>
      </c>
      <c r="E1462" s="13" t="str">
        <f>+HYPERLINK("http://trademark.i-assist.jp/data/china/image_1891th/77569017.pdf","77569017")</f>
        <v>77569017</v>
      </c>
      <c r="F1462" s="16" t="s">
        <v>365</v>
      </c>
      <c r="G1462" s="16" t="s">
        <v>364</v>
      </c>
      <c r="H1462" s="16" t="s">
        <v>366</v>
      </c>
      <c r="I1462" s="17">
        <v>45378</v>
      </c>
    </row>
    <row r="1463" spans="1:9" x14ac:dyDescent="0.15">
      <c r="A1463" s="16" t="s">
        <v>372</v>
      </c>
      <c r="B1463" s="7" t="s">
        <v>9</v>
      </c>
      <c r="C1463" s="16" t="s">
        <v>40</v>
      </c>
      <c r="D1463" s="16" t="s">
        <v>41</v>
      </c>
      <c r="E1463" s="13" t="str">
        <f>+HYPERLINK("http://trademark.i-assist.jp/data/china/image_1891th/77569182.pdf","77569182")</f>
        <v>77569182</v>
      </c>
      <c r="F1463" s="16" t="s">
        <v>370</v>
      </c>
      <c r="G1463" s="16" t="s">
        <v>369</v>
      </c>
      <c r="H1463" s="16" t="s">
        <v>371</v>
      </c>
      <c r="I1463" s="17">
        <v>45378</v>
      </c>
    </row>
    <row r="1464" spans="1:9" x14ac:dyDescent="0.15">
      <c r="A1464" s="16" t="s">
        <v>377</v>
      </c>
      <c r="B1464" s="7" t="s">
        <v>9</v>
      </c>
      <c r="C1464" s="16" t="s">
        <v>40</v>
      </c>
      <c r="D1464" s="16" t="s">
        <v>41</v>
      </c>
      <c r="E1464" s="13" t="str">
        <f>+HYPERLINK("http://trademark.i-assist.jp/data/china/image_1891th/77569216.pdf","77569216")</f>
        <v>77569216</v>
      </c>
      <c r="F1464" s="16" t="s">
        <v>375</v>
      </c>
      <c r="G1464" s="16" t="s">
        <v>374</v>
      </c>
      <c r="H1464" s="16" t="s">
        <v>376</v>
      </c>
      <c r="I1464" s="17">
        <v>45378</v>
      </c>
    </row>
    <row r="1465" spans="1:9" x14ac:dyDescent="0.15">
      <c r="A1465" s="16" t="s">
        <v>382</v>
      </c>
      <c r="B1465" s="7" t="s">
        <v>9</v>
      </c>
      <c r="C1465" s="16" t="s">
        <v>40</v>
      </c>
      <c r="D1465" s="16" t="s">
        <v>41</v>
      </c>
      <c r="E1465" s="13" t="str">
        <f>+HYPERLINK("http://trademark.i-assist.jp/data/china/image_1891th/77569360.pdf","77569360")</f>
        <v>77569360</v>
      </c>
      <c r="F1465" s="16" t="s">
        <v>380</v>
      </c>
      <c r="G1465" s="16" t="s">
        <v>379</v>
      </c>
      <c r="H1465" s="16" t="s">
        <v>381</v>
      </c>
      <c r="I1465" s="17">
        <v>45378</v>
      </c>
    </row>
    <row r="1466" spans="1:9" x14ac:dyDescent="0.15">
      <c r="A1466" s="16" t="s">
        <v>387</v>
      </c>
      <c r="B1466" s="7" t="s">
        <v>9</v>
      </c>
      <c r="C1466" s="16" t="s">
        <v>40</v>
      </c>
      <c r="D1466" s="16" t="s">
        <v>41</v>
      </c>
      <c r="E1466" s="13" t="str">
        <f>+HYPERLINK("http://trademark.i-assist.jp/data/china/image_1891th/77569437.pdf","77569437")</f>
        <v>77569437</v>
      </c>
      <c r="F1466" s="16" t="s">
        <v>385</v>
      </c>
      <c r="G1466" s="16" t="s">
        <v>384</v>
      </c>
      <c r="H1466" s="16" t="s">
        <v>386</v>
      </c>
      <c r="I1466" s="17">
        <v>45378</v>
      </c>
    </row>
    <row r="1467" spans="1:9" x14ac:dyDescent="0.15">
      <c r="A1467" s="16" t="s">
        <v>392</v>
      </c>
      <c r="B1467" s="7" t="s">
        <v>9</v>
      </c>
      <c r="C1467" s="16" t="s">
        <v>40</v>
      </c>
      <c r="D1467" s="16" t="s">
        <v>41</v>
      </c>
      <c r="E1467" s="13" t="str">
        <f>+HYPERLINK("http://trademark.i-assist.jp/data/china/image_1891th/77569865.pdf","77569865")</f>
        <v>77569865</v>
      </c>
      <c r="F1467" s="16" t="s">
        <v>390</v>
      </c>
      <c r="G1467" s="16" t="s">
        <v>389</v>
      </c>
      <c r="H1467" s="16" t="s">
        <v>391</v>
      </c>
      <c r="I1467" s="17">
        <v>45378</v>
      </c>
    </row>
    <row r="1468" spans="1:9" x14ac:dyDescent="0.15">
      <c r="A1468" s="16" t="s">
        <v>397</v>
      </c>
      <c r="B1468" s="7" t="s">
        <v>9</v>
      </c>
      <c r="C1468" s="16" t="s">
        <v>40</v>
      </c>
      <c r="D1468" s="16" t="s">
        <v>41</v>
      </c>
      <c r="E1468" s="13" t="str">
        <f>+HYPERLINK("http://trademark.i-assist.jp/data/china/image_1891th/77569985.pdf","77569985")</f>
        <v>77569985</v>
      </c>
      <c r="F1468" s="16" t="s">
        <v>395</v>
      </c>
      <c r="G1468" s="16" t="s">
        <v>394</v>
      </c>
      <c r="H1468" s="16" t="s">
        <v>396</v>
      </c>
      <c r="I1468" s="17">
        <v>45378</v>
      </c>
    </row>
    <row r="1469" spans="1:9" x14ac:dyDescent="0.15">
      <c r="A1469" s="16" t="s">
        <v>402</v>
      </c>
      <c r="B1469" s="7" t="s">
        <v>9</v>
      </c>
      <c r="C1469" s="16" t="s">
        <v>40</v>
      </c>
      <c r="D1469" s="16" t="s">
        <v>41</v>
      </c>
      <c r="E1469" s="13" t="str">
        <f>+HYPERLINK("http://trademark.i-assist.jp/data/china/image_1891th/77570111.pdf","77570111")</f>
        <v>77570111</v>
      </c>
      <c r="F1469" s="16" t="s">
        <v>400</v>
      </c>
      <c r="G1469" s="16" t="s">
        <v>399</v>
      </c>
      <c r="H1469" s="16" t="s">
        <v>401</v>
      </c>
      <c r="I1469" s="17">
        <v>45378</v>
      </c>
    </row>
    <row r="1470" spans="1:9" x14ac:dyDescent="0.15">
      <c r="A1470" s="16" t="s">
        <v>406</v>
      </c>
      <c r="B1470" s="7" t="s">
        <v>9</v>
      </c>
      <c r="C1470" s="16" t="s">
        <v>40</v>
      </c>
      <c r="D1470" s="16" t="s">
        <v>41</v>
      </c>
      <c r="E1470" s="13" t="str">
        <f>+HYPERLINK("http://trademark.i-assist.jp/data/china/image_1891th/77570261.pdf","77570261")</f>
        <v>77570261</v>
      </c>
      <c r="F1470" s="16" t="s">
        <v>52</v>
      </c>
      <c r="G1470" s="16" t="s">
        <v>404</v>
      </c>
      <c r="H1470" s="16" t="s">
        <v>405</v>
      </c>
      <c r="I1470" s="17">
        <v>45378</v>
      </c>
    </row>
    <row r="1471" spans="1:9" x14ac:dyDescent="0.15">
      <c r="A1471" s="16" t="s">
        <v>7086</v>
      </c>
      <c r="B1471" s="7" t="s">
        <v>9</v>
      </c>
      <c r="C1471" s="16" t="s">
        <v>40</v>
      </c>
      <c r="D1471" s="16" t="s">
        <v>41</v>
      </c>
      <c r="E1471" s="13" t="str">
        <f>+HYPERLINK("http://trademark.i-assist.jp/data/china/image_1891th/77570461.pdf","77570461")</f>
        <v>77570461</v>
      </c>
      <c r="F1471" s="16" t="s">
        <v>409</v>
      </c>
      <c r="G1471" s="16" t="s">
        <v>408</v>
      </c>
      <c r="H1471" s="16" t="s">
        <v>410</v>
      </c>
      <c r="I1471" s="17">
        <v>45378</v>
      </c>
    </row>
    <row r="1472" spans="1:9" x14ac:dyDescent="0.15">
      <c r="A1472" s="16" t="s">
        <v>3298</v>
      </c>
      <c r="B1472" s="7" t="s">
        <v>9</v>
      </c>
      <c r="C1472" s="16" t="s">
        <v>40</v>
      </c>
      <c r="D1472" s="16" t="s">
        <v>41</v>
      </c>
      <c r="E1472" s="13" t="str">
        <f>+HYPERLINK("http://trademark.i-assist.jp/data/china/image_1891th/77570622.pdf","77570622")</f>
        <v>77570622</v>
      </c>
      <c r="F1472" s="16" t="s">
        <v>7089</v>
      </c>
      <c r="G1472" s="16" t="s">
        <v>7088</v>
      </c>
      <c r="H1472" s="16" t="s">
        <v>7090</v>
      </c>
      <c r="I1472" s="17">
        <v>45378</v>
      </c>
    </row>
    <row r="1473" spans="1:9" x14ac:dyDescent="0.15">
      <c r="A1473" s="16" t="s">
        <v>3303</v>
      </c>
      <c r="B1473" s="7" t="s">
        <v>9</v>
      </c>
      <c r="C1473" s="16" t="s">
        <v>40</v>
      </c>
      <c r="D1473" s="16" t="s">
        <v>41</v>
      </c>
      <c r="E1473" s="13" t="str">
        <f>+HYPERLINK("http://trademark.i-assist.jp/data/china/image_1891th/77570751.pdf","77570751")</f>
        <v>77570751</v>
      </c>
      <c r="F1473" s="16" t="s">
        <v>3301</v>
      </c>
      <c r="G1473" s="16" t="s">
        <v>3300</v>
      </c>
      <c r="H1473" s="16" t="s">
        <v>3302</v>
      </c>
      <c r="I1473" s="17">
        <v>45378</v>
      </c>
    </row>
    <row r="1474" spans="1:9" x14ac:dyDescent="0.15">
      <c r="A1474" s="16" t="s">
        <v>3308</v>
      </c>
      <c r="B1474" s="7" t="s">
        <v>9</v>
      </c>
      <c r="C1474" s="16" t="s">
        <v>40</v>
      </c>
      <c r="D1474" s="16" t="s">
        <v>41</v>
      </c>
      <c r="E1474" s="13" t="str">
        <f>+HYPERLINK("http://trademark.i-assist.jp/data/china/image_1891th/77570813.pdf","77570813")</f>
        <v>77570813</v>
      </c>
      <c r="F1474" s="16" t="s">
        <v>3306</v>
      </c>
      <c r="G1474" s="16" t="s">
        <v>3305</v>
      </c>
      <c r="H1474" s="16" t="s">
        <v>3307</v>
      </c>
      <c r="I1474" s="17">
        <v>45378</v>
      </c>
    </row>
    <row r="1475" spans="1:9" x14ac:dyDescent="0.15">
      <c r="A1475" s="16" t="s">
        <v>3313</v>
      </c>
      <c r="B1475" s="7" t="s">
        <v>9</v>
      </c>
      <c r="C1475" s="16" t="s">
        <v>40</v>
      </c>
      <c r="D1475" s="16" t="s">
        <v>41</v>
      </c>
      <c r="E1475" s="13" t="str">
        <f>+HYPERLINK("http://trademark.i-assist.jp/data/china/image_1891th/77570986.pdf","77570986")</f>
        <v>77570986</v>
      </c>
      <c r="F1475" s="16" t="s">
        <v>3311</v>
      </c>
      <c r="G1475" s="16" t="s">
        <v>3310</v>
      </c>
      <c r="H1475" s="16" t="s">
        <v>3312</v>
      </c>
      <c r="I1475" s="17">
        <v>45378</v>
      </c>
    </row>
    <row r="1476" spans="1:9" x14ac:dyDescent="0.15">
      <c r="A1476" s="16" t="s">
        <v>3318</v>
      </c>
      <c r="B1476" s="7" t="s">
        <v>9</v>
      </c>
      <c r="C1476" s="16" t="s">
        <v>40</v>
      </c>
      <c r="D1476" s="16" t="s">
        <v>41</v>
      </c>
      <c r="E1476" s="13" t="str">
        <f>+HYPERLINK("http://trademark.i-assist.jp/data/china/image_1891th/77571348.pdf","77571348")</f>
        <v>77571348</v>
      </c>
      <c r="F1476" s="16" t="s">
        <v>3316</v>
      </c>
      <c r="G1476" s="16" t="s">
        <v>3315</v>
      </c>
      <c r="H1476" s="16" t="s">
        <v>3317</v>
      </c>
      <c r="I1476" s="17">
        <v>45378</v>
      </c>
    </row>
    <row r="1477" spans="1:9" x14ac:dyDescent="0.15">
      <c r="A1477" s="16" t="s">
        <v>3322</v>
      </c>
      <c r="B1477" s="7" t="s">
        <v>9</v>
      </c>
      <c r="C1477" s="16" t="s">
        <v>40</v>
      </c>
      <c r="D1477" s="16" t="s">
        <v>41</v>
      </c>
      <c r="E1477" s="13" t="str">
        <f>+HYPERLINK("http://trademark.i-assist.jp/data/china/image_1891th/77571454.pdf","77571454")</f>
        <v>77571454</v>
      </c>
      <c r="F1477" s="16" t="s">
        <v>3320</v>
      </c>
      <c r="G1477" s="16" t="s">
        <v>359</v>
      </c>
      <c r="H1477" s="16" t="s">
        <v>3321</v>
      </c>
      <c r="I1477" s="17">
        <v>45378</v>
      </c>
    </row>
    <row r="1478" spans="1:9" x14ac:dyDescent="0.15">
      <c r="A1478" s="16" t="s">
        <v>3327</v>
      </c>
      <c r="B1478" s="7" t="s">
        <v>9</v>
      </c>
      <c r="C1478" s="16" t="s">
        <v>40</v>
      </c>
      <c r="D1478" s="16" t="s">
        <v>41</v>
      </c>
      <c r="E1478" s="13" t="str">
        <f>+HYPERLINK("http://trademark.i-assist.jp/data/china/image_1891th/77571689.pdf","77571689")</f>
        <v>77571689</v>
      </c>
      <c r="F1478" s="16" t="s">
        <v>3325</v>
      </c>
      <c r="G1478" s="16" t="s">
        <v>3324</v>
      </c>
      <c r="H1478" s="16" t="s">
        <v>3326</v>
      </c>
      <c r="I1478" s="17">
        <v>45378</v>
      </c>
    </row>
    <row r="1479" spans="1:9" x14ac:dyDescent="0.15">
      <c r="A1479" s="16" t="s">
        <v>3332</v>
      </c>
      <c r="B1479" s="7" t="s">
        <v>9</v>
      </c>
      <c r="C1479" s="16" t="s">
        <v>40</v>
      </c>
      <c r="D1479" s="16" t="s">
        <v>41</v>
      </c>
      <c r="E1479" s="13" t="str">
        <f>+HYPERLINK("http://trademark.i-assist.jp/data/china/image_1891th/77571836.pdf","77571836")</f>
        <v>77571836</v>
      </c>
      <c r="F1479" s="16" t="s">
        <v>3330</v>
      </c>
      <c r="G1479" s="16" t="s">
        <v>3329</v>
      </c>
      <c r="H1479" s="16" t="s">
        <v>3331</v>
      </c>
      <c r="I1479" s="17">
        <v>45378</v>
      </c>
    </row>
    <row r="1480" spans="1:9" x14ac:dyDescent="0.15">
      <c r="A1480" s="16" t="s">
        <v>3336</v>
      </c>
      <c r="B1480" s="7" t="s">
        <v>9</v>
      </c>
      <c r="C1480" s="16" t="s">
        <v>40</v>
      </c>
      <c r="D1480" s="16" t="s">
        <v>41</v>
      </c>
      <c r="E1480" s="13" t="str">
        <f>+HYPERLINK("http://trademark.i-assist.jp/data/china/image_1891th/77572106.pdf","77572106")</f>
        <v>77572106</v>
      </c>
      <c r="F1480" s="16" t="s">
        <v>3334</v>
      </c>
      <c r="G1480" s="16" t="s">
        <v>2046</v>
      </c>
      <c r="H1480" s="16" t="s">
        <v>3335</v>
      </c>
      <c r="I1480" s="17">
        <v>45378</v>
      </c>
    </row>
    <row r="1481" spans="1:9" x14ac:dyDescent="0.15">
      <c r="A1481" s="16" t="s">
        <v>3340</v>
      </c>
      <c r="B1481" s="7" t="s">
        <v>9</v>
      </c>
      <c r="C1481" s="16" t="s">
        <v>40</v>
      </c>
      <c r="D1481" s="16" t="s">
        <v>41</v>
      </c>
      <c r="E1481" s="13" t="str">
        <f>+HYPERLINK("http://trademark.i-assist.jp/data/china/image_1891th/77572116.pdf","77572116")</f>
        <v>77572116</v>
      </c>
      <c r="F1481" s="16" t="s">
        <v>11110</v>
      </c>
      <c r="G1481" s="16" t="s">
        <v>2046</v>
      </c>
      <c r="H1481" s="16" t="s">
        <v>3339</v>
      </c>
      <c r="I1481" s="17">
        <v>45378</v>
      </c>
    </row>
    <row r="1482" spans="1:9" x14ac:dyDescent="0.15">
      <c r="A1482" s="16" t="s">
        <v>3345</v>
      </c>
      <c r="B1482" s="7" t="s">
        <v>9</v>
      </c>
      <c r="C1482" s="16" t="s">
        <v>40</v>
      </c>
      <c r="D1482" s="16" t="s">
        <v>41</v>
      </c>
      <c r="E1482" s="13" t="str">
        <f>+HYPERLINK("http://trademark.i-assist.jp/data/china/image_1891th/77572155.pdf","77572155")</f>
        <v>77572155</v>
      </c>
      <c r="F1482" s="16" t="s">
        <v>3343</v>
      </c>
      <c r="G1482" s="16" t="s">
        <v>3342</v>
      </c>
      <c r="H1482" s="16" t="s">
        <v>3344</v>
      </c>
      <c r="I1482" s="17">
        <v>45378</v>
      </c>
    </row>
    <row r="1483" spans="1:9" x14ac:dyDescent="0.15">
      <c r="A1483" s="16" t="s">
        <v>3349</v>
      </c>
      <c r="B1483" s="7" t="s">
        <v>9</v>
      </c>
      <c r="C1483" s="16" t="s">
        <v>40</v>
      </c>
      <c r="D1483" s="16" t="s">
        <v>41</v>
      </c>
      <c r="E1483" s="13" t="str">
        <f>+HYPERLINK("http://trademark.i-assist.jp/data/china/image_1891th/77572423.pdf","77572423")</f>
        <v>77572423</v>
      </c>
      <c r="F1483" s="16" t="s">
        <v>52</v>
      </c>
      <c r="G1483" s="16" t="s">
        <v>3347</v>
      </c>
      <c r="H1483" s="16" t="s">
        <v>3348</v>
      </c>
      <c r="I1483" s="17">
        <v>45378</v>
      </c>
    </row>
    <row r="1484" spans="1:9" x14ac:dyDescent="0.15">
      <c r="A1484" s="16" t="s">
        <v>3354</v>
      </c>
      <c r="B1484" s="7" t="s">
        <v>9</v>
      </c>
      <c r="C1484" s="16" t="s">
        <v>40</v>
      </c>
      <c r="D1484" s="16" t="s">
        <v>41</v>
      </c>
      <c r="E1484" s="13" t="str">
        <f>+HYPERLINK("http://trademark.i-assist.jp/data/china/image_1891th/77572504.pdf","77572504")</f>
        <v>77572504</v>
      </c>
      <c r="F1484" s="16" t="s">
        <v>3352</v>
      </c>
      <c r="G1484" s="16" t="s">
        <v>3351</v>
      </c>
      <c r="H1484" s="16" t="s">
        <v>3353</v>
      </c>
      <c r="I1484" s="17">
        <v>45378</v>
      </c>
    </row>
    <row r="1485" spans="1:9" x14ac:dyDescent="0.15">
      <c r="A1485" s="16" t="s">
        <v>3359</v>
      </c>
      <c r="B1485" s="7" t="s">
        <v>9</v>
      </c>
      <c r="C1485" s="16" t="s">
        <v>40</v>
      </c>
      <c r="D1485" s="16" t="s">
        <v>41</v>
      </c>
      <c r="E1485" s="13" t="str">
        <f>+HYPERLINK("http://trademark.i-assist.jp/data/china/image_1891th/77572626.pdf","77572626")</f>
        <v>77572626</v>
      </c>
      <c r="F1485" s="16" t="s">
        <v>3357</v>
      </c>
      <c r="G1485" s="16" t="s">
        <v>3356</v>
      </c>
      <c r="H1485" s="16" t="s">
        <v>3358</v>
      </c>
      <c r="I1485" s="17">
        <v>45378</v>
      </c>
    </row>
    <row r="1486" spans="1:9" x14ac:dyDescent="0.15">
      <c r="A1486" s="16" t="s">
        <v>3363</v>
      </c>
      <c r="B1486" s="7" t="s">
        <v>9</v>
      </c>
      <c r="C1486" s="16" t="s">
        <v>40</v>
      </c>
      <c r="D1486" s="16" t="s">
        <v>41</v>
      </c>
      <c r="E1486" s="13" t="str">
        <f>+HYPERLINK("http://trademark.i-assist.jp/data/china/image_1891th/77572670.pdf","77572670")</f>
        <v>77572670</v>
      </c>
      <c r="F1486" s="16" t="s">
        <v>3361</v>
      </c>
      <c r="G1486" s="16" t="s">
        <v>15</v>
      </c>
      <c r="H1486" s="16" t="s">
        <v>3362</v>
      </c>
      <c r="I1486" s="17">
        <v>45378</v>
      </c>
    </row>
    <row r="1487" spans="1:9" x14ac:dyDescent="0.15">
      <c r="A1487" s="16" t="s">
        <v>7091</v>
      </c>
      <c r="B1487" s="7" t="s">
        <v>9</v>
      </c>
      <c r="C1487" s="16" t="s">
        <v>40</v>
      </c>
      <c r="D1487" s="16" t="s">
        <v>41</v>
      </c>
      <c r="E1487" s="13" t="str">
        <f>+HYPERLINK("http://trademark.i-assist.jp/data/china/image_1891th/77572698.pdf","77572698")</f>
        <v>77572698</v>
      </c>
      <c r="F1487" s="16" t="s">
        <v>3366</v>
      </c>
      <c r="G1487" s="16" t="s">
        <v>3365</v>
      </c>
      <c r="H1487" s="16" t="s">
        <v>3367</v>
      </c>
      <c r="I1487" s="17">
        <v>45378</v>
      </c>
    </row>
    <row r="1488" spans="1:9" x14ac:dyDescent="0.15">
      <c r="A1488" s="16" t="s">
        <v>7096</v>
      </c>
      <c r="B1488" s="7" t="s">
        <v>9</v>
      </c>
      <c r="C1488" s="16" t="s">
        <v>40</v>
      </c>
      <c r="D1488" s="16" t="s">
        <v>41</v>
      </c>
      <c r="E1488" s="13" t="str">
        <f>+HYPERLINK("http://trademark.i-assist.jp/data/china/image_1891th/77573061.pdf","77573061")</f>
        <v>77573061</v>
      </c>
      <c r="F1488" s="16" t="s">
        <v>7094</v>
      </c>
      <c r="G1488" s="16" t="s">
        <v>7093</v>
      </c>
      <c r="H1488" s="16" t="s">
        <v>7095</v>
      </c>
      <c r="I1488" s="17">
        <v>45378</v>
      </c>
    </row>
    <row r="1489" spans="1:9" x14ac:dyDescent="0.15">
      <c r="A1489" s="16" t="s">
        <v>7101</v>
      </c>
      <c r="B1489" s="7" t="s">
        <v>9</v>
      </c>
      <c r="C1489" s="16" t="s">
        <v>40</v>
      </c>
      <c r="D1489" s="16" t="s">
        <v>41</v>
      </c>
      <c r="E1489" s="13" t="str">
        <f>+HYPERLINK("http://trademark.i-assist.jp/data/china/image_1891th/77573256.pdf","77573256")</f>
        <v>77573256</v>
      </c>
      <c r="F1489" s="16" t="s">
        <v>7099</v>
      </c>
      <c r="G1489" s="16" t="s">
        <v>7098</v>
      </c>
      <c r="H1489" s="16" t="s">
        <v>7100</v>
      </c>
      <c r="I1489" s="17">
        <v>45378</v>
      </c>
    </row>
    <row r="1490" spans="1:9" x14ac:dyDescent="0.15">
      <c r="A1490" s="16" t="s">
        <v>7106</v>
      </c>
      <c r="B1490" s="7" t="s">
        <v>9</v>
      </c>
      <c r="C1490" s="16" t="s">
        <v>40</v>
      </c>
      <c r="D1490" s="16" t="s">
        <v>41</v>
      </c>
      <c r="E1490" s="13" t="str">
        <f>+HYPERLINK("http://trademark.i-assist.jp/data/china/image_1891th/77573501.pdf","77573501")</f>
        <v>77573501</v>
      </c>
      <c r="F1490" s="16" t="s">
        <v>7104</v>
      </c>
      <c r="G1490" s="16" t="s">
        <v>7103</v>
      </c>
      <c r="H1490" s="16" t="s">
        <v>7105</v>
      </c>
      <c r="I1490" s="17">
        <v>45378</v>
      </c>
    </row>
    <row r="1491" spans="1:9" x14ac:dyDescent="0.15">
      <c r="A1491" s="16" t="s">
        <v>7111</v>
      </c>
      <c r="B1491" s="7" t="s">
        <v>9</v>
      </c>
      <c r="C1491" s="16" t="s">
        <v>40</v>
      </c>
      <c r="D1491" s="16" t="s">
        <v>41</v>
      </c>
      <c r="E1491" s="13" t="str">
        <f>+HYPERLINK("http://trademark.i-assist.jp/data/china/image_1891th/77573819.pdf","77573819")</f>
        <v>77573819</v>
      </c>
      <c r="F1491" s="16" t="s">
        <v>7109</v>
      </c>
      <c r="G1491" s="16" t="s">
        <v>7108</v>
      </c>
      <c r="H1491" s="16" t="s">
        <v>7110</v>
      </c>
      <c r="I1491" s="17">
        <v>45378</v>
      </c>
    </row>
    <row r="1492" spans="1:9" x14ac:dyDescent="0.15">
      <c r="A1492" s="16" t="s">
        <v>7116</v>
      </c>
      <c r="B1492" s="7" t="s">
        <v>9</v>
      </c>
      <c r="C1492" s="16" t="s">
        <v>40</v>
      </c>
      <c r="D1492" s="16" t="s">
        <v>41</v>
      </c>
      <c r="E1492" s="13" t="str">
        <f>+HYPERLINK("http://trademark.i-assist.jp/data/china/image_1891th/77573862.pdf","77573862")</f>
        <v>77573862</v>
      </c>
      <c r="F1492" s="16" t="s">
        <v>7114</v>
      </c>
      <c r="G1492" s="16" t="s">
        <v>7113</v>
      </c>
      <c r="H1492" s="16" t="s">
        <v>7115</v>
      </c>
      <c r="I1492" s="17">
        <v>45378</v>
      </c>
    </row>
    <row r="1493" spans="1:9" x14ac:dyDescent="0.15">
      <c r="A1493" s="16" t="s">
        <v>7121</v>
      </c>
      <c r="B1493" s="7" t="s">
        <v>9</v>
      </c>
      <c r="C1493" s="16" t="s">
        <v>40</v>
      </c>
      <c r="D1493" s="16" t="s">
        <v>41</v>
      </c>
      <c r="E1493" s="13" t="str">
        <f>+HYPERLINK("http://trademark.i-assist.jp/data/china/image_1891th/77573935.pdf","77573935")</f>
        <v>77573935</v>
      </c>
      <c r="F1493" s="16" t="s">
        <v>7119</v>
      </c>
      <c r="G1493" s="16" t="s">
        <v>7118</v>
      </c>
      <c r="H1493" s="16" t="s">
        <v>7120</v>
      </c>
      <c r="I1493" s="17">
        <v>45378</v>
      </c>
    </row>
    <row r="1494" spans="1:9" x14ac:dyDescent="0.15">
      <c r="A1494" s="16" t="s">
        <v>7125</v>
      </c>
      <c r="B1494" s="7" t="s">
        <v>9</v>
      </c>
      <c r="C1494" s="16" t="s">
        <v>40</v>
      </c>
      <c r="D1494" s="16" t="s">
        <v>41</v>
      </c>
      <c r="E1494" s="13" t="str">
        <f>+HYPERLINK("http://trademark.i-assist.jp/data/china/image_1891th/77574112.pdf","77574112")</f>
        <v>77574112</v>
      </c>
      <c r="F1494" s="16" t="s">
        <v>7123</v>
      </c>
      <c r="G1494" s="16" t="s">
        <v>3276</v>
      </c>
      <c r="H1494" s="16" t="s">
        <v>7124</v>
      </c>
      <c r="I1494" s="17">
        <v>45378</v>
      </c>
    </row>
    <row r="1495" spans="1:9" x14ac:dyDescent="0.15">
      <c r="A1495" s="16" t="s">
        <v>7130</v>
      </c>
      <c r="B1495" s="7" t="s">
        <v>9</v>
      </c>
      <c r="C1495" s="16" t="s">
        <v>40</v>
      </c>
      <c r="D1495" s="16" t="s">
        <v>41</v>
      </c>
      <c r="E1495" s="13" t="str">
        <f>+HYPERLINK("http://trademark.i-assist.jp/data/china/image_1891th/77574175.pdf","77574175")</f>
        <v>77574175</v>
      </c>
      <c r="F1495" s="16" t="s">
        <v>7128</v>
      </c>
      <c r="G1495" s="16" t="s">
        <v>11138</v>
      </c>
      <c r="H1495" s="16" t="s">
        <v>7129</v>
      </c>
      <c r="I1495" s="17">
        <v>45378</v>
      </c>
    </row>
    <row r="1496" spans="1:9" x14ac:dyDescent="0.15">
      <c r="A1496" s="16" t="s">
        <v>7135</v>
      </c>
      <c r="B1496" s="7" t="s">
        <v>9</v>
      </c>
      <c r="C1496" s="16" t="s">
        <v>40</v>
      </c>
      <c r="D1496" s="16" t="s">
        <v>41</v>
      </c>
      <c r="E1496" s="13" t="str">
        <f>+HYPERLINK("http://trademark.i-assist.jp/data/china/image_1891th/77574315.pdf","77574315")</f>
        <v>77574315</v>
      </c>
      <c r="F1496" s="16" t="s">
        <v>7133</v>
      </c>
      <c r="G1496" s="16" t="s">
        <v>7132</v>
      </c>
      <c r="H1496" s="16" t="s">
        <v>7134</v>
      </c>
      <c r="I1496" s="17">
        <v>45378</v>
      </c>
    </row>
    <row r="1497" spans="1:9" x14ac:dyDescent="0.15">
      <c r="A1497" s="16" t="s">
        <v>7140</v>
      </c>
      <c r="B1497" s="7" t="s">
        <v>9</v>
      </c>
      <c r="C1497" s="16" t="s">
        <v>40</v>
      </c>
      <c r="D1497" s="16" t="s">
        <v>41</v>
      </c>
      <c r="E1497" s="13" t="str">
        <f>+HYPERLINK("http://trademark.i-assist.jp/data/china/image_1891th/77574689.pdf","77574689")</f>
        <v>77574689</v>
      </c>
      <c r="F1497" s="16" t="s">
        <v>7138</v>
      </c>
      <c r="G1497" s="16" t="s">
        <v>7137</v>
      </c>
      <c r="H1497" s="16" t="s">
        <v>7139</v>
      </c>
      <c r="I1497" s="17">
        <v>45378</v>
      </c>
    </row>
    <row r="1498" spans="1:9" x14ac:dyDescent="0.15">
      <c r="A1498" s="16" t="s">
        <v>7145</v>
      </c>
      <c r="B1498" s="7" t="s">
        <v>9</v>
      </c>
      <c r="C1498" s="16" t="s">
        <v>40</v>
      </c>
      <c r="D1498" s="16" t="s">
        <v>41</v>
      </c>
      <c r="E1498" s="13" t="str">
        <f>+HYPERLINK("http://trademark.i-assist.jp/data/china/image_1891th/77574859.pdf","77574859")</f>
        <v>77574859</v>
      </c>
      <c r="F1498" s="16" t="s">
        <v>7143</v>
      </c>
      <c r="G1498" s="16" t="s">
        <v>7142</v>
      </c>
      <c r="H1498" s="16" t="s">
        <v>7144</v>
      </c>
      <c r="I1498" s="17">
        <v>45378</v>
      </c>
    </row>
    <row r="1499" spans="1:9" x14ac:dyDescent="0.15">
      <c r="A1499" s="16" t="s">
        <v>7150</v>
      </c>
      <c r="B1499" s="7" t="s">
        <v>9</v>
      </c>
      <c r="C1499" s="16" t="s">
        <v>40</v>
      </c>
      <c r="D1499" s="16" t="s">
        <v>41</v>
      </c>
      <c r="E1499" s="13" t="str">
        <f>+HYPERLINK("http://trademark.i-assist.jp/data/china/image_1891th/77575029.pdf","77575029")</f>
        <v>77575029</v>
      </c>
      <c r="F1499" s="16" t="s">
        <v>7148</v>
      </c>
      <c r="G1499" s="16" t="s">
        <v>7147</v>
      </c>
      <c r="H1499" s="16" t="s">
        <v>7149</v>
      </c>
      <c r="I1499" s="17">
        <v>45378</v>
      </c>
    </row>
    <row r="1500" spans="1:9" x14ac:dyDescent="0.15">
      <c r="A1500" s="16" t="s">
        <v>7155</v>
      </c>
      <c r="B1500" s="7" t="s">
        <v>9</v>
      </c>
      <c r="C1500" s="16" t="s">
        <v>40</v>
      </c>
      <c r="D1500" s="16" t="s">
        <v>41</v>
      </c>
      <c r="E1500" s="13" t="str">
        <f>+HYPERLINK("http://trademark.i-assist.jp/data/china/image_1891th/77575156.pdf","77575156")</f>
        <v>77575156</v>
      </c>
      <c r="F1500" s="16" t="s">
        <v>7153</v>
      </c>
      <c r="G1500" s="16" t="s">
        <v>7152</v>
      </c>
      <c r="H1500" s="16" t="s">
        <v>7154</v>
      </c>
      <c r="I1500" s="17">
        <v>45378</v>
      </c>
    </row>
    <row r="1501" spans="1:9" x14ac:dyDescent="0.15">
      <c r="A1501" s="16" t="s">
        <v>7160</v>
      </c>
      <c r="B1501" s="7" t="s">
        <v>9</v>
      </c>
      <c r="C1501" s="16" t="s">
        <v>40</v>
      </c>
      <c r="D1501" s="16" t="s">
        <v>41</v>
      </c>
      <c r="E1501" s="13" t="str">
        <f>+HYPERLINK("http://trademark.i-assist.jp/data/china/image_1891th/77575262.pdf","77575262")</f>
        <v>77575262</v>
      </c>
      <c r="F1501" s="16" t="s">
        <v>7158</v>
      </c>
      <c r="G1501" s="16" t="s">
        <v>7157</v>
      </c>
      <c r="H1501" s="16" t="s">
        <v>7159</v>
      </c>
      <c r="I1501" s="17">
        <v>45378</v>
      </c>
    </row>
    <row r="1502" spans="1:9" x14ac:dyDescent="0.15">
      <c r="A1502" s="16" t="s">
        <v>7165</v>
      </c>
      <c r="B1502" s="7" t="s">
        <v>9</v>
      </c>
      <c r="C1502" s="16" t="s">
        <v>40</v>
      </c>
      <c r="D1502" s="16" t="s">
        <v>41</v>
      </c>
      <c r="E1502" s="13" t="str">
        <f>+HYPERLINK("http://trademark.i-assist.jp/data/china/image_1891th/77575430.pdf","77575430")</f>
        <v>77575430</v>
      </c>
      <c r="F1502" s="16" t="s">
        <v>7163</v>
      </c>
      <c r="G1502" s="16" t="s">
        <v>7162</v>
      </c>
      <c r="H1502" s="16" t="s">
        <v>7164</v>
      </c>
      <c r="I1502" s="17">
        <v>45378</v>
      </c>
    </row>
    <row r="1503" spans="1:9" x14ac:dyDescent="0.15">
      <c r="A1503" s="16" t="s">
        <v>7170</v>
      </c>
      <c r="B1503" s="7" t="s">
        <v>9</v>
      </c>
      <c r="C1503" s="16" t="s">
        <v>40</v>
      </c>
      <c r="D1503" s="16" t="s">
        <v>41</v>
      </c>
      <c r="E1503" s="13" t="str">
        <f>+HYPERLINK("http://trademark.i-assist.jp/data/china/image_1891th/77575707.pdf","77575707")</f>
        <v>77575707</v>
      </c>
      <c r="F1503" s="16" t="s">
        <v>7168</v>
      </c>
      <c r="G1503" s="16" t="s">
        <v>7167</v>
      </c>
      <c r="H1503" s="16" t="s">
        <v>7169</v>
      </c>
      <c r="I1503" s="17">
        <v>45378</v>
      </c>
    </row>
    <row r="1504" spans="1:9" x14ac:dyDescent="0.15">
      <c r="A1504" s="16" t="s">
        <v>7174</v>
      </c>
      <c r="B1504" s="7" t="s">
        <v>9</v>
      </c>
      <c r="C1504" s="16" t="s">
        <v>40</v>
      </c>
      <c r="D1504" s="16" t="s">
        <v>41</v>
      </c>
      <c r="E1504" s="13" t="str">
        <f>+HYPERLINK("http://trademark.i-assist.jp/data/china/image_1891th/77575881.pdf","77575881")</f>
        <v>77575881</v>
      </c>
      <c r="F1504" s="16" t="s">
        <v>7172</v>
      </c>
      <c r="G1504" s="16" t="s">
        <v>359</v>
      </c>
      <c r="H1504" s="16" t="s">
        <v>7173</v>
      </c>
      <c r="I1504" s="17">
        <v>45378</v>
      </c>
    </row>
    <row r="1505" spans="1:9" x14ac:dyDescent="0.15">
      <c r="A1505" s="16" t="s">
        <v>7178</v>
      </c>
      <c r="B1505" s="7" t="s">
        <v>9</v>
      </c>
      <c r="C1505" s="16" t="s">
        <v>40</v>
      </c>
      <c r="D1505" s="16" t="s">
        <v>41</v>
      </c>
      <c r="E1505" s="13" t="str">
        <f>+HYPERLINK("http://trademark.i-assist.jp/data/china/image_1891th/77575891.pdf","77575891")</f>
        <v>77575891</v>
      </c>
      <c r="F1505" s="16" t="s">
        <v>7176</v>
      </c>
      <c r="G1505" s="16" t="s">
        <v>359</v>
      </c>
      <c r="H1505" s="16" t="s">
        <v>7177</v>
      </c>
      <c r="I1505" s="17">
        <v>45378</v>
      </c>
    </row>
    <row r="1506" spans="1:9" x14ac:dyDescent="0.15">
      <c r="A1506" s="16" t="s">
        <v>7183</v>
      </c>
      <c r="B1506" s="7" t="s">
        <v>9</v>
      </c>
      <c r="C1506" s="16" t="s">
        <v>40</v>
      </c>
      <c r="D1506" s="16" t="s">
        <v>41</v>
      </c>
      <c r="E1506" s="13" t="str">
        <f>+HYPERLINK("http://trademark.i-assist.jp/data/china/image_1891th/77575979.pdf","77575979")</f>
        <v>77575979</v>
      </c>
      <c r="F1506" s="16" t="s">
        <v>7181</v>
      </c>
      <c r="G1506" s="16" t="s">
        <v>7180</v>
      </c>
      <c r="H1506" s="16" t="s">
        <v>7182</v>
      </c>
      <c r="I1506" s="17">
        <v>45378</v>
      </c>
    </row>
    <row r="1507" spans="1:9" x14ac:dyDescent="0.15">
      <c r="A1507" s="16" t="s">
        <v>7188</v>
      </c>
      <c r="B1507" s="7" t="s">
        <v>9</v>
      </c>
      <c r="C1507" s="16" t="s">
        <v>40</v>
      </c>
      <c r="D1507" s="16" t="s">
        <v>41</v>
      </c>
      <c r="E1507" s="13" t="str">
        <f>+HYPERLINK("http://trademark.i-assist.jp/data/china/image_1891th/77576007.pdf","77576007")</f>
        <v>77576007</v>
      </c>
      <c r="F1507" s="16" t="s">
        <v>7186</v>
      </c>
      <c r="G1507" s="16" t="s">
        <v>7185</v>
      </c>
      <c r="H1507" s="16" t="s">
        <v>7187</v>
      </c>
      <c r="I1507" s="17">
        <v>45378</v>
      </c>
    </row>
    <row r="1508" spans="1:9" x14ac:dyDescent="0.15">
      <c r="A1508" s="16" t="s">
        <v>7193</v>
      </c>
      <c r="B1508" s="7" t="s">
        <v>9</v>
      </c>
      <c r="C1508" s="16" t="s">
        <v>40</v>
      </c>
      <c r="D1508" s="16" t="s">
        <v>41</v>
      </c>
      <c r="E1508" s="13" t="str">
        <f>+HYPERLINK("http://trademark.i-assist.jp/data/china/image_1891th/77576086.pdf","77576086")</f>
        <v>77576086</v>
      </c>
      <c r="F1508" s="16" t="s">
        <v>7191</v>
      </c>
      <c r="G1508" s="16" t="s">
        <v>7190</v>
      </c>
      <c r="H1508" s="16" t="s">
        <v>7192</v>
      </c>
      <c r="I1508" s="17">
        <v>45378</v>
      </c>
    </row>
    <row r="1509" spans="1:9" x14ac:dyDescent="0.15">
      <c r="A1509" s="16" t="s">
        <v>7198</v>
      </c>
      <c r="B1509" s="7" t="s">
        <v>9</v>
      </c>
      <c r="C1509" s="16" t="s">
        <v>40</v>
      </c>
      <c r="D1509" s="16" t="s">
        <v>41</v>
      </c>
      <c r="E1509" s="13" t="str">
        <f>+HYPERLINK("http://trademark.i-assist.jp/data/china/image_1891th/77576087.pdf","77576087")</f>
        <v>77576087</v>
      </c>
      <c r="F1509" s="16" t="s">
        <v>7196</v>
      </c>
      <c r="G1509" s="16" t="s">
        <v>7195</v>
      </c>
      <c r="H1509" s="16" t="s">
        <v>7197</v>
      </c>
      <c r="I1509" s="17">
        <v>45378</v>
      </c>
    </row>
    <row r="1510" spans="1:9" x14ac:dyDescent="0.15">
      <c r="A1510" s="16" t="s">
        <v>7203</v>
      </c>
      <c r="B1510" s="7" t="s">
        <v>9</v>
      </c>
      <c r="C1510" s="16" t="s">
        <v>40</v>
      </c>
      <c r="D1510" s="16" t="s">
        <v>41</v>
      </c>
      <c r="E1510" s="13" t="str">
        <f>+HYPERLINK("http://trademark.i-assist.jp/data/china/image_1891th/77576444.pdf","77576444")</f>
        <v>77576444</v>
      </c>
      <c r="F1510" s="16" t="s">
        <v>7201</v>
      </c>
      <c r="G1510" s="16" t="s">
        <v>7200</v>
      </c>
      <c r="H1510" s="16" t="s">
        <v>7202</v>
      </c>
      <c r="I1510" s="17">
        <v>45378</v>
      </c>
    </row>
    <row r="1511" spans="1:9" x14ac:dyDescent="0.15">
      <c r="A1511" s="16" t="s">
        <v>7207</v>
      </c>
      <c r="B1511" s="7" t="s">
        <v>9</v>
      </c>
      <c r="C1511" s="16" t="s">
        <v>40</v>
      </c>
      <c r="D1511" s="16" t="s">
        <v>41</v>
      </c>
      <c r="E1511" s="13" t="str">
        <f>+HYPERLINK("http://trademark.i-assist.jp/data/china/image_1891th/77576490.pdf","77576490")</f>
        <v>77576490</v>
      </c>
      <c r="F1511" s="16" t="s">
        <v>7205</v>
      </c>
      <c r="G1511" s="16" t="s">
        <v>2056</v>
      </c>
      <c r="H1511" s="16" t="s">
        <v>7206</v>
      </c>
      <c r="I1511" s="17">
        <v>45378</v>
      </c>
    </row>
    <row r="1512" spans="1:9" x14ac:dyDescent="0.15">
      <c r="A1512" s="16" t="s">
        <v>7211</v>
      </c>
      <c r="B1512" s="7" t="s">
        <v>9</v>
      </c>
      <c r="C1512" s="16" t="s">
        <v>40</v>
      </c>
      <c r="D1512" s="16" t="s">
        <v>41</v>
      </c>
      <c r="E1512" s="13" t="str">
        <f>+HYPERLINK("http://trademark.i-assist.jp/data/china/image_1891th/77576534.pdf","77576534")</f>
        <v>77576534</v>
      </c>
      <c r="F1512" s="16" t="s">
        <v>7209</v>
      </c>
      <c r="G1512" s="16" t="s">
        <v>2056</v>
      </c>
      <c r="H1512" s="16" t="s">
        <v>7210</v>
      </c>
      <c r="I1512" s="17">
        <v>45378</v>
      </c>
    </row>
    <row r="1513" spans="1:9" x14ac:dyDescent="0.15">
      <c r="A1513" s="16" t="s">
        <v>7215</v>
      </c>
      <c r="B1513" s="7" t="s">
        <v>9</v>
      </c>
      <c r="C1513" s="16" t="s">
        <v>40</v>
      </c>
      <c r="D1513" s="16" t="s">
        <v>41</v>
      </c>
      <c r="E1513" s="13" t="str">
        <f>+HYPERLINK("http://trademark.i-assist.jp/data/china/image_1891th/77576544.pdf","77576544")</f>
        <v>77576544</v>
      </c>
      <c r="F1513" s="16" t="s">
        <v>7213</v>
      </c>
      <c r="G1513" s="16" t="s">
        <v>2915</v>
      </c>
      <c r="H1513" s="16" t="s">
        <v>7214</v>
      </c>
      <c r="I1513" s="17">
        <v>45378</v>
      </c>
    </row>
    <row r="1514" spans="1:9" x14ac:dyDescent="0.15">
      <c r="A1514" s="16" t="s">
        <v>7220</v>
      </c>
      <c r="B1514" s="7" t="s">
        <v>9</v>
      </c>
      <c r="C1514" s="16" t="s">
        <v>40</v>
      </c>
      <c r="D1514" s="16" t="s">
        <v>41</v>
      </c>
      <c r="E1514" s="13" t="str">
        <f>+HYPERLINK("http://trademark.i-assist.jp/data/china/image_1891th/77576591.pdf","77576591")</f>
        <v>77576591</v>
      </c>
      <c r="F1514" s="16" t="s">
        <v>7218</v>
      </c>
      <c r="G1514" s="16" t="s">
        <v>7217</v>
      </c>
      <c r="H1514" s="16" t="s">
        <v>7219</v>
      </c>
      <c r="I1514" s="17">
        <v>45378</v>
      </c>
    </row>
    <row r="1515" spans="1:9" x14ac:dyDescent="0.15">
      <c r="A1515" s="16" t="s">
        <v>7225</v>
      </c>
      <c r="B1515" s="7" t="s">
        <v>9</v>
      </c>
      <c r="C1515" s="16" t="s">
        <v>40</v>
      </c>
      <c r="D1515" s="16" t="s">
        <v>41</v>
      </c>
      <c r="E1515" s="13" t="str">
        <f>+HYPERLINK("http://trademark.i-assist.jp/data/china/image_1891th/77576727.pdf","77576727")</f>
        <v>77576727</v>
      </c>
      <c r="F1515" s="16" t="s">
        <v>7223</v>
      </c>
      <c r="G1515" s="16" t="s">
        <v>7222</v>
      </c>
      <c r="H1515" s="16" t="s">
        <v>7224</v>
      </c>
      <c r="I1515" s="17">
        <v>45378</v>
      </c>
    </row>
    <row r="1516" spans="1:9" x14ac:dyDescent="0.15">
      <c r="A1516" s="16" t="s">
        <v>7230</v>
      </c>
      <c r="B1516" s="7" t="s">
        <v>9</v>
      </c>
      <c r="C1516" s="16" t="s">
        <v>40</v>
      </c>
      <c r="D1516" s="16" t="s">
        <v>41</v>
      </c>
      <c r="E1516" s="13" t="str">
        <f>+HYPERLINK("http://trademark.i-assist.jp/data/china/image_1891th/77577046.pdf","77577046")</f>
        <v>77577046</v>
      </c>
      <c r="F1516" s="16" t="s">
        <v>7228</v>
      </c>
      <c r="G1516" s="16" t="s">
        <v>11120</v>
      </c>
      <c r="H1516" s="16" t="s">
        <v>7229</v>
      </c>
      <c r="I1516" s="17">
        <v>45378</v>
      </c>
    </row>
    <row r="1517" spans="1:9" x14ac:dyDescent="0.15">
      <c r="A1517" s="16" t="s">
        <v>7234</v>
      </c>
      <c r="B1517" s="7" t="s">
        <v>9</v>
      </c>
      <c r="C1517" s="16" t="s">
        <v>40</v>
      </c>
      <c r="D1517" s="16" t="s">
        <v>41</v>
      </c>
      <c r="E1517" s="13" t="str">
        <f>+HYPERLINK("http://trademark.i-assist.jp/data/china/image_1891th/77577315.pdf","77577315")</f>
        <v>77577315</v>
      </c>
      <c r="F1517" s="16" t="s">
        <v>7232</v>
      </c>
      <c r="G1517" s="16" t="s">
        <v>7157</v>
      </c>
      <c r="H1517" s="16" t="s">
        <v>7233</v>
      </c>
      <c r="I1517" s="17">
        <v>45378</v>
      </c>
    </row>
    <row r="1518" spans="1:9" x14ac:dyDescent="0.15">
      <c r="A1518" s="16" t="s">
        <v>7239</v>
      </c>
      <c r="B1518" s="7" t="s">
        <v>9</v>
      </c>
      <c r="C1518" s="16" t="s">
        <v>40</v>
      </c>
      <c r="D1518" s="16" t="s">
        <v>41</v>
      </c>
      <c r="E1518" s="13" t="str">
        <f>+HYPERLINK("http://trademark.i-assist.jp/data/china/image_1891th/77577441.pdf","77577441")</f>
        <v>77577441</v>
      </c>
      <c r="F1518" s="16" t="s">
        <v>7237</v>
      </c>
      <c r="G1518" s="16" t="s">
        <v>7236</v>
      </c>
      <c r="H1518" s="16" t="s">
        <v>7238</v>
      </c>
      <c r="I1518" s="17">
        <v>45378</v>
      </c>
    </row>
    <row r="1519" spans="1:9" x14ac:dyDescent="0.15">
      <c r="A1519" s="16" t="s">
        <v>7244</v>
      </c>
      <c r="B1519" s="7" t="s">
        <v>9</v>
      </c>
      <c r="C1519" s="16" t="s">
        <v>40</v>
      </c>
      <c r="D1519" s="16" t="s">
        <v>41</v>
      </c>
      <c r="E1519" s="13" t="str">
        <f>+HYPERLINK("http://trademark.i-assist.jp/data/china/image_1891th/77577681.pdf","77577681")</f>
        <v>77577681</v>
      </c>
      <c r="F1519" s="16" t="s">
        <v>7242</v>
      </c>
      <c r="G1519" s="16" t="s">
        <v>7241</v>
      </c>
      <c r="H1519" s="16" t="s">
        <v>7243</v>
      </c>
      <c r="I1519" s="17">
        <v>45378</v>
      </c>
    </row>
    <row r="1520" spans="1:9" x14ac:dyDescent="0.15">
      <c r="A1520" s="16" t="s">
        <v>7249</v>
      </c>
      <c r="B1520" s="7" t="s">
        <v>9</v>
      </c>
      <c r="C1520" s="16" t="s">
        <v>40</v>
      </c>
      <c r="D1520" s="16" t="s">
        <v>41</v>
      </c>
      <c r="E1520" s="13" t="str">
        <f>+HYPERLINK("http://trademark.i-assist.jp/data/china/image_1891th/77577877.pdf","77577877")</f>
        <v>77577877</v>
      </c>
      <c r="F1520" s="16" t="s">
        <v>7247</v>
      </c>
      <c r="G1520" s="16" t="s">
        <v>7246</v>
      </c>
      <c r="H1520" s="16" t="s">
        <v>7248</v>
      </c>
      <c r="I1520" s="17">
        <v>45378</v>
      </c>
    </row>
    <row r="1521" spans="1:9" x14ac:dyDescent="0.15">
      <c r="A1521" s="16" t="s">
        <v>7254</v>
      </c>
      <c r="B1521" s="7" t="s">
        <v>9</v>
      </c>
      <c r="C1521" s="16" t="s">
        <v>40</v>
      </c>
      <c r="D1521" s="16" t="s">
        <v>41</v>
      </c>
      <c r="E1521" s="13" t="str">
        <f>+HYPERLINK("http://trademark.i-assist.jp/data/china/image_1891th/77578010.pdf","77578010")</f>
        <v>77578010</v>
      </c>
      <c r="F1521" s="16" t="s">
        <v>7252</v>
      </c>
      <c r="G1521" s="16" t="s">
        <v>7251</v>
      </c>
      <c r="H1521" s="16" t="s">
        <v>7253</v>
      </c>
      <c r="I1521" s="17">
        <v>45378</v>
      </c>
    </row>
    <row r="1522" spans="1:9" x14ac:dyDescent="0.15">
      <c r="A1522" s="16" t="s">
        <v>7259</v>
      </c>
      <c r="B1522" s="7" t="s">
        <v>9</v>
      </c>
      <c r="C1522" s="16" t="s">
        <v>40</v>
      </c>
      <c r="D1522" s="16" t="s">
        <v>41</v>
      </c>
      <c r="E1522" s="13" t="str">
        <f>+HYPERLINK("http://trademark.i-assist.jp/data/china/image_1891th/77578042.pdf","77578042")</f>
        <v>77578042</v>
      </c>
      <c r="F1522" s="16" t="s">
        <v>7257</v>
      </c>
      <c r="G1522" s="16" t="s">
        <v>7256</v>
      </c>
      <c r="H1522" s="16" t="s">
        <v>7258</v>
      </c>
      <c r="I1522" s="17">
        <v>45378</v>
      </c>
    </row>
    <row r="1523" spans="1:9" x14ac:dyDescent="0.15">
      <c r="A1523" s="16" t="s">
        <v>7263</v>
      </c>
      <c r="B1523" s="7" t="s">
        <v>9</v>
      </c>
      <c r="C1523" s="16" t="s">
        <v>40</v>
      </c>
      <c r="D1523" s="16" t="s">
        <v>41</v>
      </c>
      <c r="E1523" s="13" t="str">
        <f>+HYPERLINK("http://trademark.i-assist.jp/data/china/image_1891th/77578121.pdf","77578121")</f>
        <v>77578121</v>
      </c>
      <c r="F1523" s="16" t="s">
        <v>7261</v>
      </c>
      <c r="G1523" s="16" t="s">
        <v>7113</v>
      </c>
      <c r="H1523" s="16" t="s">
        <v>7262</v>
      </c>
      <c r="I1523" s="17">
        <v>45378</v>
      </c>
    </row>
    <row r="1524" spans="1:9" x14ac:dyDescent="0.15">
      <c r="A1524" s="16" t="s">
        <v>7268</v>
      </c>
      <c r="B1524" s="7" t="s">
        <v>9</v>
      </c>
      <c r="C1524" s="16" t="s">
        <v>40</v>
      </c>
      <c r="D1524" s="16" t="s">
        <v>41</v>
      </c>
      <c r="E1524" s="13" t="str">
        <f>+HYPERLINK("http://trademark.i-assist.jp/data/china/image_1891th/77578125.pdf","77578125")</f>
        <v>77578125</v>
      </c>
      <c r="F1524" s="16" t="s">
        <v>7266</v>
      </c>
      <c r="G1524" s="16" t="s">
        <v>7265</v>
      </c>
      <c r="H1524" s="16" t="s">
        <v>7267</v>
      </c>
      <c r="I1524" s="17">
        <v>45378</v>
      </c>
    </row>
    <row r="1525" spans="1:9" x14ac:dyDescent="0.15">
      <c r="A1525" s="16" t="s">
        <v>7273</v>
      </c>
      <c r="B1525" s="7" t="s">
        <v>9</v>
      </c>
      <c r="C1525" s="16" t="s">
        <v>40</v>
      </c>
      <c r="D1525" s="16" t="s">
        <v>41</v>
      </c>
      <c r="E1525" s="13" t="str">
        <f>+HYPERLINK("http://trademark.i-assist.jp/data/china/image_1891th/77578236.pdf","77578236")</f>
        <v>77578236</v>
      </c>
      <c r="F1525" s="16" t="s">
        <v>7271</v>
      </c>
      <c r="G1525" s="16" t="s">
        <v>7270</v>
      </c>
      <c r="H1525" s="16" t="s">
        <v>7272</v>
      </c>
      <c r="I1525" s="17">
        <v>45378</v>
      </c>
    </row>
    <row r="1526" spans="1:9" x14ac:dyDescent="0.15">
      <c r="A1526" s="16" t="s">
        <v>7278</v>
      </c>
      <c r="B1526" s="7" t="s">
        <v>9</v>
      </c>
      <c r="C1526" s="16" t="s">
        <v>40</v>
      </c>
      <c r="D1526" s="16" t="s">
        <v>41</v>
      </c>
      <c r="E1526" s="13" t="str">
        <f>+HYPERLINK("http://trademark.i-assist.jp/data/china/image_1891th/77578262.pdf","77578262")</f>
        <v>77578262</v>
      </c>
      <c r="F1526" s="16" t="s">
        <v>7276</v>
      </c>
      <c r="G1526" s="16" t="s">
        <v>7275</v>
      </c>
      <c r="H1526" s="16" t="s">
        <v>7277</v>
      </c>
      <c r="I1526" s="17">
        <v>45378</v>
      </c>
    </row>
    <row r="1527" spans="1:9" x14ac:dyDescent="0.15">
      <c r="A1527" s="16" t="s">
        <v>7283</v>
      </c>
      <c r="B1527" s="7" t="s">
        <v>9</v>
      </c>
      <c r="C1527" s="16" t="s">
        <v>40</v>
      </c>
      <c r="D1527" s="16" t="s">
        <v>41</v>
      </c>
      <c r="E1527" s="13" t="str">
        <f>+HYPERLINK("http://trademark.i-assist.jp/data/china/image_1891th/77578378.pdf","77578378")</f>
        <v>77578378</v>
      </c>
      <c r="F1527" s="16" t="s">
        <v>7281</v>
      </c>
      <c r="G1527" s="16" t="s">
        <v>7280</v>
      </c>
      <c r="H1527" s="16" t="s">
        <v>7282</v>
      </c>
      <c r="I1527" s="17">
        <v>45378</v>
      </c>
    </row>
    <row r="1528" spans="1:9" x14ac:dyDescent="0.15">
      <c r="A1528" s="16" t="s">
        <v>7288</v>
      </c>
      <c r="B1528" s="7" t="s">
        <v>9</v>
      </c>
      <c r="C1528" s="16" t="s">
        <v>40</v>
      </c>
      <c r="D1528" s="16" t="s">
        <v>41</v>
      </c>
      <c r="E1528" s="13" t="str">
        <f>+HYPERLINK("http://trademark.i-assist.jp/data/china/image_1891th/77578446.pdf","77578446")</f>
        <v>77578446</v>
      </c>
      <c r="F1528" s="16" t="s">
        <v>7286</v>
      </c>
      <c r="G1528" s="16" t="s">
        <v>7285</v>
      </c>
      <c r="H1528" s="16" t="s">
        <v>7287</v>
      </c>
      <c r="I1528" s="17">
        <v>45378</v>
      </c>
    </row>
    <row r="1529" spans="1:9" x14ac:dyDescent="0.15">
      <c r="A1529" s="16" t="s">
        <v>7293</v>
      </c>
      <c r="B1529" s="7" t="s">
        <v>9</v>
      </c>
      <c r="C1529" s="16" t="s">
        <v>40</v>
      </c>
      <c r="D1529" s="16" t="s">
        <v>41</v>
      </c>
      <c r="E1529" s="13" t="str">
        <f>+HYPERLINK("http://trademark.i-assist.jp/data/china/image_1891th/77578575.pdf","77578575")</f>
        <v>77578575</v>
      </c>
      <c r="F1529" s="16" t="s">
        <v>7291</v>
      </c>
      <c r="G1529" s="16" t="s">
        <v>7290</v>
      </c>
      <c r="H1529" s="16" t="s">
        <v>7292</v>
      </c>
      <c r="I1529" s="17">
        <v>45378</v>
      </c>
    </row>
    <row r="1530" spans="1:9" x14ac:dyDescent="0.15">
      <c r="A1530" s="16" t="s">
        <v>7298</v>
      </c>
      <c r="B1530" s="7" t="s">
        <v>9</v>
      </c>
      <c r="C1530" s="16" t="s">
        <v>40</v>
      </c>
      <c r="D1530" s="16" t="s">
        <v>41</v>
      </c>
      <c r="E1530" s="13" t="str">
        <f>+HYPERLINK("http://trademark.i-assist.jp/data/china/image_1891th/77579113.pdf","77579113")</f>
        <v>77579113</v>
      </c>
      <c r="F1530" s="16" t="s">
        <v>7296</v>
      </c>
      <c r="G1530" s="16" t="s">
        <v>7295</v>
      </c>
      <c r="H1530" s="16" t="s">
        <v>7297</v>
      </c>
      <c r="I1530" s="17">
        <v>45378</v>
      </c>
    </row>
    <row r="1531" spans="1:9" x14ac:dyDescent="0.15">
      <c r="A1531" s="16" t="s">
        <v>7302</v>
      </c>
      <c r="B1531" s="7" t="s">
        <v>9</v>
      </c>
      <c r="C1531" s="16" t="s">
        <v>40</v>
      </c>
      <c r="D1531" s="16" t="s">
        <v>41</v>
      </c>
      <c r="E1531" s="13" t="str">
        <f>+HYPERLINK("http://trademark.i-assist.jp/data/china/image_1891th/77579196.pdf","77579196")</f>
        <v>77579196</v>
      </c>
      <c r="F1531" s="16" t="s">
        <v>7300</v>
      </c>
      <c r="G1531" s="16" t="s">
        <v>364</v>
      </c>
      <c r="H1531" s="16" t="s">
        <v>7301</v>
      </c>
      <c r="I1531" s="17">
        <v>45378</v>
      </c>
    </row>
    <row r="1532" spans="1:9" x14ac:dyDescent="0.15">
      <c r="A1532" s="16" t="s">
        <v>7307</v>
      </c>
      <c r="B1532" s="7" t="s">
        <v>9</v>
      </c>
      <c r="C1532" s="16" t="s">
        <v>40</v>
      </c>
      <c r="D1532" s="16" t="s">
        <v>41</v>
      </c>
      <c r="E1532" s="13" t="str">
        <f>+HYPERLINK("http://trademark.i-assist.jp/data/china/image_1891th/77579216.pdf","77579216")</f>
        <v>77579216</v>
      </c>
      <c r="F1532" s="16" t="s">
        <v>7305</v>
      </c>
      <c r="G1532" s="16" t="s">
        <v>7304</v>
      </c>
      <c r="H1532" s="16" t="s">
        <v>7306</v>
      </c>
      <c r="I1532" s="17">
        <v>45378</v>
      </c>
    </row>
    <row r="1533" spans="1:9" x14ac:dyDescent="0.15">
      <c r="A1533" s="16" t="s">
        <v>7312</v>
      </c>
      <c r="B1533" s="7" t="s">
        <v>9</v>
      </c>
      <c r="C1533" s="16" t="s">
        <v>40</v>
      </c>
      <c r="D1533" s="16" t="s">
        <v>41</v>
      </c>
      <c r="E1533" s="13" t="str">
        <f>+HYPERLINK("http://trademark.i-assist.jp/data/china/image_1891th/77579582.pdf","77579582")</f>
        <v>77579582</v>
      </c>
      <c r="F1533" s="16" t="s">
        <v>7310</v>
      </c>
      <c r="G1533" s="16" t="s">
        <v>7309</v>
      </c>
      <c r="H1533" s="16" t="s">
        <v>7311</v>
      </c>
      <c r="I1533" s="17">
        <v>45378</v>
      </c>
    </row>
    <row r="1534" spans="1:9" x14ac:dyDescent="0.15">
      <c r="A1534" s="16" t="s">
        <v>7317</v>
      </c>
      <c r="B1534" s="7" t="s">
        <v>9</v>
      </c>
      <c r="C1534" s="16" t="s">
        <v>40</v>
      </c>
      <c r="D1534" s="16" t="s">
        <v>41</v>
      </c>
      <c r="E1534" s="13" t="str">
        <f>+HYPERLINK("http://trademark.i-assist.jp/data/china/image_1891th/77579945.pdf","77579945")</f>
        <v>77579945</v>
      </c>
      <c r="F1534" s="16" t="s">
        <v>7315</v>
      </c>
      <c r="G1534" s="16" t="s">
        <v>7314</v>
      </c>
      <c r="H1534" s="16" t="s">
        <v>7316</v>
      </c>
      <c r="I1534" s="17">
        <v>45378</v>
      </c>
    </row>
    <row r="1535" spans="1:9" x14ac:dyDescent="0.15">
      <c r="A1535" s="16" t="s">
        <v>7321</v>
      </c>
      <c r="B1535" s="7" t="s">
        <v>9</v>
      </c>
      <c r="C1535" s="16" t="s">
        <v>40</v>
      </c>
      <c r="D1535" s="16" t="s">
        <v>41</v>
      </c>
      <c r="E1535" s="13" t="str">
        <f>+HYPERLINK("http://trademark.i-assist.jp/data/china/image_1891th/77579949.pdf","77579949")</f>
        <v>77579949</v>
      </c>
      <c r="F1535" s="16" t="s">
        <v>7319</v>
      </c>
      <c r="G1535" s="16" t="s">
        <v>359</v>
      </c>
      <c r="H1535" s="16" t="s">
        <v>7320</v>
      </c>
      <c r="I1535" s="17">
        <v>45378</v>
      </c>
    </row>
    <row r="1536" spans="1:9" x14ac:dyDescent="0.15">
      <c r="A1536" s="16" t="s">
        <v>7326</v>
      </c>
      <c r="B1536" s="7" t="s">
        <v>9</v>
      </c>
      <c r="C1536" s="16" t="s">
        <v>40</v>
      </c>
      <c r="D1536" s="16" t="s">
        <v>41</v>
      </c>
      <c r="E1536" s="13" t="str">
        <f>+HYPERLINK("http://trademark.i-assist.jp/data/china/image_1891th/77580059.pdf","77580059")</f>
        <v>77580059</v>
      </c>
      <c r="F1536" s="16" t="s">
        <v>7324</v>
      </c>
      <c r="G1536" s="16" t="s">
        <v>7323</v>
      </c>
      <c r="H1536" s="16" t="s">
        <v>7325</v>
      </c>
      <c r="I1536" s="17">
        <v>45378</v>
      </c>
    </row>
    <row r="1537" spans="1:9" x14ac:dyDescent="0.15">
      <c r="A1537" s="16" t="s">
        <v>7331</v>
      </c>
      <c r="B1537" s="7" t="s">
        <v>9</v>
      </c>
      <c r="C1537" s="16" t="s">
        <v>40</v>
      </c>
      <c r="D1537" s="16" t="s">
        <v>41</v>
      </c>
      <c r="E1537" s="13" t="str">
        <f>+HYPERLINK("http://trademark.i-assist.jp/data/china/image_1891th/77580120.pdf","77580120")</f>
        <v>77580120</v>
      </c>
      <c r="F1537" s="16" t="s">
        <v>7329</v>
      </c>
      <c r="G1537" s="16" t="s">
        <v>7328</v>
      </c>
      <c r="H1537" s="16" t="s">
        <v>7330</v>
      </c>
      <c r="I1537" s="17">
        <v>45378</v>
      </c>
    </row>
    <row r="1538" spans="1:9" x14ac:dyDescent="0.15">
      <c r="A1538" s="16" t="s">
        <v>7336</v>
      </c>
      <c r="B1538" s="7" t="s">
        <v>9</v>
      </c>
      <c r="C1538" s="16" t="s">
        <v>40</v>
      </c>
      <c r="D1538" s="16" t="s">
        <v>41</v>
      </c>
      <c r="E1538" s="13" t="str">
        <f>+HYPERLINK("http://trademark.i-assist.jp/data/china/image_1891th/77580323.pdf","77580323")</f>
        <v>77580323</v>
      </c>
      <c r="F1538" s="16" t="s">
        <v>7334</v>
      </c>
      <c r="G1538" s="16" t="s">
        <v>7333</v>
      </c>
      <c r="H1538" s="16" t="s">
        <v>7335</v>
      </c>
      <c r="I1538" s="17">
        <v>45378</v>
      </c>
    </row>
    <row r="1539" spans="1:9" x14ac:dyDescent="0.15">
      <c r="A1539" s="16" t="s">
        <v>7341</v>
      </c>
      <c r="B1539" s="7" t="s">
        <v>9</v>
      </c>
      <c r="C1539" s="16" t="s">
        <v>40</v>
      </c>
      <c r="D1539" s="16" t="s">
        <v>41</v>
      </c>
      <c r="E1539" s="13" t="str">
        <f>+HYPERLINK("http://trademark.i-assist.jp/data/china/image_1891th/77580409.pdf","77580409")</f>
        <v>77580409</v>
      </c>
      <c r="F1539" s="16" t="s">
        <v>7339</v>
      </c>
      <c r="G1539" s="16" t="s">
        <v>7338</v>
      </c>
      <c r="H1539" s="16" t="s">
        <v>7340</v>
      </c>
      <c r="I1539" s="17">
        <v>45378</v>
      </c>
    </row>
    <row r="1540" spans="1:9" x14ac:dyDescent="0.15">
      <c r="A1540" s="16" t="s">
        <v>7346</v>
      </c>
      <c r="B1540" s="7" t="s">
        <v>9</v>
      </c>
      <c r="C1540" s="16" t="s">
        <v>40</v>
      </c>
      <c r="D1540" s="16" t="s">
        <v>41</v>
      </c>
      <c r="E1540" s="13" t="str">
        <f>+HYPERLINK("http://trademark.i-assist.jp/data/china/image_1891th/77580841.pdf","77580841")</f>
        <v>77580841</v>
      </c>
      <c r="F1540" s="16" t="s">
        <v>7344</v>
      </c>
      <c r="G1540" s="16" t="s">
        <v>7343</v>
      </c>
      <c r="H1540" s="16" t="s">
        <v>7345</v>
      </c>
      <c r="I1540" s="17">
        <v>45378</v>
      </c>
    </row>
    <row r="1541" spans="1:9" x14ac:dyDescent="0.15">
      <c r="A1541" s="16" t="s">
        <v>7351</v>
      </c>
      <c r="B1541" s="7" t="s">
        <v>9</v>
      </c>
      <c r="C1541" s="16" t="s">
        <v>40</v>
      </c>
      <c r="D1541" s="16" t="s">
        <v>41</v>
      </c>
      <c r="E1541" s="13" t="str">
        <f>+HYPERLINK("http://trademark.i-assist.jp/data/china/image_1891th/77580909.pdf","77580909")</f>
        <v>77580909</v>
      </c>
      <c r="F1541" s="16" t="s">
        <v>7349</v>
      </c>
      <c r="G1541" s="16" t="s">
        <v>7348</v>
      </c>
      <c r="H1541" s="16" t="s">
        <v>7350</v>
      </c>
      <c r="I1541" s="17">
        <v>45378</v>
      </c>
    </row>
    <row r="1542" spans="1:9" x14ac:dyDescent="0.15">
      <c r="A1542" s="16" t="s">
        <v>7355</v>
      </c>
      <c r="B1542" s="7" t="s">
        <v>9</v>
      </c>
      <c r="C1542" s="16" t="s">
        <v>40</v>
      </c>
      <c r="D1542" s="16" t="s">
        <v>41</v>
      </c>
      <c r="E1542" s="13" t="str">
        <f>+HYPERLINK("http://trademark.i-assist.jp/data/china/image_1891th/77580958.pdf","77580958")</f>
        <v>77580958</v>
      </c>
      <c r="F1542" s="16" t="s">
        <v>7353</v>
      </c>
      <c r="G1542" s="16" t="s">
        <v>2021</v>
      </c>
      <c r="H1542" s="16" t="s">
        <v>7354</v>
      </c>
      <c r="I1542" s="17">
        <v>45378</v>
      </c>
    </row>
    <row r="1543" spans="1:9" x14ac:dyDescent="0.15">
      <c r="A1543" s="16" t="s">
        <v>7360</v>
      </c>
      <c r="B1543" s="7" t="s">
        <v>9</v>
      </c>
      <c r="C1543" s="16" t="s">
        <v>40</v>
      </c>
      <c r="D1543" s="16" t="s">
        <v>41</v>
      </c>
      <c r="E1543" s="13" t="str">
        <f>+HYPERLINK("http://trademark.i-assist.jp/data/china/image_1891th/77581295.pdf","77581295")</f>
        <v>77581295</v>
      </c>
      <c r="F1543" s="16" t="s">
        <v>7358</v>
      </c>
      <c r="G1543" s="16" t="s">
        <v>7357</v>
      </c>
      <c r="H1543" s="16" t="s">
        <v>7359</v>
      </c>
      <c r="I1543" s="17">
        <v>45378</v>
      </c>
    </row>
    <row r="1544" spans="1:9" x14ac:dyDescent="0.15">
      <c r="A1544" s="16" t="s">
        <v>7365</v>
      </c>
      <c r="B1544" s="7" t="s">
        <v>9</v>
      </c>
      <c r="C1544" s="16" t="s">
        <v>40</v>
      </c>
      <c r="D1544" s="16" t="s">
        <v>41</v>
      </c>
      <c r="E1544" s="13" t="str">
        <f>+HYPERLINK("http://trademark.i-assist.jp/data/china/image_1891th/77581525.pdf","77581525")</f>
        <v>77581525</v>
      </c>
      <c r="F1544" s="16" t="s">
        <v>7363</v>
      </c>
      <c r="G1544" s="16" t="s">
        <v>7362</v>
      </c>
      <c r="H1544" s="16" t="s">
        <v>7364</v>
      </c>
      <c r="I1544" s="17">
        <v>45378</v>
      </c>
    </row>
    <row r="1545" spans="1:9" x14ac:dyDescent="0.15">
      <c r="A1545" s="16" t="s">
        <v>7370</v>
      </c>
      <c r="B1545" s="7" t="s">
        <v>9</v>
      </c>
      <c r="C1545" s="16" t="s">
        <v>40</v>
      </c>
      <c r="D1545" s="16" t="s">
        <v>41</v>
      </c>
      <c r="E1545" s="13" t="str">
        <f>+HYPERLINK("http://trademark.i-assist.jp/data/china/image_1891th/77581542.pdf","77581542")</f>
        <v>77581542</v>
      </c>
      <c r="F1545" s="16" t="s">
        <v>7368</v>
      </c>
      <c r="G1545" s="16" t="s">
        <v>7367</v>
      </c>
      <c r="H1545" s="16" t="s">
        <v>7369</v>
      </c>
      <c r="I1545" s="17">
        <v>45378</v>
      </c>
    </row>
    <row r="1546" spans="1:9" x14ac:dyDescent="0.15">
      <c r="A1546" s="16" t="s">
        <v>7374</v>
      </c>
      <c r="B1546" s="7" t="s">
        <v>9</v>
      </c>
      <c r="C1546" s="16" t="s">
        <v>40</v>
      </c>
      <c r="D1546" s="16" t="s">
        <v>41</v>
      </c>
      <c r="E1546" s="13" t="str">
        <f>+HYPERLINK("http://trademark.i-assist.jp/data/china/image_1891th/77581549.pdf","77581549")</f>
        <v>77581549</v>
      </c>
      <c r="F1546" s="16" t="s">
        <v>7372</v>
      </c>
      <c r="G1546" s="16" t="s">
        <v>7367</v>
      </c>
      <c r="H1546" s="16" t="s">
        <v>7373</v>
      </c>
      <c r="I1546" s="17">
        <v>45378</v>
      </c>
    </row>
    <row r="1547" spans="1:9" x14ac:dyDescent="0.15">
      <c r="A1547" s="16" t="s">
        <v>7378</v>
      </c>
      <c r="B1547" s="7" t="s">
        <v>9</v>
      </c>
      <c r="C1547" s="16" t="s">
        <v>40</v>
      </c>
      <c r="D1547" s="16" t="s">
        <v>41</v>
      </c>
      <c r="E1547" s="13" t="str">
        <f>+HYPERLINK("http://trademark.i-assist.jp/data/china/image_1891th/77581561.pdf","77581561")</f>
        <v>77581561</v>
      </c>
      <c r="F1547" s="16" t="s">
        <v>7376</v>
      </c>
      <c r="G1547" s="16" t="s">
        <v>7367</v>
      </c>
      <c r="H1547" s="16" t="s">
        <v>7377</v>
      </c>
      <c r="I1547" s="17">
        <v>45378</v>
      </c>
    </row>
    <row r="1548" spans="1:9" x14ac:dyDescent="0.15">
      <c r="A1548" s="16" t="s">
        <v>7383</v>
      </c>
      <c r="B1548" s="7" t="s">
        <v>9</v>
      </c>
      <c r="C1548" s="16" t="s">
        <v>40</v>
      </c>
      <c r="D1548" s="16" t="s">
        <v>41</v>
      </c>
      <c r="E1548" s="13" t="str">
        <f>+HYPERLINK("http://trademark.i-assist.jp/data/china/image_1891th/77581730.pdf","77581730")</f>
        <v>77581730</v>
      </c>
      <c r="F1548" s="16" t="s">
        <v>7381</v>
      </c>
      <c r="G1548" s="16" t="s">
        <v>7380</v>
      </c>
      <c r="H1548" s="16" t="s">
        <v>7382</v>
      </c>
      <c r="I1548" s="17">
        <v>45378</v>
      </c>
    </row>
    <row r="1549" spans="1:9" x14ac:dyDescent="0.15">
      <c r="A1549" s="16" t="s">
        <v>7388</v>
      </c>
      <c r="B1549" s="7" t="s">
        <v>9</v>
      </c>
      <c r="C1549" s="16" t="s">
        <v>40</v>
      </c>
      <c r="D1549" s="16" t="s">
        <v>41</v>
      </c>
      <c r="E1549" s="13" t="str">
        <f>+HYPERLINK("http://trademark.i-assist.jp/data/china/image_1891th/77581992.pdf","77581992")</f>
        <v>77581992</v>
      </c>
      <c r="F1549" s="16" t="s">
        <v>7386</v>
      </c>
      <c r="G1549" s="16" t="s">
        <v>7385</v>
      </c>
      <c r="H1549" s="16" t="s">
        <v>7387</v>
      </c>
      <c r="I1549" s="17">
        <v>45378</v>
      </c>
    </row>
    <row r="1550" spans="1:9" x14ac:dyDescent="0.15">
      <c r="A1550" s="16" t="s">
        <v>7392</v>
      </c>
      <c r="B1550" s="7" t="s">
        <v>9</v>
      </c>
      <c r="C1550" s="16" t="s">
        <v>40</v>
      </c>
      <c r="D1550" s="16" t="s">
        <v>41</v>
      </c>
      <c r="E1550" s="13" t="str">
        <f>+HYPERLINK("http://trademark.i-assist.jp/data/china/image_1891th/77582039.pdf","77582039")</f>
        <v>77582039</v>
      </c>
      <c r="F1550" s="16" t="s">
        <v>7390</v>
      </c>
      <c r="G1550" s="16" t="s">
        <v>3342</v>
      </c>
      <c r="H1550" s="16" t="s">
        <v>7391</v>
      </c>
      <c r="I1550" s="17">
        <v>45378</v>
      </c>
    </row>
    <row r="1551" spans="1:9" x14ac:dyDescent="0.15">
      <c r="A1551" s="16" t="s">
        <v>7396</v>
      </c>
      <c r="B1551" s="7" t="s">
        <v>9</v>
      </c>
      <c r="C1551" s="16" t="s">
        <v>40</v>
      </c>
      <c r="D1551" s="16" t="s">
        <v>41</v>
      </c>
      <c r="E1551" s="13" t="str">
        <f>+HYPERLINK("http://trademark.i-assist.jp/data/china/image_1891th/77582045.pdf","77582045")</f>
        <v>77582045</v>
      </c>
      <c r="F1551" s="16" t="s">
        <v>7394</v>
      </c>
      <c r="G1551" s="16" t="s">
        <v>3342</v>
      </c>
      <c r="H1551" s="16" t="s">
        <v>7395</v>
      </c>
      <c r="I1551" s="17">
        <v>45378</v>
      </c>
    </row>
    <row r="1552" spans="1:9" x14ac:dyDescent="0.15">
      <c r="A1552" s="16" t="s">
        <v>7400</v>
      </c>
      <c r="B1552" s="7" t="s">
        <v>9</v>
      </c>
      <c r="C1552" s="16" t="s">
        <v>40</v>
      </c>
      <c r="D1552" s="16" t="s">
        <v>41</v>
      </c>
      <c r="E1552" s="13" t="str">
        <f>+HYPERLINK("http://trademark.i-assist.jp/data/china/image_1891th/77582097.pdf","77582097")</f>
        <v>77582097</v>
      </c>
      <c r="F1552" s="16" t="s">
        <v>7398</v>
      </c>
      <c r="G1552" s="16" t="s">
        <v>7200</v>
      </c>
      <c r="H1552" s="16" t="s">
        <v>7399</v>
      </c>
      <c r="I1552" s="17">
        <v>45378</v>
      </c>
    </row>
    <row r="1553" spans="1:9" x14ac:dyDescent="0.15">
      <c r="A1553" s="16" t="s">
        <v>7405</v>
      </c>
      <c r="B1553" s="7" t="s">
        <v>9</v>
      </c>
      <c r="C1553" s="16" t="s">
        <v>40</v>
      </c>
      <c r="D1553" s="16" t="s">
        <v>41</v>
      </c>
      <c r="E1553" s="13" t="str">
        <f>+HYPERLINK("http://trademark.i-assist.jp/data/china/image_1891th/77582268.pdf","77582268")</f>
        <v>77582268</v>
      </c>
      <c r="F1553" s="16" t="s">
        <v>7403</v>
      </c>
      <c r="G1553" s="16" t="s">
        <v>7402</v>
      </c>
      <c r="H1553" s="16" t="s">
        <v>7404</v>
      </c>
      <c r="I1553" s="17">
        <v>45378</v>
      </c>
    </row>
    <row r="1554" spans="1:9" x14ac:dyDescent="0.15">
      <c r="A1554" s="16" t="s">
        <v>7409</v>
      </c>
      <c r="B1554" s="7" t="s">
        <v>9</v>
      </c>
      <c r="C1554" s="16" t="s">
        <v>40</v>
      </c>
      <c r="D1554" s="16" t="s">
        <v>41</v>
      </c>
      <c r="E1554" s="13" t="str">
        <f>+HYPERLINK("http://trademark.i-assist.jp/data/china/image_1891th/77582342.pdf","77582342")</f>
        <v>77582342</v>
      </c>
      <c r="F1554" s="16" t="s">
        <v>7407</v>
      </c>
      <c r="G1554" s="16" t="s">
        <v>343</v>
      </c>
      <c r="H1554" s="16" t="s">
        <v>7408</v>
      </c>
      <c r="I1554" s="17">
        <v>45378</v>
      </c>
    </row>
    <row r="1555" spans="1:9" x14ac:dyDescent="0.15">
      <c r="A1555" s="16" t="s">
        <v>7413</v>
      </c>
      <c r="B1555" s="7" t="s">
        <v>9</v>
      </c>
      <c r="C1555" s="16" t="s">
        <v>40</v>
      </c>
      <c r="D1555" s="16" t="s">
        <v>41</v>
      </c>
      <c r="E1555" s="13" t="str">
        <f>+HYPERLINK("http://trademark.i-assist.jp/data/china/image_1891th/77582349.pdf","77582349")</f>
        <v>77582349</v>
      </c>
      <c r="F1555" s="16" t="s">
        <v>7411</v>
      </c>
      <c r="G1555" s="16" t="s">
        <v>343</v>
      </c>
      <c r="H1555" s="16" t="s">
        <v>7412</v>
      </c>
      <c r="I1555" s="17">
        <v>45378</v>
      </c>
    </row>
    <row r="1556" spans="1:9" x14ac:dyDescent="0.15">
      <c r="A1556" s="16" t="s">
        <v>7417</v>
      </c>
      <c r="B1556" s="7" t="s">
        <v>9</v>
      </c>
      <c r="C1556" s="16" t="s">
        <v>40</v>
      </c>
      <c r="D1556" s="16" t="s">
        <v>41</v>
      </c>
      <c r="E1556" s="13" t="str">
        <f>+HYPERLINK("http://trademark.i-assist.jp/data/china/image_1891th/77582674.pdf","77582674")</f>
        <v>77582674</v>
      </c>
      <c r="F1556" s="16" t="s">
        <v>7415</v>
      </c>
      <c r="G1556" s="16" t="s">
        <v>2051</v>
      </c>
      <c r="H1556" s="16" t="s">
        <v>7416</v>
      </c>
      <c r="I1556" s="17">
        <v>45378</v>
      </c>
    </row>
    <row r="1557" spans="1:9" x14ac:dyDescent="0.15">
      <c r="A1557" s="16" t="s">
        <v>7422</v>
      </c>
      <c r="B1557" s="7" t="s">
        <v>9</v>
      </c>
      <c r="C1557" s="16" t="s">
        <v>40</v>
      </c>
      <c r="D1557" s="16" t="s">
        <v>41</v>
      </c>
      <c r="E1557" s="13" t="str">
        <f>+HYPERLINK("http://trademark.i-assist.jp/data/china/image_1891th/77583085.pdf","77583085")</f>
        <v>77583085</v>
      </c>
      <c r="F1557" s="16" t="s">
        <v>7420</v>
      </c>
      <c r="G1557" s="16" t="s">
        <v>7419</v>
      </c>
      <c r="H1557" s="16" t="s">
        <v>11142</v>
      </c>
      <c r="I1557" s="17">
        <v>45378</v>
      </c>
    </row>
    <row r="1558" spans="1:9" x14ac:dyDescent="0.15">
      <c r="A1558" s="16" t="s">
        <v>7427</v>
      </c>
      <c r="B1558" s="7" t="s">
        <v>9</v>
      </c>
      <c r="C1558" s="16" t="s">
        <v>40</v>
      </c>
      <c r="D1558" s="16" t="s">
        <v>41</v>
      </c>
      <c r="E1558" s="13" t="str">
        <f>+HYPERLINK("http://trademark.i-assist.jp/data/china/image_1891th/77583184.pdf","77583184")</f>
        <v>77583184</v>
      </c>
      <c r="F1558" s="16" t="s">
        <v>7425</v>
      </c>
      <c r="G1558" s="16" t="s">
        <v>7424</v>
      </c>
      <c r="H1558" s="16" t="s">
        <v>7426</v>
      </c>
      <c r="I1558" s="17">
        <v>45378</v>
      </c>
    </row>
    <row r="1559" spans="1:9" x14ac:dyDescent="0.15">
      <c r="A1559" s="16" t="s">
        <v>7431</v>
      </c>
      <c r="B1559" s="7" t="s">
        <v>9</v>
      </c>
      <c r="C1559" s="16" t="s">
        <v>40</v>
      </c>
      <c r="D1559" s="16" t="s">
        <v>41</v>
      </c>
      <c r="E1559" s="13" t="str">
        <f>+HYPERLINK("http://trademark.i-assist.jp/data/china/image_1891th/77583287.pdf","77583287")</f>
        <v>77583287</v>
      </c>
      <c r="F1559" s="16" t="s">
        <v>7429</v>
      </c>
      <c r="G1559" s="16" t="s">
        <v>15</v>
      </c>
      <c r="H1559" s="16" t="s">
        <v>7430</v>
      </c>
      <c r="I1559" s="17">
        <v>45378</v>
      </c>
    </row>
    <row r="1560" spans="1:9" x14ac:dyDescent="0.15">
      <c r="A1560" s="16" t="s">
        <v>7436</v>
      </c>
      <c r="B1560" s="7" t="s">
        <v>9</v>
      </c>
      <c r="C1560" s="16" t="s">
        <v>40</v>
      </c>
      <c r="D1560" s="16" t="s">
        <v>41</v>
      </c>
      <c r="E1560" s="13" t="str">
        <f>+HYPERLINK("http://trademark.i-assist.jp/data/china/image_1891th/77583453.pdf","77583453")</f>
        <v>77583453</v>
      </c>
      <c r="F1560" s="16" t="s">
        <v>7434</v>
      </c>
      <c r="G1560" s="16" t="s">
        <v>7433</v>
      </c>
      <c r="H1560" s="16" t="s">
        <v>7435</v>
      </c>
      <c r="I1560" s="17">
        <v>45378</v>
      </c>
    </row>
    <row r="1561" spans="1:9" x14ac:dyDescent="0.15">
      <c r="A1561" s="16" t="s">
        <v>7440</v>
      </c>
      <c r="B1561" s="7" t="s">
        <v>9</v>
      </c>
      <c r="C1561" s="16" t="s">
        <v>40</v>
      </c>
      <c r="D1561" s="16" t="s">
        <v>41</v>
      </c>
      <c r="E1561" s="13" t="str">
        <f>+HYPERLINK("http://trademark.i-assist.jp/data/china/image_1891th/77583529.pdf","77583529")</f>
        <v>77583529</v>
      </c>
      <c r="F1561" s="16" t="s">
        <v>7438</v>
      </c>
      <c r="G1561" s="16" t="s">
        <v>7137</v>
      </c>
      <c r="H1561" s="16" t="s">
        <v>7439</v>
      </c>
      <c r="I1561" s="17">
        <v>45378</v>
      </c>
    </row>
    <row r="1562" spans="1:9" x14ac:dyDescent="0.15">
      <c r="A1562" s="16" t="s">
        <v>7444</v>
      </c>
      <c r="B1562" s="7" t="s">
        <v>9</v>
      </c>
      <c r="C1562" s="16" t="s">
        <v>40</v>
      </c>
      <c r="D1562" s="16" t="s">
        <v>41</v>
      </c>
      <c r="E1562" s="13" t="str">
        <f>+HYPERLINK("http://trademark.i-assist.jp/data/china/image_1891th/77583791.pdf","77583791")</f>
        <v>77583791</v>
      </c>
      <c r="F1562" s="16" t="s">
        <v>7442</v>
      </c>
      <c r="G1562" s="16" t="s">
        <v>359</v>
      </c>
      <c r="H1562" s="16" t="s">
        <v>7443</v>
      </c>
      <c r="I1562" s="17">
        <v>45378</v>
      </c>
    </row>
    <row r="1563" spans="1:9" x14ac:dyDescent="0.15">
      <c r="A1563" s="16" t="s">
        <v>7449</v>
      </c>
      <c r="B1563" s="7" t="s">
        <v>9</v>
      </c>
      <c r="C1563" s="16" t="s">
        <v>40</v>
      </c>
      <c r="D1563" s="16" t="s">
        <v>41</v>
      </c>
      <c r="E1563" s="13" t="str">
        <f>+HYPERLINK("http://trademark.i-assist.jp/data/china/image_1891th/77583817.pdf","77583817")</f>
        <v>77583817</v>
      </c>
      <c r="F1563" s="16" t="s">
        <v>7447</v>
      </c>
      <c r="G1563" s="16" t="s">
        <v>7446</v>
      </c>
      <c r="H1563" s="16" t="s">
        <v>7448</v>
      </c>
      <c r="I1563" s="17">
        <v>45378</v>
      </c>
    </row>
    <row r="1564" spans="1:9" x14ac:dyDescent="0.15">
      <c r="A1564" s="16" t="s">
        <v>7454</v>
      </c>
      <c r="B1564" s="7" t="s">
        <v>9</v>
      </c>
      <c r="C1564" s="16" t="s">
        <v>40</v>
      </c>
      <c r="D1564" s="16" t="s">
        <v>41</v>
      </c>
      <c r="E1564" s="13" t="str">
        <f>+HYPERLINK("http://trademark.i-assist.jp/data/china/image_1891th/77583885.pdf","77583885")</f>
        <v>77583885</v>
      </c>
      <c r="F1564" s="16" t="s">
        <v>7452</v>
      </c>
      <c r="G1564" s="16" t="s">
        <v>7451</v>
      </c>
      <c r="H1564" s="16" t="s">
        <v>7453</v>
      </c>
      <c r="I1564" s="17">
        <v>45378</v>
      </c>
    </row>
    <row r="1565" spans="1:9" x14ac:dyDescent="0.15">
      <c r="A1565" s="16" t="s">
        <v>7458</v>
      </c>
      <c r="B1565" s="7" t="s">
        <v>9</v>
      </c>
      <c r="C1565" s="16" t="s">
        <v>40</v>
      </c>
      <c r="D1565" s="16" t="s">
        <v>41</v>
      </c>
      <c r="E1565" s="13" t="str">
        <f>+HYPERLINK("http://trademark.i-assist.jp/data/china/image_1891th/77583911.pdf","77583911")</f>
        <v>77583911</v>
      </c>
      <c r="F1565" s="16" t="s">
        <v>52</v>
      </c>
      <c r="G1565" s="16" t="s">
        <v>7456</v>
      </c>
      <c r="H1565" s="16" t="s">
        <v>7457</v>
      </c>
      <c r="I1565" s="17">
        <v>45378</v>
      </c>
    </row>
    <row r="1566" spans="1:9" x14ac:dyDescent="0.15">
      <c r="A1566" s="16" t="s">
        <v>7463</v>
      </c>
      <c r="B1566" s="7" t="s">
        <v>9</v>
      </c>
      <c r="C1566" s="16" t="s">
        <v>40</v>
      </c>
      <c r="D1566" s="16" t="s">
        <v>41</v>
      </c>
      <c r="E1566" s="13" t="str">
        <f>+HYPERLINK("http://trademark.i-assist.jp/data/china/image_1891th/77584432.pdf","77584432")</f>
        <v>77584432</v>
      </c>
      <c r="F1566" s="16" t="s">
        <v>7461</v>
      </c>
      <c r="G1566" s="16" t="s">
        <v>7460</v>
      </c>
      <c r="H1566" s="16" t="s">
        <v>7462</v>
      </c>
      <c r="I1566" s="17">
        <v>45378</v>
      </c>
    </row>
    <row r="1567" spans="1:9" x14ac:dyDescent="0.15">
      <c r="A1567" s="16" t="s">
        <v>7467</v>
      </c>
      <c r="B1567" s="7" t="s">
        <v>9</v>
      </c>
      <c r="C1567" s="16" t="s">
        <v>40</v>
      </c>
      <c r="D1567" s="16" t="s">
        <v>41</v>
      </c>
      <c r="E1567" s="13" t="str">
        <f>+HYPERLINK("http://trademark.i-assist.jp/data/china/image_1891th/77584652.pdf","77584652")</f>
        <v>77584652</v>
      </c>
      <c r="F1567" s="16" t="s">
        <v>11111</v>
      </c>
      <c r="G1567" s="16" t="s">
        <v>343</v>
      </c>
      <c r="H1567" s="16" t="s">
        <v>7466</v>
      </c>
      <c r="I1567" s="17">
        <v>45378</v>
      </c>
    </row>
    <row r="1568" spans="1:9" x14ac:dyDescent="0.15">
      <c r="A1568" s="16" t="s">
        <v>7472</v>
      </c>
      <c r="B1568" s="7" t="s">
        <v>9</v>
      </c>
      <c r="C1568" s="16" t="s">
        <v>40</v>
      </c>
      <c r="D1568" s="16" t="s">
        <v>41</v>
      </c>
      <c r="E1568" s="13" t="str">
        <f>+HYPERLINK("http://trademark.i-assist.jp/data/china/image_1891th/77584728.pdf","77584728")</f>
        <v>77584728</v>
      </c>
      <c r="F1568" s="16" t="s">
        <v>7470</v>
      </c>
      <c r="G1568" s="16" t="s">
        <v>7469</v>
      </c>
      <c r="H1568" s="16" t="s">
        <v>7471</v>
      </c>
      <c r="I1568" s="17">
        <v>45378</v>
      </c>
    </row>
    <row r="1569" spans="1:9" x14ac:dyDescent="0.15">
      <c r="A1569" s="16" t="s">
        <v>7477</v>
      </c>
      <c r="B1569" s="7" t="s">
        <v>9</v>
      </c>
      <c r="C1569" s="16" t="s">
        <v>40</v>
      </c>
      <c r="D1569" s="16" t="s">
        <v>41</v>
      </c>
      <c r="E1569" s="13" t="str">
        <f>+HYPERLINK("http://trademark.i-assist.jp/data/china/image_1891th/77585169.pdf","77585169")</f>
        <v>77585169</v>
      </c>
      <c r="F1569" s="16" t="s">
        <v>7475</v>
      </c>
      <c r="G1569" s="16" t="s">
        <v>7474</v>
      </c>
      <c r="H1569" s="16" t="s">
        <v>7476</v>
      </c>
      <c r="I1569" s="17">
        <v>45378</v>
      </c>
    </row>
    <row r="1570" spans="1:9" x14ac:dyDescent="0.15">
      <c r="A1570" s="16" t="s">
        <v>7481</v>
      </c>
      <c r="B1570" s="7" t="s">
        <v>9</v>
      </c>
      <c r="C1570" s="16" t="s">
        <v>40</v>
      </c>
      <c r="D1570" s="16" t="s">
        <v>41</v>
      </c>
      <c r="E1570" s="13" t="str">
        <f>+HYPERLINK("http://trademark.i-assist.jp/data/china/image_1891th/77585172.pdf","77585172")</f>
        <v>77585172</v>
      </c>
      <c r="F1570" s="16" t="s">
        <v>52</v>
      </c>
      <c r="G1570" s="16" t="s">
        <v>7479</v>
      </c>
      <c r="H1570" s="16" t="s">
        <v>7480</v>
      </c>
      <c r="I1570" s="17">
        <v>45378</v>
      </c>
    </row>
    <row r="1571" spans="1:9" x14ac:dyDescent="0.15">
      <c r="A1571" s="16" t="s">
        <v>7486</v>
      </c>
      <c r="B1571" s="7" t="s">
        <v>9</v>
      </c>
      <c r="C1571" s="16" t="s">
        <v>40</v>
      </c>
      <c r="D1571" s="16" t="s">
        <v>41</v>
      </c>
      <c r="E1571" s="13" t="str">
        <f>+HYPERLINK("http://trademark.i-assist.jp/data/china/image_1891th/77585735.pdf","77585735")</f>
        <v>77585735</v>
      </c>
      <c r="F1571" s="16" t="s">
        <v>7484</v>
      </c>
      <c r="G1571" s="16" t="s">
        <v>7483</v>
      </c>
      <c r="H1571" s="16" t="s">
        <v>7485</v>
      </c>
      <c r="I1571" s="17">
        <v>45378</v>
      </c>
    </row>
    <row r="1572" spans="1:9" x14ac:dyDescent="0.15">
      <c r="A1572" s="16" t="s">
        <v>7491</v>
      </c>
      <c r="B1572" s="7" t="s">
        <v>9</v>
      </c>
      <c r="C1572" s="16" t="s">
        <v>40</v>
      </c>
      <c r="D1572" s="16" t="s">
        <v>41</v>
      </c>
      <c r="E1572" s="13" t="str">
        <f>+HYPERLINK("http://trademark.i-assist.jp/data/china/image_1891th/77585768.pdf","77585768")</f>
        <v>77585768</v>
      </c>
      <c r="F1572" s="16" t="s">
        <v>7489</v>
      </c>
      <c r="G1572" s="16" t="s">
        <v>7488</v>
      </c>
      <c r="H1572" s="16" t="s">
        <v>7490</v>
      </c>
      <c r="I1572" s="17">
        <v>45378</v>
      </c>
    </row>
    <row r="1573" spans="1:9" x14ac:dyDescent="0.15">
      <c r="A1573" s="16" t="s">
        <v>7496</v>
      </c>
      <c r="B1573" s="7" t="s">
        <v>9</v>
      </c>
      <c r="C1573" s="16" t="s">
        <v>40</v>
      </c>
      <c r="D1573" s="16" t="s">
        <v>41</v>
      </c>
      <c r="E1573" s="13" t="str">
        <f>+HYPERLINK("http://trademark.i-assist.jp/data/china/image_1891th/77585804.pdf","77585804")</f>
        <v>77585804</v>
      </c>
      <c r="F1573" s="16" t="s">
        <v>7494</v>
      </c>
      <c r="G1573" s="16" t="s">
        <v>7493</v>
      </c>
      <c r="H1573" s="16" t="s">
        <v>7495</v>
      </c>
      <c r="I1573" s="17">
        <v>45378</v>
      </c>
    </row>
    <row r="1574" spans="1:9" x14ac:dyDescent="0.15">
      <c r="A1574" s="16" t="s">
        <v>7501</v>
      </c>
      <c r="B1574" s="7" t="s">
        <v>9</v>
      </c>
      <c r="C1574" s="16" t="s">
        <v>40</v>
      </c>
      <c r="D1574" s="16" t="s">
        <v>41</v>
      </c>
      <c r="E1574" s="13" t="str">
        <f>+HYPERLINK("http://trademark.i-assist.jp/data/china/image_1891th/77585925.pdf","77585925")</f>
        <v>77585925</v>
      </c>
      <c r="F1574" s="16" t="s">
        <v>7499</v>
      </c>
      <c r="G1574" s="16" t="s">
        <v>7498</v>
      </c>
      <c r="H1574" s="16" t="s">
        <v>7500</v>
      </c>
      <c r="I1574" s="17">
        <v>45378</v>
      </c>
    </row>
    <row r="1575" spans="1:9" x14ac:dyDescent="0.15">
      <c r="A1575" s="16" t="s">
        <v>7506</v>
      </c>
      <c r="B1575" s="7" t="s">
        <v>9</v>
      </c>
      <c r="C1575" s="16" t="s">
        <v>40</v>
      </c>
      <c r="D1575" s="16" t="s">
        <v>41</v>
      </c>
      <c r="E1575" s="13" t="str">
        <f>+HYPERLINK("http://trademark.i-assist.jp/data/china/image_1891th/77586194.pdf","77586194")</f>
        <v>77586194</v>
      </c>
      <c r="F1575" s="16" t="s">
        <v>7504</v>
      </c>
      <c r="G1575" s="16" t="s">
        <v>7503</v>
      </c>
      <c r="H1575" s="16" t="s">
        <v>7505</v>
      </c>
      <c r="I1575" s="17">
        <v>45378</v>
      </c>
    </row>
    <row r="1576" spans="1:9" x14ac:dyDescent="0.15">
      <c r="A1576" s="16" t="s">
        <v>7511</v>
      </c>
      <c r="B1576" s="7" t="s">
        <v>9</v>
      </c>
      <c r="C1576" s="16" t="s">
        <v>40</v>
      </c>
      <c r="D1576" s="16" t="s">
        <v>41</v>
      </c>
      <c r="E1576" s="13" t="str">
        <f>+HYPERLINK("http://trademark.i-assist.jp/data/china/image_1891th/77586208.pdf","77586208")</f>
        <v>77586208</v>
      </c>
      <c r="F1576" s="16" t="s">
        <v>7509</v>
      </c>
      <c r="G1576" s="16" t="s">
        <v>11139</v>
      </c>
      <c r="H1576" s="16" t="s">
        <v>7510</v>
      </c>
      <c r="I1576" s="17">
        <v>45378</v>
      </c>
    </row>
    <row r="1577" spans="1:9" x14ac:dyDescent="0.15">
      <c r="A1577" s="16" t="s">
        <v>7516</v>
      </c>
      <c r="B1577" s="7" t="s">
        <v>9</v>
      </c>
      <c r="C1577" s="16" t="s">
        <v>40</v>
      </c>
      <c r="D1577" s="16" t="s">
        <v>41</v>
      </c>
      <c r="E1577" s="13" t="str">
        <f>+HYPERLINK("http://trademark.i-assist.jp/data/china/image_1891th/77586578.pdf","77586578")</f>
        <v>77586578</v>
      </c>
      <c r="F1577" s="16" t="s">
        <v>7514</v>
      </c>
      <c r="G1577" s="16" t="s">
        <v>7513</v>
      </c>
      <c r="H1577" s="16" t="s">
        <v>7515</v>
      </c>
      <c r="I1577" s="17">
        <v>45378</v>
      </c>
    </row>
    <row r="1578" spans="1:9" x14ac:dyDescent="0.15">
      <c r="A1578" s="16" t="s">
        <v>7520</v>
      </c>
      <c r="B1578" s="7" t="s">
        <v>9</v>
      </c>
      <c r="C1578" s="16" t="s">
        <v>40</v>
      </c>
      <c r="D1578" s="16" t="s">
        <v>41</v>
      </c>
      <c r="E1578" s="13" t="str">
        <f>+HYPERLINK("http://trademark.i-assist.jp/data/china/image_1891th/77586656.pdf","77586656")</f>
        <v>77586656</v>
      </c>
      <c r="F1578" s="16" t="s">
        <v>7518</v>
      </c>
      <c r="G1578" s="16" t="s">
        <v>7241</v>
      </c>
      <c r="H1578" s="16" t="s">
        <v>7519</v>
      </c>
      <c r="I1578" s="17">
        <v>45378</v>
      </c>
    </row>
    <row r="1579" spans="1:9" x14ac:dyDescent="0.15">
      <c r="A1579" s="16" t="s">
        <v>7525</v>
      </c>
      <c r="B1579" s="7" t="s">
        <v>9</v>
      </c>
      <c r="C1579" s="16" t="s">
        <v>40</v>
      </c>
      <c r="D1579" s="16" t="s">
        <v>41</v>
      </c>
      <c r="E1579" s="13" t="str">
        <f>+HYPERLINK("http://trademark.i-assist.jp/data/china/image_1891th/77586710.pdf","77586710")</f>
        <v>77586710</v>
      </c>
      <c r="F1579" s="16" t="s">
        <v>7523</v>
      </c>
      <c r="G1579" s="16" t="s">
        <v>7522</v>
      </c>
      <c r="H1579" s="16" t="s">
        <v>7524</v>
      </c>
      <c r="I1579" s="17">
        <v>45378</v>
      </c>
    </row>
    <row r="1580" spans="1:9" x14ac:dyDescent="0.15">
      <c r="A1580" s="16" t="s">
        <v>7530</v>
      </c>
      <c r="B1580" s="7" t="s">
        <v>9</v>
      </c>
      <c r="C1580" s="16" t="s">
        <v>40</v>
      </c>
      <c r="D1580" s="16" t="s">
        <v>41</v>
      </c>
      <c r="E1580" s="13" t="str">
        <f>+HYPERLINK("http://trademark.i-assist.jp/data/china/image_1891th/77586856.pdf","77586856")</f>
        <v>77586856</v>
      </c>
      <c r="F1580" s="16" t="s">
        <v>7528</v>
      </c>
      <c r="G1580" s="16" t="s">
        <v>7527</v>
      </c>
      <c r="H1580" s="16" t="s">
        <v>7529</v>
      </c>
      <c r="I1580" s="17">
        <v>45378</v>
      </c>
    </row>
    <row r="1581" spans="1:9" x14ac:dyDescent="0.15">
      <c r="A1581" s="16" t="s">
        <v>7535</v>
      </c>
      <c r="B1581" s="7" t="s">
        <v>9</v>
      </c>
      <c r="C1581" s="16" t="s">
        <v>40</v>
      </c>
      <c r="D1581" s="16" t="s">
        <v>41</v>
      </c>
      <c r="E1581" s="13" t="str">
        <f>+HYPERLINK("http://trademark.i-assist.jp/data/china/image_1891th/77587023.pdf","77587023")</f>
        <v>77587023</v>
      </c>
      <c r="F1581" s="16" t="s">
        <v>7533</v>
      </c>
      <c r="G1581" s="16" t="s">
        <v>7532</v>
      </c>
      <c r="H1581" s="16" t="s">
        <v>7534</v>
      </c>
      <c r="I1581" s="17">
        <v>45378</v>
      </c>
    </row>
    <row r="1582" spans="1:9" x14ac:dyDescent="0.15">
      <c r="A1582" s="16" t="s">
        <v>7539</v>
      </c>
      <c r="B1582" s="7" t="s">
        <v>9</v>
      </c>
      <c r="C1582" s="16" t="s">
        <v>40</v>
      </c>
      <c r="D1582" s="16" t="s">
        <v>41</v>
      </c>
      <c r="E1582" s="13" t="str">
        <f>+HYPERLINK("http://trademark.i-assist.jp/data/china/image_1891th/77587041.pdf","77587041")</f>
        <v>77587041</v>
      </c>
      <c r="F1582" s="16" t="s">
        <v>52</v>
      </c>
      <c r="G1582" s="16" t="s">
        <v>7537</v>
      </c>
      <c r="H1582" s="16" t="s">
        <v>7538</v>
      </c>
      <c r="I1582" s="17">
        <v>45378</v>
      </c>
    </row>
    <row r="1583" spans="1:9" x14ac:dyDescent="0.15">
      <c r="A1583" s="16" t="s">
        <v>7543</v>
      </c>
      <c r="B1583" s="7" t="s">
        <v>9</v>
      </c>
      <c r="C1583" s="16" t="s">
        <v>40</v>
      </c>
      <c r="D1583" s="16" t="s">
        <v>41</v>
      </c>
      <c r="E1583" s="13" t="str">
        <f>+HYPERLINK("http://trademark.i-assist.jp/data/china/image_1891th/77587264.pdf","77587264")</f>
        <v>77587264</v>
      </c>
      <c r="F1583" s="16" t="s">
        <v>52</v>
      </c>
      <c r="G1583" s="16" t="s">
        <v>7541</v>
      </c>
      <c r="H1583" s="16" t="s">
        <v>7542</v>
      </c>
      <c r="I1583" s="17">
        <v>45378</v>
      </c>
    </row>
    <row r="1584" spans="1:9" x14ac:dyDescent="0.15">
      <c r="A1584" s="16" t="s">
        <v>7547</v>
      </c>
      <c r="B1584" s="7" t="s">
        <v>9</v>
      </c>
      <c r="C1584" s="16" t="s">
        <v>40</v>
      </c>
      <c r="D1584" s="16" t="s">
        <v>41</v>
      </c>
      <c r="E1584" s="13" t="str">
        <f>+HYPERLINK("http://trademark.i-assist.jp/data/china/image_1891th/77587352.pdf","77587352")</f>
        <v>77587352</v>
      </c>
      <c r="F1584" s="16" t="s">
        <v>7545</v>
      </c>
      <c r="G1584" s="16" t="s">
        <v>2056</v>
      </c>
      <c r="H1584" s="16" t="s">
        <v>7546</v>
      </c>
      <c r="I1584" s="17">
        <v>45378</v>
      </c>
    </row>
    <row r="1585" spans="1:9" x14ac:dyDescent="0.15">
      <c r="A1585" s="16" t="s">
        <v>7551</v>
      </c>
      <c r="B1585" s="7" t="s">
        <v>9</v>
      </c>
      <c r="C1585" s="16" t="s">
        <v>40</v>
      </c>
      <c r="D1585" s="16" t="s">
        <v>41</v>
      </c>
      <c r="E1585" s="13" t="str">
        <f>+HYPERLINK("http://trademark.i-assist.jp/data/china/image_1891th/77587382.pdf","77587382")</f>
        <v>77587382</v>
      </c>
      <c r="F1585" s="16" t="s">
        <v>7549</v>
      </c>
      <c r="G1585" s="16" t="s">
        <v>2041</v>
      </c>
      <c r="H1585" s="16" t="s">
        <v>7550</v>
      </c>
      <c r="I1585" s="17">
        <v>45378</v>
      </c>
    </row>
    <row r="1586" spans="1:9" x14ac:dyDescent="0.15">
      <c r="A1586" s="16" t="s">
        <v>7556</v>
      </c>
      <c r="B1586" s="7" t="s">
        <v>9</v>
      </c>
      <c r="C1586" s="16" t="s">
        <v>40</v>
      </c>
      <c r="D1586" s="16" t="s">
        <v>41</v>
      </c>
      <c r="E1586" s="13" t="str">
        <f>+HYPERLINK("http://trademark.i-assist.jp/data/china/image_1891th/77587409.pdf","77587409")</f>
        <v>77587409</v>
      </c>
      <c r="F1586" s="16" t="s">
        <v>7554</v>
      </c>
      <c r="G1586" s="16" t="s">
        <v>7553</v>
      </c>
      <c r="H1586" s="16" t="s">
        <v>7555</v>
      </c>
      <c r="I1586" s="17">
        <v>45378</v>
      </c>
    </row>
    <row r="1587" spans="1:9" x14ac:dyDescent="0.15">
      <c r="A1587" s="16" t="s">
        <v>7561</v>
      </c>
      <c r="B1587" s="7" t="s">
        <v>9</v>
      </c>
      <c r="C1587" s="16" t="s">
        <v>40</v>
      </c>
      <c r="D1587" s="16" t="s">
        <v>41</v>
      </c>
      <c r="E1587" s="13" t="str">
        <f>+HYPERLINK("http://trademark.i-assist.jp/data/china/image_1891th/77587796.pdf","77587796")</f>
        <v>77587796</v>
      </c>
      <c r="F1587" s="16" t="s">
        <v>7559</v>
      </c>
      <c r="G1587" s="16" t="s">
        <v>7558</v>
      </c>
      <c r="H1587" s="16" t="s">
        <v>7560</v>
      </c>
      <c r="I1587" s="17">
        <v>45378</v>
      </c>
    </row>
    <row r="1588" spans="1:9" x14ac:dyDescent="0.15">
      <c r="A1588" s="16" t="s">
        <v>7566</v>
      </c>
      <c r="B1588" s="7" t="s">
        <v>9</v>
      </c>
      <c r="C1588" s="16" t="s">
        <v>40</v>
      </c>
      <c r="D1588" s="16" t="s">
        <v>41</v>
      </c>
      <c r="E1588" s="13" t="str">
        <f>+HYPERLINK("http://trademark.i-assist.jp/data/china/image_1891th/77587913.pdf","77587913")</f>
        <v>77587913</v>
      </c>
      <c r="F1588" s="16" t="s">
        <v>7564</v>
      </c>
      <c r="G1588" s="16" t="s">
        <v>7563</v>
      </c>
      <c r="H1588" s="16" t="s">
        <v>7565</v>
      </c>
      <c r="I1588" s="17">
        <v>45378</v>
      </c>
    </row>
    <row r="1589" spans="1:9" x14ac:dyDescent="0.15">
      <c r="A1589" s="16" t="s">
        <v>7571</v>
      </c>
      <c r="B1589" s="7" t="s">
        <v>9</v>
      </c>
      <c r="C1589" s="16" t="s">
        <v>40</v>
      </c>
      <c r="D1589" s="16" t="s">
        <v>41</v>
      </c>
      <c r="E1589" s="13" t="str">
        <f>+HYPERLINK("http://trademark.i-assist.jp/data/china/image_1891th/77588002.pdf","77588002")</f>
        <v>77588002</v>
      </c>
      <c r="F1589" s="16" t="s">
        <v>7569</v>
      </c>
      <c r="G1589" s="16" t="s">
        <v>7568</v>
      </c>
      <c r="H1589" s="16" t="s">
        <v>7570</v>
      </c>
      <c r="I1589" s="17">
        <v>45378</v>
      </c>
    </row>
    <row r="1590" spans="1:9" x14ac:dyDescent="0.15">
      <c r="A1590" s="16" t="s">
        <v>7575</v>
      </c>
      <c r="B1590" s="7" t="s">
        <v>9</v>
      </c>
      <c r="C1590" s="16" t="s">
        <v>40</v>
      </c>
      <c r="D1590" s="16" t="s">
        <v>41</v>
      </c>
      <c r="E1590" s="13" t="str">
        <f>+HYPERLINK("http://trademark.i-assist.jp/data/china/image_1891th/77588425.pdf","77588425")</f>
        <v>77588425</v>
      </c>
      <c r="F1590" s="16" t="s">
        <v>7573</v>
      </c>
      <c r="G1590" s="16" t="s">
        <v>359</v>
      </c>
      <c r="H1590" s="16" t="s">
        <v>7574</v>
      </c>
      <c r="I1590" s="17">
        <v>45378</v>
      </c>
    </row>
    <row r="1591" spans="1:9" x14ac:dyDescent="0.15">
      <c r="A1591" s="16" t="s">
        <v>7579</v>
      </c>
      <c r="B1591" s="7" t="s">
        <v>9</v>
      </c>
      <c r="C1591" s="16" t="s">
        <v>40</v>
      </c>
      <c r="D1591" s="16" t="s">
        <v>41</v>
      </c>
      <c r="E1591" s="13" t="str">
        <f>+HYPERLINK("http://trademark.i-assist.jp/data/china/image_1891th/77588440.pdf","77588440")</f>
        <v>77588440</v>
      </c>
      <c r="F1591" s="16" t="s">
        <v>7577</v>
      </c>
      <c r="G1591" s="16" t="s">
        <v>359</v>
      </c>
      <c r="H1591" s="16" t="s">
        <v>7578</v>
      </c>
      <c r="I1591" s="17">
        <v>45378</v>
      </c>
    </row>
    <row r="1592" spans="1:9" x14ac:dyDescent="0.15">
      <c r="A1592" s="16" t="s">
        <v>7584</v>
      </c>
      <c r="B1592" s="7" t="s">
        <v>9</v>
      </c>
      <c r="C1592" s="16" t="s">
        <v>40</v>
      </c>
      <c r="D1592" s="16" t="s">
        <v>41</v>
      </c>
      <c r="E1592" s="13" t="str">
        <f>+HYPERLINK("http://trademark.i-assist.jp/data/china/image_1891th/77588590.pdf","77588590")</f>
        <v>77588590</v>
      </c>
      <c r="F1592" s="16" t="s">
        <v>7582</v>
      </c>
      <c r="G1592" s="16" t="s">
        <v>7581</v>
      </c>
      <c r="H1592" s="16" t="s">
        <v>7583</v>
      </c>
      <c r="I1592" s="17">
        <v>45378</v>
      </c>
    </row>
    <row r="1593" spans="1:9" x14ac:dyDescent="0.15">
      <c r="A1593" s="16" t="s">
        <v>7589</v>
      </c>
      <c r="B1593" s="7" t="s">
        <v>9</v>
      </c>
      <c r="C1593" s="16" t="s">
        <v>40</v>
      </c>
      <c r="D1593" s="16" t="s">
        <v>41</v>
      </c>
      <c r="E1593" s="13" t="str">
        <f>+HYPERLINK("http://trademark.i-assist.jp/data/china/image_1891th/77588747.pdf","77588747")</f>
        <v>77588747</v>
      </c>
      <c r="F1593" s="16" t="s">
        <v>7587</v>
      </c>
      <c r="G1593" s="16" t="s">
        <v>7586</v>
      </c>
      <c r="H1593" s="16" t="s">
        <v>7588</v>
      </c>
      <c r="I1593" s="17">
        <v>45378</v>
      </c>
    </row>
    <row r="1594" spans="1:9" x14ac:dyDescent="0.15">
      <c r="A1594" s="16" t="s">
        <v>7594</v>
      </c>
      <c r="B1594" s="7" t="s">
        <v>9</v>
      </c>
      <c r="C1594" s="16" t="s">
        <v>40</v>
      </c>
      <c r="D1594" s="16" t="s">
        <v>41</v>
      </c>
      <c r="E1594" s="13" t="str">
        <f>+HYPERLINK("http://trademark.i-assist.jp/data/china/image_1891th/77588749.pdf","77588749")</f>
        <v>77588749</v>
      </c>
      <c r="F1594" s="16" t="s">
        <v>7592</v>
      </c>
      <c r="G1594" s="16" t="s">
        <v>7591</v>
      </c>
      <c r="H1594" s="16" t="s">
        <v>7593</v>
      </c>
      <c r="I1594" s="17">
        <v>45378</v>
      </c>
    </row>
    <row r="1595" spans="1:9" x14ac:dyDescent="0.15">
      <c r="A1595" s="16" t="s">
        <v>7599</v>
      </c>
      <c r="B1595" s="7" t="s">
        <v>9</v>
      </c>
      <c r="C1595" s="16" t="s">
        <v>40</v>
      </c>
      <c r="D1595" s="16" t="s">
        <v>41</v>
      </c>
      <c r="E1595" s="13" t="str">
        <f>+HYPERLINK("http://trademark.i-assist.jp/data/china/image_1891th/77588794.pdf","77588794")</f>
        <v>77588794</v>
      </c>
      <c r="F1595" s="16" t="s">
        <v>7597</v>
      </c>
      <c r="G1595" s="16" t="s">
        <v>7596</v>
      </c>
      <c r="H1595" s="16" t="s">
        <v>7598</v>
      </c>
      <c r="I1595" s="17">
        <v>45378</v>
      </c>
    </row>
    <row r="1596" spans="1:9" x14ac:dyDescent="0.15">
      <c r="A1596" s="16" t="s">
        <v>7604</v>
      </c>
      <c r="B1596" s="7" t="s">
        <v>9</v>
      </c>
      <c r="C1596" s="16" t="s">
        <v>40</v>
      </c>
      <c r="D1596" s="16" t="s">
        <v>41</v>
      </c>
      <c r="E1596" s="13" t="str">
        <f>+HYPERLINK("http://trademark.i-assist.jp/data/china/image_1891th/77588874.pdf","77588874")</f>
        <v>77588874</v>
      </c>
      <c r="F1596" s="16" t="s">
        <v>7602</v>
      </c>
      <c r="G1596" s="16" t="s">
        <v>7601</v>
      </c>
      <c r="H1596" s="16" t="s">
        <v>7603</v>
      </c>
      <c r="I1596" s="17">
        <v>45378</v>
      </c>
    </row>
    <row r="1597" spans="1:9" x14ac:dyDescent="0.15">
      <c r="A1597" s="16" t="s">
        <v>7609</v>
      </c>
      <c r="B1597" s="7" t="s">
        <v>9</v>
      </c>
      <c r="C1597" s="16" t="s">
        <v>40</v>
      </c>
      <c r="D1597" s="16" t="s">
        <v>41</v>
      </c>
      <c r="E1597" s="13" t="str">
        <f>+HYPERLINK("http://trademark.i-assist.jp/data/china/image_1891th/77588954.pdf","77588954")</f>
        <v>77588954</v>
      </c>
      <c r="F1597" s="16" t="s">
        <v>7607</v>
      </c>
      <c r="G1597" s="16" t="s">
        <v>7606</v>
      </c>
      <c r="H1597" s="16" t="s">
        <v>7608</v>
      </c>
      <c r="I1597" s="17">
        <v>45378</v>
      </c>
    </row>
    <row r="1598" spans="1:9" x14ac:dyDescent="0.15">
      <c r="A1598" s="16" t="s">
        <v>7613</v>
      </c>
      <c r="B1598" s="7" t="s">
        <v>9</v>
      </c>
      <c r="C1598" s="16" t="s">
        <v>40</v>
      </c>
      <c r="D1598" s="16" t="s">
        <v>41</v>
      </c>
      <c r="E1598" s="13" t="str">
        <f>+HYPERLINK("http://trademark.i-assist.jp/data/china/image_1891th/77589079.pdf","77589079")</f>
        <v>77589079</v>
      </c>
      <c r="F1598" s="16" t="s">
        <v>7611</v>
      </c>
      <c r="G1598" s="16" t="s">
        <v>7460</v>
      </c>
      <c r="H1598" s="16" t="s">
        <v>7612</v>
      </c>
      <c r="I1598" s="17">
        <v>45378</v>
      </c>
    </row>
    <row r="1599" spans="1:9" x14ac:dyDescent="0.15">
      <c r="A1599" s="16" t="s">
        <v>7617</v>
      </c>
      <c r="B1599" s="7" t="s">
        <v>9</v>
      </c>
      <c r="C1599" s="16" t="s">
        <v>40</v>
      </c>
      <c r="D1599" s="16" t="s">
        <v>41</v>
      </c>
      <c r="E1599" s="13" t="str">
        <f>+HYPERLINK("http://trademark.i-assist.jp/data/china/image_1891th/77589093.pdf","77589093")</f>
        <v>77589093</v>
      </c>
      <c r="F1599" s="16" t="s">
        <v>7615</v>
      </c>
      <c r="G1599" s="16" t="s">
        <v>7290</v>
      </c>
      <c r="H1599" s="16" t="s">
        <v>7616</v>
      </c>
      <c r="I1599" s="17">
        <v>45378</v>
      </c>
    </row>
    <row r="1600" spans="1:9" x14ac:dyDescent="0.15">
      <c r="A1600" s="16" t="s">
        <v>7621</v>
      </c>
      <c r="B1600" s="7" t="s">
        <v>9</v>
      </c>
      <c r="C1600" s="16" t="s">
        <v>40</v>
      </c>
      <c r="D1600" s="16" t="s">
        <v>41</v>
      </c>
      <c r="E1600" s="13" t="str">
        <f>+HYPERLINK("http://trademark.i-assist.jp/data/china/image_1891th/77589550.pdf","77589550")</f>
        <v>77589550</v>
      </c>
      <c r="F1600" s="16" t="s">
        <v>7619</v>
      </c>
      <c r="G1600" s="16" t="s">
        <v>2046</v>
      </c>
      <c r="H1600" s="16" t="s">
        <v>7620</v>
      </c>
      <c r="I1600" s="17">
        <v>45378</v>
      </c>
    </row>
    <row r="1601" spans="1:9" x14ac:dyDescent="0.15">
      <c r="A1601" s="16" t="s">
        <v>7626</v>
      </c>
      <c r="B1601" s="7" t="s">
        <v>9</v>
      </c>
      <c r="C1601" s="16" t="s">
        <v>40</v>
      </c>
      <c r="D1601" s="16" t="s">
        <v>41</v>
      </c>
      <c r="E1601" s="13" t="str">
        <f>+HYPERLINK("http://trademark.i-assist.jp/data/china/image_1891th/77589687.pdf","77589687")</f>
        <v>77589687</v>
      </c>
      <c r="F1601" s="16" t="s">
        <v>7624</v>
      </c>
      <c r="G1601" s="16" t="s">
        <v>7623</v>
      </c>
      <c r="H1601" s="16" t="s">
        <v>7625</v>
      </c>
      <c r="I1601" s="17">
        <v>45378</v>
      </c>
    </row>
    <row r="1602" spans="1:9" x14ac:dyDescent="0.15">
      <c r="A1602" s="16" t="s">
        <v>7631</v>
      </c>
      <c r="B1602" s="7" t="s">
        <v>9</v>
      </c>
      <c r="C1602" s="16" t="s">
        <v>40</v>
      </c>
      <c r="D1602" s="16" t="s">
        <v>41</v>
      </c>
      <c r="E1602" s="13" t="str">
        <f>+HYPERLINK("http://trademark.i-assist.jp/data/china/image_1891th/77589782.pdf","77589782")</f>
        <v>77589782</v>
      </c>
      <c r="F1602" s="16" t="s">
        <v>7629</v>
      </c>
      <c r="G1602" s="16" t="s">
        <v>7628</v>
      </c>
      <c r="H1602" s="16" t="s">
        <v>7630</v>
      </c>
      <c r="I1602" s="17">
        <v>45378</v>
      </c>
    </row>
    <row r="1603" spans="1:9" x14ac:dyDescent="0.15">
      <c r="A1603" s="16" t="s">
        <v>1897</v>
      </c>
      <c r="B1603" s="7" t="s">
        <v>9</v>
      </c>
      <c r="C1603" s="16" t="s">
        <v>40</v>
      </c>
      <c r="D1603" s="16" t="s">
        <v>41</v>
      </c>
      <c r="E1603" s="13" t="str">
        <f>+HYPERLINK("http://trademark.i-assist.jp/data/china/image_1891th/77589919.pdf","77589919")</f>
        <v>77589919</v>
      </c>
      <c r="F1603" s="16" t="s">
        <v>7634</v>
      </c>
      <c r="G1603" s="16" t="s">
        <v>7633</v>
      </c>
      <c r="H1603" s="16" t="s">
        <v>7635</v>
      </c>
      <c r="I1603" s="17">
        <v>45378</v>
      </c>
    </row>
    <row r="1604" spans="1:9" x14ac:dyDescent="0.15">
      <c r="A1604" s="16" t="s">
        <v>1902</v>
      </c>
      <c r="B1604" s="7" t="s">
        <v>9</v>
      </c>
      <c r="C1604" s="16" t="s">
        <v>40</v>
      </c>
      <c r="D1604" s="16" t="s">
        <v>41</v>
      </c>
      <c r="E1604" s="13" t="str">
        <f>+HYPERLINK("http://trademark.i-assist.jp/data/china/image_1891th/77589932.pdf","77589932")</f>
        <v>77589932</v>
      </c>
      <c r="F1604" s="16" t="s">
        <v>1900</v>
      </c>
      <c r="G1604" s="16" t="s">
        <v>1899</v>
      </c>
      <c r="H1604" s="16" t="s">
        <v>1901</v>
      </c>
      <c r="I1604" s="17">
        <v>45378</v>
      </c>
    </row>
    <row r="1605" spans="1:9" x14ac:dyDescent="0.15">
      <c r="A1605" s="16" t="s">
        <v>1907</v>
      </c>
      <c r="B1605" s="7" t="s">
        <v>9</v>
      </c>
      <c r="C1605" s="16" t="s">
        <v>40</v>
      </c>
      <c r="D1605" s="16" t="s">
        <v>41</v>
      </c>
      <c r="E1605" s="13" t="str">
        <f>+HYPERLINK("http://trademark.i-assist.jp/data/china/image_1891th/77589951.pdf","77589951")</f>
        <v>77589951</v>
      </c>
      <c r="F1605" s="16" t="s">
        <v>1905</v>
      </c>
      <c r="G1605" s="16" t="s">
        <v>1904</v>
      </c>
      <c r="H1605" s="16" t="s">
        <v>1906</v>
      </c>
      <c r="I1605" s="17">
        <v>45378</v>
      </c>
    </row>
    <row r="1606" spans="1:9" x14ac:dyDescent="0.15">
      <c r="A1606" s="16" t="s">
        <v>1912</v>
      </c>
      <c r="B1606" s="7" t="s">
        <v>9</v>
      </c>
      <c r="C1606" s="16" t="s">
        <v>40</v>
      </c>
      <c r="D1606" s="16" t="s">
        <v>41</v>
      </c>
      <c r="E1606" s="13" t="str">
        <f>+HYPERLINK("http://trademark.i-assist.jp/data/china/image_1891th/77589952.pdf","77589952")</f>
        <v>77589952</v>
      </c>
      <c r="F1606" s="16" t="s">
        <v>1910</v>
      </c>
      <c r="G1606" s="16" t="s">
        <v>1909</v>
      </c>
      <c r="H1606" s="16" t="s">
        <v>1911</v>
      </c>
      <c r="I1606" s="17">
        <v>45378</v>
      </c>
    </row>
    <row r="1607" spans="1:9" x14ac:dyDescent="0.15">
      <c r="A1607" s="16" t="s">
        <v>1917</v>
      </c>
      <c r="B1607" s="7" t="s">
        <v>9</v>
      </c>
      <c r="C1607" s="16" t="s">
        <v>40</v>
      </c>
      <c r="D1607" s="16" t="s">
        <v>41</v>
      </c>
      <c r="E1607" s="13" t="str">
        <f>+HYPERLINK("http://trademark.i-assist.jp/data/china/image_1891th/77589987.pdf","77589987")</f>
        <v>77589987</v>
      </c>
      <c r="F1607" s="16" t="s">
        <v>1915</v>
      </c>
      <c r="G1607" s="16" t="s">
        <v>1914</v>
      </c>
      <c r="H1607" s="16" t="s">
        <v>1916</v>
      </c>
      <c r="I1607" s="17">
        <v>45378</v>
      </c>
    </row>
    <row r="1608" spans="1:9" x14ac:dyDescent="0.15">
      <c r="A1608" s="16" t="s">
        <v>1922</v>
      </c>
      <c r="B1608" s="7" t="s">
        <v>9</v>
      </c>
      <c r="C1608" s="16" t="s">
        <v>40</v>
      </c>
      <c r="D1608" s="16" t="s">
        <v>41</v>
      </c>
      <c r="E1608" s="13" t="str">
        <f>+HYPERLINK("http://trademark.i-assist.jp/data/china/image_1891th/77590087.pdf","77590087")</f>
        <v>77590087</v>
      </c>
      <c r="F1608" s="16" t="s">
        <v>1920</v>
      </c>
      <c r="G1608" s="16" t="s">
        <v>1919</v>
      </c>
      <c r="H1608" s="16" t="s">
        <v>1921</v>
      </c>
      <c r="I1608" s="17">
        <v>45378</v>
      </c>
    </row>
    <row r="1609" spans="1:9" x14ac:dyDescent="0.15">
      <c r="A1609" s="16" t="s">
        <v>1927</v>
      </c>
      <c r="B1609" s="7" t="s">
        <v>9</v>
      </c>
      <c r="C1609" s="16" t="s">
        <v>40</v>
      </c>
      <c r="D1609" s="16" t="s">
        <v>41</v>
      </c>
      <c r="E1609" s="13" t="str">
        <f>+HYPERLINK("http://trademark.i-assist.jp/data/china/image_1891th/77590544.pdf","77590544")</f>
        <v>77590544</v>
      </c>
      <c r="F1609" s="16" t="s">
        <v>1925</v>
      </c>
      <c r="G1609" s="16" t="s">
        <v>1924</v>
      </c>
      <c r="H1609" s="16" t="s">
        <v>1926</v>
      </c>
      <c r="I1609" s="17">
        <v>45378</v>
      </c>
    </row>
    <row r="1610" spans="1:9" x14ac:dyDescent="0.15">
      <c r="A1610" s="16" t="s">
        <v>6547</v>
      </c>
      <c r="B1610" s="7" t="s">
        <v>9</v>
      </c>
      <c r="C1610" s="16" t="s">
        <v>40</v>
      </c>
      <c r="D1610" s="16" t="s">
        <v>41</v>
      </c>
      <c r="E1610" s="13" t="str">
        <f>+HYPERLINK("http://trademark.i-assist.jp/data/china/image_1891th/77590877.pdf","77590877")</f>
        <v>77590877</v>
      </c>
      <c r="F1610" s="16" t="s">
        <v>1929</v>
      </c>
      <c r="G1610" s="16" t="s">
        <v>359</v>
      </c>
      <c r="H1610" s="16" t="s">
        <v>1930</v>
      </c>
      <c r="I1610" s="17">
        <v>45378</v>
      </c>
    </row>
    <row r="1611" spans="1:9" x14ac:dyDescent="0.15">
      <c r="A1611" s="16" t="s">
        <v>6552</v>
      </c>
      <c r="B1611" s="7" t="s">
        <v>9</v>
      </c>
      <c r="C1611" s="16" t="s">
        <v>40</v>
      </c>
      <c r="D1611" s="16" t="s">
        <v>41</v>
      </c>
      <c r="E1611" s="13" t="str">
        <f>+HYPERLINK("http://trademark.i-assist.jp/data/china/image_1891th/77590965.pdf","77590965")</f>
        <v>77590965</v>
      </c>
      <c r="F1611" s="16" t="s">
        <v>6550</v>
      </c>
      <c r="G1611" s="16" t="s">
        <v>6549</v>
      </c>
      <c r="H1611" s="16" t="s">
        <v>6551</v>
      </c>
      <c r="I1611" s="17">
        <v>45378</v>
      </c>
    </row>
    <row r="1612" spans="1:9" x14ac:dyDescent="0.15">
      <c r="A1612" s="16" t="s">
        <v>6556</v>
      </c>
      <c r="B1612" s="7" t="s">
        <v>9</v>
      </c>
      <c r="C1612" s="16" t="s">
        <v>40</v>
      </c>
      <c r="D1612" s="16" t="s">
        <v>41</v>
      </c>
      <c r="E1612" s="13" t="str">
        <f>+HYPERLINK("http://trademark.i-assist.jp/data/china/image_1891th/77591145.pdf","77591145")</f>
        <v>77591145</v>
      </c>
      <c r="F1612" s="16" t="s">
        <v>6554</v>
      </c>
      <c r="G1612" s="16" t="s">
        <v>2850</v>
      </c>
      <c r="H1612" s="16" t="s">
        <v>6555</v>
      </c>
      <c r="I1612" s="17">
        <v>45378</v>
      </c>
    </row>
    <row r="1613" spans="1:9" x14ac:dyDescent="0.15">
      <c r="A1613" s="16" t="s">
        <v>6561</v>
      </c>
      <c r="B1613" s="7" t="s">
        <v>9</v>
      </c>
      <c r="C1613" s="16" t="s">
        <v>40</v>
      </c>
      <c r="D1613" s="16" t="s">
        <v>41</v>
      </c>
      <c r="E1613" s="13" t="str">
        <f>+HYPERLINK("http://trademark.i-assist.jp/data/china/image_1891th/77591303.pdf","77591303")</f>
        <v>77591303</v>
      </c>
      <c r="F1613" s="16" t="s">
        <v>6559</v>
      </c>
      <c r="G1613" s="16" t="s">
        <v>6558</v>
      </c>
      <c r="H1613" s="16" t="s">
        <v>6560</v>
      </c>
      <c r="I1613" s="17">
        <v>45378</v>
      </c>
    </row>
    <row r="1614" spans="1:9" x14ac:dyDescent="0.15">
      <c r="A1614" s="16" t="s">
        <v>6566</v>
      </c>
      <c r="B1614" s="7" t="s">
        <v>9</v>
      </c>
      <c r="C1614" s="16" t="s">
        <v>40</v>
      </c>
      <c r="D1614" s="16" t="s">
        <v>41</v>
      </c>
      <c r="E1614" s="13" t="str">
        <f>+HYPERLINK("http://trademark.i-assist.jp/data/china/image_1891th/77591353.pdf","77591353")</f>
        <v>77591353</v>
      </c>
      <c r="F1614" s="16" t="s">
        <v>6564</v>
      </c>
      <c r="G1614" s="16" t="s">
        <v>6563</v>
      </c>
      <c r="H1614" s="16" t="s">
        <v>6565</v>
      </c>
      <c r="I1614" s="17">
        <v>45378</v>
      </c>
    </row>
    <row r="1615" spans="1:9" x14ac:dyDescent="0.15">
      <c r="A1615" s="16" t="s">
        <v>6571</v>
      </c>
      <c r="B1615" s="7" t="s">
        <v>9</v>
      </c>
      <c r="C1615" s="16" t="s">
        <v>40</v>
      </c>
      <c r="D1615" s="16" t="s">
        <v>41</v>
      </c>
      <c r="E1615" s="13" t="str">
        <f>+HYPERLINK("http://trademark.i-assist.jp/data/china/image_1891th/77591641.pdf","77591641")</f>
        <v>77591641</v>
      </c>
      <c r="F1615" s="16" t="s">
        <v>6569</v>
      </c>
      <c r="G1615" s="16" t="s">
        <v>6568</v>
      </c>
      <c r="H1615" s="16" t="s">
        <v>6570</v>
      </c>
      <c r="I1615" s="17">
        <v>45378</v>
      </c>
    </row>
    <row r="1616" spans="1:9" x14ac:dyDescent="0.15">
      <c r="A1616" s="16" t="s">
        <v>6576</v>
      </c>
      <c r="B1616" s="7" t="s">
        <v>9</v>
      </c>
      <c r="C1616" s="16" t="s">
        <v>40</v>
      </c>
      <c r="D1616" s="16" t="s">
        <v>41</v>
      </c>
      <c r="E1616" s="13" t="str">
        <f>+HYPERLINK("http://trademark.i-assist.jp/data/china/image_1891th/77591861.pdf","77591861")</f>
        <v>77591861</v>
      </c>
      <c r="F1616" s="16" t="s">
        <v>6574</v>
      </c>
      <c r="G1616" s="16" t="s">
        <v>11140</v>
      </c>
      <c r="H1616" s="16" t="s">
        <v>6575</v>
      </c>
      <c r="I1616" s="17">
        <v>45378</v>
      </c>
    </row>
    <row r="1617" spans="1:9" x14ac:dyDescent="0.15">
      <c r="A1617" s="16" t="s">
        <v>6581</v>
      </c>
      <c r="B1617" s="7" t="s">
        <v>9</v>
      </c>
      <c r="C1617" s="16" t="s">
        <v>40</v>
      </c>
      <c r="D1617" s="16" t="s">
        <v>41</v>
      </c>
      <c r="E1617" s="13" t="str">
        <f>+HYPERLINK("http://trademark.i-assist.jp/data/china/image_1891th/77591924.pdf","77591924")</f>
        <v>77591924</v>
      </c>
      <c r="F1617" s="16" t="s">
        <v>6579</v>
      </c>
      <c r="G1617" s="16" t="s">
        <v>6578</v>
      </c>
      <c r="H1617" s="16" t="s">
        <v>6580</v>
      </c>
      <c r="I1617" s="17">
        <v>45378</v>
      </c>
    </row>
    <row r="1618" spans="1:9" x14ac:dyDescent="0.15">
      <c r="A1618" s="16" t="s">
        <v>7636</v>
      </c>
      <c r="B1618" s="7" t="s">
        <v>9</v>
      </c>
      <c r="C1618" s="16" t="s">
        <v>40</v>
      </c>
      <c r="D1618" s="16" t="s">
        <v>41</v>
      </c>
      <c r="E1618" s="13" t="str">
        <f>+HYPERLINK("http://trademark.i-assist.jp/data/china/image_1891th/77591927.pdf","77591927")</f>
        <v>77591927</v>
      </c>
      <c r="F1618" s="16" t="s">
        <v>52</v>
      </c>
      <c r="G1618" s="16" t="s">
        <v>6583</v>
      </c>
      <c r="H1618" s="16" t="s">
        <v>6584</v>
      </c>
      <c r="I1618" s="17">
        <v>45378</v>
      </c>
    </row>
    <row r="1619" spans="1:9" x14ac:dyDescent="0.15">
      <c r="A1619" s="16" t="s">
        <v>7641</v>
      </c>
      <c r="B1619" s="7" t="s">
        <v>9</v>
      </c>
      <c r="C1619" s="16" t="s">
        <v>40</v>
      </c>
      <c r="D1619" s="16" t="s">
        <v>41</v>
      </c>
      <c r="E1619" s="13" t="str">
        <f>+HYPERLINK("http://trademark.i-assist.jp/data/china/image_1891th/77592033.pdf","77592033")</f>
        <v>77592033</v>
      </c>
      <c r="F1619" s="16" t="s">
        <v>11098</v>
      </c>
      <c r="G1619" s="16" t="s">
        <v>7638</v>
      </c>
      <c r="H1619" s="16" t="s">
        <v>7640</v>
      </c>
      <c r="I1619" s="17">
        <v>45378</v>
      </c>
    </row>
    <row r="1620" spans="1:9" x14ac:dyDescent="0.15">
      <c r="A1620" s="16" t="s">
        <v>7646</v>
      </c>
      <c r="B1620" s="7" t="s">
        <v>9</v>
      </c>
      <c r="C1620" s="16" t="s">
        <v>40</v>
      </c>
      <c r="D1620" s="16" t="s">
        <v>41</v>
      </c>
      <c r="E1620" s="13" t="str">
        <f>+HYPERLINK("http://trademark.i-assist.jp/data/china/image_1891th/77592080.pdf","77592080")</f>
        <v>77592080</v>
      </c>
      <c r="F1620" s="16" t="s">
        <v>7644</v>
      </c>
      <c r="G1620" s="16" t="s">
        <v>7643</v>
      </c>
      <c r="H1620" s="16" t="s">
        <v>7645</v>
      </c>
      <c r="I1620" s="17">
        <v>45378</v>
      </c>
    </row>
    <row r="1621" spans="1:9" x14ac:dyDescent="0.15">
      <c r="A1621" s="16" t="s">
        <v>7649</v>
      </c>
      <c r="B1621" s="7" t="s">
        <v>9</v>
      </c>
      <c r="C1621" s="16" t="s">
        <v>40</v>
      </c>
      <c r="D1621" s="16" t="s">
        <v>41</v>
      </c>
      <c r="E1621" s="13" t="str">
        <f>+HYPERLINK("http://trademark.i-assist.jp/data/china/image_1891th/77592139.pdf","77592139")</f>
        <v>77592139</v>
      </c>
      <c r="F1621" s="16" t="s">
        <v>52</v>
      </c>
      <c r="G1621" s="16" t="s">
        <v>389</v>
      </c>
      <c r="H1621" s="16" t="s">
        <v>7648</v>
      </c>
      <c r="I1621" s="17">
        <v>45378</v>
      </c>
    </row>
    <row r="1622" spans="1:9" x14ac:dyDescent="0.15">
      <c r="A1622" s="16" t="s">
        <v>7654</v>
      </c>
      <c r="B1622" s="7" t="s">
        <v>9</v>
      </c>
      <c r="C1622" s="16" t="s">
        <v>40</v>
      </c>
      <c r="D1622" s="16" t="s">
        <v>41</v>
      </c>
      <c r="E1622" s="13" t="str">
        <f>+HYPERLINK("http://trademark.i-assist.jp/data/china/image_1891th/77592229.pdf","77592229")</f>
        <v>77592229</v>
      </c>
      <c r="F1622" s="16" t="s">
        <v>7652</v>
      </c>
      <c r="G1622" s="16" t="s">
        <v>7651</v>
      </c>
      <c r="H1622" s="16" t="s">
        <v>7653</v>
      </c>
      <c r="I1622" s="17">
        <v>45378</v>
      </c>
    </row>
    <row r="1623" spans="1:9" x14ac:dyDescent="0.15">
      <c r="A1623" s="16" t="s">
        <v>7659</v>
      </c>
      <c r="B1623" s="7" t="s">
        <v>9</v>
      </c>
      <c r="C1623" s="16" t="s">
        <v>40</v>
      </c>
      <c r="D1623" s="16" t="s">
        <v>41</v>
      </c>
      <c r="E1623" s="13" t="str">
        <f>+HYPERLINK("http://trademark.i-assist.jp/data/china/image_1891th/77592244.pdf","77592244")</f>
        <v>77592244</v>
      </c>
      <c r="F1623" s="16" t="s">
        <v>7657</v>
      </c>
      <c r="G1623" s="16" t="s">
        <v>7656</v>
      </c>
      <c r="H1623" s="16" t="s">
        <v>7658</v>
      </c>
      <c r="I1623" s="17">
        <v>45378</v>
      </c>
    </row>
    <row r="1624" spans="1:9" x14ac:dyDescent="0.15">
      <c r="A1624" s="16" t="s">
        <v>7663</v>
      </c>
      <c r="B1624" s="7" t="s">
        <v>9</v>
      </c>
      <c r="C1624" s="16" t="s">
        <v>40</v>
      </c>
      <c r="D1624" s="16" t="s">
        <v>41</v>
      </c>
      <c r="E1624" s="13" t="str">
        <f>+HYPERLINK("http://trademark.i-assist.jp/data/china/image_1891th/77592613.pdf","77592613")</f>
        <v>77592613</v>
      </c>
      <c r="F1624" s="16" t="s">
        <v>7661</v>
      </c>
      <c r="G1624" s="16" t="s">
        <v>1933</v>
      </c>
      <c r="H1624" s="16" t="s">
        <v>7662</v>
      </c>
      <c r="I1624" s="17">
        <v>45378</v>
      </c>
    </row>
    <row r="1625" spans="1:9" x14ac:dyDescent="0.15">
      <c r="A1625" s="16" t="s">
        <v>7667</v>
      </c>
      <c r="B1625" s="7" t="s">
        <v>9</v>
      </c>
      <c r="C1625" s="16" t="s">
        <v>40</v>
      </c>
      <c r="D1625" s="16" t="s">
        <v>41</v>
      </c>
      <c r="E1625" s="13" t="str">
        <f>+HYPERLINK("http://trademark.i-assist.jp/data/china/image_1891th/77592729.pdf","77592729")</f>
        <v>77592729</v>
      </c>
      <c r="F1625" s="16" t="s">
        <v>7665</v>
      </c>
      <c r="G1625" s="16" t="s">
        <v>7596</v>
      </c>
      <c r="H1625" s="16" t="s">
        <v>7666</v>
      </c>
      <c r="I1625" s="17">
        <v>45378</v>
      </c>
    </row>
    <row r="1626" spans="1:9" x14ac:dyDescent="0.15">
      <c r="A1626" s="16" t="s">
        <v>7672</v>
      </c>
      <c r="B1626" s="7" t="s">
        <v>9</v>
      </c>
      <c r="C1626" s="16" t="s">
        <v>40</v>
      </c>
      <c r="D1626" s="16" t="s">
        <v>41</v>
      </c>
      <c r="E1626" s="13" t="str">
        <f>+HYPERLINK("http://trademark.i-assist.jp/data/china/image_1891th/77592942.pdf","77592942")</f>
        <v>77592942</v>
      </c>
      <c r="F1626" s="16" t="s">
        <v>7670</v>
      </c>
      <c r="G1626" s="16" t="s">
        <v>7669</v>
      </c>
      <c r="H1626" s="16" t="s">
        <v>7671</v>
      </c>
      <c r="I1626" s="17">
        <v>45378</v>
      </c>
    </row>
    <row r="1627" spans="1:9" x14ac:dyDescent="0.15">
      <c r="A1627" s="16" t="s">
        <v>7677</v>
      </c>
      <c r="B1627" s="7" t="s">
        <v>9</v>
      </c>
      <c r="C1627" s="16" t="s">
        <v>40</v>
      </c>
      <c r="D1627" s="16" t="s">
        <v>41</v>
      </c>
      <c r="E1627" s="13" t="str">
        <f>+HYPERLINK("http://trademark.i-assist.jp/data/china/image_1891th/77593277.pdf","77593277")</f>
        <v>77593277</v>
      </c>
      <c r="F1627" s="16" t="s">
        <v>7675</v>
      </c>
      <c r="G1627" s="16" t="s">
        <v>7674</v>
      </c>
      <c r="H1627" s="16" t="s">
        <v>7676</v>
      </c>
      <c r="I1627" s="17">
        <v>45378</v>
      </c>
    </row>
    <row r="1628" spans="1:9" x14ac:dyDescent="0.15">
      <c r="A1628" s="16" t="s">
        <v>1999</v>
      </c>
      <c r="B1628" s="7" t="s">
        <v>9</v>
      </c>
      <c r="C1628" s="16" t="s">
        <v>40</v>
      </c>
      <c r="D1628" s="16" t="s">
        <v>41</v>
      </c>
      <c r="E1628" s="13" t="str">
        <f>+HYPERLINK("http://trademark.i-assist.jp/data/china/image_1891th/77593496.pdf","77593496")</f>
        <v>77593496</v>
      </c>
      <c r="F1628" s="16" t="s">
        <v>7680</v>
      </c>
      <c r="G1628" s="16" t="s">
        <v>7679</v>
      </c>
      <c r="H1628" s="16" t="s">
        <v>7681</v>
      </c>
      <c r="I1628" s="17">
        <v>45378</v>
      </c>
    </row>
    <row r="1629" spans="1:9" x14ac:dyDescent="0.15">
      <c r="A1629" s="16" t="s">
        <v>2004</v>
      </c>
      <c r="B1629" s="7" t="s">
        <v>9</v>
      </c>
      <c r="C1629" s="16" t="s">
        <v>40</v>
      </c>
      <c r="D1629" s="16" t="s">
        <v>41</v>
      </c>
      <c r="E1629" s="13" t="str">
        <f>+HYPERLINK("http://trademark.i-assist.jp/data/china/image_1891th/77593543.pdf","77593543")</f>
        <v>77593543</v>
      </c>
      <c r="F1629" s="16" t="s">
        <v>2002</v>
      </c>
      <c r="G1629" s="16" t="s">
        <v>2001</v>
      </c>
      <c r="H1629" s="16" t="s">
        <v>2003</v>
      </c>
      <c r="I1629" s="17">
        <v>45378</v>
      </c>
    </row>
    <row r="1630" spans="1:9" x14ac:dyDescent="0.15">
      <c r="A1630" s="16" t="s">
        <v>2009</v>
      </c>
      <c r="B1630" s="7" t="s">
        <v>9</v>
      </c>
      <c r="C1630" s="16" t="s">
        <v>40</v>
      </c>
      <c r="D1630" s="16" t="s">
        <v>41</v>
      </c>
      <c r="E1630" s="13" t="str">
        <f>+HYPERLINK("http://trademark.i-assist.jp/data/china/image_1891th/77593600.pdf","77593600")</f>
        <v>77593600</v>
      </c>
      <c r="F1630" s="16" t="s">
        <v>2007</v>
      </c>
      <c r="G1630" s="16" t="s">
        <v>2006</v>
      </c>
      <c r="H1630" s="16" t="s">
        <v>2008</v>
      </c>
      <c r="I1630" s="17">
        <v>45378</v>
      </c>
    </row>
    <row r="1631" spans="1:9" x14ac:dyDescent="0.15">
      <c r="A1631" s="16" t="s">
        <v>2014</v>
      </c>
      <c r="B1631" s="7" t="s">
        <v>9</v>
      </c>
      <c r="C1631" s="16" t="s">
        <v>40</v>
      </c>
      <c r="D1631" s="16" t="s">
        <v>41</v>
      </c>
      <c r="E1631" s="13" t="str">
        <f>+HYPERLINK("http://trademark.i-assist.jp/data/china/image_1891th/77593669.pdf","77593669")</f>
        <v>77593669</v>
      </c>
      <c r="F1631" s="16" t="s">
        <v>2012</v>
      </c>
      <c r="G1631" s="16" t="s">
        <v>2011</v>
      </c>
      <c r="H1631" s="16" t="s">
        <v>2013</v>
      </c>
      <c r="I1631" s="17">
        <v>45378</v>
      </c>
    </row>
    <row r="1632" spans="1:9" x14ac:dyDescent="0.15">
      <c r="A1632" s="16" t="s">
        <v>2019</v>
      </c>
      <c r="B1632" s="7" t="s">
        <v>9</v>
      </c>
      <c r="C1632" s="16" t="s">
        <v>40</v>
      </c>
      <c r="D1632" s="16" t="s">
        <v>41</v>
      </c>
      <c r="E1632" s="13" t="str">
        <f>+HYPERLINK("http://trademark.i-assist.jp/data/china/image_1891th/77593771.pdf","77593771")</f>
        <v>77593771</v>
      </c>
      <c r="F1632" s="16" t="s">
        <v>2017</v>
      </c>
      <c r="G1632" s="16" t="s">
        <v>2016</v>
      </c>
      <c r="H1632" s="16" t="s">
        <v>2018</v>
      </c>
      <c r="I1632" s="17">
        <v>45378</v>
      </c>
    </row>
    <row r="1633" spans="1:9" x14ac:dyDescent="0.15">
      <c r="A1633" s="16" t="s">
        <v>2024</v>
      </c>
      <c r="B1633" s="7" t="s">
        <v>9</v>
      </c>
      <c r="C1633" s="16" t="s">
        <v>40</v>
      </c>
      <c r="D1633" s="16" t="s">
        <v>41</v>
      </c>
      <c r="E1633" s="13" t="str">
        <f>+HYPERLINK("http://trademark.i-assist.jp/data/china/image_1891th/77593863.pdf","77593863")</f>
        <v>77593863</v>
      </c>
      <c r="F1633" s="16" t="s">
        <v>2022</v>
      </c>
      <c r="G1633" s="16" t="s">
        <v>2021</v>
      </c>
      <c r="H1633" s="16" t="s">
        <v>2023</v>
      </c>
      <c r="I1633" s="17">
        <v>45378</v>
      </c>
    </row>
    <row r="1634" spans="1:9" x14ac:dyDescent="0.15">
      <c r="A1634" s="16" t="s">
        <v>2029</v>
      </c>
      <c r="B1634" s="7" t="s">
        <v>9</v>
      </c>
      <c r="C1634" s="16" t="s">
        <v>40</v>
      </c>
      <c r="D1634" s="16" t="s">
        <v>41</v>
      </c>
      <c r="E1634" s="13" t="str">
        <f>+HYPERLINK("http://trademark.i-assist.jp/data/china/image_1891th/77593903.pdf","77593903")</f>
        <v>77593903</v>
      </c>
      <c r="F1634" s="16" t="s">
        <v>2027</v>
      </c>
      <c r="G1634" s="16" t="s">
        <v>2026</v>
      </c>
      <c r="H1634" s="16" t="s">
        <v>2028</v>
      </c>
      <c r="I1634" s="17">
        <v>45378</v>
      </c>
    </row>
    <row r="1635" spans="1:9" x14ac:dyDescent="0.15">
      <c r="A1635" s="16" t="s">
        <v>2034</v>
      </c>
      <c r="B1635" s="7" t="s">
        <v>9</v>
      </c>
      <c r="C1635" s="16" t="s">
        <v>40</v>
      </c>
      <c r="D1635" s="16" t="s">
        <v>41</v>
      </c>
      <c r="E1635" s="13" t="str">
        <f>+HYPERLINK("http://trademark.i-assist.jp/data/china/image_1891th/77593978.pdf","77593978")</f>
        <v>77593978</v>
      </c>
      <c r="F1635" s="16" t="s">
        <v>2032</v>
      </c>
      <c r="G1635" s="16" t="s">
        <v>2031</v>
      </c>
      <c r="H1635" s="16" t="s">
        <v>2033</v>
      </c>
      <c r="I1635" s="17">
        <v>45378</v>
      </c>
    </row>
    <row r="1636" spans="1:9" x14ac:dyDescent="0.15">
      <c r="A1636" s="16" t="s">
        <v>2039</v>
      </c>
      <c r="B1636" s="7" t="s">
        <v>9</v>
      </c>
      <c r="C1636" s="16" t="s">
        <v>40</v>
      </c>
      <c r="D1636" s="16" t="s">
        <v>41</v>
      </c>
      <c r="E1636" s="13" t="str">
        <f>+HYPERLINK("http://trademark.i-assist.jp/data/china/image_1891th/77594115.pdf","77594115")</f>
        <v>77594115</v>
      </c>
      <c r="F1636" s="16" t="s">
        <v>2037</v>
      </c>
      <c r="G1636" s="16" t="s">
        <v>2036</v>
      </c>
      <c r="H1636" s="16" t="s">
        <v>2038</v>
      </c>
      <c r="I1636" s="17">
        <v>45378</v>
      </c>
    </row>
    <row r="1637" spans="1:9" x14ac:dyDescent="0.15">
      <c r="A1637" s="16" t="s">
        <v>2044</v>
      </c>
      <c r="B1637" s="7" t="s">
        <v>9</v>
      </c>
      <c r="C1637" s="16" t="s">
        <v>40</v>
      </c>
      <c r="D1637" s="16" t="s">
        <v>41</v>
      </c>
      <c r="E1637" s="13" t="str">
        <f>+HYPERLINK("http://trademark.i-assist.jp/data/china/image_1891th/77594155.pdf","77594155")</f>
        <v>77594155</v>
      </c>
      <c r="F1637" s="16" t="s">
        <v>2042</v>
      </c>
      <c r="G1637" s="16" t="s">
        <v>2041</v>
      </c>
      <c r="H1637" s="16" t="s">
        <v>2043</v>
      </c>
      <c r="I1637" s="17">
        <v>45378</v>
      </c>
    </row>
    <row r="1638" spans="1:9" x14ac:dyDescent="0.15">
      <c r="A1638" s="16" t="s">
        <v>2049</v>
      </c>
      <c r="B1638" s="7" t="s">
        <v>9</v>
      </c>
      <c r="C1638" s="16" t="s">
        <v>40</v>
      </c>
      <c r="D1638" s="16" t="s">
        <v>41</v>
      </c>
      <c r="E1638" s="13" t="str">
        <f>+HYPERLINK("http://trademark.i-assist.jp/data/china/image_1891th/77594502.pdf","77594502")</f>
        <v>77594502</v>
      </c>
      <c r="F1638" s="16" t="s">
        <v>2047</v>
      </c>
      <c r="G1638" s="16" t="s">
        <v>2046</v>
      </c>
      <c r="H1638" s="16" t="s">
        <v>2048</v>
      </c>
      <c r="I1638" s="17">
        <v>45378</v>
      </c>
    </row>
    <row r="1639" spans="1:9" x14ac:dyDescent="0.15">
      <c r="A1639" s="16" t="s">
        <v>2054</v>
      </c>
      <c r="B1639" s="7" t="s">
        <v>9</v>
      </c>
      <c r="C1639" s="16" t="s">
        <v>40</v>
      </c>
      <c r="D1639" s="16" t="s">
        <v>41</v>
      </c>
      <c r="E1639" s="13" t="str">
        <f>+HYPERLINK("http://trademark.i-assist.jp/data/china/image_1891th/77594841.pdf","77594841")</f>
        <v>77594841</v>
      </c>
      <c r="F1639" s="16" t="s">
        <v>2052</v>
      </c>
      <c r="G1639" s="16" t="s">
        <v>2051</v>
      </c>
      <c r="H1639" s="16" t="s">
        <v>2053</v>
      </c>
      <c r="I1639" s="17">
        <v>45378</v>
      </c>
    </row>
    <row r="1640" spans="1:9" x14ac:dyDescent="0.15">
      <c r="A1640" s="16" t="s">
        <v>2059</v>
      </c>
      <c r="B1640" s="7" t="s">
        <v>9</v>
      </c>
      <c r="C1640" s="16" t="s">
        <v>40</v>
      </c>
      <c r="D1640" s="16" t="s">
        <v>41</v>
      </c>
      <c r="E1640" s="13" t="str">
        <f>+HYPERLINK("http://trademark.i-assist.jp/data/china/image_1891th/77594904.pdf","77594904")</f>
        <v>77594904</v>
      </c>
      <c r="F1640" s="16" t="s">
        <v>2057</v>
      </c>
      <c r="G1640" s="16" t="s">
        <v>2056</v>
      </c>
      <c r="H1640" s="16" t="s">
        <v>2058</v>
      </c>
      <c r="I1640" s="17">
        <v>45378</v>
      </c>
    </row>
    <row r="1641" spans="1:9" x14ac:dyDescent="0.15">
      <c r="A1641" s="16" t="s">
        <v>2064</v>
      </c>
      <c r="B1641" s="7" t="s">
        <v>9</v>
      </c>
      <c r="C1641" s="16" t="s">
        <v>40</v>
      </c>
      <c r="D1641" s="16" t="s">
        <v>41</v>
      </c>
      <c r="E1641" s="13" t="str">
        <f>+HYPERLINK("http://trademark.i-assist.jp/data/china/image_1891th/77595032.pdf","77595032")</f>
        <v>77595032</v>
      </c>
      <c r="F1641" s="16" t="s">
        <v>2062</v>
      </c>
      <c r="G1641" s="16" t="s">
        <v>2061</v>
      </c>
      <c r="H1641" s="16" t="s">
        <v>2063</v>
      </c>
      <c r="I1641" s="17">
        <v>45378</v>
      </c>
    </row>
    <row r="1642" spans="1:9" x14ac:dyDescent="0.15">
      <c r="A1642" s="16" t="s">
        <v>7682</v>
      </c>
      <c r="B1642" s="7" t="s">
        <v>9</v>
      </c>
      <c r="C1642" s="16" t="s">
        <v>40</v>
      </c>
      <c r="D1642" s="16" t="s">
        <v>41</v>
      </c>
      <c r="E1642" s="13" t="str">
        <f>+HYPERLINK("http://trademark.i-assist.jp/data/china/image_1891th/77595763.pdf","77595763")</f>
        <v>77595763</v>
      </c>
      <c r="F1642" s="16" t="s">
        <v>2067</v>
      </c>
      <c r="G1642" s="16" t="s">
        <v>2066</v>
      </c>
      <c r="H1642" s="16" t="s">
        <v>2068</v>
      </c>
      <c r="I1642" s="17">
        <v>45378</v>
      </c>
    </row>
    <row r="1643" spans="1:9" x14ac:dyDescent="0.15">
      <c r="A1643" s="16" t="s">
        <v>7687</v>
      </c>
      <c r="B1643" s="7" t="s">
        <v>9</v>
      </c>
      <c r="C1643" s="16" t="s">
        <v>40</v>
      </c>
      <c r="D1643" s="16" t="s">
        <v>41</v>
      </c>
      <c r="E1643" s="13" t="str">
        <f>+HYPERLINK("http://trademark.i-assist.jp/data/china/image_1891th/77595880.pdf","77595880")</f>
        <v>77595880</v>
      </c>
      <c r="F1643" s="16" t="s">
        <v>7685</v>
      </c>
      <c r="G1643" s="16" t="s">
        <v>7684</v>
      </c>
      <c r="H1643" s="16" t="s">
        <v>7686</v>
      </c>
      <c r="I1643" s="17">
        <v>45378</v>
      </c>
    </row>
    <row r="1644" spans="1:9" x14ac:dyDescent="0.15">
      <c r="A1644" s="16" t="s">
        <v>7691</v>
      </c>
      <c r="B1644" s="7" t="s">
        <v>9</v>
      </c>
      <c r="C1644" s="16" t="s">
        <v>40</v>
      </c>
      <c r="D1644" s="16" t="s">
        <v>41</v>
      </c>
      <c r="E1644" s="13" t="str">
        <f>+HYPERLINK("http://trademark.i-assist.jp/data/china/image_1891th/77595966.pdf","77595966")</f>
        <v>77595966</v>
      </c>
      <c r="F1644" s="16" t="s">
        <v>7689</v>
      </c>
      <c r="G1644" s="16" t="s">
        <v>6563</v>
      </c>
      <c r="H1644" s="16" t="s">
        <v>7690</v>
      </c>
      <c r="I1644" s="17">
        <v>45378</v>
      </c>
    </row>
    <row r="1645" spans="1:9" x14ac:dyDescent="0.15">
      <c r="A1645" s="16" t="s">
        <v>7695</v>
      </c>
      <c r="B1645" s="7" t="s">
        <v>9</v>
      </c>
      <c r="C1645" s="16" t="s">
        <v>40</v>
      </c>
      <c r="D1645" s="16" t="s">
        <v>41</v>
      </c>
      <c r="E1645" s="13" t="str">
        <f>+HYPERLINK("http://trademark.i-assist.jp/data/china/image_1891th/77596123.pdf","77596123")</f>
        <v>77596123</v>
      </c>
      <c r="F1645" s="16" t="s">
        <v>7693</v>
      </c>
      <c r="G1645" s="16" t="s">
        <v>7367</v>
      </c>
      <c r="H1645" s="16" t="s">
        <v>7694</v>
      </c>
      <c r="I1645" s="17">
        <v>45378</v>
      </c>
    </row>
    <row r="1646" spans="1:9" x14ac:dyDescent="0.15">
      <c r="A1646" s="16" t="s">
        <v>7700</v>
      </c>
      <c r="B1646" s="7" t="s">
        <v>9</v>
      </c>
      <c r="C1646" s="16" t="s">
        <v>40</v>
      </c>
      <c r="D1646" s="16" t="s">
        <v>41</v>
      </c>
      <c r="E1646" s="13" t="str">
        <f>+HYPERLINK("http://trademark.i-assist.jp/data/china/image_1891th/77596169.pdf","77596169")</f>
        <v>77596169</v>
      </c>
      <c r="F1646" s="16" t="s">
        <v>7698</v>
      </c>
      <c r="G1646" s="16" t="s">
        <v>7697</v>
      </c>
      <c r="H1646" s="16" t="s">
        <v>7699</v>
      </c>
      <c r="I1646" s="17">
        <v>45378</v>
      </c>
    </row>
    <row r="1647" spans="1:9" x14ac:dyDescent="0.15">
      <c r="A1647" s="16" t="s">
        <v>7705</v>
      </c>
      <c r="B1647" s="7" t="s">
        <v>9</v>
      </c>
      <c r="C1647" s="16" t="s">
        <v>40</v>
      </c>
      <c r="D1647" s="16" t="s">
        <v>41</v>
      </c>
      <c r="E1647" s="13" t="str">
        <f>+HYPERLINK("http://trademark.i-assist.jp/data/china/image_1891th/77596173.pdf","77596173")</f>
        <v>77596173</v>
      </c>
      <c r="F1647" s="16" t="s">
        <v>7703</v>
      </c>
      <c r="G1647" s="16" t="s">
        <v>7702</v>
      </c>
      <c r="H1647" s="16" t="s">
        <v>7704</v>
      </c>
      <c r="I1647" s="17">
        <v>45378</v>
      </c>
    </row>
    <row r="1648" spans="1:9" x14ac:dyDescent="0.15">
      <c r="A1648" s="16" t="s">
        <v>7710</v>
      </c>
      <c r="B1648" s="7" t="s">
        <v>9</v>
      </c>
      <c r="C1648" s="16" t="s">
        <v>40</v>
      </c>
      <c r="D1648" s="16" t="s">
        <v>41</v>
      </c>
      <c r="E1648" s="13" t="str">
        <f>+HYPERLINK("http://trademark.i-assist.jp/data/china/image_1891th/77596205.pdf","77596205")</f>
        <v>77596205</v>
      </c>
      <c r="F1648" s="16" t="s">
        <v>7708</v>
      </c>
      <c r="G1648" s="16" t="s">
        <v>7707</v>
      </c>
      <c r="H1648" s="16" t="s">
        <v>7709</v>
      </c>
      <c r="I1648" s="17">
        <v>45378</v>
      </c>
    </row>
    <row r="1649" spans="1:9" x14ac:dyDescent="0.15">
      <c r="A1649" s="16" t="s">
        <v>7713</v>
      </c>
      <c r="B1649" s="7" t="s">
        <v>9</v>
      </c>
      <c r="C1649" s="16" t="s">
        <v>40</v>
      </c>
      <c r="D1649" s="16" t="s">
        <v>41</v>
      </c>
      <c r="E1649" s="13" t="str">
        <f>+HYPERLINK("http://trademark.i-assist.jp/data/china/image_1891th/77596309.pdf","77596309")</f>
        <v>77596309</v>
      </c>
      <c r="F1649" s="16" t="s">
        <v>7657</v>
      </c>
      <c r="G1649" s="16" t="s">
        <v>7656</v>
      </c>
      <c r="H1649" s="16" t="s">
        <v>7712</v>
      </c>
      <c r="I1649" s="17">
        <v>45378</v>
      </c>
    </row>
    <row r="1650" spans="1:9" x14ac:dyDescent="0.15">
      <c r="A1650" s="16" t="s">
        <v>7718</v>
      </c>
      <c r="B1650" s="7" t="s">
        <v>9</v>
      </c>
      <c r="C1650" s="16" t="s">
        <v>40</v>
      </c>
      <c r="D1650" s="16" t="s">
        <v>41</v>
      </c>
      <c r="E1650" s="13" t="str">
        <f>+HYPERLINK("http://trademark.i-assist.jp/data/china/image_1891th/77596444.pdf","77596444")</f>
        <v>77596444</v>
      </c>
      <c r="F1650" s="16" t="s">
        <v>7716</v>
      </c>
      <c r="G1650" s="16" t="s">
        <v>7715</v>
      </c>
      <c r="H1650" s="16" t="s">
        <v>7717</v>
      </c>
      <c r="I1650" s="17">
        <v>45378</v>
      </c>
    </row>
    <row r="1651" spans="1:9" x14ac:dyDescent="0.15">
      <c r="A1651" s="16" t="s">
        <v>7723</v>
      </c>
      <c r="B1651" s="7" t="s">
        <v>9</v>
      </c>
      <c r="C1651" s="16" t="s">
        <v>40</v>
      </c>
      <c r="D1651" s="16" t="s">
        <v>41</v>
      </c>
      <c r="E1651" s="13" t="str">
        <f>+HYPERLINK("http://trademark.i-assist.jp/data/china/image_1891th/77596615.pdf","77596615")</f>
        <v>77596615</v>
      </c>
      <c r="F1651" s="16" t="s">
        <v>7721</v>
      </c>
      <c r="G1651" s="16" t="s">
        <v>7720</v>
      </c>
      <c r="H1651" s="16" t="s">
        <v>7722</v>
      </c>
      <c r="I1651" s="17">
        <v>45378</v>
      </c>
    </row>
    <row r="1652" spans="1:9" x14ac:dyDescent="0.15">
      <c r="A1652" s="16" t="s">
        <v>7728</v>
      </c>
      <c r="B1652" s="7" t="s">
        <v>9</v>
      </c>
      <c r="C1652" s="16" t="s">
        <v>40</v>
      </c>
      <c r="D1652" s="16" t="s">
        <v>41</v>
      </c>
      <c r="E1652" s="13" t="str">
        <f>+HYPERLINK("http://trademark.i-assist.jp/data/china/image_1891th/77597011.pdf","77597011")</f>
        <v>77597011</v>
      </c>
      <c r="F1652" s="16" t="s">
        <v>7726</v>
      </c>
      <c r="G1652" s="16" t="s">
        <v>7725</v>
      </c>
      <c r="H1652" s="16" t="s">
        <v>7727</v>
      </c>
      <c r="I1652" s="17">
        <v>45378</v>
      </c>
    </row>
    <row r="1653" spans="1:9" x14ac:dyDescent="0.15">
      <c r="A1653" s="16" t="s">
        <v>7733</v>
      </c>
      <c r="B1653" s="7" t="s">
        <v>9</v>
      </c>
      <c r="C1653" s="16" t="s">
        <v>40</v>
      </c>
      <c r="D1653" s="16" t="s">
        <v>41</v>
      </c>
      <c r="E1653" s="13" t="str">
        <f>+HYPERLINK("http://trademark.i-assist.jp/data/china/image_1891th/77597292.pdf","77597292")</f>
        <v>77597292</v>
      </c>
      <c r="F1653" s="16" t="s">
        <v>7731</v>
      </c>
      <c r="G1653" s="16" t="s">
        <v>11121</v>
      </c>
      <c r="H1653" s="16" t="s">
        <v>7732</v>
      </c>
      <c r="I1653" s="17">
        <v>45378</v>
      </c>
    </row>
    <row r="1654" spans="1:9" x14ac:dyDescent="0.15">
      <c r="A1654" s="16" t="s">
        <v>7738</v>
      </c>
      <c r="B1654" s="7" t="s">
        <v>9</v>
      </c>
      <c r="C1654" s="16" t="s">
        <v>40</v>
      </c>
      <c r="D1654" s="16" t="s">
        <v>41</v>
      </c>
      <c r="E1654" s="13" t="str">
        <f>+HYPERLINK("http://trademark.i-assist.jp/data/china/image_1891th/77597392.pdf","77597392")</f>
        <v>77597392</v>
      </c>
      <c r="F1654" s="16" t="s">
        <v>7736</v>
      </c>
      <c r="G1654" s="16" t="s">
        <v>7735</v>
      </c>
      <c r="H1654" s="16" t="s">
        <v>7737</v>
      </c>
      <c r="I1654" s="17">
        <v>45378</v>
      </c>
    </row>
    <row r="1655" spans="1:9" x14ac:dyDescent="0.15">
      <c r="A1655" s="16" t="s">
        <v>7741</v>
      </c>
      <c r="B1655" s="7" t="s">
        <v>9</v>
      </c>
      <c r="C1655" s="16" t="s">
        <v>40</v>
      </c>
      <c r="D1655" s="16" t="s">
        <v>41</v>
      </c>
      <c r="E1655" s="13" t="str">
        <f>+HYPERLINK("http://trademark.i-assist.jp/data/china/image_1891th/77597446.pdf","77597446")</f>
        <v>77597446</v>
      </c>
      <c r="F1655" s="16" t="s">
        <v>7740</v>
      </c>
      <c r="G1655" s="16" t="s">
        <v>7241</v>
      </c>
      <c r="H1655" s="16" t="s">
        <v>7243</v>
      </c>
      <c r="I1655" s="17">
        <v>45378</v>
      </c>
    </row>
    <row r="1656" spans="1:9" x14ac:dyDescent="0.15">
      <c r="A1656" s="16" t="s">
        <v>7746</v>
      </c>
      <c r="B1656" s="7" t="s">
        <v>9</v>
      </c>
      <c r="C1656" s="16" t="s">
        <v>40</v>
      </c>
      <c r="D1656" s="16" t="s">
        <v>41</v>
      </c>
      <c r="E1656" s="13" t="str">
        <f>+HYPERLINK("http://trademark.i-assist.jp/data/china/image_1891th/77597742.pdf","77597742")</f>
        <v>77597742</v>
      </c>
      <c r="F1656" s="16" t="s">
        <v>7744</v>
      </c>
      <c r="G1656" s="16" t="s">
        <v>7743</v>
      </c>
      <c r="H1656" s="16" t="s">
        <v>7745</v>
      </c>
      <c r="I1656" s="17">
        <v>45378</v>
      </c>
    </row>
    <row r="1657" spans="1:9" x14ac:dyDescent="0.15">
      <c r="A1657" s="16" t="s">
        <v>7751</v>
      </c>
      <c r="B1657" s="7" t="s">
        <v>9</v>
      </c>
      <c r="C1657" s="16" t="s">
        <v>40</v>
      </c>
      <c r="D1657" s="16" t="s">
        <v>41</v>
      </c>
      <c r="E1657" s="13" t="str">
        <f>+HYPERLINK("http://trademark.i-assist.jp/data/china/image_1891th/77597764.pdf","77597764")</f>
        <v>77597764</v>
      </c>
      <c r="F1657" s="16" t="s">
        <v>7749</v>
      </c>
      <c r="G1657" s="16" t="s">
        <v>7748</v>
      </c>
      <c r="H1657" s="16" t="s">
        <v>7750</v>
      </c>
      <c r="I1657" s="17">
        <v>45378</v>
      </c>
    </row>
    <row r="1658" spans="1:9" x14ac:dyDescent="0.15">
      <c r="A1658" s="16" t="s">
        <v>7756</v>
      </c>
      <c r="B1658" s="7" t="s">
        <v>9</v>
      </c>
      <c r="C1658" s="16" t="s">
        <v>40</v>
      </c>
      <c r="D1658" s="16" t="s">
        <v>41</v>
      </c>
      <c r="E1658" s="13" t="str">
        <f>+HYPERLINK("http://trademark.i-assist.jp/data/china/image_1891th/77598108.pdf","77598108")</f>
        <v>77598108</v>
      </c>
      <c r="F1658" s="16" t="s">
        <v>7754</v>
      </c>
      <c r="G1658" s="16" t="s">
        <v>7753</v>
      </c>
      <c r="H1658" s="16" t="s">
        <v>7755</v>
      </c>
      <c r="I1658" s="17">
        <v>45378</v>
      </c>
    </row>
    <row r="1659" spans="1:9" x14ac:dyDescent="0.15">
      <c r="A1659" s="16" t="s">
        <v>7761</v>
      </c>
      <c r="B1659" s="7" t="s">
        <v>9</v>
      </c>
      <c r="C1659" s="16" t="s">
        <v>40</v>
      </c>
      <c r="D1659" s="16" t="s">
        <v>41</v>
      </c>
      <c r="E1659" s="13" t="str">
        <f>+HYPERLINK("http://trademark.i-assist.jp/data/china/image_1891th/77598138.pdf","77598138")</f>
        <v>77598138</v>
      </c>
      <c r="F1659" s="16" t="s">
        <v>7759</v>
      </c>
      <c r="G1659" s="16" t="s">
        <v>7758</v>
      </c>
      <c r="H1659" s="16" t="s">
        <v>7760</v>
      </c>
      <c r="I1659" s="17">
        <v>45378</v>
      </c>
    </row>
    <row r="1660" spans="1:9" x14ac:dyDescent="0.15">
      <c r="A1660" s="16" t="s">
        <v>7765</v>
      </c>
      <c r="B1660" s="7" t="s">
        <v>9</v>
      </c>
      <c r="C1660" s="16" t="s">
        <v>40</v>
      </c>
      <c r="D1660" s="16" t="s">
        <v>41</v>
      </c>
      <c r="E1660" s="13" t="str">
        <f>+HYPERLINK("http://trademark.i-assist.jp/data/china/image_1891th/77598193.pdf","77598193")</f>
        <v>77598193</v>
      </c>
      <c r="F1660" s="16" t="s">
        <v>7763</v>
      </c>
      <c r="G1660" s="16" t="s">
        <v>359</v>
      </c>
      <c r="H1660" s="16" t="s">
        <v>7764</v>
      </c>
      <c r="I1660" s="17">
        <v>45378</v>
      </c>
    </row>
    <row r="1661" spans="1:9" x14ac:dyDescent="0.15">
      <c r="A1661" s="16" t="s">
        <v>7769</v>
      </c>
      <c r="B1661" s="7" t="s">
        <v>9</v>
      </c>
      <c r="C1661" s="16" t="s">
        <v>40</v>
      </c>
      <c r="D1661" s="16" t="s">
        <v>41</v>
      </c>
      <c r="E1661" s="13" t="str">
        <f>+HYPERLINK("http://trademark.i-assist.jp/data/china/image_1891th/77598443.pdf","77598443")</f>
        <v>77598443</v>
      </c>
      <c r="F1661" s="16" t="s">
        <v>7767</v>
      </c>
      <c r="G1661" s="16" t="s">
        <v>7460</v>
      </c>
      <c r="H1661" s="16" t="s">
        <v>7768</v>
      </c>
      <c r="I1661" s="17">
        <v>45378</v>
      </c>
    </row>
    <row r="1662" spans="1:9" x14ac:dyDescent="0.15">
      <c r="A1662" s="16" t="s">
        <v>7774</v>
      </c>
      <c r="B1662" s="7" t="s">
        <v>9</v>
      </c>
      <c r="C1662" s="16" t="s">
        <v>40</v>
      </c>
      <c r="D1662" s="16" t="s">
        <v>41</v>
      </c>
      <c r="E1662" s="13" t="str">
        <f>+HYPERLINK("http://trademark.i-assist.jp/data/china/image_1891th/77598471.pdf","77598471")</f>
        <v>77598471</v>
      </c>
      <c r="F1662" s="16" t="s">
        <v>7772</v>
      </c>
      <c r="G1662" s="16" t="s">
        <v>7771</v>
      </c>
      <c r="H1662" s="16" t="s">
        <v>7773</v>
      </c>
      <c r="I1662" s="17">
        <v>45378</v>
      </c>
    </row>
    <row r="1663" spans="1:9" x14ac:dyDescent="0.15">
      <c r="A1663" s="16" t="s">
        <v>7778</v>
      </c>
      <c r="B1663" s="7" t="s">
        <v>9</v>
      </c>
      <c r="C1663" s="16" t="s">
        <v>40</v>
      </c>
      <c r="D1663" s="16" t="s">
        <v>41</v>
      </c>
      <c r="E1663" s="13" t="str">
        <f>+HYPERLINK("http://trademark.i-assist.jp/data/china/image_1891th/77598487.pdf","77598487")</f>
        <v>77598487</v>
      </c>
      <c r="F1663" s="16" t="s">
        <v>7776</v>
      </c>
      <c r="G1663" s="16" t="s">
        <v>7275</v>
      </c>
      <c r="H1663" s="16" t="s">
        <v>7777</v>
      </c>
      <c r="I1663" s="17">
        <v>45378</v>
      </c>
    </row>
    <row r="1664" spans="1:9" x14ac:dyDescent="0.15">
      <c r="A1664" s="16" t="s">
        <v>7783</v>
      </c>
      <c r="B1664" s="7" t="s">
        <v>9</v>
      </c>
      <c r="C1664" s="16" t="s">
        <v>40</v>
      </c>
      <c r="D1664" s="16" t="s">
        <v>41</v>
      </c>
      <c r="E1664" s="13" t="str">
        <f>+HYPERLINK("http://trademark.i-assist.jp/data/china/image_1891th/77598763.pdf","77598763")</f>
        <v>77598763</v>
      </c>
      <c r="F1664" s="16" t="s">
        <v>7781</v>
      </c>
      <c r="G1664" s="16" t="s">
        <v>7780</v>
      </c>
      <c r="H1664" s="16" t="s">
        <v>7782</v>
      </c>
      <c r="I1664" s="17">
        <v>45378</v>
      </c>
    </row>
    <row r="1665" spans="1:9" x14ac:dyDescent="0.15">
      <c r="A1665" s="16" t="s">
        <v>7788</v>
      </c>
      <c r="B1665" s="7" t="s">
        <v>9</v>
      </c>
      <c r="C1665" s="16" t="s">
        <v>40</v>
      </c>
      <c r="D1665" s="16" t="s">
        <v>41</v>
      </c>
      <c r="E1665" s="13" t="str">
        <f>+HYPERLINK("http://trademark.i-assist.jp/data/china/image_1891th/77598875.pdf","77598875")</f>
        <v>77598875</v>
      </c>
      <c r="F1665" s="16" t="s">
        <v>7786</v>
      </c>
      <c r="G1665" s="16" t="s">
        <v>7785</v>
      </c>
      <c r="H1665" s="16" t="s">
        <v>7787</v>
      </c>
      <c r="I1665" s="17">
        <v>45378</v>
      </c>
    </row>
    <row r="1666" spans="1:9" x14ac:dyDescent="0.15">
      <c r="A1666" s="16" t="s">
        <v>7793</v>
      </c>
      <c r="B1666" s="7" t="s">
        <v>9</v>
      </c>
      <c r="C1666" s="16" t="s">
        <v>40</v>
      </c>
      <c r="D1666" s="16" t="s">
        <v>41</v>
      </c>
      <c r="E1666" s="13" t="str">
        <f>+HYPERLINK("http://trademark.i-assist.jp/data/china/image_1891th/77599146.pdf","77599146")</f>
        <v>77599146</v>
      </c>
      <c r="F1666" s="16" t="s">
        <v>7791</v>
      </c>
      <c r="G1666" s="16" t="s">
        <v>7790</v>
      </c>
      <c r="H1666" s="16" t="s">
        <v>7792</v>
      </c>
      <c r="I1666" s="17">
        <v>45379</v>
      </c>
    </row>
    <row r="1667" spans="1:9" x14ac:dyDescent="0.15">
      <c r="A1667" s="16" t="s">
        <v>7798</v>
      </c>
      <c r="B1667" s="7" t="s">
        <v>9</v>
      </c>
      <c r="C1667" s="16" t="s">
        <v>40</v>
      </c>
      <c r="D1667" s="16" t="s">
        <v>41</v>
      </c>
      <c r="E1667" s="13" t="str">
        <f>+HYPERLINK("http://trademark.i-assist.jp/data/china/image_1891th/77599195.pdf","77599195")</f>
        <v>77599195</v>
      </c>
      <c r="F1667" s="16" t="s">
        <v>7796</v>
      </c>
      <c r="G1667" s="16" t="s">
        <v>7795</v>
      </c>
      <c r="H1667" s="16" t="s">
        <v>7797</v>
      </c>
      <c r="I1667" s="17">
        <v>45379</v>
      </c>
    </row>
    <row r="1668" spans="1:9" x14ac:dyDescent="0.15">
      <c r="A1668" s="16" t="s">
        <v>7803</v>
      </c>
      <c r="B1668" s="7" t="s">
        <v>9</v>
      </c>
      <c r="C1668" s="16" t="s">
        <v>40</v>
      </c>
      <c r="D1668" s="16" t="s">
        <v>41</v>
      </c>
      <c r="E1668" s="13" t="str">
        <f>+HYPERLINK("http://trademark.i-assist.jp/data/china/image_1891th/77599478.pdf","77599478")</f>
        <v>77599478</v>
      </c>
      <c r="F1668" s="16" t="s">
        <v>7801</v>
      </c>
      <c r="G1668" s="16" t="s">
        <v>7800</v>
      </c>
      <c r="H1668" s="16" t="s">
        <v>7802</v>
      </c>
      <c r="I1668" s="17">
        <v>45379</v>
      </c>
    </row>
    <row r="1669" spans="1:9" x14ac:dyDescent="0.15">
      <c r="A1669" s="16" t="s">
        <v>7808</v>
      </c>
      <c r="B1669" s="7" t="s">
        <v>9</v>
      </c>
      <c r="C1669" s="16" t="s">
        <v>40</v>
      </c>
      <c r="D1669" s="16" t="s">
        <v>41</v>
      </c>
      <c r="E1669" s="13" t="str">
        <f>+HYPERLINK("http://trademark.i-assist.jp/data/china/image_1891th/77599480.pdf","77599480")</f>
        <v>77599480</v>
      </c>
      <c r="F1669" s="16" t="s">
        <v>7806</v>
      </c>
      <c r="G1669" s="16" t="s">
        <v>11122</v>
      </c>
      <c r="H1669" s="16" t="s">
        <v>7807</v>
      </c>
      <c r="I1669" s="17">
        <v>45379</v>
      </c>
    </row>
    <row r="1670" spans="1:9" x14ac:dyDescent="0.15">
      <c r="A1670" s="16" t="s">
        <v>7813</v>
      </c>
      <c r="B1670" s="7" t="s">
        <v>9</v>
      </c>
      <c r="C1670" s="16" t="s">
        <v>40</v>
      </c>
      <c r="D1670" s="16" t="s">
        <v>41</v>
      </c>
      <c r="E1670" s="13" t="str">
        <f>+HYPERLINK("http://trademark.i-assist.jp/data/china/image_1891th/77599587.pdf","77599587")</f>
        <v>77599587</v>
      </c>
      <c r="F1670" s="16" t="s">
        <v>7811</v>
      </c>
      <c r="G1670" s="16" t="s">
        <v>7810</v>
      </c>
      <c r="H1670" s="16" t="s">
        <v>7812</v>
      </c>
      <c r="I1670" s="17">
        <v>45379</v>
      </c>
    </row>
    <row r="1671" spans="1:9" x14ac:dyDescent="0.15">
      <c r="A1671" s="16" t="s">
        <v>7818</v>
      </c>
      <c r="B1671" s="7" t="s">
        <v>9</v>
      </c>
      <c r="C1671" s="16" t="s">
        <v>40</v>
      </c>
      <c r="D1671" s="16" t="s">
        <v>41</v>
      </c>
      <c r="E1671" s="13" t="str">
        <f>+HYPERLINK("http://trademark.i-assist.jp/data/china/image_1891th/77599723.pdf","77599723")</f>
        <v>77599723</v>
      </c>
      <c r="F1671" s="16" t="s">
        <v>7816</v>
      </c>
      <c r="G1671" s="16" t="s">
        <v>7815</v>
      </c>
      <c r="H1671" s="16" t="s">
        <v>7817</v>
      </c>
      <c r="I1671" s="17">
        <v>45379</v>
      </c>
    </row>
    <row r="1672" spans="1:9" x14ac:dyDescent="0.15">
      <c r="A1672" s="16" t="s">
        <v>7823</v>
      </c>
      <c r="B1672" s="7" t="s">
        <v>9</v>
      </c>
      <c r="C1672" s="16" t="s">
        <v>40</v>
      </c>
      <c r="D1672" s="16" t="s">
        <v>41</v>
      </c>
      <c r="E1672" s="13" t="str">
        <f>+HYPERLINK("http://trademark.i-assist.jp/data/china/image_1891th/77600492.pdf","77600492")</f>
        <v>77600492</v>
      </c>
      <c r="F1672" s="16" t="s">
        <v>7821</v>
      </c>
      <c r="G1672" s="16" t="s">
        <v>7820</v>
      </c>
      <c r="H1672" s="16" t="s">
        <v>7822</v>
      </c>
      <c r="I1672" s="17">
        <v>45379</v>
      </c>
    </row>
    <row r="1673" spans="1:9" x14ac:dyDescent="0.15">
      <c r="A1673" s="16" t="s">
        <v>7828</v>
      </c>
      <c r="B1673" s="7" t="s">
        <v>9</v>
      </c>
      <c r="C1673" s="16" t="s">
        <v>40</v>
      </c>
      <c r="D1673" s="16" t="s">
        <v>41</v>
      </c>
      <c r="E1673" s="13" t="str">
        <f>+HYPERLINK("http://trademark.i-assist.jp/data/china/image_1891th/77600621.pdf","77600621")</f>
        <v>77600621</v>
      </c>
      <c r="F1673" s="16" t="s">
        <v>7826</v>
      </c>
      <c r="G1673" s="16" t="s">
        <v>7825</v>
      </c>
      <c r="H1673" s="16" t="s">
        <v>7827</v>
      </c>
      <c r="I1673" s="17">
        <v>45379</v>
      </c>
    </row>
    <row r="1674" spans="1:9" x14ac:dyDescent="0.15">
      <c r="A1674" s="16" t="s">
        <v>7833</v>
      </c>
      <c r="B1674" s="7" t="s">
        <v>9</v>
      </c>
      <c r="C1674" s="16" t="s">
        <v>40</v>
      </c>
      <c r="D1674" s="16" t="s">
        <v>41</v>
      </c>
      <c r="E1674" s="13" t="str">
        <f>+HYPERLINK("http://trademark.i-assist.jp/data/china/image_1891th/77600749.pdf","77600749")</f>
        <v>77600749</v>
      </c>
      <c r="F1674" s="16" t="s">
        <v>7831</v>
      </c>
      <c r="G1674" s="16" t="s">
        <v>7830</v>
      </c>
      <c r="H1674" s="16" t="s">
        <v>7832</v>
      </c>
      <c r="I1674" s="17">
        <v>45379</v>
      </c>
    </row>
    <row r="1675" spans="1:9" x14ac:dyDescent="0.15">
      <c r="A1675" s="16" t="s">
        <v>7838</v>
      </c>
      <c r="B1675" s="7" t="s">
        <v>9</v>
      </c>
      <c r="C1675" s="16" t="s">
        <v>40</v>
      </c>
      <c r="D1675" s="16" t="s">
        <v>41</v>
      </c>
      <c r="E1675" s="13" t="str">
        <f>+HYPERLINK("http://trademark.i-assist.jp/data/china/image_1891th/77600972.pdf","77600972")</f>
        <v>77600972</v>
      </c>
      <c r="F1675" s="16" t="s">
        <v>7836</v>
      </c>
      <c r="G1675" s="16" t="s">
        <v>7835</v>
      </c>
      <c r="H1675" s="16" t="s">
        <v>7837</v>
      </c>
      <c r="I1675" s="17">
        <v>45379</v>
      </c>
    </row>
    <row r="1676" spans="1:9" x14ac:dyDescent="0.15">
      <c r="A1676" s="16" t="s">
        <v>7842</v>
      </c>
      <c r="B1676" s="7" t="s">
        <v>9</v>
      </c>
      <c r="C1676" s="16" t="s">
        <v>40</v>
      </c>
      <c r="D1676" s="16" t="s">
        <v>41</v>
      </c>
      <c r="E1676" s="13" t="str">
        <f>+HYPERLINK("http://trademark.i-assist.jp/data/china/image_1891th/77601102.pdf","77601102")</f>
        <v>77601102</v>
      </c>
      <c r="F1676" s="16" t="s">
        <v>7840</v>
      </c>
      <c r="G1676" s="16" t="s">
        <v>3002</v>
      </c>
      <c r="H1676" s="16" t="s">
        <v>7841</v>
      </c>
      <c r="I1676" s="17">
        <v>45379</v>
      </c>
    </row>
    <row r="1677" spans="1:9" x14ac:dyDescent="0.15">
      <c r="A1677" s="16" t="s">
        <v>7847</v>
      </c>
      <c r="B1677" s="7" t="s">
        <v>9</v>
      </c>
      <c r="C1677" s="16" t="s">
        <v>40</v>
      </c>
      <c r="D1677" s="16" t="s">
        <v>41</v>
      </c>
      <c r="E1677" s="13" t="str">
        <f>+HYPERLINK("http://trademark.i-assist.jp/data/china/image_1891th/77601173.pdf","77601173")</f>
        <v>77601173</v>
      </c>
      <c r="F1677" s="16" t="s">
        <v>7845</v>
      </c>
      <c r="G1677" s="16" t="s">
        <v>7844</v>
      </c>
      <c r="H1677" s="16" t="s">
        <v>7846</v>
      </c>
      <c r="I1677" s="17">
        <v>45379</v>
      </c>
    </row>
    <row r="1678" spans="1:9" x14ac:dyDescent="0.15">
      <c r="A1678" s="16" t="s">
        <v>7851</v>
      </c>
      <c r="B1678" s="7" t="s">
        <v>9</v>
      </c>
      <c r="C1678" s="16" t="s">
        <v>40</v>
      </c>
      <c r="D1678" s="16" t="s">
        <v>41</v>
      </c>
      <c r="E1678" s="13" t="str">
        <f>+HYPERLINK("http://trademark.i-assist.jp/data/china/image_1891th/77601320.pdf","77601320")</f>
        <v>77601320</v>
      </c>
      <c r="F1678" s="16" t="s">
        <v>7849</v>
      </c>
      <c r="G1678" s="16" t="s">
        <v>3342</v>
      </c>
      <c r="H1678" s="16" t="s">
        <v>7850</v>
      </c>
      <c r="I1678" s="17">
        <v>45379</v>
      </c>
    </row>
    <row r="1679" spans="1:9" x14ac:dyDescent="0.15">
      <c r="A1679" s="16" t="s">
        <v>7856</v>
      </c>
      <c r="B1679" s="7" t="s">
        <v>9</v>
      </c>
      <c r="C1679" s="16" t="s">
        <v>40</v>
      </c>
      <c r="D1679" s="16" t="s">
        <v>41</v>
      </c>
      <c r="E1679" s="13" t="str">
        <f>+HYPERLINK("http://trademark.i-assist.jp/data/china/image_1891th/77601407.pdf","77601407")</f>
        <v>77601407</v>
      </c>
      <c r="F1679" s="16" t="s">
        <v>7854</v>
      </c>
      <c r="G1679" s="16" t="s">
        <v>7853</v>
      </c>
      <c r="H1679" s="16" t="s">
        <v>7855</v>
      </c>
      <c r="I1679" s="17">
        <v>45379</v>
      </c>
    </row>
    <row r="1680" spans="1:9" x14ac:dyDescent="0.15">
      <c r="A1680" s="16" t="s">
        <v>7861</v>
      </c>
      <c r="B1680" s="7" t="s">
        <v>9</v>
      </c>
      <c r="C1680" s="16" t="s">
        <v>40</v>
      </c>
      <c r="D1680" s="16" t="s">
        <v>41</v>
      </c>
      <c r="E1680" s="13" t="str">
        <f>+HYPERLINK("http://trademark.i-assist.jp/data/china/image_1891th/77601444.pdf","77601444")</f>
        <v>77601444</v>
      </c>
      <c r="F1680" s="16" t="s">
        <v>7859</v>
      </c>
      <c r="G1680" s="16" t="s">
        <v>7858</v>
      </c>
      <c r="H1680" s="16" t="s">
        <v>7860</v>
      </c>
      <c r="I1680" s="17">
        <v>45379</v>
      </c>
    </row>
    <row r="1681" spans="1:9" x14ac:dyDescent="0.15">
      <c r="A1681" s="16" t="s">
        <v>7866</v>
      </c>
      <c r="B1681" s="7" t="s">
        <v>9</v>
      </c>
      <c r="C1681" s="16" t="s">
        <v>40</v>
      </c>
      <c r="D1681" s="16" t="s">
        <v>41</v>
      </c>
      <c r="E1681" s="13" t="str">
        <f>+HYPERLINK("http://trademark.i-assist.jp/data/china/image_1891th/77601681.pdf","77601681")</f>
        <v>77601681</v>
      </c>
      <c r="F1681" s="16" t="s">
        <v>7864</v>
      </c>
      <c r="G1681" s="16" t="s">
        <v>7863</v>
      </c>
      <c r="H1681" s="16" t="s">
        <v>7865</v>
      </c>
      <c r="I1681" s="17">
        <v>45379</v>
      </c>
    </row>
    <row r="1682" spans="1:9" x14ac:dyDescent="0.15">
      <c r="A1682" s="16" t="s">
        <v>7869</v>
      </c>
      <c r="B1682" s="7" t="s">
        <v>9</v>
      </c>
      <c r="C1682" s="16" t="s">
        <v>40</v>
      </c>
      <c r="D1682" s="16" t="s">
        <v>41</v>
      </c>
      <c r="E1682" s="13" t="str">
        <f>+HYPERLINK("http://trademark.i-assist.jp/data/china/image_1891th/77601741.pdf","77601741")</f>
        <v>77601741</v>
      </c>
      <c r="F1682" s="16" t="s">
        <v>52</v>
      </c>
      <c r="G1682" s="16" t="s">
        <v>19</v>
      </c>
      <c r="H1682" s="16" t="s">
        <v>7868</v>
      </c>
      <c r="I1682" s="17">
        <v>45379</v>
      </c>
    </row>
    <row r="1683" spans="1:9" x14ac:dyDescent="0.15">
      <c r="A1683" s="16" t="s">
        <v>7874</v>
      </c>
      <c r="B1683" s="7" t="s">
        <v>9</v>
      </c>
      <c r="C1683" s="16" t="s">
        <v>40</v>
      </c>
      <c r="D1683" s="16" t="s">
        <v>41</v>
      </c>
      <c r="E1683" s="13" t="str">
        <f>+HYPERLINK("http://trademark.i-assist.jp/data/china/image_1891th/77601769.pdf","77601769")</f>
        <v>77601769</v>
      </c>
      <c r="F1683" s="16" t="s">
        <v>7872</v>
      </c>
      <c r="G1683" s="16" t="s">
        <v>7871</v>
      </c>
      <c r="H1683" s="16" t="s">
        <v>7873</v>
      </c>
      <c r="I1683" s="17">
        <v>45379</v>
      </c>
    </row>
    <row r="1684" spans="1:9" x14ac:dyDescent="0.15">
      <c r="A1684" s="16" t="s">
        <v>7878</v>
      </c>
      <c r="B1684" s="7" t="s">
        <v>9</v>
      </c>
      <c r="C1684" s="16" t="s">
        <v>40</v>
      </c>
      <c r="D1684" s="16" t="s">
        <v>41</v>
      </c>
      <c r="E1684" s="13" t="str">
        <f>+HYPERLINK("http://trademark.i-assist.jp/data/china/image_1891th/77602032.pdf","77602032")</f>
        <v>77602032</v>
      </c>
      <c r="F1684" s="16" t="s">
        <v>7876</v>
      </c>
      <c r="G1684" s="16" t="s">
        <v>26</v>
      </c>
      <c r="H1684" s="16" t="s">
        <v>7877</v>
      </c>
      <c r="I1684" s="17">
        <v>45379</v>
      </c>
    </row>
    <row r="1685" spans="1:9" x14ac:dyDescent="0.15">
      <c r="A1685" s="16" t="s">
        <v>7882</v>
      </c>
      <c r="B1685" s="7" t="s">
        <v>9</v>
      </c>
      <c r="C1685" s="16" t="s">
        <v>40</v>
      </c>
      <c r="D1685" s="16" t="s">
        <v>41</v>
      </c>
      <c r="E1685" s="13" t="str">
        <f>+HYPERLINK("http://trademark.i-assist.jp/data/china/image_1891th/77602231.pdf","77602231")</f>
        <v>77602231</v>
      </c>
      <c r="F1685" s="16" t="s">
        <v>7880</v>
      </c>
      <c r="G1685" s="16" t="s">
        <v>4922</v>
      </c>
      <c r="H1685" s="16" t="s">
        <v>7881</v>
      </c>
      <c r="I1685" s="17">
        <v>45379</v>
      </c>
    </row>
    <row r="1686" spans="1:9" x14ac:dyDescent="0.15">
      <c r="A1686" s="16" t="s">
        <v>7887</v>
      </c>
      <c r="B1686" s="7" t="s">
        <v>9</v>
      </c>
      <c r="C1686" s="16" t="s">
        <v>40</v>
      </c>
      <c r="D1686" s="16" t="s">
        <v>41</v>
      </c>
      <c r="E1686" s="13" t="str">
        <f>+HYPERLINK("http://trademark.i-assist.jp/data/china/image_1891th/77602254.pdf","77602254")</f>
        <v>77602254</v>
      </c>
      <c r="F1686" s="16" t="s">
        <v>7885</v>
      </c>
      <c r="G1686" s="16" t="s">
        <v>7884</v>
      </c>
      <c r="H1686" s="16" t="s">
        <v>7886</v>
      </c>
      <c r="I1686" s="17">
        <v>45379</v>
      </c>
    </row>
    <row r="1687" spans="1:9" x14ac:dyDescent="0.15">
      <c r="A1687" s="16" t="s">
        <v>7891</v>
      </c>
      <c r="B1687" s="7" t="s">
        <v>9</v>
      </c>
      <c r="C1687" s="16" t="s">
        <v>40</v>
      </c>
      <c r="D1687" s="16" t="s">
        <v>41</v>
      </c>
      <c r="E1687" s="13" t="str">
        <f>+HYPERLINK("http://trademark.i-assist.jp/data/china/image_1891th/77602425.pdf","77602425")</f>
        <v>77602425</v>
      </c>
      <c r="F1687" s="16" t="s">
        <v>7889</v>
      </c>
      <c r="G1687" s="16" t="s">
        <v>2973</v>
      </c>
      <c r="H1687" s="16" t="s">
        <v>7890</v>
      </c>
      <c r="I1687" s="17">
        <v>45379</v>
      </c>
    </row>
    <row r="1688" spans="1:9" x14ac:dyDescent="0.15">
      <c r="A1688" s="16" t="s">
        <v>7896</v>
      </c>
      <c r="B1688" s="7" t="s">
        <v>9</v>
      </c>
      <c r="C1688" s="16" t="s">
        <v>40</v>
      </c>
      <c r="D1688" s="16" t="s">
        <v>41</v>
      </c>
      <c r="E1688" s="13" t="str">
        <f>+HYPERLINK("http://trademark.i-assist.jp/data/china/image_1891th/77602481.pdf","77602481")</f>
        <v>77602481</v>
      </c>
      <c r="F1688" s="16" t="s">
        <v>7894</v>
      </c>
      <c r="G1688" s="16" t="s">
        <v>7893</v>
      </c>
      <c r="H1688" s="16" t="s">
        <v>7895</v>
      </c>
      <c r="I1688" s="17">
        <v>45379</v>
      </c>
    </row>
    <row r="1689" spans="1:9" x14ac:dyDescent="0.15">
      <c r="A1689" s="16" t="s">
        <v>7901</v>
      </c>
      <c r="B1689" s="7" t="s">
        <v>9</v>
      </c>
      <c r="C1689" s="16" t="s">
        <v>40</v>
      </c>
      <c r="D1689" s="16" t="s">
        <v>41</v>
      </c>
      <c r="E1689" s="13" t="str">
        <f>+HYPERLINK("http://trademark.i-assist.jp/data/china/image_1891th/77602581.pdf","77602581")</f>
        <v>77602581</v>
      </c>
      <c r="F1689" s="16" t="s">
        <v>7899</v>
      </c>
      <c r="G1689" s="16" t="s">
        <v>7898</v>
      </c>
      <c r="H1689" s="16" t="s">
        <v>7900</v>
      </c>
      <c r="I1689" s="17">
        <v>45379</v>
      </c>
    </row>
    <row r="1690" spans="1:9" x14ac:dyDescent="0.15">
      <c r="A1690" s="16" t="s">
        <v>7905</v>
      </c>
      <c r="B1690" s="7" t="s">
        <v>9</v>
      </c>
      <c r="C1690" s="16" t="s">
        <v>40</v>
      </c>
      <c r="D1690" s="16" t="s">
        <v>41</v>
      </c>
      <c r="E1690" s="13" t="str">
        <f>+HYPERLINK("http://trademark.i-assist.jp/data/china/image_1891th/77602612.pdf","77602612")</f>
        <v>77602612</v>
      </c>
      <c r="F1690" s="16" t="s">
        <v>7903</v>
      </c>
      <c r="G1690" s="16" t="s">
        <v>6063</v>
      </c>
      <c r="H1690" s="16" t="s">
        <v>7904</v>
      </c>
      <c r="I1690" s="17">
        <v>45379</v>
      </c>
    </row>
    <row r="1691" spans="1:9" x14ac:dyDescent="0.15">
      <c r="A1691" s="16" t="s">
        <v>7910</v>
      </c>
      <c r="B1691" s="7" t="s">
        <v>9</v>
      </c>
      <c r="C1691" s="16" t="s">
        <v>40</v>
      </c>
      <c r="D1691" s="16" t="s">
        <v>41</v>
      </c>
      <c r="E1691" s="13" t="str">
        <f>+HYPERLINK("http://trademark.i-assist.jp/data/china/image_1891th/77602726.pdf","77602726")</f>
        <v>77602726</v>
      </c>
      <c r="F1691" s="16" t="s">
        <v>7908</v>
      </c>
      <c r="G1691" s="16" t="s">
        <v>11123</v>
      </c>
      <c r="H1691" s="16" t="s">
        <v>7909</v>
      </c>
      <c r="I1691" s="17">
        <v>45379</v>
      </c>
    </row>
    <row r="1692" spans="1:9" x14ac:dyDescent="0.15">
      <c r="A1692" s="16" t="s">
        <v>7915</v>
      </c>
      <c r="B1692" s="7" t="s">
        <v>9</v>
      </c>
      <c r="C1692" s="16" t="s">
        <v>40</v>
      </c>
      <c r="D1692" s="16" t="s">
        <v>41</v>
      </c>
      <c r="E1692" s="13" t="str">
        <f>+HYPERLINK("http://trademark.i-assist.jp/data/china/image_1891th/77602903.pdf","77602903")</f>
        <v>77602903</v>
      </c>
      <c r="F1692" s="16" t="s">
        <v>7913</v>
      </c>
      <c r="G1692" s="16" t="s">
        <v>7912</v>
      </c>
      <c r="H1692" s="16" t="s">
        <v>7914</v>
      </c>
      <c r="I1692" s="17">
        <v>45379</v>
      </c>
    </row>
    <row r="1693" spans="1:9" x14ac:dyDescent="0.15">
      <c r="A1693" s="16" t="s">
        <v>7919</v>
      </c>
      <c r="B1693" s="7" t="s">
        <v>9</v>
      </c>
      <c r="C1693" s="16" t="s">
        <v>40</v>
      </c>
      <c r="D1693" s="16" t="s">
        <v>41</v>
      </c>
      <c r="E1693" s="13" t="str">
        <f>+HYPERLINK("http://trademark.i-assist.jp/data/china/image_1891th/77602995.pdf","77602995")</f>
        <v>77602995</v>
      </c>
      <c r="F1693" s="16" t="s">
        <v>52</v>
      </c>
      <c r="G1693" s="16" t="s">
        <v>7917</v>
      </c>
      <c r="H1693" s="16" t="s">
        <v>7918</v>
      </c>
      <c r="I1693" s="17">
        <v>45379</v>
      </c>
    </row>
    <row r="1694" spans="1:9" x14ac:dyDescent="0.15">
      <c r="A1694" s="16" t="s">
        <v>7923</v>
      </c>
      <c r="B1694" s="7" t="s">
        <v>9</v>
      </c>
      <c r="C1694" s="16" t="s">
        <v>40</v>
      </c>
      <c r="D1694" s="16" t="s">
        <v>41</v>
      </c>
      <c r="E1694" s="13" t="str">
        <f>+HYPERLINK("http://trademark.i-assist.jp/data/china/image_1891th/77603076.pdf","77603076")</f>
        <v>77603076</v>
      </c>
      <c r="F1694" s="16" t="s">
        <v>7921</v>
      </c>
      <c r="G1694" s="16" t="s">
        <v>26</v>
      </c>
      <c r="H1694" s="16" t="s">
        <v>7922</v>
      </c>
      <c r="I1694" s="17">
        <v>45379</v>
      </c>
    </row>
    <row r="1695" spans="1:9" x14ac:dyDescent="0.15">
      <c r="A1695" s="16" t="s">
        <v>7928</v>
      </c>
      <c r="B1695" s="7" t="s">
        <v>9</v>
      </c>
      <c r="C1695" s="16" t="s">
        <v>40</v>
      </c>
      <c r="D1695" s="16" t="s">
        <v>41</v>
      </c>
      <c r="E1695" s="13" t="str">
        <f>+HYPERLINK("http://trademark.i-assist.jp/data/china/image_1891th/77603146.pdf","77603146")</f>
        <v>77603146</v>
      </c>
      <c r="F1695" s="16" t="s">
        <v>7926</v>
      </c>
      <c r="G1695" s="16" t="s">
        <v>7925</v>
      </c>
      <c r="H1695" s="16" t="s">
        <v>7927</v>
      </c>
      <c r="I1695" s="17">
        <v>45379</v>
      </c>
    </row>
    <row r="1696" spans="1:9" x14ac:dyDescent="0.15">
      <c r="A1696" s="16" t="s">
        <v>7933</v>
      </c>
      <c r="B1696" s="7" t="s">
        <v>9</v>
      </c>
      <c r="C1696" s="16" t="s">
        <v>40</v>
      </c>
      <c r="D1696" s="16" t="s">
        <v>41</v>
      </c>
      <c r="E1696" s="13" t="str">
        <f>+HYPERLINK("http://trademark.i-assist.jp/data/china/image_1891th/77603261.pdf","77603261")</f>
        <v>77603261</v>
      </c>
      <c r="F1696" s="16" t="s">
        <v>7931</v>
      </c>
      <c r="G1696" s="16" t="s">
        <v>7930</v>
      </c>
      <c r="H1696" s="16" t="s">
        <v>7932</v>
      </c>
      <c r="I1696" s="17">
        <v>45379</v>
      </c>
    </row>
    <row r="1697" spans="1:9" x14ac:dyDescent="0.15">
      <c r="A1697" s="16" t="s">
        <v>7937</v>
      </c>
      <c r="B1697" s="7" t="s">
        <v>9</v>
      </c>
      <c r="C1697" s="16" t="s">
        <v>40</v>
      </c>
      <c r="D1697" s="16" t="s">
        <v>41</v>
      </c>
      <c r="E1697" s="13" t="str">
        <f>+HYPERLINK("http://trademark.i-assist.jp/data/china/image_1891th/77603266.pdf","77603266")</f>
        <v>77603266</v>
      </c>
      <c r="F1697" s="16" t="s">
        <v>52</v>
      </c>
      <c r="G1697" s="16" t="s">
        <v>7935</v>
      </c>
      <c r="H1697" s="16" t="s">
        <v>7936</v>
      </c>
      <c r="I1697" s="17">
        <v>45379</v>
      </c>
    </row>
    <row r="1698" spans="1:9" x14ac:dyDescent="0.15">
      <c r="A1698" s="16" t="s">
        <v>7942</v>
      </c>
      <c r="B1698" s="7" t="s">
        <v>9</v>
      </c>
      <c r="C1698" s="16" t="s">
        <v>40</v>
      </c>
      <c r="D1698" s="16" t="s">
        <v>41</v>
      </c>
      <c r="E1698" s="13" t="str">
        <f>+HYPERLINK("http://trademark.i-assist.jp/data/china/image_1891th/77603305.pdf","77603305")</f>
        <v>77603305</v>
      </c>
      <c r="F1698" s="16" t="s">
        <v>7940</v>
      </c>
      <c r="G1698" s="16" t="s">
        <v>7939</v>
      </c>
      <c r="H1698" s="16" t="s">
        <v>7941</v>
      </c>
      <c r="I1698" s="17">
        <v>45379</v>
      </c>
    </row>
    <row r="1699" spans="1:9" x14ac:dyDescent="0.15">
      <c r="A1699" s="16" t="s">
        <v>7947</v>
      </c>
      <c r="B1699" s="7" t="s">
        <v>9</v>
      </c>
      <c r="C1699" s="16" t="s">
        <v>40</v>
      </c>
      <c r="D1699" s="16" t="s">
        <v>41</v>
      </c>
      <c r="E1699" s="13" t="str">
        <f>+HYPERLINK("http://trademark.i-assist.jp/data/china/image_1891th/77603327.pdf","77603327")</f>
        <v>77603327</v>
      </c>
      <c r="F1699" s="16" t="s">
        <v>7945</v>
      </c>
      <c r="G1699" s="16" t="s">
        <v>7944</v>
      </c>
      <c r="H1699" s="16" t="s">
        <v>7946</v>
      </c>
      <c r="I1699" s="17">
        <v>45379</v>
      </c>
    </row>
    <row r="1700" spans="1:9" x14ac:dyDescent="0.15">
      <c r="A1700" s="16" t="s">
        <v>7952</v>
      </c>
      <c r="B1700" s="7" t="s">
        <v>9</v>
      </c>
      <c r="C1700" s="16" t="s">
        <v>40</v>
      </c>
      <c r="D1700" s="16" t="s">
        <v>41</v>
      </c>
      <c r="E1700" s="13" t="str">
        <f>+HYPERLINK("http://trademark.i-assist.jp/data/china/image_1891th/77603396.pdf","77603396")</f>
        <v>77603396</v>
      </c>
      <c r="F1700" s="16" t="s">
        <v>7950</v>
      </c>
      <c r="G1700" s="16" t="s">
        <v>7949</v>
      </c>
      <c r="H1700" s="16" t="s">
        <v>7951</v>
      </c>
      <c r="I1700" s="17">
        <v>45379</v>
      </c>
    </row>
    <row r="1701" spans="1:9" x14ac:dyDescent="0.15">
      <c r="A1701" s="16" t="s">
        <v>7957</v>
      </c>
      <c r="B1701" s="7" t="s">
        <v>9</v>
      </c>
      <c r="C1701" s="16" t="s">
        <v>40</v>
      </c>
      <c r="D1701" s="16" t="s">
        <v>41</v>
      </c>
      <c r="E1701" s="13" t="str">
        <f>+HYPERLINK("http://trademark.i-assist.jp/data/china/image_1891th/77603506.pdf","77603506")</f>
        <v>77603506</v>
      </c>
      <c r="F1701" s="16" t="s">
        <v>7955</v>
      </c>
      <c r="G1701" s="16" t="s">
        <v>7954</v>
      </c>
      <c r="H1701" s="16" t="s">
        <v>7956</v>
      </c>
      <c r="I1701" s="17">
        <v>45379</v>
      </c>
    </row>
    <row r="1702" spans="1:9" x14ac:dyDescent="0.15">
      <c r="A1702" s="16" t="s">
        <v>7961</v>
      </c>
      <c r="B1702" s="7" t="s">
        <v>9</v>
      </c>
      <c r="C1702" s="16" t="s">
        <v>40</v>
      </c>
      <c r="D1702" s="16" t="s">
        <v>41</v>
      </c>
      <c r="E1702" s="13" t="str">
        <f>+HYPERLINK("http://trademark.i-assist.jp/data/china/image_1891th/77603880.pdf","77603880")</f>
        <v>77603880</v>
      </c>
      <c r="F1702" s="16" t="s">
        <v>7959</v>
      </c>
      <c r="G1702" s="16" t="s">
        <v>3030</v>
      </c>
      <c r="H1702" s="16" t="s">
        <v>7960</v>
      </c>
      <c r="I1702" s="17">
        <v>45379</v>
      </c>
    </row>
    <row r="1703" spans="1:9" x14ac:dyDescent="0.15">
      <c r="A1703" s="16" t="s">
        <v>7966</v>
      </c>
      <c r="B1703" s="7" t="s">
        <v>9</v>
      </c>
      <c r="C1703" s="16" t="s">
        <v>40</v>
      </c>
      <c r="D1703" s="16" t="s">
        <v>41</v>
      </c>
      <c r="E1703" s="13" t="str">
        <f>+HYPERLINK("http://trademark.i-assist.jp/data/china/image_1891th/77603936.pdf","77603936")</f>
        <v>77603936</v>
      </c>
      <c r="F1703" s="16" t="s">
        <v>7964</v>
      </c>
      <c r="G1703" s="16" t="s">
        <v>7963</v>
      </c>
      <c r="H1703" s="16" t="s">
        <v>7965</v>
      </c>
      <c r="I1703" s="17">
        <v>45379</v>
      </c>
    </row>
    <row r="1704" spans="1:9" x14ac:dyDescent="0.15">
      <c r="A1704" s="16" t="s">
        <v>7971</v>
      </c>
      <c r="B1704" s="7" t="s">
        <v>9</v>
      </c>
      <c r="C1704" s="16" t="s">
        <v>40</v>
      </c>
      <c r="D1704" s="16" t="s">
        <v>41</v>
      </c>
      <c r="E1704" s="13" t="str">
        <f>+HYPERLINK("http://trademark.i-assist.jp/data/china/image_1891th/77604473.pdf","77604473")</f>
        <v>77604473</v>
      </c>
      <c r="F1704" s="16" t="s">
        <v>7969</v>
      </c>
      <c r="G1704" s="16" t="s">
        <v>7968</v>
      </c>
      <c r="H1704" s="16" t="s">
        <v>7970</v>
      </c>
      <c r="I1704" s="17">
        <v>45379</v>
      </c>
    </row>
    <row r="1705" spans="1:9" x14ac:dyDescent="0.15">
      <c r="A1705" s="16" t="s">
        <v>7976</v>
      </c>
      <c r="B1705" s="7" t="s">
        <v>9</v>
      </c>
      <c r="C1705" s="16" t="s">
        <v>40</v>
      </c>
      <c r="D1705" s="16" t="s">
        <v>41</v>
      </c>
      <c r="E1705" s="13" t="str">
        <f>+HYPERLINK("http://trademark.i-assist.jp/data/china/image_1891th/77604788.pdf","77604788")</f>
        <v>77604788</v>
      </c>
      <c r="F1705" s="16" t="s">
        <v>7974</v>
      </c>
      <c r="G1705" s="16" t="s">
        <v>7973</v>
      </c>
      <c r="H1705" s="16" t="s">
        <v>7975</v>
      </c>
      <c r="I1705" s="17">
        <v>45379</v>
      </c>
    </row>
    <row r="1706" spans="1:9" x14ac:dyDescent="0.15">
      <c r="A1706" s="16" t="s">
        <v>7981</v>
      </c>
      <c r="B1706" s="7" t="s">
        <v>9</v>
      </c>
      <c r="C1706" s="16" t="s">
        <v>40</v>
      </c>
      <c r="D1706" s="16" t="s">
        <v>41</v>
      </c>
      <c r="E1706" s="13" t="str">
        <f>+HYPERLINK("http://trademark.i-assist.jp/data/china/image_1891th/77604864.pdf","77604864")</f>
        <v>77604864</v>
      </c>
      <c r="F1706" s="16" t="s">
        <v>7979</v>
      </c>
      <c r="G1706" s="16" t="s">
        <v>7978</v>
      </c>
      <c r="H1706" s="16" t="s">
        <v>7980</v>
      </c>
      <c r="I1706" s="17">
        <v>45379</v>
      </c>
    </row>
    <row r="1707" spans="1:9" x14ac:dyDescent="0.15">
      <c r="A1707" s="16" t="s">
        <v>7986</v>
      </c>
      <c r="B1707" s="7" t="s">
        <v>9</v>
      </c>
      <c r="C1707" s="16" t="s">
        <v>40</v>
      </c>
      <c r="D1707" s="16" t="s">
        <v>41</v>
      </c>
      <c r="E1707" s="13" t="str">
        <f>+HYPERLINK("http://trademark.i-assist.jp/data/china/image_1891th/77604967.pdf","77604967")</f>
        <v>77604967</v>
      </c>
      <c r="F1707" s="16" t="s">
        <v>7984</v>
      </c>
      <c r="G1707" s="16" t="s">
        <v>7983</v>
      </c>
      <c r="H1707" s="16" t="s">
        <v>7985</v>
      </c>
      <c r="I1707" s="17">
        <v>45379</v>
      </c>
    </row>
    <row r="1708" spans="1:9" x14ac:dyDescent="0.15">
      <c r="A1708" s="16" t="s">
        <v>7990</v>
      </c>
      <c r="B1708" s="7" t="s">
        <v>9</v>
      </c>
      <c r="C1708" s="16" t="s">
        <v>40</v>
      </c>
      <c r="D1708" s="16" t="s">
        <v>41</v>
      </c>
      <c r="E1708" s="13" t="str">
        <f>+HYPERLINK("http://trademark.i-assist.jp/data/china/image_1891th/77604999.pdf","77604999")</f>
        <v>77604999</v>
      </c>
      <c r="F1708" s="16" t="s">
        <v>7988</v>
      </c>
      <c r="G1708" s="16" t="s">
        <v>6661</v>
      </c>
      <c r="H1708" s="16" t="s">
        <v>7989</v>
      </c>
      <c r="I1708" s="17">
        <v>45379</v>
      </c>
    </row>
    <row r="1709" spans="1:9" x14ac:dyDescent="0.15">
      <c r="A1709" s="16" t="s">
        <v>7995</v>
      </c>
      <c r="B1709" s="7" t="s">
        <v>9</v>
      </c>
      <c r="C1709" s="16" t="s">
        <v>40</v>
      </c>
      <c r="D1709" s="16" t="s">
        <v>41</v>
      </c>
      <c r="E1709" s="13" t="str">
        <f>+HYPERLINK("http://trademark.i-assist.jp/data/china/image_1891th/77605544.pdf","77605544")</f>
        <v>77605544</v>
      </c>
      <c r="F1709" s="16" t="s">
        <v>7993</v>
      </c>
      <c r="G1709" s="16" t="s">
        <v>7992</v>
      </c>
      <c r="H1709" s="16" t="s">
        <v>7994</v>
      </c>
      <c r="I1709" s="17">
        <v>45379</v>
      </c>
    </row>
    <row r="1710" spans="1:9" x14ac:dyDescent="0.15">
      <c r="A1710" s="16" t="s">
        <v>8000</v>
      </c>
      <c r="B1710" s="7" t="s">
        <v>9</v>
      </c>
      <c r="C1710" s="16" t="s">
        <v>40</v>
      </c>
      <c r="D1710" s="16" t="s">
        <v>41</v>
      </c>
      <c r="E1710" s="13" t="str">
        <f>+HYPERLINK("http://trademark.i-assist.jp/data/china/image_1891th/77605583.pdf","77605583")</f>
        <v>77605583</v>
      </c>
      <c r="F1710" s="16" t="s">
        <v>7998</v>
      </c>
      <c r="G1710" s="16" t="s">
        <v>7997</v>
      </c>
      <c r="H1710" s="16" t="s">
        <v>7999</v>
      </c>
      <c r="I1710" s="17">
        <v>45379</v>
      </c>
    </row>
    <row r="1711" spans="1:9" x14ac:dyDescent="0.15">
      <c r="A1711" s="16" t="s">
        <v>8005</v>
      </c>
      <c r="B1711" s="7" t="s">
        <v>9</v>
      </c>
      <c r="C1711" s="16" t="s">
        <v>40</v>
      </c>
      <c r="D1711" s="16" t="s">
        <v>41</v>
      </c>
      <c r="E1711" s="13" t="str">
        <f>+HYPERLINK("http://trademark.i-assist.jp/data/china/image_1891th/77605622.pdf","77605622")</f>
        <v>77605622</v>
      </c>
      <c r="F1711" s="16" t="s">
        <v>8003</v>
      </c>
      <c r="G1711" s="16" t="s">
        <v>8002</v>
      </c>
      <c r="H1711" s="16" t="s">
        <v>8004</v>
      </c>
      <c r="I1711" s="17">
        <v>45379</v>
      </c>
    </row>
    <row r="1712" spans="1:9" x14ac:dyDescent="0.15">
      <c r="A1712" s="16" t="s">
        <v>8010</v>
      </c>
      <c r="B1712" s="7" t="s">
        <v>9</v>
      </c>
      <c r="C1712" s="16" t="s">
        <v>40</v>
      </c>
      <c r="D1712" s="16" t="s">
        <v>41</v>
      </c>
      <c r="E1712" s="13" t="str">
        <f>+HYPERLINK("http://trademark.i-assist.jp/data/china/image_1891th/77605625.pdf","77605625")</f>
        <v>77605625</v>
      </c>
      <c r="F1712" s="16" t="s">
        <v>8008</v>
      </c>
      <c r="G1712" s="16" t="s">
        <v>8007</v>
      </c>
      <c r="H1712" s="16" t="s">
        <v>8009</v>
      </c>
      <c r="I1712" s="17">
        <v>45379</v>
      </c>
    </row>
    <row r="1713" spans="1:9" x14ac:dyDescent="0.15">
      <c r="A1713" s="16" t="s">
        <v>8014</v>
      </c>
      <c r="B1713" s="7" t="s">
        <v>9</v>
      </c>
      <c r="C1713" s="16" t="s">
        <v>40</v>
      </c>
      <c r="D1713" s="16" t="s">
        <v>41</v>
      </c>
      <c r="E1713" s="13" t="str">
        <f>+HYPERLINK("http://trademark.i-assist.jp/data/china/image_1891th/77605656.pdf","77605656")</f>
        <v>77605656</v>
      </c>
      <c r="F1713" s="16" t="s">
        <v>8012</v>
      </c>
      <c r="G1713" s="16" t="s">
        <v>3002</v>
      </c>
      <c r="H1713" s="16" t="s">
        <v>8013</v>
      </c>
      <c r="I1713" s="17">
        <v>45379</v>
      </c>
    </row>
    <row r="1714" spans="1:9" x14ac:dyDescent="0.15">
      <c r="A1714" s="16" t="s">
        <v>8019</v>
      </c>
      <c r="B1714" s="7" t="s">
        <v>9</v>
      </c>
      <c r="C1714" s="16" t="s">
        <v>40</v>
      </c>
      <c r="D1714" s="16" t="s">
        <v>41</v>
      </c>
      <c r="E1714" s="13" t="str">
        <f>+HYPERLINK("http://trademark.i-assist.jp/data/china/image_1891th/77605999.pdf","77605999")</f>
        <v>77605999</v>
      </c>
      <c r="F1714" s="16" t="s">
        <v>8017</v>
      </c>
      <c r="G1714" s="16" t="s">
        <v>8016</v>
      </c>
      <c r="H1714" s="16" t="s">
        <v>8018</v>
      </c>
      <c r="I1714" s="17">
        <v>45379</v>
      </c>
    </row>
    <row r="1715" spans="1:9" x14ac:dyDescent="0.15">
      <c r="A1715" s="16" t="s">
        <v>8024</v>
      </c>
      <c r="B1715" s="7" t="s">
        <v>9</v>
      </c>
      <c r="C1715" s="16" t="s">
        <v>40</v>
      </c>
      <c r="D1715" s="16" t="s">
        <v>41</v>
      </c>
      <c r="E1715" s="13" t="str">
        <f>+HYPERLINK("http://trademark.i-assist.jp/data/china/image_1891th/77606128.pdf","77606128")</f>
        <v>77606128</v>
      </c>
      <c r="F1715" s="16" t="s">
        <v>8022</v>
      </c>
      <c r="G1715" s="16" t="s">
        <v>8021</v>
      </c>
      <c r="H1715" s="16" t="s">
        <v>8023</v>
      </c>
      <c r="I1715" s="17">
        <v>45379</v>
      </c>
    </row>
    <row r="1716" spans="1:9" x14ac:dyDescent="0.15">
      <c r="A1716" s="16" t="s">
        <v>8029</v>
      </c>
      <c r="B1716" s="7" t="s">
        <v>9</v>
      </c>
      <c r="C1716" s="16" t="s">
        <v>40</v>
      </c>
      <c r="D1716" s="16" t="s">
        <v>41</v>
      </c>
      <c r="E1716" s="13" t="str">
        <f>+HYPERLINK("http://trademark.i-assist.jp/data/china/image_1891th/77606399.pdf","77606399")</f>
        <v>77606399</v>
      </c>
      <c r="F1716" s="16" t="s">
        <v>8027</v>
      </c>
      <c r="G1716" s="16" t="s">
        <v>8026</v>
      </c>
      <c r="H1716" s="16" t="s">
        <v>8028</v>
      </c>
      <c r="I1716" s="17">
        <v>45379</v>
      </c>
    </row>
    <row r="1717" spans="1:9" x14ac:dyDescent="0.15">
      <c r="A1717" s="16" t="s">
        <v>8034</v>
      </c>
      <c r="B1717" s="7" t="s">
        <v>9</v>
      </c>
      <c r="C1717" s="16" t="s">
        <v>40</v>
      </c>
      <c r="D1717" s="16" t="s">
        <v>41</v>
      </c>
      <c r="E1717" s="13" t="str">
        <f>+HYPERLINK("http://trademark.i-assist.jp/data/china/image_1891th/77606480.pdf","77606480")</f>
        <v>77606480</v>
      </c>
      <c r="F1717" s="16" t="s">
        <v>8032</v>
      </c>
      <c r="G1717" s="16" t="s">
        <v>8031</v>
      </c>
      <c r="H1717" s="16" t="s">
        <v>8033</v>
      </c>
      <c r="I1717" s="17">
        <v>45379</v>
      </c>
    </row>
    <row r="1718" spans="1:9" x14ac:dyDescent="0.15">
      <c r="A1718" s="16" t="s">
        <v>8039</v>
      </c>
      <c r="B1718" s="7" t="s">
        <v>9</v>
      </c>
      <c r="C1718" s="16" t="s">
        <v>40</v>
      </c>
      <c r="D1718" s="16" t="s">
        <v>41</v>
      </c>
      <c r="E1718" s="13" t="str">
        <f>+HYPERLINK("http://trademark.i-assist.jp/data/china/image_1891th/77606522.pdf","77606522")</f>
        <v>77606522</v>
      </c>
      <c r="F1718" s="16" t="s">
        <v>8037</v>
      </c>
      <c r="G1718" s="16" t="s">
        <v>8036</v>
      </c>
      <c r="H1718" s="16" t="s">
        <v>8038</v>
      </c>
      <c r="I1718" s="17">
        <v>45379</v>
      </c>
    </row>
    <row r="1719" spans="1:9" x14ac:dyDescent="0.15">
      <c r="A1719" s="16" t="s">
        <v>8044</v>
      </c>
      <c r="B1719" s="7" t="s">
        <v>9</v>
      </c>
      <c r="C1719" s="16" t="s">
        <v>40</v>
      </c>
      <c r="D1719" s="16" t="s">
        <v>41</v>
      </c>
      <c r="E1719" s="13" t="str">
        <f>+HYPERLINK("http://trademark.i-assist.jp/data/china/image_1891th/77606665.pdf","77606665")</f>
        <v>77606665</v>
      </c>
      <c r="F1719" s="16" t="s">
        <v>8042</v>
      </c>
      <c r="G1719" s="16" t="s">
        <v>8041</v>
      </c>
      <c r="H1719" s="16" t="s">
        <v>8043</v>
      </c>
      <c r="I1719" s="17">
        <v>45379</v>
      </c>
    </row>
    <row r="1720" spans="1:9" x14ac:dyDescent="0.15">
      <c r="A1720" s="16" t="s">
        <v>8049</v>
      </c>
      <c r="B1720" s="7" t="s">
        <v>9</v>
      </c>
      <c r="C1720" s="16" t="s">
        <v>40</v>
      </c>
      <c r="D1720" s="16" t="s">
        <v>41</v>
      </c>
      <c r="E1720" s="13" t="str">
        <f>+HYPERLINK("http://trademark.i-assist.jp/data/china/image_1891th/77607102.pdf","77607102")</f>
        <v>77607102</v>
      </c>
      <c r="F1720" s="16" t="s">
        <v>8047</v>
      </c>
      <c r="G1720" s="16" t="s">
        <v>8046</v>
      </c>
      <c r="H1720" s="16" t="s">
        <v>8048</v>
      </c>
      <c r="I1720" s="17">
        <v>45379</v>
      </c>
    </row>
    <row r="1721" spans="1:9" x14ac:dyDescent="0.15">
      <c r="A1721" s="16" t="s">
        <v>8054</v>
      </c>
      <c r="B1721" s="7" t="s">
        <v>9</v>
      </c>
      <c r="C1721" s="16" t="s">
        <v>40</v>
      </c>
      <c r="D1721" s="16" t="s">
        <v>41</v>
      </c>
      <c r="E1721" s="13" t="str">
        <f>+HYPERLINK("http://trademark.i-assist.jp/data/china/image_1891th/77607173.pdf","77607173")</f>
        <v>77607173</v>
      </c>
      <c r="F1721" s="16" t="s">
        <v>8052</v>
      </c>
      <c r="G1721" s="16" t="s">
        <v>8051</v>
      </c>
      <c r="H1721" s="16" t="s">
        <v>8053</v>
      </c>
      <c r="I1721" s="17">
        <v>45379</v>
      </c>
    </row>
    <row r="1722" spans="1:9" x14ac:dyDescent="0.15">
      <c r="A1722" s="16" t="s">
        <v>8058</v>
      </c>
      <c r="B1722" s="7" t="s">
        <v>9</v>
      </c>
      <c r="C1722" s="16" t="s">
        <v>40</v>
      </c>
      <c r="D1722" s="16" t="s">
        <v>41</v>
      </c>
      <c r="E1722" s="13" t="str">
        <f>+HYPERLINK("http://trademark.i-assist.jp/data/china/image_1891th/77607298.pdf","77607298")</f>
        <v>77607298</v>
      </c>
      <c r="F1722" s="16" t="s">
        <v>8056</v>
      </c>
      <c r="G1722" s="16" t="s">
        <v>7825</v>
      </c>
      <c r="H1722" s="16" t="s">
        <v>8057</v>
      </c>
      <c r="I1722" s="17">
        <v>45379</v>
      </c>
    </row>
    <row r="1723" spans="1:9" x14ac:dyDescent="0.15">
      <c r="A1723" s="16" t="s">
        <v>8063</v>
      </c>
      <c r="B1723" s="7" t="s">
        <v>9</v>
      </c>
      <c r="C1723" s="16" t="s">
        <v>40</v>
      </c>
      <c r="D1723" s="16" t="s">
        <v>41</v>
      </c>
      <c r="E1723" s="13" t="str">
        <f>+HYPERLINK("http://trademark.i-assist.jp/data/china/image_1891th/77607381.pdf","77607381")</f>
        <v>77607381</v>
      </c>
      <c r="F1723" s="16" t="s">
        <v>8061</v>
      </c>
      <c r="G1723" s="16" t="s">
        <v>8060</v>
      </c>
      <c r="H1723" s="16" t="s">
        <v>8062</v>
      </c>
      <c r="I1723" s="17">
        <v>45379</v>
      </c>
    </row>
    <row r="1724" spans="1:9" x14ac:dyDescent="0.15">
      <c r="A1724" s="16" t="s">
        <v>8067</v>
      </c>
      <c r="B1724" s="7" t="s">
        <v>9</v>
      </c>
      <c r="C1724" s="16" t="s">
        <v>40</v>
      </c>
      <c r="D1724" s="16" t="s">
        <v>41</v>
      </c>
      <c r="E1724" s="13" t="str">
        <f>+HYPERLINK("http://trademark.i-assist.jp/data/china/image_1891th/77607510.pdf","77607510")</f>
        <v>77607510</v>
      </c>
      <c r="F1724" s="16" t="s">
        <v>8065</v>
      </c>
      <c r="G1724" s="16" t="s">
        <v>2092</v>
      </c>
      <c r="H1724" s="16" t="s">
        <v>8066</v>
      </c>
      <c r="I1724" s="17">
        <v>45379</v>
      </c>
    </row>
    <row r="1725" spans="1:9" x14ac:dyDescent="0.15">
      <c r="A1725" s="16" t="s">
        <v>8072</v>
      </c>
      <c r="B1725" s="7" t="s">
        <v>9</v>
      </c>
      <c r="C1725" s="16" t="s">
        <v>40</v>
      </c>
      <c r="D1725" s="16" t="s">
        <v>41</v>
      </c>
      <c r="E1725" s="13" t="str">
        <f>+HYPERLINK("http://trademark.i-assist.jp/data/china/image_1891th/77607720.pdf","77607720")</f>
        <v>77607720</v>
      </c>
      <c r="F1725" s="16" t="s">
        <v>8070</v>
      </c>
      <c r="G1725" s="16" t="s">
        <v>8069</v>
      </c>
      <c r="H1725" s="16" t="s">
        <v>8071</v>
      </c>
      <c r="I1725" s="17">
        <v>45379</v>
      </c>
    </row>
    <row r="1726" spans="1:9" x14ac:dyDescent="0.15">
      <c r="A1726" s="16" t="s">
        <v>8077</v>
      </c>
      <c r="B1726" s="7" t="s">
        <v>9</v>
      </c>
      <c r="C1726" s="16" t="s">
        <v>40</v>
      </c>
      <c r="D1726" s="16" t="s">
        <v>41</v>
      </c>
      <c r="E1726" s="13" t="str">
        <f>+HYPERLINK("http://trademark.i-assist.jp/data/china/image_1891th/77607736.pdf","77607736")</f>
        <v>77607736</v>
      </c>
      <c r="F1726" s="16" t="s">
        <v>8075</v>
      </c>
      <c r="G1726" s="16" t="s">
        <v>8074</v>
      </c>
      <c r="H1726" s="16" t="s">
        <v>8076</v>
      </c>
      <c r="I1726" s="17">
        <v>45379</v>
      </c>
    </row>
    <row r="1727" spans="1:9" x14ac:dyDescent="0.15">
      <c r="A1727" s="16" t="s">
        <v>8082</v>
      </c>
      <c r="B1727" s="7" t="s">
        <v>9</v>
      </c>
      <c r="C1727" s="16" t="s">
        <v>40</v>
      </c>
      <c r="D1727" s="16" t="s">
        <v>41</v>
      </c>
      <c r="E1727" s="13" t="str">
        <f>+HYPERLINK("http://trademark.i-assist.jp/data/china/image_1891th/77607989.pdf","77607989")</f>
        <v>77607989</v>
      </c>
      <c r="F1727" s="16" t="s">
        <v>8080</v>
      </c>
      <c r="G1727" s="16" t="s">
        <v>8079</v>
      </c>
      <c r="H1727" s="16" t="s">
        <v>8081</v>
      </c>
      <c r="I1727" s="17">
        <v>45379</v>
      </c>
    </row>
    <row r="1728" spans="1:9" x14ac:dyDescent="0.15">
      <c r="A1728" s="16" t="s">
        <v>8087</v>
      </c>
      <c r="B1728" s="7" t="s">
        <v>9</v>
      </c>
      <c r="C1728" s="16" t="s">
        <v>40</v>
      </c>
      <c r="D1728" s="16" t="s">
        <v>41</v>
      </c>
      <c r="E1728" s="13" t="str">
        <f>+HYPERLINK("http://trademark.i-assist.jp/data/china/image_1891th/77608039.pdf","77608039")</f>
        <v>77608039</v>
      </c>
      <c r="F1728" s="16" t="s">
        <v>8085</v>
      </c>
      <c r="G1728" s="16" t="s">
        <v>8084</v>
      </c>
      <c r="H1728" s="16" t="s">
        <v>8086</v>
      </c>
      <c r="I1728" s="17">
        <v>45379</v>
      </c>
    </row>
    <row r="1729" spans="1:9" x14ac:dyDescent="0.15">
      <c r="A1729" s="16" t="s">
        <v>8092</v>
      </c>
      <c r="B1729" s="7" t="s">
        <v>9</v>
      </c>
      <c r="C1729" s="16" t="s">
        <v>40</v>
      </c>
      <c r="D1729" s="16" t="s">
        <v>41</v>
      </c>
      <c r="E1729" s="13" t="str">
        <f>+HYPERLINK("http://trademark.i-assist.jp/data/china/image_1891th/77608290.pdf","77608290")</f>
        <v>77608290</v>
      </c>
      <c r="F1729" s="16" t="s">
        <v>8090</v>
      </c>
      <c r="G1729" s="16" t="s">
        <v>8089</v>
      </c>
      <c r="H1729" s="16" t="s">
        <v>8091</v>
      </c>
      <c r="I1729" s="17">
        <v>45379</v>
      </c>
    </row>
    <row r="1730" spans="1:9" x14ac:dyDescent="0.15">
      <c r="A1730" s="16" t="s">
        <v>8097</v>
      </c>
      <c r="B1730" s="7" t="s">
        <v>9</v>
      </c>
      <c r="C1730" s="16" t="s">
        <v>40</v>
      </c>
      <c r="D1730" s="16" t="s">
        <v>41</v>
      </c>
      <c r="E1730" s="13" t="str">
        <f>+HYPERLINK("http://trademark.i-assist.jp/data/china/image_1891th/77608373.pdf","77608373")</f>
        <v>77608373</v>
      </c>
      <c r="F1730" s="16" t="s">
        <v>8095</v>
      </c>
      <c r="G1730" s="16" t="s">
        <v>8094</v>
      </c>
      <c r="H1730" s="16" t="s">
        <v>8096</v>
      </c>
      <c r="I1730" s="17">
        <v>45379</v>
      </c>
    </row>
    <row r="1731" spans="1:9" x14ac:dyDescent="0.15">
      <c r="A1731" s="16" t="s">
        <v>8102</v>
      </c>
      <c r="B1731" s="7" t="s">
        <v>9</v>
      </c>
      <c r="C1731" s="16" t="s">
        <v>40</v>
      </c>
      <c r="D1731" s="16" t="s">
        <v>41</v>
      </c>
      <c r="E1731" s="13" t="str">
        <f>+HYPERLINK("http://trademark.i-assist.jp/data/china/image_1891th/77608402.pdf","77608402")</f>
        <v>77608402</v>
      </c>
      <c r="F1731" s="16" t="s">
        <v>8100</v>
      </c>
      <c r="G1731" s="16" t="s">
        <v>8099</v>
      </c>
      <c r="H1731" s="16" t="s">
        <v>8101</v>
      </c>
      <c r="I1731" s="17">
        <v>45379</v>
      </c>
    </row>
    <row r="1732" spans="1:9" x14ac:dyDescent="0.15">
      <c r="A1732" s="16" t="s">
        <v>8107</v>
      </c>
      <c r="B1732" s="7" t="s">
        <v>9</v>
      </c>
      <c r="C1732" s="16" t="s">
        <v>40</v>
      </c>
      <c r="D1732" s="16" t="s">
        <v>41</v>
      </c>
      <c r="E1732" s="13" t="str">
        <f>+HYPERLINK("http://trademark.i-assist.jp/data/china/image_1891th/77608920.pdf","77608920")</f>
        <v>77608920</v>
      </c>
      <c r="F1732" s="16" t="s">
        <v>8105</v>
      </c>
      <c r="G1732" s="16" t="s">
        <v>8104</v>
      </c>
      <c r="H1732" s="16" t="s">
        <v>8106</v>
      </c>
      <c r="I1732" s="17">
        <v>45379</v>
      </c>
    </row>
    <row r="1733" spans="1:9" x14ac:dyDescent="0.15">
      <c r="A1733" s="16" t="s">
        <v>8112</v>
      </c>
      <c r="B1733" s="7" t="s">
        <v>9</v>
      </c>
      <c r="C1733" s="16" t="s">
        <v>40</v>
      </c>
      <c r="D1733" s="16" t="s">
        <v>41</v>
      </c>
      <c r="E1733" s="13" t="str">
        <f>+HYPERLINK("http://trademark.i-assist.jp/data/china/image_1891th/77609224.pdf","77609224")</f>
        <v>77609224</v>
      </c>
      <c r="F1733" s="16" t="s">
        <v>8110</v>
      </c>
      <c r="G1733" s="16" t="s">
        <v>8109</v>
      </c>
      <c r="H1733" s="16" t="s">
        <v>8111</v>
      </c>
      <c r="I1733" s="17">
        <v>45379</v>
      </c>
    </row>
    <row r="1734" spans="1:9" x14ac:dyDescent="0.15">
      <c r="A1734" s="16" t="s">
        <v>8117</v>
      </c>
      <c r="B1734" s="7" t="s">
        <v>9</v>
      </c>
      <c r="C1734" s="16" t="s">
        <v>40</v>
      </c>
      <c r="D1734" s="16" t="s">
        <v>41</v>
      </c>
      <c r="E1734" s="13" t="str">
        <f>+HYPERLINK("http://trademark.i-assist.jp/data/china/image_1891th/77609487.pdf","77609487")</f>
        <v>77609487</v>
      </c>
      <c r="F1734" s="16" t="s">
        <v>8115</v>
      </c>
      <c r="G1734" s="16" t="s">
        <v>8114</v>
      </c>
      <c r="H1734" s="16" t="s">
        <v>8116</v>
      </c>
      <c r="I1734" s="17">
        <v>45379</v>
      </c>
    </row>
    <row r="1735" spans="1:9" x14ac:dyDescent="0.15">
      <c r="A1735" s="16" t="s">
        <v>8122</v>
      </c>
      <c r="B1735" s="7" t="s">
        <v>9</v>
      </c>
      <c r="C1735" s="16" t="s">
        <v>40</v>
      </c>
      <c r="D1735" s="16" t="s">
        <v>41</v>
      </c>
      <c r="E1735" s="13" t="str">
        <f>+HYPERLINK("http://trademark.i-assist.jp/data/china/image_1891th/77609699.pdf","77609699")</f>
        <v>77609699</v>
      </c>
      <c r="F1735" s="16" t="s">
        <v>8120</v>
      </c>
      <c r="G1735" s="16" t="s">
        <v>8119</v>
      </c>
      <c r="H1735" s="16" t="s">
        <v>8121</v>
      </c>
      <c r="I1735" s="17">
        <v>45379</v>
      </c>
    </row>
    <row r="1736" spans="1:9" x14ac:dyDescent="0.15">
      <c r="A1736" s="16" t="s">
        <v>8127</v>
      </c>
      <c r="B1736" s="7" t="s">
        <v>9</v>
      </c>
      <c r="C1736" s="16" t="s">
        <v>40</v>
      </c>
      <c r="D1736" s="16" t="s">
        <v>41</v>
      </c>
      <c r="E1736" s="13" t="str">
        <f>+HYPERLINK("http://trademark.i-assist.jp/data/china/image_1891th/77609719.pdf","77609719")</f>
        <v>77609719</v>
      </c>
      <c r="F1736" s="16" t="s">
        <v>8125</v>
      </c>
      <c r="G1736" s="16" t="s">
        <v>8124</v>
      </c>
      <c r="H1736" s="16" t="s">
        <v>8126</v>
      </c>
      <c r="I1736" s="17">
        <v>45379</v>
      </c>
    </row>
    <row r="1737" spans="1:9" x14ac:dyDescent="0.15">
      <c r="A1737" s="16" t="s">
        <v>8132</v>
      </c>
      <c r="B1737" s="7" t="s">
        <v>9</v>
      </c>
      <c r="C1737" s="16" t="s">
        <v>40</v>
      </c>
      <c r="D1737" s="16" t="s">
        <v>41</v>
      </c>
      <c r="E1737" s="13" t="str">
        <f>+HYPERLINK("http://trademark.i-assist.jp/data/china/image_1891th/77609773.pdf","77609773")</f>
        <v>77609773</v>
      </c>
      <c r="F1737" s="16" t="s">
        <v>8130</v>
      </c>
      <c r="G1737" s="16" t="s">
        <v>8129</v>
      </c>
      <c r="H1737" s="16" t="s">
        <v>8131</v>
      </c>
      <c r="I1737" s="17">
        <v>45379</v>
      </c>
    </row>
    <row r="1738" spans="1:9" x14ac:dyDescent="0.15">
      <c r="A1738" s="16" t="s">
        <v>8137</v>
      </c>
      <c r="B1738" s="7" t="s">
        <v>9</v>
      </c>
      <c r="C1738" s="16" t="s">
        <v>40</v>
      </c>
      <c r="D1738" s="16" t="s">
        <v>41</v>
      </c>
      <c r="E1738" s="13" t="str">
        <f>+HYPERLINK("http://trademark.i-assist.jp/data/china/image_1891th/77609787.pdf","77609787")</f>
        <v>77609787</v>
      </c>
      <c r="F1738" s="16" t="s">
        <v>8135</v>
      </c>
      <c r="G1738" s="16" t="s">
        <v>8134</v>
      </c>
      <c r="H1738" s="16" t="s">
        <v>8136</v>
      </c>
      <c r="I1738" s="17">
        <v>45379</v>
      </c>
    </row>
    <row r="1739" spans="1:9" x14ac:dyDescent="0.15">
      <c r="A1739" s="16" t="s">
        <v>8142</v>
      </c>
      <c r="B1739" s="7" t="s">
        <v>9</v>
      </c>
      <c r="C1739" s="16" t="s">
        <v>40</v>
      </c>
      <c r="D1739" s="16" t="s">
        <v>41</v>
      </c>
      <c r="E1739" s="13" t="str">
        <f>+HYPERLINK("http://trademark.i-assist.jp/data/china/image_1891th/77609809.pdf","77609809")</f>
        <v>77609809</v>
      </c>
      <c r="F1739" s="16" t="s">
        <v>8140</v>
      </c>
      <c r="G1739" s="16" t="s">
        <v>8139</v>
      </c>
      <c r="H1739" s="16" t="s">
        <v>8141</v>
      </c>
      <c r="I1739" s="17">
        <v>45379</v>
      </c>
    </row>
    <row r="1740" spans="1:9" x14ac:dyDescent="0.15">
      <c r="A1740" s="16" t="s">
        <v>8147</v>
      </c>
      <c r="B1740" s="7" t="s">
        <v>9</v>
      </c>
      <c r="C1740" s="16" t="s">
        <v>40</v>
      </c>
      <c r="D1740" s="16" t="s">
        <v>41</v>
      </c>
      <c r="E1740" s="13" t="str">
        <f>+HYPERLINK("http://trademark.i-assist.jp/data/china/image_1891th/77610168.pdf","77610168")</f>
        <v>77610168</v>
      </c>
      <c r="F1740" s="16" t="s">
        <v>8145</v>
      </c>
      <c r="G1740" s="16" t="s">
        <v>8144</v>
      </c>
      <c r="H1740" s="16" t="s">
        <v>8146</v>
      </c>
      <c r="I1740" s="17">
        <v>45379</v>
      </c>
    </row>
    <row r="1741" spans="1:9" x14ac:dyDescent="0.15">
      <c r="A1741" s="16" t="s">
        <v>8151</v>
      </c>
      <c r="B1741" s="7" t="s">
        <v>9</v>
      </c>
      <c r="C1741" s="16" t="s">
        <v>40</v>
      </c>
      <c r="D1741" s="16" t="s">
        <v>41</v>
      </c>
      <c r="E1741" s="13" t="str">
        <f>+HYPERLINK("http://trademark.i-assist.jp/data/china/image_1891th/77610417.pdf","77610417")</f>
        <v>77610417</v>
      </c>
      <c r="F1741" s="16" t="s">
        <v>8149</v>
      </c>
      <c r="G1741" s="16" t="s">
        <v>7949</v>
      </c>
      <c r="H1741" s="16" t="s">
        <v>8150</v>
      </c>
      <c r="I1741" s="17">
        <v>45379</v>
      </c>
    </row>
    <row r="1742" spans="1:9" x14ac:dyDescent="0.15">
      <c r="A1742" s="16" t="s">
        <v>8156</v>
      </c>
      <c r="B1742" s="7" t="s">
        <v>9</v>
      </c>
      <c r="C1742" s="16" t="s">
        <v>40</v>
      </c>
      <c r="D1742" s="16" t="s">
        <v>41</v>
      </c>
      <c r="E1742" s="13" t="str">
        <f>+HYPERLINK("http://trademark.i-assist.jp/data/china/image_1891th/77610552.pdf","77610552")</f>
        <v>77610552</v>
      </c>
      <c r="F1742" s="16" t="s">
        <v>8154</v>
      </c>
      <c r="G1742" s="16" t="s">
        <v>8153</v>
      </c>
      <c r="H1742" s="16" t="s">
        <v>8155</v>
      </c>
      <c r="I1742" s="17">
        <v>45379</v>
      </c>
    </row>
    <row r="1743" spans="1:9" x14ac:dyDescent="0.15">
      <c r="A1743" s="16" t="s">
        <v>8160</v>
      </c>
      <c r="B1743" s="7" t="s">
        <v>9</v>
      </c>
      <c r="C1743" s="16" t="s">
        <v>40</v>
      </c>
      <c r="D1743" s="16" t="s">
        <v>41</v>
      </c>
      <c r="E1743" s="13" t="str">
        <f>+HYPERLINK("http://trademark.i-assist.jp/data/china/image_1891th/77610726.pdf","77610726")</f>
        <v>77610726</v>
      </c>
      <c r="F1743" s="16" t="s">
        <v>52</v>
      </c>
      <c r="G1743" s="16" t="s">
        <v>8158</v>
      </c>
      <c r="H1743" s="16" t="s">
        <v>8159</v>
      </c>
      <c r="I1743" s="17">
        <v>45379</v>
      </c>
    </row>
    <row r="1744" spans="1:9" x14ac:dyDescent="0.15">
      <c r="A1744" s="16" t="s">
        <v>8164</v>
      </c>
      <c r="B1744" s="7" t="s">
        <v>9</v>
      </c>
      <c r="C1744" s="16" t="s">
        <v>40</v>
      </c>
      <c r="D1744" s="16" t="s">
        <v>41</v>
      </c>
      <c r="E1744" s="13" t="str">
        <f>+HYPERLINK("http://trademark.i-assist.jp/data/china/image_1891th/77610750.pdf","77610750")</f>
        <v>77610750</v>
      </c>
      <c r="F1744" s="16" t="s">
        <v>8162</v>
      </c>
      <c r="G1744" s="16" t="s">
        <v>7265</v>
      </c>
      <c r="H1744" s="16" t="s">
        <v>8163</v>
      </c>
      <c r="I1744" s="17">
        <v>45379</v>
      </c>
    </row>
    <row r="1745" spans="1:9" x14ac:dyDescent="0.15">
      <c r="A1745" s="16" t="s">
        <v>8169</v>
      </c>
      <c r="B1745" s="7" t="s">
        <v>9</v>
      </c>
      <c r="C1745" s="16" t="s">
        <v>40</v>
      </c>
      <c r="D1745" s="16" t="s">
        <v>41</v>
      </c>
      <c r="E1745" s="13" t="str">
        <f>+HYPERLINK("http://trademark.i-assist.jp/data/china/image_1891th/77610898.pdf","77610898")</f>
        <v>77610898</v>
      </c>
      <c r="F1745" s="16" t="s">
        <v>8167</v>
      </c>
      <c r="G1745" s="16" t="s">
        <v>8166</v>
      </c>
      <c r="H1745" s="16" t="s">
        <v>8168</v>
      </c>
      <c r="I1745" s="17">
        <v>45379</v>
      </c>
    </row>
    <row r="1746" spans="1:9" x14ac:dyDescent="0.15">
      <c r="A1746" s="16" t="s">
        <v>8174</v>
      </c>
      <c r="B1746" s="7" t="s">
        <v>9</v>
      </c>
      <c r="C1746" s="16" t="s">
        <v>40</v>
      </c>
      <c r="D1746" s="16" t="s">
        <v>41</v>
      </c>
      <c r="E1746" s="13" t="str">
        <f>+HYPERLINK("http://trademark.i-assist.jp/data/china/image_1891th/77610912.pdf","77610912")</f>
        <v>77610912</v>
      </c>
      <c r="F1746" s="16" t="s">
        <v>8172</v>
      </c>
      <c r="G1746" s="16" t="s">
        <v>8171</v>
      </c>
      <c r="H1746" s="16" t="s">
        <v>8173</v>
      </c>
      <c r="I1746" s="17">
        <v>45379</v>
      </c>
    </row>
    <row r="1747" spans="1:9" x14ac:dyDescent="0.15">
      <c r="A1747" s="16" t="s">
        <v>8178</v>
      </c>
      <c r="B1747" s="7" t="s">
        <v>9</v>
      </c>
      <c r="C1747" s="16" t="s">
        <v>40</v>
      </c>
      <c r="D1747" s="16" t="s">
        <v>41</v>
      </c>
      <c r="E1747" s="13" t="str">
        <f>+HYPERLINK("http://trademark.i-assist.jp/data/china/image_1891th/77611110.pdf","77611110")</f>
        <v>77611110</v>
      </c>
      <c r="F1747" s="16" t="s">
        <v>8176</v>
      </c>
      <c r="G1747" s="16" t="s">
        <v>1968</v>
      </c>
      <c r="H1747" s="16" t="s">
        <v>8177</v>
      </c>
      <c r="I1747" s="17">
        <v>45379</v>
      </c>
    </row>
    <row r="1748" spans="1:9" x14ac:dyDescent="0.15">
      <c r="A1748" s="16" t="s">
        <v>8182</v>
      </c>
      <c r="B1748" s="7" t="s">
        <v>9</v>
      </c>
      <c r="C1748" s="16" t="s">
        <v>40</v>
      </c>
      <c r="D1748" s="16" t="s">
        <v>41</v>
      </c>
      <c r="E1748" s="13" t="str">
        <f>+HYPERLINK("http://trademark.i-assist.jp/data/china/image_1891th/77611119.pdf","77611119")</f>
        <v>77611119</v>
      </c>
      <c r="F1748" s="16" t="s">
        <v>8180</v>
      </c>
      <c r="G1748" s="16" t="s">
        <v>1968</v>
      </c>
      <c r="H1748" s="16" t="s">
        <v>8181</v>
      </c>
      <c r="I1748" s="17">
        <v>45379</v>
      </c>
    </row>
    <row r="1749" spans="1:9" x14ac:dyDescent="0.15">
      <c r="A1749" s="16" t="s">
        <v>8187</v>
      </c>
      <c r="B1749" s="7" t="s">
        <v>9</v>
      </c>
      <c r="C1749" s="16" t="s">
        <v>40</v>
      </c>
      <c r="D1749" s="16" t="s">
        <v>41</v>
      </c>
      <c r="E1749" s="13" t="str">
        <f>+HYPERLINK("http://trademark.i-assist.jp/data/china/image_1891th/77611192.pdf","77611192")</f>
        <v>77611192</v>
      </c>
      <c r="F1749" s="16" t="s">
        <v>8185</v>
      </c>
      <c r="G1749" s="16" t="s">
        <v>8184</v>
      </c>
      <c r="H1749" s="16" t="s">
        <v>8186</v>
      </c>
      <c r="I1749" s="17">
        <v>45379</v>
      </c>
    </row>
    <row r="1750" spans="1:9" x14ac:dyDescent="0.15">
      <c r="A1750" s="16" t="s">
        <v>8192</v>
      </c>
      <c r="B1750" s="7" t="s">
        <v>9</v>
      </c>
      <c r="C1750" s="16" t="s">
        <v>40</v>
      </c>
      <c r="D1750" s="16" t="s">
        <v>41</v>
      </c>
      <c r="E1750" s="13" t="str">
        <f>+HYPERLINK("http://trademark.i-assist.jp/data/china/image_1891th/77611654.pdf","77611654")</f>
        <v>77611654</v>
      </c>
      <c r="F1750" s="16" t="s">
        <v>8190</v>
      </c>
      <c r="G1750" s="16" t="s">
        <v>8189</v>
      </c>
      <c r="H1750" s="16" t="s">
        <v>8191</v>
      </c>
      <c r="I1750" s="17">
        <v>45379</v>
      </c>
    </row>
    <row r="1751" spans="1:9" x14ac:dyDescent="0.15">
      <c r="A1751" s="16" t="s">
        <v>8197</v>
      </c>
      <c r="B1751" s="7" t="s">
        <v>9</v>
      </c>
      <c r="C1751" s="16" t="s">
        <v>40</v>
      </c>
      <c r="D1751" s="16" t="s">
        <v>41</v>
      </c>
      <c r="E1751" s="13" t="str">
        <f>+HYPERLINK("http://trademark.i-assist.jp/data/china/image_1891th/77611767.pdf","77611767")</f>
        <v>77611767</v>
      </c>
      <c r="F1751" s="16" t="s">
        <v>8195</v>
      </c>
      <c r="G1751" s="16" t="s">
        <v>8194</v>
      </c>
      <c r="H1751" s="16" t="s">
        <v>8196</v>
      </c>
      <c r="I1751" s="17">
        <v>45379</v>
      </c>
    </row>
    <row r="1752" spans="1:9" x14ac:dyDescent="0.15">
      <c r="A1752" s="16" t="s">
        <v>8202</v>
      </c>
      <c r="B1752" s="7" t="s">
        <v>9</v>
      </c>
      <c r="C1752" s="16" t="s">
        <v>40</v>
      </c>
      <c r="D1752" s="16" t="s">
        <v>41</v>
      </c>
      <c r="E1752" s="13" t="str">
        <f>+HYPERLINK("http://trademark.i-assist.jp/data/china/image_1891th/77612024.pdf","77612024")</f>
        <v>77612024</v>
      </c>
      <c r="F1752" s="16" t="s">
        <v>8200</v>
      </c>
      <c r="G1752" s="16" t="s">
        <v>8199</v>
      </c>
      <c r="H1752" s="16" t="s">
        <v>8201</v>
      </c>
      <c r="I1752" s="17">
        <v>45379</v>
      </c>
    </row>
    <row r="1753" spans="1:9" x14ac:dyDescent="0.15">
      <c r="A1753" s="16" t="s">
        <v>8207</v>
      </c>
      <c r="B1753" s="7" t="s">
        <v>9</v>
      </c>
      <c r="C1753" s="16" t="s">
        <v>40</v>
      </c>
      <c r="D1753" s="16" t="s">
        <v>41</v>
      </c>
      <c r="E1753" s="13" t="str">
        <f>+HYPERLINK("http://trademark.i-assist.jp/data/china/image_1891th/77612195.pdf","77612195")</f>
        <v>77612195</v>
      </c>
      <c r="F1753" s="16" t="s">
        <v>8205</v>
      </c>
      <c r="G1753" s="16" t="s">
        <v>8204</v>
      </c>
      <c r="H1753" s="16" t="s">
        <v>8206</v>
      </c>
      <c r="I1753" s="17">
        <v>45379</v>
      </c>
    </row>
    <row r="1754" spans="1:9" x14ac:dyDescent="0.15">
      <c r="A1754" s="16" t="s">
        <v>8212</v>
      </c>
      <c r="B1754" s="7" t="s">
        <v>9</v>
      </c>
      <c r="C1754" s="16" t="s">
        <v>40</v>
      </c>
      <c r="D1754" s="16" t="s">
        <v>41</v>
      </c>
      <c r="E1754" s="13" t="str">
        <f>+HYPERLINK("http://trademark.i-assist.jp/data/china/image_1891th/77612259.pdf","77612259")</f>
        <v>77612259</v>
      </c>
      <c r="F1754" s="16" t="s">
        <v>8210</v>
      </c>
      <c r="G1754" s="16" t="s">
        <v>8209</v>
      </c>
      <c r="H1754" s="16" t="s">
        <v>8211</v>
      </c>
      <c r="I1754" s="17">
        <v>45379</v>
      </c>
    </row>
    <row r="1755" spans="1:9" x14ac:dyDescent="0.15">
      <c r="A1755" s="16" t="s">
        <v>8216</v>
      </c>
      <c r="B1755" s="7" t="s">
        <v>9</v>
      </c>
      <c r="C1755" s="16" t="s">
        <v>40</v>
      </c>
      <c r="D1755" s="16" t="s">
        <v>41</v>
      </c>
      <c r="E1755" s="13" t="str">
        <f>+HYPERLINK("http://trademark.i-assist.jp/data/china/image_1891th/77612500.pdf","77612500")</f>
        <v>77612500</v>
      </c>
      <c r="F1755" s="16" t="s">
        <v>8214</v>
      </c>
      <c r="G1755" s="16" t="s">
        <v>7930</v>
      </c>
      <c r="H1755" s="16" t="s">
        <v>8215</v>
      </c>
      <c r="I1755" s="17">
        <v>45379</v>
      </c>
    </row>
    <row r="1756" spans="1:9" x14ac:dyDescent="0.15">
      <c r="A1756" s="16" t="s">
        <v>8220</v>
      </c>
      <c r="B1756" s="7" t="s">
        <v>9</v>
      </c>
      <c r="C1756" s="16" t="s">
        <v>40</v>
      </c>
      <c r="D1756" s="16" t="s">
        <v>41</v>
      </c>
      <c r="E1756" s="13" t="str">
        <f>+HYPERLINK("http://trademark.i-assist.jp/data/china/image_1891th/77612508.pdf","77612508")</f>
        <v>77612508</v>
      </c>
      <c r="F1756" s="16" t="s">
        <v>8218</v>
      </c>
      <c r="G1756" s="16" t="s">
        <v>7930</v>
      </c>
      <c r="H1756" s="16" t="s">
        <v>8219</v>
      </c>
      <c r="I1756" s="17">
        <v>45379</v>
      </c>
    </row>
    <row r="1757" spans="1:9" x14ac:dyDescent="0.15">
      <c r="A1757" s="16" t="s">
        <v>8226</v>
      </c>
      <c r="B1757" s="7" t="s">
        <v>9</v>
      </c>
      <c r="C1757" s="16" t="s">
        <v>40</v>
      </c>
      <c r="D1757" s="16" t="s">
        <v>41</v>
      </c>
      <c r="E1757" s="13" t="str">
        <f>+HYPERLINK("http://trademark.i-assist.jp/data/china/image_1891th/77612538.pdf","77612538")</f>
        <v>77612538</v>
      </c>
      <c r="F1757" s="16" t="s">
        <v>8223</v>
      </c>
      <c r="G1757" s="16" t="s">
        <v>8222</v>
      </c>
      <c r="H1757" s="16" t="s">
        <v>8224</v>
      </c>
      <c r="I1757" s="17" t="s">
        <v>11125</v>
      </c>
    </row>
    <row r="1758" spans="1:9" x14ac:dyDescent="0.15">
      <c r="A1758" s="16" t="s">
        <v>2966</v>
      </c>
      <c r="B1758" s="7" t="s">
        <v>9</v>
      </c>
      <c r="C1758" s="16" t="s">
        <v>40</v>
      </c>
      <c r="D1758" s="16" t="s">
        <v>41</v>
      </c>
      <c r="E1758" s="13" t="str">
        <f>+HYPERLINK("http://trademark.i-assist.jp/data/china/image_1891th/77613039.pdf","77613039")</f>
        <v>77613039</v>
      </c>
      <c r="F1758" s="16" t="s">
        <v>8228</v>
      </c>
      <c r="G1758" s="16" t="s">
        <v>4893</v>
      </c>
      <c r="H1758" s="16" t="s">
        <v>8229</v>
      </c>
      <c r="I1758" s="17">
        <v>45379</v>
      </c>
    </row>
    <row r="1759" spans="1:9" x14ac:dyDescent="0.15">
      <c r="A1759" s="16" t="s">
        <v>2971</v>
      </c>
      <c r="B1759" s="7" t="s">
        <v>9</v>
      </c>
      <c r="C1759" s="16" t="s">
        <v>40</v>
      </c>
      <c r="D1759" s="16" t="s">
        <v>41</v>
      </c>
      <c r="E1759" s="13" t="str">
        <f>+HYPERLINK("http://trademark.i-assist.jp/data/china/image_1891th/77613076.pdf","77613076")</f>
        <v>77613076</v>
      </c>
      <c r="F1759" s="16" t="s">
        <v>2969</v>
      </c>
      <c r="G1759" s="16" t="s">
        <v>2968</v>
      </c>
      <c r="H1759" s="16" t="s">
        <v>2970</v>
      </c>
      <c r="I1759" s="17">
        <v>45379</v>
      </c>
    </row>
    <row r="1760" spans="1:9" x14ac:dyDescent="0.15">
      <c r="A1760" s="16" t="s">
        <v>2976</v>
      </c>
      <c r="B1760" s="7" t="s">
        <v>9</v>
      </c>
      <c r="C1760" s="16" t="s">
        <v>40</v>
      </c>
      <c r="D1760" s="16" t="s">
        <v>41</v>
      </c>
      <c r="E1760" s="13" t="str">
        <f>+HYPERLINK("http://trademark.i-assist.jp/data/china/image_1891th/77613303.pdf","77613303")</f>
        <v>77613303</v>
      </c>
      <c r="F1760" s="16" t="s">
        <v>2974</v>
      </c>
      <c r="G1760" s="16" t="s">
        <v>2973</v>
      </c>
      <c r="H1760" s="16" t="s">
        <v>2975</v>
      </c>
      <c r="I1760" s="17">
        <v>45379</v>
      </c>
    </row>
    <row r="1761" spans="1:9" x14ac:dyDescent="0.15">
      <c r="A1761" s="16" t="s">
        <v>2981</v>
      </c>
      <c r="B1761" s="7" t="s">
        <v>9</v>
      </c>
      <c r="C1761" s="16" t="s">
        <v>40</v>
      </c>
      <c r="D1761" s="16" t="s">
        <v>41</v>
      </c>
      <c r="E1761" s="13" t="str">
        <f>+HYPERLINK("http://trademark.i-assist.jp/data/china/image_1891th/77613352.pdf","77613352")</f>
        <v>77613352</v>
      </c>
      <c r="F1761" s="16" t="s">
        <v>2979</v>
      </c>
      <c r="G1761" s="16" t="s">
        <v>2978</v>
      </c>
      <c r="H1761" s="16" t="s">
        <v>2980</v>
      </c>
      <c r="I1761" s="17">
        <v>45379</v>
      </c>
    </row>
    <row r="1762" spans="1:9" x14ac:dyDescent="0.15">
      <c r="A1762" s="16" t="s">
        <v>2986</v>
      </c>
      <c r="B1762" s="7" t="s">
        <v>9</v>
      </c>
      <c r="C1762" s="16" t="s">
        <v>40</v>
      </c>
      <c r="D1762" s="16" t="s">
        <v>41</v>
      </c>
      <c r="E1762" s="13" t="str">
        <f>+HYPERLINK("http://trademark.i-assist.jp/data/china/image_1891th/77613427.pdf","77613427")</f>
        <v>77613427</v>
      </c>
      <c r="F1762" s="16" t="s">
        <v>2984</v>
      </c>
      <c r="G1762" s="16" t="s">
        <v>2983</v>
      </c>
      <c r="H1762" s="16" t="s">
        <v>2985</v>
      </c>
      <c r="I1762" s="17">
        <v>45379</v>
      </c>
    </row>
    <row r="1763" spans="1:9" x14ac:dyDescent="0.15">
      <c r="A1763" s="16" t="s">
        <v>2991</v>
      </c>
      <c r="B1763" s="7" t="s">
        <v>9</v>
      </c>
      <c r="C1763" s="16" t="s">
        <v>40</v>
      </c>
      <c r="D1763" s="16" t="s">
        <v>41</v>
      </c>
      <c r="E1763" s="13" t="str">
        <f>+HYPERLINK("http://trademark.i-assist.jp/data/china/image_1891th/77613926.pdf","77613926")</f>
        <v>77613926</v>
      </c>
      <c r="F1763" s="16" t="s">
        <v>2989</v>
      </c>
      <c r="G1763" s="16" t="s">
        <v>2988</v>
      </c>
      <c r="H1763" s="16" t="s">
        <v>2990</v>
      </c>
      <c r="I1763" s="17">
        <v>45379</v>
      </c>
    </row>
    <row r="1764" spans="1:9" x14ac:dyDescent="0.15">
      <c r="A1764" s="16" t="s">
        <v>2995</v>
      </c>
      <c r="B1764" s="7" t="s">
        <v>9</v>
      </c>
      <c r="C1764" s="16" t="s">
        <v>40</v>
      </c>
      <c r="D1764" s="16" t="s">
        <v>41</v>
      </c>
      <c r="E1764" s="13" t="str">
        <f>+HYPERLINK("http://trademark.i-assist.jp/data/china/image_1891th/77614085.pdf","77614085")</f>
        <v>77614085</v>
      </c>
      <c r="F1764" s="16" t="s">
        <v>2993</v>
      </c>
      <c r="G1764" s="16" t="s">
        <v>2805</v>
      </c>
      <c r="H1764" s="16" t="s">
        <v>2994</v>
      </c>
      <c r="I1764" s="17">
        <v>45379</v>
      </c>
    </row>
    <row r="1765" spans="1:9" x14ac:dyDescent="0.15">
      <c r="A1765" s="16" t="s">
        <v>3000</v>
      </c>
      <c r="B1765" s="7" t="s">
        <v>9</v>
      </c>
      <c r="C1765" s="16" t="s">
        <v>40</v>
      </c>
      <c r="D1765" s="16" t="s">
        <v>41</v>
      </c>
      <c r="E1765" s="13" t="str">
        <f>+HYPERLINK("http://trademark.i-assist.jp/data/china/image_1891th/77614218.pdf","77614218")</f>
        <v>77614218</v>
      </c>
      <c r="F1765" s="16" t="s">
        <v>2998</v>
      </c>
      <c r="G1765" s="16" t="s">
        <v>2997</v>
      </c>
      <c r="H1765" s="16" t="s">
        <v>2999</v>
      </c>
      <c r="I1765" s="17">
        <v>45379</v>
      </c>
    </row>
    <row r="1766" spans="1:9" x14ac:dyDescent="0.15">
      <c r="A1766" s="16" t="s">
        <v>3005</v>
      </c>
      <c r="B1766" s="7" t="s">
        <v>9</v>
      </c>
      <c r="C1766" s="16" t="s">
        <v>40</v>
      </c>
      <c r="D1766" s="16" t="s">
        <v>41</v>
      </c>
      <c r="E1766" s="13" t="str">
        <f>+HYPERLINK("http://trademark.i-assist.jp/data/china/image_1891th/77614382.pdf","77614382")</f>
        <v>77614382</v>
      </c>
      <c r="F1766" s="16" t="s">
        <v>3003</v>
      </c>
      <c r="G1766" s="16" t="s">
        <v>3002</v>
      </c>
      <c r="H1766" s="16" t="s">
        <v>3004</v>
      </c>
      <c r="I1766" s="17">
        <v>45379</v>
      </c>
    </row>
    <row r="1767" spans="1:9" x14ac:dyDescent="0.15">
      <c r="A1767" s="16" t="s">
        <v>3009</v>
      </c>
      <c r="B1767" s="7" t="s">
        <v>9</v>
      </c>
      <c r="C1767" s="16" t="s">
        <v>40</v>
      </c>
      <c r="D1767" s="16" t="s">
        <v>41</v>
      </c>
      <c r="E1767" s="13" t="str">
        <f>+HYPERLINK("http://trademark.i-assist.jp/data/china/image_1891th/77614394.pdf","77614394")</f>
        <v>77614394</v>
      </c>
      <c r="F1767" s="16" t="s">
        <v>3007</v>
      </c>
      <c r="G1767" s="16" t="s">
        <v>3002</v>
      </c>
      <c r="H1767" s="16" t="s">
        <v>3008</v>
      </c>
      <c r="I1767" s="17">
        <v>45379</v>
      </c>
    </row>
    <row r="1768" spans="1:9" x14ac:dyDescent="0.15">
      <c r="A1768" s="16" t="s">
        <v>3014</v>
      </c>
      <c r="B1768" s="7" t="s">
        <v>9</v>
      </c>
      <c r="C1768" s="16" t="s">
        <v>40</v>
      </c>
      <c r="D1768" s="16" t="s">
        <v>41</v>
      </c>
      <c r="E1768" s="13" t="str">
        <f>+HYPERLINK("http://trademark.i-assist.jp/data/china/image_1891th/77614634.pdf","77614634")</f>
        <v>77614634</v>
      </c>
      <c r="F1768" s="16" t="s">
        <v>3012</v>
      </c>
      <c r="G1768" s="16" t="s">
        <v>3011</v>
      </c>
      <c r="H1768" s="16" t="s">
        <v>3013</v>
      </c>
      <c r="I1768" s="17">
        <v>45379</v>
      </c>
    </row>
    <row r="1769" spans="1:9" x14ac:dyDescent="0.15">
      <c r="A1769" s="16" t="s">
        <v>3019</v>
      </c>
      <c r="B1769" s="7" t="s">
        <v>9</v>
      </c>
      <c r="C1769" s="16" t="s">
        <v>40</v>
      </c>
      <c r="D1769" s="16" t="s">
        <v>41</v>
      </c>
      <c r="E1769" s="13" t="str">
        <f>+HYPERLINK("http://trademark.i-assist.jp/data/china/image_1891th/77614637.pdf","77614637")</f>
        <v>77614637</v>
      </c>
      <c r="F1769" s="16" t="s">
        <v>3017</v>
      </c>
      <c r="G1769" s="16" t="s">
        <v>3016</v>
      </c>
      <c r="H1769" s="16" t="s">
        <v>3018</v>
      </c>
      <c r="I1769" s="17">
        <v>45379</v>
      </c>
    </row>
    <row r="1770" spans="1:9" x14ac:dyDescent="0.15">
      <c r="A1770" s="16" t="s">
        <v>3023</v>
      </c>
      <c r="B1770" s="7" t="s">
        <v>9</v>
      </c>
      <c r="C1770" s="16" t="s">
        <v>40</v>
      </c>
      <c r="D1770" s="16" t="s">
        <v>41</v>
      </c>
      <c r="E1770" s="13" t="str">
        <f>+HYPERLINK("http://trademark.i-assist.jp/data/china/image_1891th/77614653.pdf","77614653")</f>
        <v>77614653</v>
      </c>
      <c r="F1770" s="16" t="s">
        <v>52</v>
      </c>
      <c r="G1770" s="16" t="s">
        <v>3021</v>
      </c>
      <c r="H1770" s="16" t="s">
        <v>3022</v>
      </c>
      <c r="I1770" s="17">
        <v>45379</v>
      </c>
    </row>
    <row r="1771" spans="1:9" x14ac:dyDescent="0.15">
      <c r="A1771" s="16" t="s">
        <v>3028</v>
      </c>
      <c r="B1771" s="7" t="s">
        <v>9</v>
      </c>
      <c r="C1771" s="16" t="s">
        <v>40</v>
      </c>
      <c r="D1771" s="16" t="s">
        <v>41</v>
      </c>
      <c r="E1771" s="13" t="str">
        <f>+HYPERLINK("http://trademark.i-assist.jp/data/china/image_1891th/77614720.pdf","77614720")</f>
        <v>77614720</v>
      </c>
      <c r="F1771" s="16" t="s">
        <v>3026</v>
      </c>
      <c r="G1771" s="16" t="s">
        <v>3025</v>
      </c>
      <c r="H1771" s="16" t="s">
        <v>3027</v>
      </c>
      <c r="I1771" s="17">
        <v>45379</v>
      </c>
    </row>
    <row r="1772" spans="1:9" x14ac:dyDescent="0.15">
      <c r="A1772" s="16" t="s">
        <v>8230</v>
      </c>
      <c r="B1772" s="7" t="s">
        <v>9</v>
      </c>
      <c r="C1772" s="16" t="s">
        <v>40</v>
      </c>
      <c r="D1772" s="16" t="s">
        <v>41</v>
      </c>
      <c r="E1772" s="13" t="str">
        <f>+HYPERLINK("http://trademark.i-assist.jp/data/china/image_1891th/77614726.pdf","77614726")</f>
        <v>77614726</v>
      </c>
      <c r="F1772" s="16" t="s">
        <v>3031</v>
      </c>
      <c r="G1772" s="16" t="s">
        <v>3030</v>
      </c>
      <c r="H1772" s="16" t="s">
        <v>3032</v>
      </c>
      <c r="I1772" s="17">
        <v>45379</v>
      </c>
    </row>
    <row r="1773" spans="1:9" x14ac:dyDescent="0.15">
      <c r="A1773" s="16" t="s">
        <v>8235</v>
      </c>
      <c r="B1773" s="7" t="s">
        <v>9</v>
      </c>
      <c r="C1773" s="16" t="s">
        <v>40</v>
      </c>
      <c r="D1773" s="16" t="s">
        <v>41</v>
      </c>
      <c r="E1773" s="13" t="str">
        <f>+HYPERLINK("http://trademark.i-assist.jp/data/china/image_1891th/77615057.pdf","77615057")</f>
        <v>77615057</v>
      </c>
      <c r="F1773" s="16" t="s">
        <v>8233</v>
      </c>
      <c r="G1773" s="16" t="s">
        <v>8232</v>
      </c>
      <c r="H1773" s="16" t="s">
        <v>8234</v>
      </c>
      <c r="I1773" s="17">
        <v>45379</v>
      </c>
    </row>
    <row r="1774" spans="1:9" x14ac:dyDescent="0.15">
      <c r="A1774" s="16" t="s">
        <v>8240</v>
      </c>
      <c r="B1774" s="7" t="s">
        <v>9</v>
      </c>
      <c r="C1774" s="16" t="s">
        <v>40</v>
      </c>
      <c r="D1774" s="16" t="s">
        <v>41</v>
      </c>
      <c r="E1774" s="13" t="str">
        <f>+HYPERLINK("http://trademark.i-assist.jp/data/china/image_1891th/77615079.pdf","77615079")</f>
        <v>77615079</v>
      </c>
      <c r="F1774" s="16" t="s">
        <v>8238</v>
      </c>
      <c r="G1774" s="16" t="s">
        <v>8237</v>
      </c>
      <c r="H1774" s="16" t="s">
        <v>8239</v>
      </c>
      <c r="I1774" s="17">
        <v>45379</v>
      </c>
    </row>
    <row r="1775" spans="1:9" x14ac:dyDescent="0.15">
      <c r="A1775" s="16" t="s">
        <v>8245</v>
      </c>
      <c r="B1775" s="7" t="s">
        <v>9</v>
      </c>
      <c r="C1775" s="16" t="s">
        <v>40</v>
      </c>
      <c r="D1775" s="16" t="s">
        <v>41</v>
      </c>
      <c r="E1775" s="13" t="str">
        <f>+HYPERLINK("http://trademark.i-assist.jp/data/china/image_1891th/77615140.pdf","77615140")</f>
        <v>77615140</v>
      </c>
      <c r="F1775" s="16" t="s">
        <v>8243</v>
      </c>
      <c r="G1775" s="16" t="s">
        <v>8242</v>
      </c>
      <c r="H1775" s="16" t="s">
        <v>8244</v>
      </c>
      <c r="I1775" s="17">
        <v>45379</v>
      </c>
    </row>
    <row r="1776" spans="1:9" x14ac:dyDescent="0.15">
      <c r="A1776" s="16" t="s">
        <v>8251</v>
      </c>
      <c r="B1776" s="7" t="s">
        <v>9</v>
      </c>
      <c r="C1776" s="16" t="s">
        <v>40</v>
      </c>
      <c r="D1776" s="16" t="s">
        <v>41</v>
      </c>
      <c r="E1776" s="13" t="str">
        <f>+HYPERLINK("http://trademark.i-assist.jp/data/china/image_1891th/77615176.pdf","77615176")</f>
        <v>77615176</v>
      </c>
      <c r="F1776" s="16" t="s">
        <v>8248</v>
      </c>
      <c r="G1776" s="16" t="s">
        <v>8247</v>
      </c>
      <c r="H1776" s="16" t="s">
        <v>8249</v>
      </c>
      <c r="I1776" s="17">
        <v>45379</v>
      </c>
    </row>
    <row r="1777" spans="1:9" x14ac:dyDescent="0.15">
      <c r="A1777" s="16" t="s">
        <v>8256</v>
      </c>
      <c r="B1777" s="7" t="s">
        <v>9</v>
      </c>
      <c r="C1777" s="16" t="s">
        <v>40</v>
      </c>
      <c r="D1777" s="16" t="s">
        <v>41</v>
      </c>
      <c r="E1777" s="13" t="str">
        <f>+HYPERLINK("http://trademark.i-assist.jp/data/china/image_1891th/77615631.pdf","77615631")</f>
        <v>77615631</v>
      </c>
      <c r="F1777" s="16" t="s">
        <v>8254</v>
      </c>
      <c r="G1777" s="16" t="s">
        <v>8253</v>
      </c>
      <c r="H1777" s="16" t="s">
        <v>8255</v>
      </c>
      <c r="I1777" s="17">
        <v>45379</v>
      </c>
    </row>
    <row r="1778" spans="1:9" x14ac:dyDescent="0.15">
      <c r="A1778" s="16" t="s">
        <v>8261</v>
      </c>
      <c r="B1778" s="7" t="s">
        <v>9</v>
      </c>
      <c r="C1778" s="16" t="s">
        <v>40</v>
      </c>
      <c r="D1778" s="16" t="s">
        <v>41</v>
      </c>
      <c r="E1778" s="13" t="str">
        <f>+HYPERLINK("http://trademark.i-assist.jp/data/china/image_1891th/77615876.pdf","77615876")</f>
        <v>77615876</v>
      </c>
      <c r="F1778" s="16" t="s">
        <v>8259</v>
      </c>
      <c r="G1778" s="16" t="s">
        <v>8258</v>
      </c>
      <c r="H1778" s="16" t="s">
        <v>8260</v>
      </c>
      <c r="I1778" s="17">
        <v>45379</v>
      </c>
    </row>
    <row r="1779" spans="1:9" x14ac:dyDescent="0.15">
      <c r="A1779" s="16" t="s">
        <v>8266</v>
      </c>
      <c r="B1779" s="7" t="s">
        <v>9</v>
      </c>
      <c r="C1779" s="16" t="s">
        <v>40</v>
      </c>
      <c r="D1779" s="16" t="s">
        <v>41</v>
      </c>
      <c r="E1779" s="13" t="str">
        <f>+HYPERLINK("http://trademark.i-assist.jp/data/china/image_1891th/77615929.pdf","77615929")</f>
        <v>77615929</v>
      </c>
      <c r="F1779" s="16" t="s">
        <v>8264</v>
      </c>
      <c r="G1779" s="16" t="s">
        <v>8263</v>
      </c>
      <c r="H1779" s="16" t="s">
        <v>8265</v>
      </c>
      <c r="I1779" s="17">
        <v>45379</v>
      </c>
    </row>
    <row r="1780" spans="1:9" x14ac:dyDescent="0.15">
      <c r="A1780" s="16" t="s">
        <v>8270</v>
      </c>
      <c r="B1780" s="7" t="s">
        <v>9</v>
      </c>
      <c r="C1780" s="16" t="s">
        <v>40</v>
      </c>
      <c r="D1780" s="16" t="s">
        <v>41</v>
      </c>
      <c r="E1780" s="13" t="str">
        <f>+HYPERLINK("http://trademark.i-assist.jp/data/china/image_1891th/77615976.pdf","77615976")</f>
        <v>77615976</v>
      </c>
      <c r="F1780" s="16" t="s">
        <v>8268</v>
      </c>
      <c r="G1780" s="16" t="s">
        <v>8074</v>
      </c>
      <c r="H1780" s="16" t="s">
        <v>8269</v>
      </c>
      <c r="I1780" s="17">
        <v>45379</v>
      </c>
    </row>
    <row r="1781" spans="1:9" x14ac:dyDescent="0.15">
      <c r="A1781" s="16" t="s">
        <v>8275</v>
      </c>
      <c r="B1781" s="7" t="s">
        <v>9</v>
      </c>
      <c r="C1781" s="16" t="s">
        <v>40</v>
      </c>
      <c r="D1781" s="16" t="s">
        <v>41</v>
      </c>
      <c r="E1781" s="13" t="str">
        <f>+HYPERLINK("http://trademark.i-assist.jp/data/china/image_1891th/77616177.pdf","77616177")</f>
        <v>77616177</v>
      </c>
      <c r="F1781" s="16" t="s">
        <v>8273</v>
      </c>
      <c r="G1781" s="16" t="s">
        <v>8272</v>
      </c>
      <c r="H1781" s="16" t="s">
        <v>8274</v>
      </c>
      <c r="I1781" s="17">
        <v>45379</v>
      </c>
    </row>
    <row r="1782" spans="1:9" x14ac:dyDescent="0.15">
      <c r="A1782" s="16" t="s">
        <v>8280</v>
      </c>
      <c r="B1782" s="7" t="s">
        <v>9</v>
      </c>
      <c r="C1782" s="16" t="s">
        <v>40</v>
      </c>
      <c r="D1782" s="16" t="s">
        <v>41</v>
      </c>
      <c r="E1782" s="13" t="str">
        <f>+HYPERLINK("http://trademark.i-assist.jp/data/china/image_1891th/77616270.pdf","77616270")</f>
        <v>77616270</v>
      </c>
      <c r="F1782" s="16" t="s">
        <v>8278</v>
      </c>
      <c r="G1782" s="16" t="s">
        <v>8277</v>
      </c>
      <c r="H1782" s="16" t="s">
        <v>8279</v>
      </c>
      <c r="I1782" s="17">
        <v>45379</v>
      </c>
    </row>
    <row r="1783" spans="1:9" x14ac:dyDescent="0.15">
      <c r="A1783" s="16" t="s">
        <v>8285</v>
      </c>
      <c r="B1783" s="7" t="s">
        <v>9</v>
      </c>
      <c r="C1783" s="16" t="s">
        <v>40</v>
      </c>
      <c r="D1783" s="16" t="s">
        <v>41</v>
      </c>
      <c r="E1783" s="13" t="str">
        <f>+HYPERLINK("http://trademark.i-assist.jp/data/china/image_1891th/77616458.pdf","77616458")</f>
        <v>77616458</v>
      </c>
      <c r="F1783" s="16" t="s">
        <v>8283</v>
      </c>
      <c r="G1783" s="16" t="s">
        <v>8282</v>
      </c>
      <c r="H1783" s="16" t="s">
        <v>8284</v>
      </c>
      <c r="I1783" s="17">
        <v>45379</v>
      </c>
    </row>
    <row r="1784" spans="1:9" x14ac:dyDescent="0.15">
      <c r="A1784" s="16" t="s">
        <v>8289</v>
      </c>
      <c r="B1784" s="7" t="s">
        <v>9</v>
      </c>
      <c r="C1784" s="16" t="s">
        <v>40</v>
      </c>
      <c r="D1784" s="16" t="s">
        <v>41</v>
      </c>
      <c r="E1784" s="13" t="str">
        <f>+HYPERLINK("http://trademark.i-assist.jp/data/china/image_1891th/77616595.pdf","77616595")</f>
        <v>77616595</v>
      </c>
      <c r="F1784" s="16" t="s">
        <v>8287</v>
      </c>
      <c r="G1784" s="16" t="s">
        <v>17</v>
      </c>
      <c r="H1784" s="16" t="s">
        <v>8288</v>
      </c>
      <c r="I1784" s="17">
        <v>45379</v>
      </c>
    </row>
    <row r="1785" spans="1:9" x14ac:dyDescent="0.15">
      <c r="A1785" s="16" t="s">
        <v>8294</v>
      </c>
      <c r="B1785" s="7" t="s">
        <v>9</v>
      </c>
      <c r="C1785" s="16" t="s">
        <v>40</v>
      </c>
      <c r="D1785" s="16" t="s">
        <v>41</v>
      </c>
      <c r="E1785" s="13" t="str">
        <f>+HYPERLINK("http://trademark.i-assist.jp/data/china/image_1891th/77616833.pdf","77616833")</f>
        <v>77616833</v>
      </c>
      <c r="F1785" s="16" t="s">
        <v>8292</v>
      </c>
      <c r="G1785" s="16" t="s">
        <v>8291</v>
      </c>
      <c r="H1785" s="16" t="s">
        <v>8293</v>
      </c>
      <c r="I1785" s="17">
        <v>45379</v>
      </c>
    </row>
    <row r="1786" spans="1:9" x14ac:dyDescent="0.15">
      <c r="A1786" s="16" t="s">
        <v>8298</v>
      </c>
      <c r="B1786" s="7" t="s">
        <v>9</v>
      </c>
      <c r="C1786" s="16" t="s">
        <v>40</v>
      </c>
      <c r="D1786" s="16" t="s">
        <v>41</v>
      </c>
      <c r="E1786" s="13" t="str">
        <f>+HYPERLINK("http://trademark.i-assist.jp/data/china/image_1891th/77617144.pdf","77617144")</f>
        <v>77617144</v>
      </c>
      <c r="F1786" s="16" t="s">
        <v>8296</v>
      </c>
      <c r="G1786" s="16" t="s">
        <v>3342</v>
      </c>
      <c r="H1786" s="16" t="s">
        <v>8297</v>
      </c>
      <c r="I1786" s="17">
        <v>45379</v>
      </c>
    </row>
    <row r="1787" spans="1:9" x14ac:dyDescent="0.15">
      <c r="A1787" s="16" t="s">
        <v>8303</v>
      </c>
      <c r="B1787" s="7" t="s">
        <v>9</v>
      </c>
      <c r="C1787" s="16" t="s">
        <v>40</v>
      </c>
      <c r="D1787" s="16" t="s">
        <v>41</v>
      </c>
      <c r="E1787" s="13" t="str">
        <f>+HYPERLINK("http://trademark.i-assist.jp/data/china/image_1891th/77617211.pdf","77617211")</f>
        <v>77617211</v>
      </c>
      <c r="F1787" s="16" t="s">
        <v>8301</v>
      </c>
      <c r="G1787" s="16" t="s">
        <v>8300</v>
      </c>
      <c r="H1787" s="16" t="s">
        <v>8302</v>
      </c>
      <c r="I1787" s="17">
        <v>45379</v>
      </c>
    </row>
    <row r="1788" spans="1:9" x14ac:dyDescent="0.15">
      <c r="A1788" s="16" t="s">
        <v>8308</v>
      </c>
      <c r="B1788" s="7" t="s">
        <v>9</v>
      </c>
      <c r="C1788" s="16" t="s">
        <v>40</v>
      </c>
      <c r="D1788" s="16" t="s">
        <v>41</v>
      </c>
      <c r="E1788" s="13" t="str">
        <f>+HYPERLINK("http://trademark.i-assist.jp/data/china/image_1891th/77617250.pdf","77617250")</f>
        <v>77617250</v>
      </c>
      <c r="F1788" s="16" t="s">
        <v>8306</v>
      </c>
      <c r="G1788" s="16" t="s">
        <v>8305</v>
      </c>
      <c r="H1788" s="16" t="s">
        <v>8307</v>
      </c>
      <c r="I1788" s="17">
        <v>45379</v>
      </c>
    </row>
    <row r="1789" spans="1:9" x14ac:dyDescent="0.15">
      <c r="A1789" s="16" t="s">
        <v>8313</v>
      </c>
      <c r="B1789" s="7" t="s">
        <v>9</v>
      </c>
      <c r="C1789" s="16" t="s">
        <v>40</v>
      </c>
      <c r="D1789" s="16" t="s">
        <v>41</v>
      </c>
      <c r="E1789" s="13" t="str">
        <f>+HYPERLINK("http://trademark.i-assist.jp/data/china/image_1891th/77617608.pdf","77617608")</f>
        <v>77617608</v>
      </c>
      <c r="F1789" s="16" t="s">
        <v>8311</v>
      </c>
      <c r="G1789" s="16" t="s">
        <v>8310</v>
      </c>
      <c r="H1789" s="16" t="s">
        <v>8312</v>
      </c>
      <c r="I1789" s="17">
        <v>45379</v>
      </c>
    </row>
    <row r="1790" spans="1:9" x14ac:dyDescent="0.15">
      <c r="A1790" s="16" t="s">
        <v>8318</v>
      </c>
      <c r="B1790" s="7" t="s">
        <v>9</v>
      </c>
      <c r="C1790" s="16" t="s">
        <v>40</v>
      </c>
      <c r="D1790" s="16" t="s">
        <v>41</v>
      </c>
      <c r="E1790" s="13" t="str">
        <f>+HYPERLINK("http://trademark.i-assist.jp/data/china/image_1891th/77617855.pdf","77617855")</f>
        <v>77617855</v>
      </c>
      <c r="F1790" s="16" t="s">
        <v>8316</v>
      </c>
      <c r="G1790" s="16" t="s">
        <v>8315</v>
      </c>
      <c r="H1790" s="16" t="s">
        <v>8317</v>
      </c>
      <c r="I1790" s="17">
        <v>45379</v>
      </c>
    </row>
    <row r="1791" spans="1:9" x14ac:dyDescent="0.15">
      <c r="A1791" s="16" t="s">
        <v>8323</v>
      </c>
      <c r="B1791" s="7" t="s">
        <v>9</v>
      </c>
      <c r="C1791" s="16" t="s">
        <v>40</v>
      </c>
      <c r="D1791" s="16" t="s">
        <v>41</v>
      </c>
      <c r="E1791" s="13" t="str">
        <f>+HYPERLINK("http://trademark.i-assist.jp/data/china/image_1891th/77618105.pdf","77618105")</f>
        <v>77618105</v>
      </c>
      <c r="F1791" s="16" t="s">
        <v>8321</v>
      </c>
      <c r="G1791" s="16" t="s">
        <v>8320</v>
      </c>
      <c r="H1791" s="16" t="s">
        <v>8322</v>
      </c>
      <c r="I1791" s="17">
        <v>45379</v>
      </c>
    </row>
    <row r="1792" spans="1:9" x14ac:dyDescent="0.15">
      <c r="A1792" s="16" t="s">
        <v>8328</v>
      </c>
      <c r="B1792" s="7" t="s">
        <v>9</v>
      </c>
      <c r="C1792" s="16" t="s">
        <v>40</v>
      </c>
      <c r="D1792" s="16" t="s">
        <v>41</v>
      </c>
      <c r="E1792" s="13" t="str">
        <f>+HYPERLINK("http://trademark.i-assist.jp/data/china/image_1891th/77618171.pdf","77618171")</f>
        <v>77618171</v>
      </c>
      <c r="F1792" s="16" t="s">
        <v>8326</v>
      </c>
      <c r="G1792" s="16" t="s">
        <v>8325</v>
      </c>
      <c r="H1792" s="16" t="s">
        <v>8327</v>
      </c>
      <c r="I1792" s="17">
        <v>45379</v>
      </c>
    </row>
    <row r="1793" spans="1:9" x14ac:dyDescent="0.15">
      <c r="A1793" s="16" t="s">
        <v>8333</v>
      </c>
      <c r="B1793" s="7" t="s">
        <v>9</v>
      </c>
      <c r="C1793" s="16" t="s">
        <v>40</v>
      </c>
      <c r="D1793" s="16" t="s">
        <v>41</v>
      </c>
      <c r="E1793" s="13" t="str">
        <f>+HYPERLINK("http://trademark.i-assist.jp/data/china/image_1891th/77618203.pdf","77618203")</f>
        <v>77618203</v>
      </c>
      <c r="F1793" s="16" t="s">
        <v>8331</v>
      </c>
      <c r="G1793" s="16" t="s">
        <v>8330</v>
      </c>
      <c r="H1793" s="16" t="s">
        <v>8332</v>
      </c>
      <c r="I1793" s="17">
        <v>45379</v>
      </c>
    </row>
    <row r="1794" spans="1:9" x14ac:dyDescent="0.15">
      <c r="A1794" s="16" t="s">
        <v>8337</v>
      </c>
      <c r="B1794" s="7" t="s">
        <v>9</v>
      </c>
      <c r="C1794" s="16" t="s">
        <v>40</v>
      </c>
      <c r="D1794" s="16" t="s">
        <v>41</v>
      </c>
      <c r="E1794" s="13" t="str">
        <f>+HYPERLINK("http://trademark.i-assist.jp/data/china/image_1891th/77618555.pdf","77618555")</f>
        <v>77618555</v>
      </c>
      <c r="F1794" s="16" t="s">
        <v>8335</v>
      </c>
      <c r="G1794" s="16" t="s">
        <v>7963</v>
      </c>
      <c r="H1794" s="16" t="s">
        <v>8336</v>
      </c>
      <c r="I1794" s="17">
        <v>45379</v>
      </c>
    </row>
    <row r="1795" spans="1:9" x14ac:dyDescent="0.15">
      <c r="A1795" s="16" t="s">
        <v>8342</v>
      </c>
      <c r="B1795" s="7" t="s">
        <v>9</v>
      </c>
      <c r="C1795" s="16" t="s">
        <v>40</v>
      </c>
      <c r="D1795" s="16" t="s">
        <v>41</v>
      </c>
      <c r="E1795" s="13" t="str">
        <f>+HYPERLINK("http://trademark.i-assist.jp/data/china/image_1891th/77618592.pdf","77618592")</f>
        <v>77618592</v>
      </c>
      <c r="F1795" s="16" t="s">
        <v>8340</v>
      </c>
      <c r="G1795" s="16" t="s">
        <v>8339</v>
      </c>
      <c r="H1795" s="16" t="s">
        <v>8341</v>
      </c>
      <c r="I1795" s="17">
        <v>45379</v>
      </c>
    </row>
    <row r="1796" spans="1:9" x14ac:dyDescent="0.15">
      <c r="A1796" s="16" t="s">
        <v>8347</v>
      </c>
      <c r="B1796" s="7" t="s">
        <v>9</v>
      </c>
      <c r="C1796" s="16" t="s">
        <v>40</v>
      </c>
      <c r="D1796" s="16" t="s">
        <v>41</v>
      </c>
      <c r="E1796" s="13" t="str">
        <f>+HYPERLINK("http://trademark.i-assist.jp/data/china/image_1891th/77618744.pdf","77618744")</f>
        <v>77618744</v>
      </c>
      <c r="F1796" s="16" t="s">
        <v>8345</v>
      </c>
      <c r="G1796" s="16" t="s">
        <v>8344</v>
      </c>
      <c r="H1796" s="16" t="s">
        <v>8346</v>
      </c>
      <c r="I1796" s="17">
        <v>45379</v>
      </c>
    </row>
    <row r="1797" spans="1:9" x14ac:dyDescent="0.15">
      <c r="A1797" s="16" t="s">
        <v>8352</v>
      </c>
      <c r="B1797" s="7" t="s">
        <v>9</v>
      </c>
      <c r="C1797" s="16" t="s">
        <v>40</v>
      </c>
      <c r="D1797" s="16" t="s">
        <v>41</v>
      </c>
      <c r="E1797" s="13" t="str">
        <f>+HYPERLINK("http://trademark.i-assist.jp/data/china/image_1891th/77619393.pdf","77619393")</f>
        <v>77619393</v>
      </c>
      <c r="F1797" s="16" t="s">
        <v>8350</v>
      </c>
      <c r="G1797" s="16" t="s">
        <v>8349</v>
      </c>
      <c r="H1797" s="16" t="s">
        <v>8351</v>
      </c>
      <c r="I1797" s="17">
        <v>45379</v>
      </c>
    </row>
    <row r="1798" spans="1:9" x14ac:dyDescent="0.15">
      <c r="A1798" s="16" t="s">
        <v>8357</v>
      </c>
      <c r="B1798" s="7" t="s">
        <v>9</v>
      </c>
      <c r="C1798" s="16" t="s">
        <v>40</v>
      </c>
      <c r="D1798" s="16" t="s">
        <v>41</v>
      </c>
      <c r="E1798" s="13" t="str">
        <f>+HYPERLINK("http://trademark.i-assist.jp/data/china/image_1891th/77619697.pdf","77619697")</f>
        <v>77619697</v>
      </c>
      <c r="F1798" s="16" t="s">
        <v>8355</v>
      </c>
      <c r="G1798" s="16" t="s">
        <v>8354</v>
      </c>
      <c r="H1798" s="16" t="s">
        <v>8356</v>
      </c>
      <c r="I1798" s="17">
        <v>45379</v>
      </c>
    </row>
    <row r="1799" spans="1:9" x14ac:dyDescent="0.15">
      <c r="A1799" s="16" t="s">
        <v>8361</v>
      </c>
      <c r="B1799" s="7" t="s">
        <v>9</v>
      </c>
      <c r="C1799" s="16" t="s">
        <v>40</v>
      </c>
      <c r="D1799" s="16" t="s">
        <v>41</v>
      </c>
      <c r="E1799" s="13" t="str">
        <f>+HYPERLINK("http://trademark.i-assist.jp/data/china/image_1891th/77619769.pdf","77619769")</f>
        <v>77619769</v>
      </c>
      <c r="F1799" s="16" t="s">
        <v>52</v>
      </c>
      <c r="G1799" s="16" t="s">
        <v>8359</v>
      </c>
      <c r="H1799" s="16" t="s">
        <v>8360</v>
      </c>
      <c r="I1799" s="17">
        <v>45379</v>
      </c>
    </row>
    <row r="1800" spans="1:9" x14ac:dyDescent="0.15">
      <c r="A1800" s="16" t="s">
        <v>8366</v>
      </c>
      <c r="B1800" s="7" t="s">
        <v>9</v>
      </c>
      <c r="C1800" s="16" t="s">
        <v>40</v>
      </c>
      <c r="D1800" s="16" t="s">
        <v>41</v>
      </c>
      <c r="E1800" s="13" t="str">
        <f>+HYPERLINK("http://trademark.i-assist.jp/data/china/image_1891th/77619996.pdf","77619996")</f>
        <v>77619996</v>
      </c>
      <c r="F1800" s="16" t="s">
        <v>8364</v>
      </c>
      <c r="G1800" s="16" t="s">
        <v>8363</v>
      </c>
      <c r="H1800" s="16" t="s">
        <v>8365</v>
      </c>
      <c r="I1800" s="17">
        <v>45379</v>
      </c>
    </row>
    <row r="1801" spans="1:9" x14ac:dyDescent="0.15">
      <c r="A1801" s="16" t="s">
        <v>8371</v>
      </c>
      <c r="B1801" s="7" t="s">
        <v>9</v>
      </c>
      <c r="C1801" s="16" t="s">
        <v>40</v>
      </c>
      <c r="D1801" s="16" t="s">
        <v>41</v>
      </c>
      <c r="E1801" s="13" t="str">
        <f>+HYPERLINK("http://trademark.i-assist.jp/data/china/image_1891th/77620056.pdf","77620056")</f>
        <v>77620056</v>
      </c>
      <c r="F1801" s="16" t="s">
        <v>8369</v>
      </c>
      <c r="G1801" s="16" t="s">
        <v>8368</v>
      </c>
      <c r="H1801" s="16" t="s">
        <v>8370</v>
      </c>
      <c r="I1801" s="17">
        <v>45379</v>
      </c>
    </row>
    <row r="1802" spans="1:9" x14ac:dyDescent="0.15">
      <c r="A1802" s="16" t="s">
        <v>8376</v>
      </c>
      <c r="B1802" s="7" t="s">
        <v>9</v>
      </c>
      <c r="C1802" s="16" t="s">
        <v>40</v>
      </c>
      <c r="D1802" s="16" t="s">
        <v>41</v>
      </c>
      <c r="E1802" s="13" t="str">
        <f>+HYPERLINK("http://trademark.i-assist.jp/data/china/image_1891th/77620429.pdf","77620429")</f>
        <v>77620429</v>
      </c>
      <c r="F1802" s="16" t="s">
        <v>8374</v>
      </c>
      <c r="G1802" s="16" t="s">
        <v>8373</v>
      </c>
      <c r="H1802" s="16" t="s">
        <v>8375</v>
      </c>
      <c r="I1802" s="17">
        <v>45379</v>
      </c>
    </row>
    <row r="1803" spans="1:9" x14ac:dyDescent="0.15">
      <c r="A1803" s="16" t="s">
        <v>8381</v>
      </c>
      <c r="B1803" s="7" t="s">
        <v>9</v>
      </c>
      <c r="C1803" s="16" t="s">
        <v>40</v>
      </c>
      <c r="D1803" s="16" t="s">
        <v>41</v>
      </c>
      <c r="E1803" s="13" t="str">
        <f>+HYPERLINK("http://trademark.i-assist.jp/data/china/image_1891th/77620933.pdf","77620933")</f>
        <v>77620933</v>
      </c>
      <c r="F1803" s="16" t="s">
        <v>8379</v>
      </c>
      <c r="G1803" s="16" t="s">
        <v>8378</v>
      </c>
      <c r="H1803" s="16" t="s">
        <v>8380</v>
      </c>
      <c r="I1803" s="17">
        <v>45379</v>
      </c>
    </row>
    <row r="1804" spans="1:9" x14ac:dyDescent="0.15">
      <c r="A1804" s="16" t="s">
        <v>8386</v>
      </c>
      <c r="B1804" s="7" t="s">
        <v>9</v>
      </c>
      <c r="C1804" s="16" t="s">
        <v>40</v>
      </c>
      <c r="D1804" s="16" t="s">
        <v>41</v>
      </c>
      <c r="E1804" s="13" t="str">
        <f>+HYPERLINK("http://trademark.i-assist.jp/data/china/image_1891th/77620960.pdf","77620960")</f>
        <v>77620960</v>
      </c>
      <c r="F1804" s="16" t="s">
        <v>8384</v>
      </c>
      <c r="G1804" s="16" t="s">
        <v>8383</v>
      </c>
      <c r="H1804" s="16" t="s">
        <v>8385</v>
      </c>
      <c r="I1804" s="17">
        <v>45379</v>
      </c>
    </row>
    <row r="1805" spans="1:9" x14ac:dyDescent="0.15">
      <c r="A1805" s="16" t="s">
        <v>8391</v>
      </c>
      <c r="B1805" s="7" t="s">
        <v>9</v>
      </c>
      <c r="C1805" s="16" t="s">
        <v>40</v>
      </c>
      <c r="D1805" s="16" t="s">
        <v>41</v>
      </c>
      <c r="E1805" s="13" t="str">
        <f>+HYPERLINK("http://trademark.i-assist.jp/data/china/image_1891th/77621356.pdf","77621356")</f>
        <v>77621356</v>
      </c>
      <c r="F1805" s="16" t="s">
        <v>8389</v>
      </c>
      <c r="G1805" s="16" t="s">
        <v>8388</v>
      </c>
      <c r="H1805" s="16" t="s">
        <v>8390</v>
      </c>
      <c r="I1805" s="17">
        <v>45379</v>
      </c>
    </row>
    <row r="1806" spans="1:9" x14ac:dyDescent="0.15">
      <c r="A1806" s="16" t="s">
        <v>8396</v>
      </c>
      <c r="B1806" s="7" t="s">
        <v>9</v>
      </c>
      <c r="C1806" s="16" t="s">
        <v>40</v>
      </c>
      <c r="D1806" s="16" t="s">
        <v>41</v>
      </c>
      <c r="E1806" s="13" t="str">
        <f>+HYPERLINK("http://trademark.i-assist.jp/data/china/image_1891th/77621571.pdf","77621571")</f>
        <v>77621571</v>
      </c>
      <c r="F1806" s="16" t="s">
        <v>8394</v>
      </c>
      <c r="G1806" s="16" t="s">
        <v>8393</v>
      </c>
      <c r="H1806" s="16" t="s">
        <v>8395</v>
      </c>
      <c r="I1806" s="17">
        <v>45379</v>
      </c>
    </row>
    <row r="1807" spans="1:9" x14ac:dyDescent="0.15">
      <c r="A1807" s="16" t="s">
        <v>8401</v>
      </c>
      <c r="B1807" s="7" t="s">
        <v>9</v>
      </c>
      <c r="C1807" s="16" t="s">
        <v>40</v>
      </c>
      <c r="D1807" s="16" t="s">
        <v>41</v>
      </c>
      <c r="E1807" s="13" t="str">
        <f>+HYPERLINK("http://trademark.i-assist.jp/data/china/image_1891th/77621587.pdf","77621587")</f>
        <v>77621587</v>
      </c>
      <c r="F1807" s="16" t="s">
        <v>8399</v>
      </c>
      <c r="G1807" s="16" t="s">
        <v>8398</v>
      </c>
      <c r="H1807" s="16" t="s">
        <v>8400</v>
      </c>
      <c r="I1807" s="17">
        <v>45379</v>
      </c>
    </row>
    <row r="1808" spans="1:9" x14ac:dyDescent="0.15">
      <c r="A1808" s="16" t="s">
        <v>8406</v>
      </c>
      <c r="B1808" s="7" t="s">
        <v>9</v>
      </c>
      <c r="C1808" s="16" t="s">
        <v>40</v>
      </c>
      <c r="D1808" s="16" t="s">
        <v>41</v>
      </c>
      <c r="E1808" s="13" t="str">
        <f>+HYPERLINK("http://trademark.i-assist.jp/data/china/image_1891th/77621674.pdf","77621674")</f>
        <v>77621674</v>
      </c>
      <c r="F1808" s="16" t="s">
        <v>8404</v>
      </c>
      <c r="G1808" s="16" t="s">
        <v>8403</v>
      </c>
      <c r="H1808" s="16" t="s">
        <v>8405</v>
      </c>
      <c r="I1808" s="17">
        <v>45379</v>
      </c>
    </row>
    <row r="1809" spans="1:9" x14ac:dyDescent="0.15">
      <c r="A1809" s="16" t="s">
        <v>8411</v>
      </c>
      <c r="B1809" s="7" t="s">
        <v>9</v>
      </c>
      <c r="C1809" s="16" t="s">
        <v>40</v>
      </c>
      <c r="D1809" s="16" t="s">
        <v>41</v>
      </c>
      <c r="E1809" s="13" t="str">
        <f>+HYPERLINK("http://trademark.i-assist.jp/data/china/image_1891th/77621868.pdf","77621868")</f>
        <v>77621868</v>
      </c>
      <c r="F1809" s="16" t="s">
        <v>8409</v>
      </c>
      <c r="G1809" s="16" t="s">
        <v>8408</v>
      </c>
      <c r="H1809" s="16" t="s">
        <v>8410</v>
      </c>
      <c r="I1809" s="17">
        <v>45379</v>
      </c>
    </row>
    <row r="1810" spans="1:9" x14ac:dyDescent="0.15">
      <c r="A1810" s="16" t="s">
        <v>8416</v>
      </c>
      <c r="B1810" s="7" t="s">
        <v>9</v>
      </c>
      <c r="C1810" s="16" t="s">
        <v>40</v>
      </c>
      <c r="D1810" s="16" t="s">
        <v>41</v>
      </c>
      <c r="E1810" s="13" t="str">
        <f>+HYPERLINK("http://trademark.i-assist.jp/data/china/image_1891th/77621906.pdf","77621906")</f>
        <v>77621906</v>
      </c>
      <c r="F1810" s="16" t="s">
        <v>8414</v>
      </c>
      <c r="G1810" s="16" t="s">
        <v>8413</v>
      </c>
      <c r="H1810" s="16" t="s">
        <v>8415</v>
      </c>
      <c r="I1810" s="17">
        <v>45379</v>
      </c>
    </row>
    <row r="1811" spans="1:9" x14ac:dyDescent="0.15">
      <c r="A1811" s="16" t="s">
        <v>8421</v>
      </c>
      <c r="B1811" s="7" t="s">
        <v>9</v>
      </c>
      <c r="C1811" s="16" t="s">
        <v>40</v>
      </c>
      <c r="D1811" s="16" t="s">
        <v>41</v>
      </c>
      <c r="E1811" s="13" t="str">
        <f>+HYPERLINK("http://trademark.i-assist.jp/data/china/image_1891th/77622010.pdf","77622010")</f>
        <v>77622010</v>
      </c>
      <c r="F1811" s="16" t="s">
        <v>8419</v>
      </c>
      <c r="G1811" s="16" t="s">
        <v>8418</v>
      </c>
      <c r="H1811" s="16" t="s">
        <v>8420</v>
      </c>
      <c r="I1811" s="17">
        <v>45379</v>
      </c>
    </row>
    <row r="1812" spans="1:9" x14ac:dyDescent="0.15">
      <c r="A1812" s="16" t="s">
        <v>8426</v>
      </c>
      <c r="B1812" s="7" t="s">
        <v>9</v>
      </c>
      <c r="C1812" s="16" t="s">
        <v>40</v>
      </c>
      <c r="D1812" s="16" t="s">
        <v>41</v>
      </c>
      <c r="E1812" s="13" t="str">
        <f>+HYPERLINK("http://trademark.i-assist.jp/data/china/image_1891th/77622100.pdf","77622100")</f>
        <v>77622100</v>
      </c>
      <c r="F1812" s="16" t="s">
        <v>8424</v>
      </c>
      <c r="G1812" s="16" t="s">
        <v>8423</v>
      </c>
      <c r="H1812" s="16" t="s">
        <v>8425</v>
      </c>
      <c r="I1812" s="17">
        <v>45379</v>
      </c>
    </row>
    <row r="1813" spans="1:9" x14ac:dyDescent="0.15">
      <c r="A1813" s="16" t="s">
        <v>8431</v>
      </c>
      <c r="B1813" s="7" t="s">
        <v>9</v>
      </c>
      <c r="C1813" s="16" t="s">
        <v>40</v>
      </c>
      <c r="D1813" s="16" t="s">
        <v>41</v>
      </c>
      <c r="E1813" s="13" t="str">
        <f>+HYPERLINK("http://trademark.i-assist.jp/data/china/image_1891th/77622529.pdf","77622529")</f>
        <v>77622529</v>
      </c>
      <c r="F1813" s="16" t="s">
        <v>8429</v>
      </c>
      <c r="G1813" s="16" t="s">
        <v>8428</v>
      </c>
      <c r="H1813" s="16" t="s">
        <v>8430</v>
      </c>
      <c r="I1813" s="17">
        <v>45379</v>
      </c>
    </row>
    <row r="1814" spans="1:9" x14ac:dyDescent="0.15">
      <c r="A1814" s="16" t="s">
        <v>8436</v>
      </c>
      <c r="B1814" s="7" t="s">
        <v>9</v>
      </c>
      <c r="C1814" s="16" t="s">
        <v>40</v>
      </c>
      <c r="D1814" s="16" t="s">
        <v>41</v>
      </c>
      <c r="E1814" s="13" t="str">
        <f>+HYPERLINK("http://trademark.i-assist.jp/data/china/image_1891th/77622884.pdf","77622884")</f>
        <v>77622884</v>
      </c>
      <c r="F1814" s="16" t="s">
        <v>11099</v>
      </c>
      <c r="G1814" s="16" t="s">
        <v>8433</v>
      </c>
      <c r="H1814" s="16" t="s">
        <v>8435</v>
      </c>
      <c r="I1814" s="17">
        <v>45379</v>
      </c>
    </row>
    <row r="1815" spans="1:9" x14ac:dyDescent="0.15">
      <c r="A1815" s="16" t="s">
        <v>8440</v>
      </c>
      <c r="B1815" s="7" t="s">
        <v>9</v>
      </c>
      <c r="C1815" s="16" t="s">
        <v>40</v>
      </c>
      <c r="D1815" s="16" t="s">
        <v>41</v>
      </c>
      <c r="E1815" s="13" t="str">
        <f>+HYPERLINK("http://trademark.i-assist.jp/data/china/image_1891th/77623075.pdf","77623075")</f>
        <v>77623075</v>
      </c>
      <c r="F1815" s="16" t="s">
        <v>8438</v>
      </c>
      <c r="G1815" s="16" t="s">
        <v>8021</v>
      </c>
      <c r="H1815" s="16" t="s">
        <v>8439</v>
      </c>
      <c r="I1815" s="17">
        <v>45379</v>
      </c>
    </row>
    <row r="1816" spans="1:9" x14ac:dyDescent="0.15">
      <c r="A1816" s="16" t="s">
        <v>8445</v>
      </c>
      <c r="B1816" s="7" t="s">
        <v>9</v>
      </c>
      <c r="C1816" s="16" t="s">
        <v>40</v>
      </c>
      <c r="D1816" s="16" t="s">
        <v>41</v>
      </c>
      <c r="E1816" s="13" t="str">
        <f>+HYPERLINK("http://trademark.i-assist.jp/data/china/image_1891th/77623269.pdf","77623269")</f>
        <v>77623269</v>
      </c>
      <c r="F1816" s="16" t="s">
        <v>8443</v>
      </c>
      <c r="G1816" s="16" t="s">
        <v>8442</v>
      </c>
      <c r="H1816" s="16" t="s">
        <v>8444</v>
      </c>
      <c r="I1816" s="17">
        <v>45379</v>
      </c>
    </row>
    <row r="1817" spans="1:9" x14ac:dyDescent="0.15">
      <c r="A1817" s="16" t="s">
        <v>8449</v>
      </c>
      <c r="B1817" s="7" t="s">
        <v>9</v>
      </c>
      <c r="C1817" s="16" t="s">
        <v>40</v>
      </c>
      <c r="D1817" s="16" t="s">
        <v>41</v>
      </c>
      <c r="E1817" s="13" t="str">
        <f>+HYPERLINK("http://trademark.i-assist.jp/data/china/image_1891th/77623624.pdf","77623624")</f>
        <v>77623624</v>
      </c>
      <c r="F1817" s="16" t="s">
        <v>8447</v>
      </c>
      <c r="G1817" s="16" t="s">
        <v>3002</v>
      </c>
      <c r="H1817" s="16" t="s">
        <v>8448</v>
      </c>
      <c r="I1817" s="17">
        <v>45379</v>
      </c>
    </row>
    <row r="1818" spans="1:9" x14ac:dyDescent="0.15">
      <c r="A1818" s="16" t="s">
        <v>8453</v>
      </c>
      <c r="B1818" s="7" t="s">
        <v>9</v>
      </c>
      <c r="C1818" s="16" t="s">
        <v>40</v>
      </c>
      <c r="D1818" s="16" t="s">
        <v>41</v>
      </c>
      <c r="E1818" s="13" t="str">
        <f>+HYPERLINK("http://trademark.i-assist.jp/data/china/image_1891th/77623846.pdf","77623846")</f>
        <v>77623846</v>
      </c>
      <c r="F1818" s="16" t="s">
        <v>8451</v>
      </c>
      <c r="G1818" s="16" t="s">
        <v>8051</v>
      </c>
      <c r="H1818" s="16" t="s">
        <v>8452</v>
      </c>
      <c r="I1818" s="17">
        <v>45379</v>
      </c>
    </row>
    <row r="1819" spans="1:9" x14ac:dyDescent="0.15">
      <c r="A1819" s="16" t="s">
        <v>8458</v>
      </c>
      <c r="B1819" s="7" t="s">
        <v>9</v>
      </c>
      <c r="C1819" s="16" t="s">
        <v>40</v>
      </c>
      <c r="D1819" s="16" t="s">
        <v>41</v>
      </c>
      <c r="E1819" s="13" t="str">
        <f>+HYPERLINK("http://trademark.i-assist.jp/data/china/image_1891th/77623982.pdf","77623982")</f>
        <v>77623982</v>
      </c>
      <c r="F1819" s="16" t="s">
        <v>8456</v>
      </c>
      <c r="G1819" s="16" t="s">
        <v>8455</v>
      </c>
      <c r="H1819" s="16" t="s">
        <v>8457</v>
      </c>
      <c r="I1819" s="17">
        <v>45379</v>
      </c>
    </row>
    <row r="1820" spans="1:9" x14ac:dyDescent="0.15">
      <c r="A1820" s="16" t="s">
        <v>8463</v>
      </c>
      <c r="B1820" s="7" t="s">
        <v>9</v>
      </c>
      <c r="C1820" s="16" t="s">
        <v>40</v>
      </c>
      <c r="D1820" s="16" t="s">
        <v>41</v>
      </c>
      <c r="E1820" s="13" t="str">
        <f>+HYPERLINK("http://trademark.i-assist.jp/data/china/image_1891th/77623988.pdf","77623988")</f>
        <v>77623988</v>
      </c>
      <c r="F1820" s="16" t="s">
        <v>8461</v>
      </c>
      <c r="G1820" s="16" t="s">
        <v>8460</v>
      </c>
      <c r="H1820" s="16" t="s">
        <v>8462</v>
      </c>
      <c r="I1820" s="17">
        <v>45379</v>
      </c>
    </row>
    <row r="1821" spans="1:9" x14ac:dyDescent="0.15">
      <c r="A1821" s="16" t="s">
        <v>8468</v>
      </c>
      <c r="B1821" s="7" t="s">
        <v>9</v>
      </c>
      <c r="C1821" s="16" t="s">
        <v>40</v>
      </c>
      <c r="D1821" s="16" t="s">
        <v>41</v>
      </c>
      <c r="E1821" s="13" t="str">
        <f>+HYPERLINK("http://trademark.i-assist.jp/data/china/image_1891th/77623992.pdf","77623992")</f>
        <v>77623992</v>
      </c>
      <c r="F1821" s="16" t="s">
        <v>8466</v>
      </c>
      <c r="G1821" s="16" t="s">
        <v>8465</v>
      </c>
      <c r="H1821" s="16" t="s">
        <v>8467</v>
      </c>
      <c r="I1821" s="17">
        <v>45379</v>
      </c>
    </row>
    <row r="1822" spans="1:9" x14ac:dyDescent="0.15">
      <c r="A1822" s="16" t="s">
        <v>8472</v>
      </c>
      <c r="B1822" s="7" t="s">
        <v>9</v>
      </c>
      <c r="C1822" s="16" t="s">
        <v>40</v>
      </c>
      <c r="D1822" s="16" t="s">
        <v>41</v>
      </c>
      <c r="E1822" s="13" t="str">
        <f>+HYPERLINK("http://trademark.i-assist.jp/data/china/image_1891th/77624022.pdf","77624022")</f>
        <v>77624022</v>
      </c>
      <c r="F1822" s="16" t="s">
        <v>8470</v>
      </c>
      <c r="G1822" s="16" t="s">
        <v>7963</v>
      </c>
      <c r="H1822" s="16" t="s">
        <v>8471</v>
      </c>
      <c r="I1822" s="17">
        <v>45379</v>
      </c>
    </row>
    <row r="1823" spans="1:9" x14ac:dyDescent="0.15">
      <c r="A1823" s="16" t="s">
        <v>8477</v>
      </c>
      <c r="B1823" s="7" t="s">
        <v>9</v>
      </c>
      <c r="C1823" s="16" t="s">
        <v>40</v>
      </c>
      <c r="D1823" s="16" t="s">
        <v>41</v>
      </c>
      <c r="E1823" s="13" t="str">
        <f>+HYPERLINK("http://trademark.i-assist.jp/data/china/image_1891th/77624067.pdf","77624067")</f>
        <v>77624067</v>
      </c>
      <c r="F1823" s="16" t="s">
        <v>8475</v>
      </c>
      <c r="G1823" s="16" t="s">
        <v>8474</v>
      </c>
      <c r="H1823" s="16" t="s">
        <v>8476</v>
      </c>
      <c r="I1823" s="17">
        <v>45379</v>
      </c>
    </row>
    <row r="1824" spans="1:9" x14ac:dyDescent="0.15">
      <c r="A1824" s="16" t="s">
        <v>8482</v>
      </c>
      <c r="B1824" s="7" t="s">
        <v>9</v>
      </c>
      <c r="C1824" s="16" t="s">
        <v>40</v>
      </c>
      <c r="D1824" s="16" t="s">
        <v>41</v>
      </c>
      <c r="E1824" s="13" t="str">
        <f>+HYPERLINK("http://trademark.i-assist.jp/data/china/image_1891th/77624325.pdf","77624325")</f>
        <v>77624325</v>
      </c>
      <c r="F1824" s="16" t="s">
        <v>8480</v>
      </c>
      <c r="G1824" s="16" t="s">
        <v>8479</v>
      </c>
      <c r="H1824" s="16" t="s">
        <v>8481</v>
      </c>
      <c r="I1824" s="17">
        <v>45379</v>
      </c>
    </row>
    <row r="1825" spans="1:9" x14ac:dyDescent="0.15">
      <c r="A1825" s="16" t="s">
        <v>8487</v>
      </c>
      <c r="B1825" s="7" t="s">
        <v>9</v>
      </c>
      <c r="C1825" s="16" t="s">
        <v>40</v>
      </c>
      <c r="D1825" s="16" t="s">
        <v>41</v>
      </c>
      <c r="E1825" s="13" t="str">
        <f>+HYPERLINK("http://trademark.i-assist.jp/data/china/image_1891th/77624713.pdf","77624713")</f>
        <v>77624713</v>
      </c>
      <c r="F1825" s="16" t="s">
        <v>8485</v>
      </c>
      <c r="G1825" s="16" t="s">
        <v>8484</v>
      </c>
      <c r="H1825" s="16" t="s">
        <v>8486</v>
      </c>
      <c r="I1825" s="17">
        <v>45379</v>
      </c>
    </row>
    <row r="1826" spans="1:9" x14ac:dyDescent="0.15">
      <c r="A1826" s="16" t="s">
        <v>8492</v>
      </c>
      <c r="B1826" s="7" t="s">
        <v>9</v>
      </c>
      <c r="C1826" s="16" t="s">
        <v>40</v>
      </c>
      <c r="D1826" s="16" t="s">
        <v>41</v>
      </c>
      <c r="E1826" s="13" t="str">
        <f>+HYPERLINK("http://trademark.i-assist.jp/data/china/image_1891th/77624824.pdf","77624824")</f>
        <v>77624824</v>
      </c>
      <c r="F1826" s="16" t="s">
        <v>8490</v>
      </c>
      <c r="G1826" s="16" t="s">
        <v>8489</v>
      </c>
      <c r="H1826" s="16" t="s">
        <v>8491</v>
      </c>
      <c r="I1826" s="17">
        <v>45379</v>
      </c>
    </row>
    <row r="1827" spans="1:9" x14ac:dyDescent="0.15">
      <c r="A1827" s="16" t="s">
        <v>8497</v>
      </c>
      <c r="B1827" s="7" t="s">
        <v>9</v>
      </c>
      <c r="C1827" s="16" t="s">
        <v>40</v>
      </c>
      <c r="D1827" s="16" t="s">
        <v>41</v>
      </c>
      <c r="E1827" s="13" t="str">
        <f>+HYPERLINK("http://trademark.i-assist.jp/data/china/image_1891th/77625116.pdf","77625116")</f>
        <v>77625116</v>
      </c>
      <c r="F1827" s="16" t="s">
        <v>8495</v>
      </c>
      <c r="G1827" s="16" t="s">
        <v>8494</v>
      </c>
      <c r="H1827" s="16" t="s">
        <v>8496</v>
      </c>
      <c r="I1827" s="17">
        <v>45379</v>
      </c>
    </row>
    <row r="1828" spans="1:9" x14ac:dyDescent="0.15">
      <c r="A1828" s="16" t="s">
        <v>8502</v>
      </c>
      <c r="B1828" s="7" t="s">
        <v>9</v>
      </c>
      <c r="C1828" s="16" t="s">
        <v>40</v>
      </c>
      <c r="D1828" s="16" t="s">
        <v>41</v>
      </c>
      <c r="E1828" s="13" t="str">
        <f>+HYPERLINK("http://trademark.i-assist.jp/data/china/image_1891th/77625252.pdf","77625252")</f>
        <v>77625252</v>
      </c>
      <c r="F1828" s="16" t="s">
        <v>8500</v>
      </c>
      <c r="G1828" s="16" t="s">
        <v>8499</v>
      </c>
      <c r="H1828" s="16" t="s">
        <v>8501</v>
      </c>
      <c r="I1828" s="17">
        <v>45379</v>
      </c>
    </row>
    <row r="1829" spans="1:9" x14ac:dyDescent="0.15">
      <c r="A1829" s="16" t="s">
        <v>411</v>
      </c>
      <c r="B1829" s="7" t="s">
        <v>9</v>
      </c>
      <c r="C1829" s="16" t="s">
        <v>40</v>
      </c>
      <c r="D1829" s="16" t="s">
        <v>41</v>
      </c>
      <c r="E1829" s="13" t="str">
        <f>+HYPERLINK("http://trademark.i-assist.jp/data/china/image_1891th/77625388.pdf","77625388")</f>
        <v>77625388</v>
      </c>
      <c r="F1829" s="16" t="s">
        <v>8505</v>
      </c>
      <c r="G1829" s="16" t="s">
        <v>8504</v>
      </c>
      <c r="H1829" s="16" t="s">
        <v>8506</v>
      </c>
      <c r="I1829" s="17">
        <v>45379</v>
      </c>
    </row>
    <row r="1830" spans="1:9" x14ac:dyDescent="0.15">
      <c r="A1830" s="16" t="s">
        <v>4877</v>
      </c>
      <c r="B1830" s="7" t="s">
        <v>9</v>
      </c>
      <c r="C1830" s="16" t="s">
        <v>40</v>
      </c>
      <c r="D1830" s="16" t="s">
        <v>41</v>
      </c>
      <c r="E1830" s="13" t="str">
        <f>+HYPERLINK("http://trademark.i-assist.jp/data/china/image_1891th/77625462.pdf","77625462")</f>
        <v>77625462</v>
      </c>
      <c r="F1830" s="16" t="s">
        <v>414</v>
      </c>
      <c r="G1830" s="16" t="s">
        <v>413</v>
      </c>
      <c r="H1830" s="16" t="s">
        <v>415</v>
      </c>
      <c r="I1830" s="17">
        <v>45379</v>
      </c>
    </row>
    <row r="1831" spans="1:9" x14ac:dyDescent="0.15">
      <c r="A1831" s="16" t="s">
        <v>4882</v>
      </c>
      <c r="B1831" s="7" t="s">
        <v>9</v>
      </c>
      <c r="C1831" s="16" t="s">
        <v>40</v>
      </c>
      <c r="D1831" s="16" t="s">
        <v>41</v>
      </c>
      <c r="E1831" s="13" t="str">
        <f>+HYPERLINK("http://trademark.i-assist.jp/data/china/image_1891th/77625569.pdf","77625569")</f>
        <v>77625569</v>
      </c>
      <c r="F1831" s="16" t="s">
        <v>4880</v>
      </c>
      <c r="G1831" s="16" t="s">
        <v>4879</v>
      </c>
      <c r="H1831" s="16" t="s">
        <v>4881</v>
      </c>
      <c r="I1831" s="17">
        <v>45379</v>
      </c>
    </row>
    <row r="1832" spans="1:9" x14ac:dyDescent="0.15">
      <c r="A1832" s="16" t="s">
        <v>4886</v>
      </c>
      <c r="B1832" s="7" t="s">
        <v>9</v>
      </c>
      <c r="C1832" s="16" t="s">
        <v>40</v>
      </c>
      <c r="D1832" s="16" t="s">
        <v>41</v>
      </c>
      <c r="E1832" s="13" t="str">
        <f>+HYPERLINK("http://trademark.i-assist.jp/data/china/image_1891th/77625799.pdf","77625799")</f>
        <v>77625799</v>
      </c>
      <c r="F1832" s="16" t="s">
        <v>4884</v>
      </c>
      <c r="G1832" s="16" t="s">
        <v>2163</v>
      </c>
      <c r="H1832" s="16" t="s">
        <v>4885</v>
      </c>
      <c r="I1832" s="17">
        <v>45379</v>
      </c>
    </row>
    <row r="1833" spans="1:9" x14ac:dyDescent="0.15">
      <c r="A1833" s="16" t="s">
        <v>4891</v>
      </c>
      <c r="B1833" s="7" t="s">
        <v>9</v>
      </c>
      <c r="C1833" s="16" t="s">
        <v>40</v>
      </c>
      <c r="D1833" s="16" t="s">
        <v>41</v>
      </c>
      <c r="E1833" s="13" t="str">
        <f>+HYPERLINK("http://trademark.i-assist.jp/data/china/image_1891th/77625802.pdf","77625802")</f>
        <v>77625802</v>
      </c>
      <c r="F1833" s="16" t="s">
        <v>4889</v>
      </c>
      <c r="G1833" s="16" t="s">
        <v>4888</v>
      </c>
      <c r="H1833" s="16" t="s">
        <v>4890</v>
      </c>
      <c r="I1833" s="17">
        <v>45379</v>
      </c>
    </row>
    <row r="1834" spans="1:9" x14ac:dyDescent="0.15">
      <c r="A1834" s="16" t="s">
        <v>4896</v>
      </c>
      <c r="B1834" s="7" t="s">
        <v>9</v>
      </c>
      <c r="C1834" s="16" t="s">
        <v>40</v>
      </c>
      <c r="D1834" s="16" t="s">
        <v>41</v>
      </c>
      <c r="E1834" s="13" t="str">
        <f>+HYPERLINK("http://trademark.i-assist.jp/data/china/image_1891th/77625828.pdf","77625828")</f>
        <v>77625828</v>
      </c>
      <c r="F1834" s="16" t="s">
        <v>4894</v>
      </c>
      <c r="G1834" s="16" t="s">
        <v>4893</v>
      </c>
      <c r="H1834" s="16" t="s">
        <v>4895</v>
      </c>
      <c r="I1834" s="17">
        <v>45379</v>
      </c>
    </row>
    <row r="1835" spans="1:9" x14ac:dyDescent="0.15">
      <c r="A1835" s="16" t="s">
        <v>4901</v>
      </c>
      <c r="B1835" s="7" t="s">
        <v>9</v>
      </c>
      <c r="C1835" s="16" t="s">
        <v>40</v>
      </c>
      <c r="D1835" s="16" t="s">
        <v>41</v>
      </c>
      <c r="E1835" s="13" t="str">
        <f>+HYPERLINK("http://trademark.i-assist.jp/data/china/image_1891th/77625847.pdf","77625847")</f>
        <v>77625847</v>
      </c>
      <c r="F1835" s="16" t="s">
        <v>4899</v>
      </c>
      <c r="G1835" s="16" t="s">
        <v>4898</v>
      </c>
      <c r="H1835" s="16" t="s">
        <v>4900</v>
      </c>
      <c r="I1835" s="17">
        <v>45379</v>
      </c>
    </row>
    <row r="1836" spans="1:9" x14ac:dyDescent="0.15">
      <c r="A1836" s="16" t="s">
        <v>4906</v>
      </c>
      <c r="B1836" s="7" t="s">
        <v>9</v>
      </c>
      <c r="C1836" s="16" t="s">
        <v>40</v>
      </c>
      <c r="D1836" s="16" t="s">
        <v>41</v>
      </c>
      <c r="E1836" s="13" t="str">
        <f>+HYPERLINK("http://trademark.i-assist.jp/data/china/image_1891th/77625911.pdf","77625911")</f>
        <v>77625911</v>
      </c>
      <c r="F1836" s="16" t="s">
        <v>4904</v>
      </c>
      <c r="G1836" s="16" t="s">
        <v>4903</v>
      </c>
      <c r="H1836" s="16" t="s">
        <v>4905</v>
      </c>
      <c r="I1836" s="17">
        <v>45379</v>
      </c>
    </row>
    <row r="1837" spans="1:9" x14ac:dyDescent="0.15">
      <c r="A1837" s="16" t="s">
        <v>4911</v>
      </c>
      <c r="B1837" s="7" t="s">
        <v>9</v>
      </c>
      <c r="C1837" s="16" t="s">
        <v>40</v>
      </c>
      <c r="D1837" s="16" t="s">
        <v>41</v>
      </c>
      <c r="E1837" s="13" t="str">
        <f>+HYPERLINK("http://trademark.i-assist.jp/data/china/image_1891th/77626327.pdf","77626327")</f>
        <v>77626327</v>
      </c>
      <c r="F1837" s="16" t="s">
        <v>4909</v>
      </c>
      <c r="G1837" s="16" t="s">
        <v>4908</v>
      </c>
      <c r="H1837" s="16" t="s">
        <v>4910</v>
      </c>
      <c r="I1837" s="17">
        <v>45379</v>
      </c>
    </row>
    <row r="1838" spans="1:9" x14ac:dyDescent="0.15">
      <c r="A1838" s="16" t="s">
        <v>4915</v>
      </c>
      <c r="B1838" s="7" t="s">
        <v>9</v>
      </c>
      <c r="C1838" s="16" t="s">
        <v>40</v>
      </c>
      <c r="D1838" s="16" t="s">
        <v>41</v>
      </c>
      <c r="E1838" s="13" t="str">
        <f>+HYPERLINK("http://trademark.i-assist.jp/data/china/image_1891th/77626389.pdf","77626389")</f>
        <v>77626389</v>
      </c>
      <c r="F1838" s="16" t="s">
        <v>4913</v>
      </c>
      <c r="G1838" s="16" t="s">
        <v>3025</v>
      </c>
      <c r="H1838" s="16" t="s">
        <v>4914</v>
      </c>
      <c r="I1838" s="17">
        <v>45379</v>
      </c>
    </row>
    <row r="1839" spans="1:9" x14ac:dyDescent="0.15">
      <c r="A1839" s="16" t="s">
        <v>4920</v>
      </c>
      <c r="B1839" s="7" t="s">
        <v>9</v>
      </c>
      <c r="C1839" s="16" t="s">
        <v>40</v>
      </c>
      <c r="D1839" s="16" t="s">
        <v>41</v>
      </c>
      <c r="E1839" s="13" t="str">
        <f>+HYPERLINK("http://trademark.i-assist.jp/data/china/image_1891th/77626577.pdf","77626577")</f>
        <v>77626577</v>
      </c>
      <c r="F1839" s="16" t="s">
        <v>4918</v>
      </c>
      <c r="G1839" s="16" t="s">
        <v>4917</v>
      </c>
      <c r="H1839" s="16" t="s">
        <v>4919</v>
      </c>
      <c r="I1839" s="17">
        <v>45379</v>
      </c>
    </row>
    <row r="1840" spans="1:9" x14ac:dyDescent="0.15">
      <c r="A1840" s="16" t="s">
        <v>4925</v>
      </c>
      <c r="B1840" s="7" t="s">
        <v>9</v>
      </c>
      <c r="C1840" s="16" t="s">
        <v>40</v>
      </c>
      <c r="D1840" s="16" t="s">
        <v>41</v>
      </c>
      <c r="E1840" s="13" t="str">
        <f>+HYPERLINK("http://trademark.i-assist.jp/data/china/image_1891th/77626824.pdf","77626824")</f>
        <v>77626824</v>
      </c>
      <c r="F1840" s="16" t="s">
        <v>4923</v>
      </c>
      <c r="G1840" s="16" t="s">
        <v>4922</v>
      </c>
      <c r="H1840" s="16" t="s">
        <v>4924</v>
      </c>
      <c r="I1840" s="17">
        <v>45379</v>
      </c>
    </row>
    <row r="1841" spans="1:9" x14ac:dyDescent="0.15">
      <c r="A1841" s="16" t="s">
        <v>4930</v>
      </c>
      <c r="B1841" s="7" t="s">
        <v>9</v>
      </c>
      <c r="C1841" s="16" t="s">
        <v>40</v>
      </c>
      <c r="D1841" s="16" t="s">
        <v>41</v>
      </c>
      <c r="E1841" s="13" t="str">
        <f>+HYPERLINK("http://trademark.i-assist.jp/data/china/image_1891th/77626892.pdf","77626892")</f>
        <v>77626892</v>
      </c>
      <c r="F1841" s="16" t="s">
        <v>4928</v>
      </c>
      <c r="G1841" s="16" t="s">
        <v>4927</v>
      </c>
      <c r="H1841" s="16" t="s">
        <v>4929</v>
      </c>
      <c r="I1841" s="17">
        <v>45379</v>
      </c>
    </row>
    <row r="1842" spans="1:9" x14ac:dyDescent="0.15">
      <c r="A1842" s="16" t="s">
        <v>4934</v>
      </c>
      <c r="B1842" s="7" t="s">
        <v>9</v>
      </c>
      <c r="C1842" s="16" t="s">
        <v>40</v>
      </c>
      <c r="D1842" s="16" t="s">
        <v>41</v>
      </c>
      <c r="E1842" s="13" t="str">
        <f>+HYPERLINK("http://trademark.i-assist.jp/data/china/image_1891th/77627079.pdf","77627079")</f>
        <v>77627079</v>
      </c>
      <c r="F1842" s="16" t="s">
        <v>4932</v>
      </c>
      <c r="G1842" s="16" t="s">
        <v>3011</v>
      </c>
      <c r="H1842" s="16" t="s">
        <v>4933</v>
      </c>
      <c r="I1842" s="17">
        <v>45379</v>
      </c>
    </row>
    <row r="1843" spans="1:9" x14ac:dyDescent="0.15">
      <c r="A1843" s="16" t="s">
        <v>8507</v>
      </c>
      <c r="B1843" s="7" t="s">
        <v>9</v>
      </c>
      <c r="C1843" s="16" t="s">
        <v>40</v>
      </c>
      <c r="D1843" s="16" t="s">
        <v>41</v>
      </c>
      <c r="E1843" s="13" t="str">
        <f>+HYPERLINK("http://trademark.i-assist.jp/data/china/image_1891th/77627358.pdf","77627358")</f>
        <v>77627358</v>
      </c>
      <c r="F1843" s="16" t="s">
        <v>4937</v>
      </c>
      <c r="G1843" s="16" t="s">
        <v>4936</v>
      </c>
      <c r="H1843" s="16" t="s">
        <v>4938</v>
      </c>
      <c r="I1843" s="17">
        <v>45379</v>
      </c>
    </row>
    <row r="1844" spans="1:9" x14ac:dyDescent="0.15">
      <c r="A1844" s="16" t="s">
        <v>8512</v>
      </c>
      <c r="B1844" s="7" t="s">
        <v>9</v>
      </c>
      <c r="C1844" s="16" t="s">
        <v>40</v>
      </c>
      <c r="D1844" s="16" t="s">
        <v>41</v>
      </c>
      <c r="E1844" s="13" t="str">
        <f>+HYPERLINK("http://trademark.i-assist.jp/data/china/image_1891th/77627384.pdf","77627384")</f>
        <v>77627384</v>
      </c>
      <c r="F1844" s="16" t="s">
        <v>8510</v>
      </c>
      <c r="G1844" s="16" t="s">
        <v>8509</v>
      </c>
      <c r="H1844" s="16" t="s">
        <v>8511</v>
      </c>
      <c r="I1844" s="17">
        <v>45379</v>
      </c>
    </row>
    <row r="1845" spans="1:9" x14ac:dyDescent="0.15">
      <c r="A1845" s="16" t="s">
        <v>8516</v>
      </c>
      <c r="B1845" s="7" t="s">
        <v>9</v>
      </c>
      <c r="C1845" s="16" t="s">
        <v>40</v>
      </c>
      <c r="D1845" s="16" t="s">
        <v>41</v>
      </c>
      <c r="E1845" s="13" t="str">
        <f>+HYPERLINK("http://trademark.i-assist.jp/data/china/image_1891th/77627548.pdf","77627548")</f>
        <v>77627548</v>
      </c>
      <c r="F1845" s="16" t="s">
        <v>8514</v>
      </c>
      <c r="G1845" s="16" t="s">
        <v>7790</v>
      </c>
      <c r="H1845" s="16" t="s">
        <v>8515</v>
      </c>
      <c r="I1845" s="17">
        <v>45379</v>
      </c>
    </row>
    <row r="1846" spans="1:9" x14ac:dyDescent="0.15">
      <c r="A1846" s="16" t="s">
        <v>8521</v>
      </c>
      <c r="B1846" s="7" t="s">
        <v>9</v>
      </c>
      <c r="C1846" s="16" t="s">
        <v>40</v>
      </c>
      <c r="D1846" s="16" t="s">
        <v>41</v>
      </c>
      <c r="E1846" s="13" t="str">
        <f>+HYPERLINK("http://trademark.i-assist.jp/data/china/image_1891th/77627573.pdf","77627573")</f>
        <v>77627573</v>
      </c>
      <c r="F1846" s="16" t="s">
        <v>8519</v>
      </c>
      <c r="G1846" s="16" t="s">
        <v>8518</v>
      </c>
      <c r="H1846" s="16" t="s">
        <v>8520</v>
      </c>
      <c r="I1846" s="17">
        <v>45379</v>
      </c>
    </row>
    <row r="1847" spans="1:9" x14ac:dyDescent="0.15">
      <c r="A1847" s="16" t="s">
        <v>8526</v>
      </c>
      <c r="B1847" s="7" t="s">
        <v>9</v>
      </c>
      <c r="C1847" s="16" t="s">
        <v>40</v>
      </c>
      <c r="D1847" s="16" t="s">
        <v>41</v>
      </c>
      <c r="E1847" s="13" t="str">
        <f>+HYPERLINK("http://trademark.i-assist.jp/data/china/image_1891th/77627658.pdf","77627658")</f>
        <v>77627658</v>
      </c>
      <c r="F1847" s="16" t="s">
        <v>8524</v>
      </c>
      <c r="G1847" s="16" t="s">
        <v>8523</v>
      </c>
      <c r="H1847" s="16" t="s">
        <v>8525</v>
      </c>
      <c r="I1847" s="17">
        <v>45379</v>
      </c>
    </row>
    <row r="1848" spans="1:9" x14ac:dyDescent="0.15">
      <c r="A1848" s="16" t="s">
        <v>8530</v>
      </c>
      <c r="B1848" s="7" t="s">
        <v>9</v>
      </c>
      <c r="C1848" s="16" t="s">
        <v>40</v>
      </c>
      <c r="D1848" s="16" t="s">
        <v>41</v>
      </c>
      <c r="E1848" s="13" t="str">
        <f>+HYPERLINK("http://trademark.i-assist.jp/data/china/image_1891th/77627698.pdf","77627698")</f>
        <v>77627698</v>
      </c>
      <c r="F1848" s="16" t="s">
        <v>8528</v>
      </c>
      <c r="G1848" s="16" t="s">
        <v>3025</v>
      </c>
      <c r="H1848" s="16" t="s">
        <v>8529</v>
      </c>
      <c r="I1848" s="17">
        <v>45379</v>
      </c>
    </row>
    <row r="1849" spans="1:9" x14ac:dyDescent="0.15">
      <c r="A1849" s="16" t="s">
        <v>8535</v>
      </c>
      <c r="B1849" s="7" t="s">
        <v>9</v>
      </c>
      <c r="C1849" s="16" t="s">
        <v>40</v>
      </c>
      <c r="D1849" s="16" t="s">
        <v>41</v>
      </c>
      <c r="E1849" s="13" t="str">
        <f>+HYPERLINK("http://trademark.i-assist.jp/data/china/image_1891th/77627734.pdf","77627734")</f>
        <v>77627734</v>
      </c>
      <c r="F1849" s="16" t="s">
        <v>8533</v>
      </c>
      <c r="G1849" s="16" t="s">
        <v>8532</v>
      </c>
      <c r="H1849" s="16" t="s">
        <v>8534</v>
      </c>
      <c r="I1849" s="17">
        <v>45379</v>
      </c>
    </row>
    <row r="1850" spans="1:9" x14ac:dyDescent="0.15">
      <c r="A1850" s="16" t="s">
        <v>8540</v>
      </c>
      <c r="B1850" s="7" t="s">
        <v>9</v>
      </c>
      <c r="C1850" s="16" t="s">
        <v>40</v>
      </c>
      <c r="D1850" s="16" t="s">
        <v>41</v>
      </c>
      <c r="E1850" s="13" t="str">
        <f>+HYPERLINK("http://trademark.i-assist.jp/data/china/image_1891th/77628346.pdf","77628346")</f>
        <v>77628346</v>
      </c>
      <c r="F1850" s="16" t="s">
        <v>8538</v>
      </c>
      <c r="G1850" s="16" t="s">
        <v>8537</v>
      </c>
      <c r="H1850" s="16" t="s">
        <v>8539</v>
      </c>
      <c r="I1850" s="17">
        <v>45379</v>
      </c>
    </row>
    <row r="1851" spans="1:9" x14ac:dyDescent="0.15">
      <c r="A1851" s="16" t="s">
        <v>8544</v>
      </c>
      <c r="B1851" s="7" t="s">
        <v>9</v>
      </c>
      <c r="C1851" s="16" t="s">
        <v>40</v>
      </c>
      <c r="D1851" s="16" t="s">
        <v>41</v>
      </c>
      <c r="E1851" s="13" t="str">
        <f>+HYPERLINK("http://trademark.i-assist.jp/data/china/image_1891th/77628427.pdf","77628427")</f>
        <v>77628427</v>
      </c>
      <c r="F1851" s="16" t="s">
        <v>52</v>
      </c>
      <c r="G1851" s="16" t="s">
        <v>8542</v>
      </c>
      <c r="H1851" s="16" t="s">
        <v>8543</v>
      </c>
      <c r="I1851" s="17">
        <v>45379</v>
      </c>
    </row>
    <row r="1852" spans="1:9" x14ac:dyDescent="0.15">
      <c r="A1852" s="16" t="s">
        <v>8549</v>
      </c>
      <c r="B1852" s="7" t="s">
        <v>9</v>
      </c>
      <c r="C1852" s="16" t="s">
        <v>40</v>
      </c>
      <c r="D1852" s="16" t="s">
        <v>41</v>
      </c>
      <c r="E1852" s="13" t="str">
        <f>+HYPERLINK("http://trademark.i-assist.jp/data/china/image_1891th/77628428.pdf","77628428")</f>
        <v>77628428</v>
      </c>
      <c r="F1852" s="16" t="s">
        <v>8547</v>
      </c>
      <c r="G1852" s="16" t="s">
        <v>8546</v>
      </c>
      <c r="H1852" s="16" t="s">
        <v>8548</v>
      </c>
      <c r="I1852" s="17">
        <v>45379</v>
      </c>
    </row>
    <row r="1853" spans="1:9" x14ac:dyDescent="0.15">
      <c r="A1853" s="16" t="s">
        <v>8553</v>
      </c>
      <c r="B1853" s="7" t="s">
        <v>9</v>
      </c>
      <c r="C1853" s="16" t="s">
        <v>40</v>
      </c>
      <c r="D1853" s="16" t="s">
        <v>41</v>
      </c>
      <c r="E1853" s="13" t="str">
        <f>+HYPERLINK("http://trademark.i-assist.jp/data/china/image_1891th/77628455.pdf","77628455")</f>
        <v>77628455</v>
      </c>
      <c r="F1853" s="16" t="s">
        <v>8551</v>
      </c>
      <c r="G1853" s="16" t="s">
        <v>2997</v>
      </c>
      <c r="H1853" s="16" t="s">
        <v>8552</v>
      </c>
      <c r="I1853" s="17">
        <v>45379</v>
      </c>
    </row>
    <row r="1854" spans="1:9" x14ac:dyDescent="0.15">
      <c r="A1854" s="16" t="s">
        <v>8558</v>
      </c>
      <c r="B1854" s="7" t="s">
        <v>9</v>
      </c>
      <c r="C1854" s="16" t="s">
        <v>40</v>
      </c>
      <c r="D1854" s="16" t="s">
        <v>41</v>
      </c>
      <c r="E1854" s="13" t="str">
        <f>+HYPERLINK("http://trademark.i-assist.jp/data/china/image_1891th/77628573.pdf","77628573")</f>
        <v>77628573</v>
      </c>
      <c r="F1854" s="16" t="s">
        <v>8556</v>
      </c>
      <c r="G1854" s="16" t="s">
        <v>8555</v>
      </c>
      <c r="H1854" s="16" t="s">
        <v>8557</v>
      </c>
      <c r="I1854" s="17">
        <v>45379</v>
      </c>
    </row>
    <row r="1855" spans="1:9" x14ac:dyDescent="0.15">
      <c r="A1855" s="16" t="s">
        <v>8563</v>
      </c>
      <c r="B1855" s="7" t="s">
        <v>9</v>
      </c>
      <c r="C1855" s="16" t="s">
        <v>40</v>
      </c>
      <c r="D1855" s="16" t="s">
        <v>41</v>
      </c>
      <c r="E1855" s="13" t="str">
        <f>+HYPERLINK("http://trademark.i-assist.jp/data/china/image_1891th/77629076.pdf","77629076")</f>
        <v>77629076</v>
      </c>
      <c r="F1855" s="16" t="s">
        <v>8561</v>
      </c>
      <c r="G1855" s="16" t="s">
        <v>8560</v>
      </c>
      <c r="H1855" s="16" t="s">
        <v>8562</v>
      </c>
      <c r="I1855" s="17">
        <v>45379</v>
      </c>
    </row>
    <row r="1856" spans="1:9" x14ac:dyDescent="0.15">
      <c r="A1856" s="16" t="s">
        <v>8568</v>
      </c>
      <c r="B1856" s="7" t="s">
        <v>9</v>
      </c>
      <c r="C1856" s="16" t="s">
        <v>40</v>
      </c>
      <c r="D1856" s="16" t="s">
        <v>41</v>
      </c>
      <c r="E1856" s="13" t="str">
        <f>+HYPERLINK("http://trademark.i-assist.jp/data/china/image_1891th/77629107.pdf","77629107")</f>
        <v>77629107</v>
      </c>
      <c r="F1856" s="16" t="s">
        <v>8566</v>
      </c>
      <c r="G1856" s="16" t="s">
        <v>8565</v>
      </c>
      <c r="H1856" s="16" t="s">
        <v>8567</v>
      </c>
      <c r="I1856" s="17">
        <v>45379</v>
      </c>
    </row>
    <row r="1857" spans="1:9" x14ac:dyDescent="0.15">
      <c r="A1857" s="16" t="s">
        <v>8572</v>
      </c>
      <c r="B1857" s="7" t="s">
        <v>9</v>
      </c>
      <c r="C1857" s="16" t="s">
        <v>40</v>
      </c>
      <c r="D1857" s="16" t="s">
        <v>41</v>
      </c>
      <c r="E1857" s="13" t="str">
        <f>+HYPERLINK("http://trademark.i-assist.jp/data/china/image_1891th/77629683.pdf","77629683")</f>
        <v>77629683</v>
      </c>
      <c r="F1857" s="16" t="s">
        <v>8570</v>
      </c>
      <c r="G1857" s="16" t="s">
        <v>6232</v>
      </c>
      <c r="H1857" s="16" t="s">
        <v>8571</v>
      </c>
      <c r="I1857" s="17">
        <v>45380</v>
      </c>
    </row>
    <row r="1858" spans="1:9" x14ac:dyDescent="0.15">
      <c r="A1858" s="16" t="s">
        <v>8577</v>
      </c>
      <c r="B1858" s="7" t="s">
        <v>9</v>
      </c>
      <c r="C1858" s="16" t="s">
        <v>40</v>
      </c>
      <c r="D1858" s="16" t="s">
        <v>41</v>
      </c>
      <c r="E1858" s="13" t="str">
        <f>+HYPERLINK("http://trademark.i-assist.jp/data/china/image_1891th/77629722.pdf","77629722")</f>
        <v>77629722</v>
      </c>
      <c r="F1858" s="16" t="s">
        <v>8575</v>
      </c>
      <c r="G1858" s="16" t="s">
        <v>8574</v>
      </c>
      <c r="H1858" s="16" t="s">
        <v>8576</v>
      </c>
      <c r="I1858" s="17">
        <v>45380</v>
      </c>
    </row>
    <row r="1859" spans="1:9" x14ac:dyDescent="0.15">
      <c r="A1859" s="16" t="s">
        <v>8581</v>
      </c>
      <c r="B1859" s="7" t="s">
        <v>9</v>
      </c>
      <c r="C1859" s="16" t="s">
        <v>40</v>
      </c>
      <c r="D1859" s="16" t="s">
        <v>41</v>
      </c>
      <c r="E1859" s="13" t="str">
        <f>+HYPERLINK("http://trademark.i-assist.jp/data/china/image_1891th/77629830.pdf","77629830")</f>
        <v>77629830</v>
      </c>
      <c r="F1859" s="16" t="s">
        <v>8579</v>
      </c>
      <c r="G1859" s="16" t="s">
        <v>2097</v>
      </c>
      <c r="H1859" s="16" t="s">
        <v>8580</v>
      </c>
      <c r="I1859" s="17">
        <v>45380</v>
      </c>
    </row>
    <row r="1860" spans="1:9" x14ac:dyDescent="0.15">
      <c r="A1860" s="16" t="s">
        <v>8585</v>
      </c>
      <c r="B1860" s="7" t="s">
        <v>9</v>
      </c>
      <c r="C1860" s="16" t="s">
        <v>40</v>
      </c>
      <c r="D1860" s="16" t="s">
        <v>41</v>
      </c>
      <c r="E1860" s="13" t="str">
        <f>+HYPERLINK("http://trademark.i-assist.jp/data/china/image_1891th/77629874.pdf","77629874")</f>
        <v>77629874</v>
      </c>
      <c r="F1860" s="16" t="s">
        <v>8583</v>
      </c>
      <c r="G1860" s="16" t="s">
        <v>2097</v>
      </c>
      <c r="H1860" s="16" t="s">
        <v>8584</v>
      </c>
      <c r="I1860" s="17">
        <v>45380</v>
      </c>
    </row>
    <row r="1861" spans="1:9" x14ac:dyDescent="0.15">
      <c r="A1861" s="16" t="s">
        <v>8590</v>
      </c>
      <c r="B1861" s="7" t="s">
        <v>9</v>
      </c>
      <c r="C1861" s="16" t="s">
        <v>40</v>
      </c>
      <c r="D1861" s="16" t="s">
        <v>41</v>
      </c>
      <c r="E1861" s="13" t="str">
        <f>+HYPERLINK("http://trademark.i-assist.jp/data/china/image_1891th/77629914.pdf","77629914")</f>
        <v>77629914</v>
      </c>
      <c r="F1861" s="16" t="s">
        <v>8588</v>
      </c>
      <c r="G1861" s="16" t="s">
        <v>8587</v>
      </c>
      <c r="H1861" s="16" t="s">
        <v>8589</v>
      </c>
      <c r="I1861" s="17">
        <v>45380</v>
      </c>
    </row>
    <row r="1862" spans="1:9" x14ac:dyDescent="0.15">
      <c r="A1862" s="16" t="s">
        <v>8595</v>
      </c>
      <c r="B1862" s="7" t="s">
        <v>9</v>
      </c>
      <c r="C1862" s="16" t="s">
        <v>40</v>
      </c>
      <c r="D1862" s="16" t="s">
        <v>41</v>
      </c>
      <c r="E1862" s="13" t="str">
        <f>+HYPERLINK("http://trademark.i-assist.jp/data/china/image_1891th/77630084.pdf","77630084")</f>
        <v>77630084</v>
      </c>
      <c r="F1862" s="16" t="s">
        <v>8593</v>
      </c>
      <c r="G1862" s="16" t="s">
        <v>8592</v>
      </c>
      <c r="H1862" s="16" t="s">
        <v>8594</v>
      </c>
      <c r="I1862" s="17">
        <v>45380</v>
      </c>
    </row>
    <row r="1863" spans="1:9" x14ac:dyDescent="0.15">
      <c r="A1863" s="16" t="s">
        <v>8599</v>
      </c>
      <c r="B1863" s="7" t="s">
        <v>9</v>
      </c>
      <c r="C1863" s="16" t="s">
        <v>40</v>
      </c>
      <c r="D1863" s="16" t="s">
        <v>41</v>
      </c>
      <c r="E1863" s="13" t="str">
        <f>+HYPERLINK("http://trademark.i-assist.jp/data/china/image_1891th/77630162.pdf","77630162")</f>
        <v>77630162</v>
      </c>
      <c r="F1863" s="16" t="s">
        <v>52</v>
      </c>
      <c r="G1863" s="16" t="s">
        <v>8597</v>
      </c>
      <c r="H1863" s="16" t="s">
        <v>8598</v>
      </c>
      <c r="I1863" s="17">
        <v>45380</v>
      </c>
    </row>
    <row r="1864" spans="1:9" x14ac:dyDescent="0.15">
      <c r="A1864" s="16" t="s">
        <v>8604</v>
      </c>
      <c r="B1864" s="7" t="s">
        <v>9</v>
      </c>
      <c r="C1864" s="16" t="s">
        <v>40</v>
      </c>
      <c r="D1864" s="16" t="s">
        <v>41</v>
      </c>
      <c r="E1864" s="13" t="str">
        <f>+HYPERLINK("http://trademark.i-assist.jp/data/china/image_1891th/77630240.pdf","77630240")</f>
        <v>77630240</v>
      </c>
      <c r="F1864" s="16" t="s">
        <v>8602</v>
      </c>
      <c r="G1864" s="16" t="s">
        <v>8601</v>
      </c>
      <c r="H1864" s="16" t="s">
        <v>8603</v>
      </c>
      <c r="I1864" s="17">
        <v>45380</v>
      </c>
    </row>
    <row r="1865" spans="1:9" x14ac:dyDescent="0.15">
      <c r="A1865" s="16" t="s">
        <v>8609</v>
      </c>
      <c r="B1865" s="7" t="s">
        <v>9</v>
      </c>
      <c r="C1865" s="16" t="s">
        <v>40</v>
      </c>
      <c r="D1865" s="16" t="s">
        <v>41</v>
      </c>
      <c r="E1865" s="13" t="str">
        <f>+HYPERLINK("http://trademark.i-assist.jp/data/china/image_1891th/77630284.pdf","77630284")</f>
        <v>77630284</v>
      </c>
      <c r="F1865" s="16" t="s">
        <v>8607</v>
      </c>
      <c r="G1865" s="16" t="s">
        <v>8606</v>
      </c>
      <c r="H1865" s="16" t="s">
        <v>8608</v>
      </c>
      <c r="I1865" s="17">
        <v>45380</v>
      </c>
    </row>
    <row r="1866" spans="1:9" x14ac:dyDescent="0.15">
      <c r="A1866" s="16" t="s">
        <v>8613</v>
      </c>
      <c r="B1866" s="7" t="s">
        <v>9</v>
      </c>
      <c r="C1866" s="16" t="s">
        <v>40</v>
      </c>
      <c r="D1866" s="16" t="s">
        <v>41</v>
      </c>
      <c r="E1866" s="13" t="str">
        <f>+HYPERLINK("http://trademark.i-assist.jp/data/china/image_1891th/77630335.pdf","77630335")</f>
        <v>77630335</v>
      </c>
      <c r="F1866" s="16" t="s">
        <v>8611</v>
      </c>
      <c r="G1866" s="16" t="s">
        <v>2112</v>
      </c>
      <c r="H1866" s="16" t="s">
        <v>8612</v>
      </c>
      <c r="I1866" s="17">
        <v>45380</v>
      </c>
    </row>
    <row r="1867" spans="1:9" x14ac:dyDescent="0.15">
      <c r="A1867" s="16" t="s">
        <v>8618</v>
      </c>
      <c r="B1867" s="7" t="s">
        <v>9</v>
      </c>
      <c r="C1867" s="16" t="s">
        <v>40</v>
      </c>
      <c r="D1867" s="16" t="s">
        <v>41</v>
      </c>
      <c r="E1867" s="13" t="str">
        <f>+HYPERLINK("http://trademark.i-assist.jp/data/china/image_1891th/77630484.pdf","77630484")</f>
        <v>77630484</v>
      </c>
      <c r="F1867" s="16" t="s">
        <v>8616</v>
      </c>
      <c r="G1867" s="16" t="s">
        <v>8615</v>
      </c>
      <c r="H1867" s="16" t="s">
        <v>8617</v>
      </c>
      <c r="I1867" s="17">
        <v>45380</v>
      </c>
    </row>
    <row r="1868" spans="1:9" x14ac:dyDescent="0.15">
      <c r="A1868" s="16" t="s">
        <v>8623</v>
      </c>
      <c r="B1868" s="7" t="s">
        <v>9</v>
      </c>
      <c r="C1868" s="16" t="s">
        <v>40</v>
      </c>
      <c r="D1868" s="16" t="s">
        <v>41</v>
      </c>
      <c r="E1868" s="13" t="str">
        <f>+HYPERLINK("http://trademark.i-assist.jp/data/china/image_1891th/77630633.pdf","77630633")</f>
        <v>77630633</v>
      </c>
      <c r="F1868" s="16" t="s">
        <v>8621</v>
      </c>
      <c r="G1868" s="16" t="s">
        <v>8620</v>
      </c>
      <c r="H1868" s="16" t="s">
        <v>8622</v>
      </c>
      <c r="I1868" s="17">
        <v>45380</v>
      </c>
    </row>
    <row r="1869" spans="1:9" x14ac:dyDescent="0.15">
      <c r="A1869" s="16" t="s">
        <v>8628</v>
      </c>
      <c r="B1869" s="7" t="s">
        <v>9</v>
      </c>
      <c r="C1869" s="16" t="s">
        <v>40</v>
      </c>
      <c r="D1869" s="16" t="s">
        <v>41</v>
      </c>
      <c r="E1869" s="13" t="str">
        <f>+HYPERLINK("http://trademark.i-assist.jp/data/china/image_1891th/77630836.pdf","77630836")</f>
        <v>77630836</v>
      </c>
      <c r="F1869" s="16" t="s">
        <v>8626</v>
      </c>
      <c r="G1869" s="16" t="s">
        <v>8625</v>
      </c>
      <c r="H1869" s="16" t="s">
        <v>8627</v>
      </c>
      <c r="I1869" s="17">
        <v>45380</v>
      </c>
    </row>
    <row r="1870" spans="1:9" x14ac:dyDescent="0.15">
      <c r="A1870" s="16" t="s">
        <v>8633</v>
      </c>
      <c r="B1870" s="7" t="s">
        <v>9</v>
      </c>
      <c r="C1870" s="16" t="s">
        <v>40</v>
      </c>
      <c r="D1870" s="16" t="s">
        <v>41</v>
      </c>
      <c r="E1870" s="13" t="str">
        <f>+HYPERLINK("http://trademark.i-assist.jp/data/china/image_1891th/77631049.pdf","77631049")</f>
        <v>77631049</v>
      </c>
      <c r="F1870" s="16" t="s">
        <v>8631</v>
      </c>
      <c r="G1870" s="16" t="s">
        <v>8630</v>
      </c>
      <c r="H1870" s="16" t="s">
        <v>8632</v>
      </c>
      <c r="I1870" s="17">
        <v>45380</v>
      </c>
    </row>
    <row r="1871" spans="1:9" x14ac:dyDescent="0.15">
      <c r="A1871" s="16" t="s">
        <v>8638</v>
      </c>
      <c r="B1871" s="7" t="s">
        <v>9</v>
      </c>
      <c r="C1871" s="16" t="s">
        <v>40</v>
      </c>
      <c r="D1871" s="16" t="s">
        <v>41</v>
      </c>
      <c r="E1871" s="13" t="str">
        <f>+HYPERLINK("http://trademark.i-assist.jp/data/china/image_1891th/77631145.pdf","77631145")</f>
        <v>77631145</v>
      </c>
      <c r="F1871" s="16" t="s">
        <v>8636</v>
      </c>
      <c r="G1871" s="16" t="s">
        <v>8635</v>
      </c>
      <c r="H1871" s="16" t="s">
        <v>8637</v>
      </c>
      <c r="I1871" s="17">
        <v>45380</v>
      </c>
    </row>
    <row r="1872" spans="1:9" x14ac:dyDescent="0.15">
      <c r="A1872" s="16" t="s">
        <v>8643</v>
      </c>
      <c r="B1872" s="7" t="s">
        <v>9</v>
      </c>
      <c r="C1872" s="16" t="s">
        <v>40</v>
      </c>
      <c r="D1872" s="16" t="s">
        <v>41</v>
      </c>
      <c r="E1872" s="13" t="str">
        <f>+HYPERLINK("http://trademark.i-assist.jp/data/china/image_1891th/77631273.pdf","77631273")</f>
        <v>77631273</v>
      </c>
      <c r="F1872" s="16" t="s">
        <v>8641</v>
      </c>
      <c r="G1872" s="16" t="s">
        <v>8640</v>
      </c>
      <c r="H1872" s="16" t="s">
        <v>8642</v>
      </c>
      <c r="I1872" s="17">
        <v>45380</v>
      </c>
    </row>
    <row r="1873" spans="1:9" x14ac:dyDescent="0.15">
      <c r="A1873" s="16" t="s">
        <v>8648</v>
      </c>
      <c r="B1873" s="7" t="s">
        <v>9</v>
      </c>
      <c r="C1873" s="16" t="s">
        <v>40</v>
      </c>
      <c r="D1873" s="16" t="s">
        <v>41</v>
      </c>
      <c r="E1873" s="13" t="str">
        <f>+HYPERLINK("http://trademark.i-assist.jp/data/china/image_1891th/77631825.pdf","77631825")</f>
        <v>77631825</v>
      </c>
      <c r="F1873" s="16" t="s">
        <v>8646</v>
      </c>
      <c r="G1873" s="16" t="s">
        <v>8645</v>
      </c>
      <c r="H1873" s="16" t="s">
        <v>8647</v>
      </c>
      <c r="I1873" s="17">
        <v>45380</v>
      </c>
    </row>
    <row r="1874" spans="1:9" x14ac:dyDescent="0.15">
      <c r="A1874" s="16" t="s">
        <v>8653</v>
      </c>
      <c r="B1874" s="7" t="s">
        <v>9</v>
      </c>
      <c r="C1874" s="16" t="s">
        <v>40</v>
      </c>
      <c r="D1874" s="16" t="s">
        <v>41</v>
      </c>
      <c r="E1874" s="13" t="str">
        <f>+HYPERLINK("http://trademark.i-assist.jp/data/china/image_1891th/77631879.pdf","77631879")</f>
        <v>77631879</v>
      </c>
      <c r="F1874" s="16" t="s">
        <v>8651</v>
      </c>
      <c r="G1874" s="16" t="s">
        <v>8650</v>
      </c>
      <c r="H1874" s="16" t="s">
        <v>8652</v>
      </c>
      <c r="I1874" s="17">
        <v>45380</v>
      </c>
    </row>
    <row r="1875" spans="1:9" x14ac:dyDescent="0.15">
      <c r="A1875" s="16" t="s">
        <v>8658</v>
      </c>
      <c r="B1875" s="7" t="s">
        <v>9</v>
      </c>
      <c r="C1875" s="16" t="s">
        <v>40</v>
      </c>
      <c r="D1875" s="16" t="s">
        <v>41</v>
      </c>
      <c r="E1875" s="13" t="str">
        <f>+HYPERLINK("http://trademark.i-assist.jp/data/china/image_1891th/77631899.pdf","77631899")</f>
        <v>77631899</v>
      </c>
      <c r="F1875" s="16" t="s">
        <v>8656</v>
      </c>
      <c r="G1875" s="16" t="s">
        <v>8655</v>
      </c>
      <c r="H1875" s="16" t="s">
        <v>8657</v>
      </c>
      <c r="I1875" s="17">
        <v>45380</v>
      </c>
    </row>
    <row r="1876" spans="1:9" x14ac:dyDescent="0.15">
      <c r="A1876" s="16" t="s">
        <v>8662</v>
      </c>
      <c r="B1876" s="7" t="s">
        <v>9</v>
      </c>
      <c r="C1876" s="16" t="s">
        <v>40</v>
      </c>
      <c r="D1876" s="16" t="s">
        <v>41</v>
      </c>
      <c r="E1876" s="13" t="str">
        <f>+HYPERLINK("http://trademark.i-assist.jp/data/china/image_1891th/77633066.pdf","77633066")</f>
        <v>77633066</v>
      </c>
      <c r="F1876" s="16" t="s">
        <v>8660</v>
      </c>
      <c r="G1876" s="16" t="s">
        <v>8630</v>
      </c>
      <c r="H1876" s="16" t="s">
        <v>8661</v>
      </c>
      <c r="I1876" s="17">
        <v>45380</v>
      </c>
    </row>
    <row r="1877" spans="1:9" x14ac:dyDescent="0.15">
      <c r="A1877" s="16" t="s">
        <v>8667</v>
      </c>
      <c r="B1877" s="7" t="s">
        <v>9</v>
      </c>
      <c r="C1877" s="16" t="s">
        <v>40</v>
      </c>
      <c r="D1877" s="16" t="s">
        <v>41</v>
      </c>
      <c r="E1877" s="13" t="str">
        <f>+HYPERLINK("http://trademark.i-assist.jp/data/china/image_1891th/77633219.pdf","77633219")</f>
        <v>77633219</v>
      </c>
      <c r="F1877" s="16" t="s">
        <v>8665</v>
      </c>
      <c r="G1877" s="16" t="s">
        <v>8664</v>
      </c>
      <c r="H1877" s="16" t="s">
        <v>8666</v>
      </c>
      <c r="I1877" s="17">
        <v>45380</v>
      </c>
    </row>
    <row r="1878" spans="1:9" x14ac:dyDescent="0.15">
      <c r="A1878" s="16" t="s">
        <v>8671</v>
      </c>
      <c r="B1878" s="7" t="s">
        <v>9</v>
      </c>
      <c r="C1878" s="16" t="s">
        <v>40</v>
      </c>
      <c r="D1878" s="16" t="s">
        <v>41</v>
      </c>
      <c r="E1878" s="13" t="str">
        <f>+HYPERLINK("http://trademark.i-assist.jp/data/china/image_1891th/77633367.pdf","77633367")</f>
        <v>77633367</v>
      </c>
      <c r="F1878" s="16" t="s">
        <v>8669</v>
      </c>
      <c r="G1878" s="16" t="s">
        <v>2112</v>
      </c>
      <c r="H1878" s="16" t="s">
        <v>8670</v>
      </c>
      <c r="I1878" s="17">
        <v>45380</v>
      </c>
    </row>
    <row r="1879" spans="1:9" x14ac:dyDescent="0.15">
      <c r="A1879" s="16" t="s">
        <v>8676</v>
      </c>
      <c r="B1879" s="7" t="s">
        <v>9</v>
      </c>
      <c r="C1879" s="16" t="s">
        <v>40</v>
      </c>
      <c r="D1879" s="16" t="s">
        <v>41</v>
      </c>
      <c r="E1879" s="13" t="str">
        <f>+HYPERLINK("http://trademark.i-assist.jp/data/china/image_1891th/77633768.pdf","77633768")</f>
        <v>77633768</v>
      </c>
      <c r="F1879" s="16" t="s">
        <v>8674</v>
      </c>
      <c r="G1879" s="16" t="s">
        <v>8673</v>
      </c>
      <c r="H1879" s="16" t="s">
        <v>8675</v>
      </c>
      <c r="I1879" s="17">
        <v>45380</v>
      </c>
    </row>
    <row r="1880" spans="1:9" x14ac:dyDescent="0.15">
      <c r="A1880" s="16" t="s">
        <v>8680</v>
      </c>
      <c r="B1880" s="7" t="s">
        <v>9</v>
      </c>
      <c r="C1880" s="16" t="s">
        <v>40</v>
      </c>
      <c r="D1880" s="16" t="s">
        <v>41</v>
      </c>
      <c r="E1880" s="13" t="str">
        <f>+HYPERLINK("http://trademark.i-assist.jp/data/china/image_1891th/77635264.pdf","77635264")</f>
        <v>77635264</v>
      </c>
      <c r="F1880" s="16" t="s">
        <v>8678</v>
      </c>
      <c r="G1880" s="16" t="s">
        <v>2121</v>
      </c>
      <c r="H1880" s="16" t="s">
        <v>8679</v>
      </c>
      <c r="I1880" s="17">
        <v>45380</v>
      </c>
    </row>
    <row r="1881" spans="1:9" x14ac:dyDescent="0.15">
      <c r="A1881" s="16" t="s">
        <v>8685</v>
      </c>
      <c r="B1881" s="7" t="s">
        <v>9</v>
      </c>
      <c r="C1881" s="16" t="s">
        <v>40</v>
      </c>
      <c r="D1881" s="16" t="s">
        <v>41</v>
      </c>
      <c r="E1881" s="13" t="str">
        <f>+HYPERLINK("http://trademark.i-assist.jp/data/china/image_1891th/77635273.pdf","77635273")</f>
        <v>77635273</v>
      </c>
      <c r="F1881" s="16" t="s">
        <v>8683</v>
      </c>
      <c r="G1881" s="16" t="s">
        <v>8682</v>
      </c>
      <c r="H1881" s="16" t="s">
        <v>8684</v>
      </c>
      <c r="I1881" s="17">
        <v>45380</v>
      </c>
    </row>
    <row r="1882" spans="1:9" x14ac:dyDescent="0.15">
      <c r="A1882" s="16" t="s">
        <v>8690</v>
      </c>
      <c r="B1882" s="7" t="s">
        <v>9</v>
      </c>
      <c r="C1882" s="16" t="s">
        <v>40</v>
      </c>
      <c r="D1882" s="16" t="s">
        <v>41</v>
      </c>
      <c r="E1882" s="13" t="str">
        <f>+HYPERLINK("http://trademark.i-assist.jp/data/china/image_1891th/77636226.pdf","77636226")</f>
        <v>77636226</v>
      </c>
      <c r="F1882" s="16" t="s">
        <v>8688</v>
      </c>
      <c r="G1882" s="16" t="s">
        <v>8687</v>
      </c>
      <c r="H1882" s="16" t="s">
        <v>8689</v>
      </c>
      <c r="I1882" s="17">
        <v>45380</v>
      </c>
    </row>
    <row r="1883" spans="1:9" x14ac:dyDescent="0.15">
      <c r="A1883" s="16" t="s">
        <v>8695</v>
      </c>
      <c r="B1883" s="7" t="s">
        <v>9</v>
      </c>
      <c r="C1883" s="16" t="s">
        <v>40</v>
      </c>
      <c r="D1883" s="16" t="s">
        <v>41</v>
      </c>
      <c r="E1883" s="13" t="str">
        <f>+HYPERLINK("http://trademark.i-assist.jp/data/china/image_1891th/77636263.pdf","77636263")</f>
        <v>77636263</v>
      </c>
      <c r="F1883" s="16" t="s">
        <v>8693</v>
      </c>
      <c r="G1883" s="16" t="s">
        <v>8692</v>
      </c>
      <c r="H1883" s="16" t="s">
        <v>8694</v>
      </c>
      <c r="I1883" s="17">
        <v>45380</v>
      </c>
    </row>
    <row r="1884" spans="1:9" x14ac:dyDescent="0.15">
      <c r="A1884" s="16" t="s">
        <v>8700</v>
      </c>
      <c r="B1884" s="7" t="s">
        <v>9</v>
      </c>
      <c r="C1884" s="16" t="s">
        <v>40</v>
      </c>
      <c r="D1884" s="16" t="s">
        <v>41</v>
      </c>
      <c r="E1884" s="13" t="str">
        <f>+HYPERLINK("http://trademark.i-assist.jp/data/china/image_1891th/77636676.pdf","77636676")</f>
        <v>77636676</v>
      </c>
      <c r="F1884" s="16" t="s">
        <v>8698</v>
      </c>
      <c r="G1884" s="16" t="s">
        <v>8697</v>
      </c>
      <c r="H1884" s="16" t="s">
        <v>8699</v>
      </c>
      <c r="I1884" s="17">
        <v>45380</v>
      </c>
    </row>
    <row r="1885" spans="1:9" x14ac:dyDescent="0.15">
      <c r="A1885" s="16" t="s">
        <v>8705</v>
      </c>
      <c r="B1885" s="7" t="s">
        <v>9</v>
      </c>
      <c r="C1885" s="16" t="s">
        <v>40</v>
      </c>
      <c r="D1885" s="16" t="s">
        <v>41</v>
      </c>
      <c r="E1885" s="13" t="str">
        <f>+HYPERLINK("http://trademark.i-assist.jp/data/china/image_1891th/77637634.pdf","77637634")</f>
        <v>77637634</v>
      </c>
      <c r="F1885" s="16" t="s">
        <v>8703</v>
      </c>
      <c r="G1885" s="16" t="s">
        <v>8702</v>
      </c>
      <c r="H1885" s="16" t="s">
        <v>8704</v>
      </c>
      <c r="I1885" s="17">
        <v>45380</v>
      </c>
    </row>
    <row r="1886" spans="1:9" x14ac:dyDescent="0.15">
      <c r="A1886" s="16" t="s">
        <v>8710</v>
      </c>
      <c r="B1886" s="7" t="s">
        <v>9</v>
      </c>
      <c r="C1886" s="16" t="s">
        <v>40</v>
      </c>
      <c r="D1886" s="16" t="s">
        <v>41</v>
      </c>
      <c r="E1886" s="13" t="str">
        <f>+HYPERLINK("http://trademark.i-assist.jp/data/china/image_1891th/77637701.pdf","77637701")</f>
        <v>77637701</v>
      </c>
      <c r="F1886" s="16" t="s">
        <v>8708</v>
      </c>
      <c r="G1886" s="16" t="s">
        <v>8707</v>
      </c>
      <c r="H1886" s="16" t="s">
        <v>8709</v>
      </c>
      <c r="I1886" s="17">
        <v>45380</v>
      </c>
    </row>
    <row r="1887" spans="1:9" x14ac:dyDescent="0.15">
      <c r="A1887" s="16" t="s">
        <v>8715</v>
      </c>
      <c r="B1887" s="7" t="s">
        <v>9</v>
      </c>
      <c r="C1887" s="16" t="s">
        <v>40</v>
      </c>
      <c r="D1887" s="16" t="s">
        <v>41</v>
      </c>
      <c r="E1887" s="13" t="str">
        <f>+HYPERLINK("http://trademark.i-assist.jp/data/china/image_1891th/77637776.pdf","77637776")</f>
        <v>77637776</v>
      </c>
      <c r="F1887" s="16" t="s">
        <v>8713</v>
      </c>
      <c r="G1887" s="16" t="s">
        <v>8712</v>
      </c>
      <c r="H1887" s="16" t="s">
        <v>8714</v>
      </c>
      <c r="I1887" s="17">
        <v>45380</v>
      </c>
    </row>
    <row r="1888" spans="1:9" x14ac:dyDescent="0.15">
      <c r="A1888" s="16" t="s">
        <v>8719</v>
      </c>
      <c r="B1888" s="7" t="s">
        <v>9</v>
      </c>
      <c r="C1888" s="16" t="s">
        <v>40</v>
      </c>
      <c r="D1888" s="16" t="s">
        <v>41</v>
      </c>
      <c r="E1888" s="13" t="str">
        <f>+HYPERLINK("http://trademark.i-assist.jp/data/china/image_1891th/77637916.pdf","77637916")</f>
        <v>77637916</v>
      </c>
      <c r="F1888" s="16" t="s">
        <v>8717</v>
      </c>
      <c r="G1888" s="16" t="s">
        <v>2112</v>
      </c>
      <c r="H1888" s="16" t="s">
        <v>8718</v>
      </c>
      <c r="I1888" s="17">
        <v>45380</v>
      </c>
    </row>
    <row r="1889" spans="1:9" x14ac:dyDescent="0.15">
      <c r="A1889" s="16" t="s">
        <v>8724</v>
      </c>
      <c r="B1889" s="7" t="s">
        <v>9</v>
      </c>
      <c r="C1889" s="16" t="s">
        <v>40</v>
      </c>
      <c r="D1889" s="16" t="s">
        <v>41</v>
      </c>
      <c r="E1889" s="13" t="str">
        <f>+HYPERLINK("http://trademark.i-assist.jp/data/china/image_1891th/77638151.pdf","77638151")</f>
        <v>77638151</v>
      </c>
      <c r="F1889" s="16" t="s">
        <v>8722</v>
      </c>
      <c r="G1889" s="16" t="s">
        <v>8721</v>
      </c>
      <c r="H1889" s="16" t="s">
        <v>8723</v>
      </c>
      <c r="I1889" s="17">
        <v>45380</v>
      </c>
    </row>
    <row r="1890" spans="1:9" x14ac:dyDescent="0.15">
      <c r="A1890" s="16" t="s">
        <v>8729</v>
      </c>
      <c r="B1890" s="7" t="s">
        <v>9</v>
      </c>
      <c r="C1890" s="16" t="s">
        <v>40</v>
      </c>
      <c r="D1890" s="16" t="s">
        <v>41</v>
      </c>
      <c r="E1890" s="13" t="str">
        <f>+HYPERLINK("http://trademark.i-assist.jp/data/china/image_1891th/77639121.pdf","77639121")</f>
        <v>77639121</v>
      </c>
      <c r="F1890" s="16" t="s">
        <v>8727</v>
      </c>
      <c r="G1890" s="16" t="s">
        <v>8726</v>
      </c>
      <c r="H1890" s="16" t="s">
        <v>8728</v>
      </c>
      <c r="I1890" s="17">
        <v>45380</v>
      </c>
    </row>
    <row r="1891" spans="1:9" x14ac:dyDescent="0.15">
      <c r="A1891" s="16" t="s">
        <v>8734</v>
      </c>
      <c r="B1891" s="7" t="s">
        <v>9</v>
      </c>
      <c r="C1891" s="16" t="s">
        <v>40</v>
      </c>
      <c r="D1891" s="16" t="s">
        <v>41</v>
      </c>
      <c r="E1891" s="13" t="str">
        <f>+HYPERLINK("http://trademark.i-assist.jp/data/china/image_1891th/77639319.pdf","77639319")</f>
        <v>77639319</v>
      </c>
      <c r="F1891" s="16" t="s">
        <v>8732</v>
      </c>
      <c r="G1891" s="16" t="s">
        <v>8731</v>
      </c>
      <c r="H1891" s="16" t="s">
        <v>8733</v>
      </c>
      <c r="I1891" s="17">
        <v>45380</v>
      </c>
    </row>
    <row r="1892" spans="1:9" x14ac:dyDescent="0.15">
      <c r="A1892" s="16" t="s">
        <v>40</v>
      </c>
      <c r="B1892" s="7" t="s">
        <v>9</v>
      </c>
      <c r="C1892" s="16" t="s">
        <v>40</v>
      </c>
      <c r="D1892" s="16" t="s">
        <v>41</v>
      </c>
      <c r="E1892" s="13" t="str">
        <f>+HYPERLINK("http://trademark.i-assist.jp/data/china/image_1891th/77639329.pdf","77639329")</f>
        <v>77639329</v>
      </c>
      <c r="F1892" s="16" t="s">
        <v>8737</v>
      </c>
      <c r="G1892" s="16" t="s">
        <v>8736</v>
      </c>
      <c r="H1892" s="16" t="s">
        <v>8738</v>
      </c>
      <c r="I1892" s="17">
        <v>45380</v>
      </c>
    </row>
    <row r="1893" spans="1:9" x14ac:dyDescent="0.15">
      <c r="A1893" s="16" t="s">
        <v>8743</v>
      </c>
      <c r="B1893" s="7" t="s">
        <v>9</v>
      </c>
      <c r="C1893" s="16" t="s">
        <v>40</v>
      </c>
      <c r="D1893" s="16" t="s">
        <v>41</v>
      </c>
      <c r="E1893" s="13" t="str">
        <f>+HYPERLINK("http://trademark.i-assist.jp/data/china/image_1891th/77639830.pdf","77639830")</f>
        <v>77639830</v>
      </c>
      <c r="F1893" s="16" t="s">
        <v>8741</v>
      </c>
      <c r="G1893" s="16" t="s">
        <v>8740</v>
      </c>
      <c r="H1893" s="16" t="s">
        <v>8742</v>
      </c>
      <c r="I1893" s="17">
        <v>45380</v>
      </c>
    </row>
    <row r="1894" spans="1:9" x14ac:dyDescent="0.15">
      <c r="A1894" s="16" t="s">
        <v>8748</v>
      </c>
      <c r="B1894" s="7" t="s">
        <v>9</v>
      </c>
      <c r="C1894" s="16" t="s">
        <v>40</v>
      </c>
      <c r="D1894" s="16" t="s">
        <v>41</v>
      </c>
      <c r="E1894" s="13" t="str">
        <f>+HYPERLINK("http://trademark.i-assist.jp/data/china/image_1891th/77640244.pdf","77640244")</f>
        <v>77640244</v>
      </c>
      <c r="F1894" s="16" t="s">
        <v>8746</v>
      </c>
      <c r="G1894" s="16" t="s">
        <v>8745</v>
      </c>
      <c r="H1894" s="16" t="s">
        <v>8747</v>
      </c>
      <c r="I1894" s="17">
        <v>45380</v>
      </c>
    </row>
    <row r="1895" spans="1:9" x14ac:dyDescent="0.15">
      <c r="A1895" s="16" t="s">
        <v>8753</v>
      </c>
      <c r="B1895" s="7" t="s">
        <v>9</v>
      </c>
      <c r="C1895" s="16" t="s">
        <v>40</v>
      </c>
      <c r="D1895" s="16" t="s">
        <v>41</v>
      </c>
      <c r="E1895" s="13" t="str">
        <f>+HYPERLINK("http://trademark.i-assist.jp/data/china/image_1891th/77640535.pdf","77640535")</f>
        <v>77640535</v>
      </c>
      <c r="F1895" s="16" t="s">
        <v>8751</v>
      </c>
      <c r="G1895" s="16" t="s">
        <v>8750</v>
      </c>
      <c r="H1895" s="16" t="s">
        <v>8752</v>
      </c>
      <c r="I1895" s="17">
        <v>45380</v>
      </c>
    </row>
    <row r="1896" spans="1:9" x14ac:dyDescent="0.15">
      <c r="A1896" s="16" t="s">
        <v>8757</v>
      </c>
      <c r="B1896" s="7" t="s">
        <v>9</v>
      </c>
      <c r="C1896" s="16" t="s">
        <v>40</v>
      </c>
      <c r="D1896" s="16" t="s">
        <v>41</v>
      </c>
      <c r="E1896" s="13" t="str">
        <f>+HYPERLINK("http://trademark.i-assist.jp/data/china/image_1891th/77640936.pdf","77640936")</f>
        <v>77640936</v>
      </c>
      <c r="F1896" s="16" t="s">
        <v>8755</v>
      </c>
      <c r="G1896" s="16" t="s">
        <v>8635</v>
      </c>
      <c r="H1896" s="16" t="s">
        <v>8756</v>
      </c>
      <c r="I1896" s="17">
        <v>45380</v>
      </c>
    </row>
    <row r="1897" spans="1:9" x14ac:dyDescent="0.15">
      <c r="A1897" s="16" t="s">
        <v>8762</v>
      </c>
      <c r="B1897" s="7" t="s">
        <v>9</v>
      </c>
      <c r="C1897" s="16" t="s">
        <v>40</v>
      </c>
      <c r="D1897" s="16" t="s">
        <v>41</v>
      </c>
      <c r="E1897" s="13" t="str">
        <f>+HYPERLINK("http://trademark.i-assist.jp/data/china/image_1891th/77641992.pdf","77641992")</f>
        <v>77641992</v>
      </c>
      <c r="F1897" s="16" t="s">
        <v>8760</v>
      </c>
      <c r="G1897" s="16" t="s">
        <v>8759</v>
      </c>
      <c r="H1897" s="16" t="s">
        <v>8761</v>
      </c>
      <c r="I1897" s="17">
        <v>45380</v>
      </c>
    </row>
    <row r="1898" spans="1:9" x14ac:dyDescent="0.15">
      <c r="A1898" s="16" t="s">
        <v>8766</v>
      </c>
      <c r="B1898" s="7" t="s">
        <v>9</v>
      </c>
      <c r="C1898" s="16" t="s">
        <v>40</v>
      </c>
      <c r="D1898" s="16" t="s">
        <v>41</v>
      </c>
      <c r="E1898" s="13" t="str">
        <f>+HYPERLINK("http://trademark.i-assist.jp/data/china/image_1891th/77642713.pdf","77642713")</f>
        <v>77642713</v>
      </c>
      <c r="F1898" s="16" t="s">
        <v>8764</v>
      </c>
      <c r="G1898" s="16" t="s">
        <v>8682</v>
      </c>
      <c r="H1898" s="16" t="s">
        <v>11143</v>
      </c>
      <c r="I1898" s="17">
        <v>45380</v>
      </c>
    </row>
    <row r="1899" spans="1:9" x14ac:dyDescent="0.15">
      <c r="A1899" s="16" t="s">
        <v>8770</v>
      </c>
      <c r="B1899" s="7" t="s">
        <v>9</v>
      </c>
      <c r="C1899" s="16" t="s">
        <v>40</v>
      </c>
      <c r="D1899" s="16" t="s">
        <v>41</v>
      </c>
      <c r="E1899" s="13" t="str">
        <f>+HYPERLINK("http://trademark.i-assist.jp/data/china/image_1891th/77643046.pdf","77643046")</f>
        <v>77643046</v>
      </c>
      <c r="F1899" s="16" t="s">
        <v>8768</v>
      </c>
      <c r="G1899" s="16" t="s">
        <v>8640</v>
      </c>
      <c r="H1899" s="16" t="s">
        <v>8769</v>
      </c>
      <c r="I1899" s="17">
        <v>45380</v>
      </c>
    </row>
    <row r="1900" spans="1:9" x14ac:dyDescent="0.15">
      <c r="A1900" s="16" t="s">
        <v>8775</v>
      </c>
      <c r="B1900" s="7" t="s">
        <v>9</v>
      </c>
      <c r="C1900" s="16" t="s">
        <v>40</v>
      </c>
      <c r="D1900" s="16" t="s">
        <v>41</v>
      </c>
      <c r="E1900" s="13" t="str">
        <f>+HYPERLINK("http://trademark.i-assist.jp/data/china/image_1891th/77643092.pdf","77643092")</f>
        <v>77643092</v>
      </c>
      <c r="F1900" s="16" t="s">
        <v>8773</v>
      </c>
      <c r="G1900" s="16" t="s">
        <v>8772</v>
      </c>
      <c r="H1900" s="16" t="s">
        <v>8774</v>
      </c>
      <c r="I1900" s="17">
        <v>45380</v>
      </c>
    </row>
    <row r="1901" spans="1:9" x14ac:dyDescent="0.15">
      <c r="A1901" s="16" t="s">
        <v>8779</v>
      </c>
      <c r="B1901" s="7" t="s">
        <v>9</v>
      </c>
      <c r="C1901" s="16" t="s">
        <v>40</v>
      </c>
      <c r="D1901" s="16" t="s">
        <v>41</v>
      </c>
      <c r="E1901" s="13" t="str">
        <f>+HYPERLINK("http://trademark.i-assist.jp/data/china/image_1891th/77643856.pdf","77643856")</f>
        <v>77643856</v>
      </c>
      <c r="F1901" s="16" t="s">
        <v>8777</v>
      </c>
      <c r="G1901" s="16" t="s">
        <v>2112</v>
      </c>
      <c r="H1901" s="16" t="s">
        <v>8778</v>
      </c>
      <c r="I1901" s="17">
        <v>45380</v>
      </c>
    </row>
    <row r="1902" spans="1:9" x14ac:dyDescent="0.15">
      <c r="A1902" s="16" t="s">
        <v>8783</v>
      </c>
      <c r="B1902" s="7" t="s">
        <v>9</v>
      </c>
      <c r="C1902" s="16" t="s">
        <v>40</v>
      </c>
      <c r="D1902" s="16" t="s">
        <v>41</v>
      </c>
      <c r="E1902" s="13" t="str">
        <f>+HYPERLINK("http://trademark.i-assist.jp/data/china/image_1891th/77644812.pdf","77644812")</f>
        <v>77644812</v>
      </c>
      <c r="F1902" s="16" t="s">
        <v>8781</v>
      </c>
      <c r="G1902" s="16" t="s">
        <v>2112</v>
      </c>
      <c r="H1902" s="16" t="s">
        <v>8782</v>
      </c>
      <c r="I1902" s="17">
        <v>45380</v>
      </c>
    </row>
    <row r="1903" spans="1:9" x14ac:dyDescent="0.15">
      <c r="A1903" s="16" t="s">
        <v>8786</v>
      </c>
      <c r="B1903" s="7" t="s">
        <v>9</v>
      </c>
      <c r="C1903" s="16" t="s">
        <v>40</v>
      </c>
      <c r="D1903" s="16" t="s">
        <v>41</v>
      </c>
      <c r="E1903" s="13" t="str">
        <f>+HYPERLINK("http://trademark.i-assist.jp/data/china/image_1891th/77644851.pdf","77644851")</f>
        <v>77644851</v>
      </c>
      <c r="F1903" s="16" t="s">
        <v>8656</v>
      </c>
      <c r="G1903" s="16" t="s">
        <v>8655</v>
      </c>
      <c r="H1903" s="16" t="s">
        <v>8785</v>
      </c>
      <c r="I1903" s="17">
        <v>45380</v>
      </c>
    </row>
    <row r="1904" spans="1:9" x14ac:dyDescent="0.15">
      <c r="A1904" s="16" t="s">
        <v>8791</v>
      </c>
      <c r="B1904" s="7" t="s">
        <v>9</v>
      </c>
      <c r="C1904" s="16" t="s">
        <v>40</v>
      </c>
      <c r="D1904" s="16" t="s">
        <v>41</v>
      </c>
      <c r="E1904" s="13" t="str">
        <f>+HYPERLINK("http://trademark.i-assist.jp/data/china/image_1891th/77644861.pdf","77644861")</f>
        <v>77644861</v>
      </c>
      <c r="F1904" s="16" t="s">
        <v>11131</v>
      </c>
      <c r="G1904" s="16" t="s">
        <v>8788</v>
      </c>
      <c r="H1904" s="16" t="s">
        <v>8790</v>
      </c>
      <c r="I1904" s="17">
        <v>45380</v>
      </c>
    </row>
    <row r="1905" spans="1:9" x14ac:dyDescent="0.15">
      <c r="A1905" s="16" t="s">
        <v>8796</v>
      </c>
      <c r="B1905" s="7" t="s">
        <v>9</v>
      </c>
      <c r="C1905" s="16" t="s">
        <v>40</v>
      </c>
      <c r="D1905" s="16" t="s">
        <v>41</v>
      </c>
      <c r="E1905" s="13" t="str">
        <f>+HYPERLINK("http://trademark.i-assist.jp/data/china/image_1891th/77645387.pdf","77645387")</f>
        <v>77645387</v>
      </c>
      <c r="F1905" s="16" t="s">
        <v>8794</v>
      </c>
      <c r="G1905" s="16" t="s">
        <v>8793</v>
      </c>
      <c r="H1905" s="16" t="s">
        <v>8795</v>
      </c>
      <c r="I1905" s="17">
        <v>45380</v>
      </c>
    </row>
    <row r="1906" spans="1:9" x14ac:dyDescent="0.15">
      <c r="A1906" s="16" t="s">
        <v>8801</v>
      </c>
      <c r="B1906" s="7" t="s">
        <v>9</v>
      </c>
      <c r="C1906" s="16" t="s">
        <v>40</v>
      </c>
      <c r="D1906" s="16" t="s">
        <v>41</v>
      </c>
      <c r="E1906" s="13" t="str">
        <f>+HYPERLINK("http://trademark.i-assist.jp/data/china/image_1891th/77645855.pdf","77645855")</f>
        <v>77645855</v>
      </c>
      <c r="F1906" s="16" t="s">
        <v>8799</v>
      </c>
      <c r="G1906" s="16" t="s">
        <v>8798</v>
      </c>
      <c r="H1906" s="16" t="s">
        <v>8800</v>
      </c>
      <c r="I1906" s="17">
        <v>45380</v>
      </c>
    </row>
    <row r="1907" spans="1:9" x14ac:dyDescent="0.15">
      <c r="A1907" s="16" t="s">
        <v>8806</v>
      </c>
      <c r="B1907" s="7" t="s">
        <v>9</v>
      </c>
      <c r="C1907" s="16" t="s">
        <v>40</v>
      </c>
      <c r="D1907" s="16" t="s">
        <v>41</v>
      </c>
      <c r="E1907" s="13" t="str">
        <f>+HYPERLINK("http://trademark.i-assist.jp/data/china/image_1891th/77645892.pdf","77645892")</f>
        <v>77645892</v>
      </c>
      <c r="F1907" s="16" t="s">
        <v>8804</v>
      </c>
      <c r="G1907" s="16" t="s">
        <v>8803</v>
      </c>
      <c r="H1907" s="16" t="s">
        <v>8805</v>
      </c>
      <c r="I1907" s="17">
        <v>45380</v>
      </c>
    </row>
    <row r="1908" spans="1:9" x14ac:dyDescent="0.15">
      <c r="A1908" s="16" t="s">
        <v>8811</v>
      </c>
      <c r="B1908" s="7" t="s">
        <v>9</v>
      </c>
      <c r="C1908" s="16" t="s">
        <v>40</v>
      </c>
      <c r="D1908" s="16" t="s">
        <v>41</v>
      </c>
      <c r="E1908" s="13" t="str">
        <f>+HYPERLINK("http://trademark.i-assist.jp/data/china/image_1891th/77646389.pdf","77646389")</f>
        <v>77646389</v>
      </c>
      <c r="F1908" s="16" t="s">
        <v>8809</v>
      </c>
      <c r="G1908" s="16" t="s">
        <v>8808</v>
      </c>
      <c r="H1908" s="16" t="s">
        <v>8810</v>
      </c>
      <c r="I1908" s="17">
        <v>45380</v>
      </c>
    </row>
    <row r="1909" spans="1:9" x14ac:dyDescent="0.15">
      <c r="A1909" s="16" t="s">
        <v>8815</v>
      </c>
      <c r="B1909" s="7" t="s">
        <v>9</v>
      </c>
      <c r="C1909" s="16" t="s">
        <v>40</v>
      </c>
      <c r="D1909" s="16" t="s">
        <v>41</v>
      </c>
      <c r="E1909" s="13" t="str">
        <f>+HYPERLINK("http://trademark.i-assist.jp/data/china/image_1891th/77646392.pdf","77646392")</f>
        <v>77646392</v>
      </c>
      <c r="F1909" s="16" t="s">
        <v>8813</v>
      </c>
      <c r="G1909" s="16" t="s">
        <v>8808</v>
      </c>
      <c r="H1909" s="16" t="s">
        <v>8814</v>
      </c>
      <c r="I1909" s="17">
        <v>45380</v>
      </c>
    </row>
    <row r="1910" spans="1:9" x14ac:dyDescent="0.15">
      <c r="A1910" s="16" t="s">
        <v>8820</v>
      </c>
      <c r="B1910" s="7" t="s">
        <v>9</v>
      </c>
      <c r="C1910" s="16" t="s">
        <v>40</v>
      </c>
      <c r="D1910" s="16" t="s">
        <v>41</v>
      </c>
      <c r="E1910" s="13" t="str">
        <f>+HYPERLINK("http://trademark.i-assist.jp/data/china/image_1891th/77646461.pdf","77646461")</f>
        <v>77646461</v>
      </c>
      <c r="F1910" s="16" t="s">
        <v>8818</v>
      </c>
      <c r="G1910" s="16" t="s">
        <v>8817</v>
      </c>
      <c r="H1910" s="16" t="s">
        <v>8819</v>
      </c>
      <c r="I1910" s="17">
        <v>45380</v>
      </c>
    </row>
    <row r="1911" spans="1:9" x14ac:dyDescent="0.15">
      <c r="A1911" s="16" t="s">
        <v>8825</v>
      </c>
      <c r="B1911" s="7" t="s">
        <v>9</v>
      </c>
      <c r="C1911" s="16" t="s">
        <v>40</v>
      </c>
      <c r="D1911" s="16" t="s">
        <v>41</v>
      </c>
      <c r="E1911" s="13" t="str">
        <f>+HYPERLINK("http://trademark.i-assist.jp/data/china/image_1891th/77646576.pdf","77646576")</f>
        <v>77646576</v>
      </c>
      <c r="F1911" s="16" t="s">
        <v>8823</v>
      </c>
      <c r="G1911" s="16" t="s">
        <v>8822</v>
      </c>
      <c r="H1911" s="16" t="s">
        <v>8824</v>
      </c>
      <c r="I1911" s="17">
        <v>45380</v>
      </c>
    </row>
    <row r="1912" spans="1:9" x14ac:dyDescent="0.15">
      <c r="A1912" s="16" t="s">
        <v>8830</v>
      </c>
      <c r="B1912" s="7" t="s">
        <v>9</v>
      </c>
      <c r="C1912" s="16" t="s">
        <v>40</v>
      </c>
      <c r="D1912" s="16" t="s">
        <v>41</v>
      </c>
      <c r="E1912" s="13" t="str">
        <f>+HYPERLINK("http://trademark.i-assist.jp/data/china/image_1891th/77646943.pdf","77646943")</f>
        <v>77646943</v>
      </c>
      <c r="F1912" s="16" t="s">
        <v>8828</v>
      </c>
      <c r="G1912" s="16" t="s">
        <v>8827</v>
      </c>
      <c r="H1912" s="16" t="s">
        <v>8829</v>
      </c>
      <c r="I1912" s="17">
        <v>45380</v>
      </c>
    </row>
    <row r="1913" spans="1:9" x14ac:dyDescent="0.15">
      <c r="A1913" s="16" t="s">
        <v>2069</v>
      </c>
      <c r="B1913" s="7" t="s">
        <v>9</v>
      </c>
      <c r="C1913" s="16" t="s">
        <v>40</v>
      </c>
      <c r="D1913" s="16" t="s">
        <v>41</v>
      </c>
      <c r="E1913" s="13" t="str">
        <f>+HYPERLINK("http://trademark.i-assist.jp/data/china/image_1891th/77647899.pdf","77647899")</f>
        <v>77647899</v>
      </c>
      <c r="F1913" s="16" t="s">
        <v>8832</v>
      </c>
      <c r="G1913" s="16" t="s">
        <v>8640</v>
      </c>
      <c r="H1913" s="16" t="s">
        <v>8833</v>
      </c>
      <c r="I1913" s="17">
        <v>45380</v>
      </c>
    </row>
    <row r="1914" spans="1:9" x14ac:dyDescent="0.15">
      <c r="A1914" s="16" t="s">
        <v>2075</v>
      </c>
      <c r="B1914" s="7" t="s">
        <v>9</v>
      </c>
      <c r="C1914" s="16" t="s">
        <v>40</v>
      </c>
      <c r="D1914" s="16" t="s">
        <v>41</v>
      </c>
      <c r="E1914" s="13" t="str">
        <f>+HYPERLINK("http://trademark.i-assist.jp/data/china/image_1891th/77648209.pdf","77648209")</f>
        <v>77648209</v>
      </c>
      <c r="F1914" s="16" t="s">
        <v>2072</v>
      </c>
      <c r="G1914" s="16" t="s">
        <v>2071</v>
      </c>
      <c r="H1914" s="16" t="s">
        <v>2073</v>
      </c>
      <c r="I1914" s="17">
        <v>45380</v>
      </c>
    </row>
    <row r="1915" spans="1:9" x14ac:dyDescent="0.15">
      <c r="A1915" s="16" t="s">
        <v>2080</v>
      </c>
      <c r="B1915" s="7" t="s">
        <v>9</v>
      </c>
      <c r="C1915" s="16" t="s">
        <v>40</v>
      </c>
      <c r="D1915" s="16" t="s">
        <v>41</v>
      </c>
      <c r="E1915" s="13" t="str">
        <f>+HYPERLINK("http://trademark.i-assist.jp/data/china/image_1891th/77648971.pdf","77648971")</f>
        <v>77648971</v>
      </c>
      <c r="F1915" s="16" t="s">
        <v>2078</v>
      </c>
      <c r="G1915" s="16" t="s">
        <v>2077</v>
      </c>
      <c r="H1915" s="16" t="s">
        <v>2079</v>
      </c>
      <c r="I1915" s="17">
        <v>45380</v>
      </c>
    </row>
    <row r="1916" spans="1:9" x14ac:dyDescent="0.15">
      <c r="A1916" s="16" t="s">
        <v>2085</v>
      </c>
      <c r="B1916" s="7" t="s">
        <v>9</v>
      </c>
      <c r="C1916" s="16" t="s">
        <v>40</v>
      </c>
      <c r="D1916" s="16" t="s">
        <v>41</v>
      </c>
      <c r="E1916" s="13" t="str">
        <f>+HYPERLINK("http://trademark.i-assist.jp/data/china/image_1891th/77648992.pdf","77648992")</f>
        <v>77648992</v>
      </c>
      <c r="F1916" s="16" t="s">
        <v>2083</v>
      </c>
      <c r="G1916" s="16" t="s">
        <v>2082</v>
      </c>
      <c r="H1916" s="16" t="s">
        <v>2084</v>
      </c>
      <c r="I1916" s="17">
        <v>45380</v>
      </c>
    </row>
    <row r="1917" spans="1:9" x14ac:dyDescent="0.15">
      <c r="A1917" s="16" t="s">
        <v>2090</v>
      </c>
      <c r="B1917" s="7" t="s">
        <v>9</v>
      </c>
      <c r="C1917" s="16" t="s">
        <v>40</v>
      </c>
      <c r="D1917" s="16" t="s">
        <v>41</v>
      </c>
      <c r="E1917" s="13" t="str">
        <f>+HYPERLINK("http://trademark.i-assist.jp/data/china/image_1891th/77649253.pdf","77649253")</f>
        <v>77649253</v>
      </c>
      <c r="F1917" s="16" t="s">
        <v>2088</v>
      </c>
      <c r="G1917" s="16" t="s">
        <v>2087</v>
      </c>
      <c r="H1917" s="16" t="s">
        <v>2089</v>
      </c>
      <c r="I1917" s="17">
        <v>45380</v>
      </c>
    </row>
    <row r="1918" spans="1:9" x14ac:dyDescent="0.15">
      <c r="A1918" s="16" t="s">
        <v>2095</v>
      </c>
      <c r="B1918" s="7" t="s">
        <v>9</v>
      </c>
      <c r="C1918" s="16" t="s">
        <v>40</v>
      </c>
      <c r="D1918" s="16" t="s">
        <v>41</v>
      </c>
      <c r="E1918" s="13" t="str">
        <f>+HYPERLINK("http://trademark.i-assist.jp/data/china/image_1891th/77649278.pdf","77649278")</f>
        <v>77649278</v>
      </c>
      <c r="F1918" s="16" t="s">
        <v>2093</v>
      </c>
      <c r="G1918" s="16" t="s">
        <v>2092</v>
      </c>
      <c r="H1918" s="16" t="s">
        <v>2094</v>
      </c>
      <c r="I1918" s="17">
        <v>45380</v>
      </c>
    </row>
    <row r="1919" spans="1:9" x14ac:dyDescent="0.15">
      <c r="A1919" s="16" t="s">
        <v>2100</v>
      </c>
      <c r="B1919" s="7" t="s">
        <v>9</v>
      </c>
      <c r="C1919" s="16" t="s">
        <v>40</v>
      </c>
      <c r="D1919" s="16" t="s">
        <v>41</v>
      </c>
      <c r="E1919" s="13" t="str">
        <f>+HYPERLINK("http://trademark.i-assist.jp/data/china/image_1891th/77650519.pdf","77650519")</f>
        <v>77650519</v>
      </c>
      <c r="F1919" s="16" t="s">
        <v>2098</v>
      </c>
      <c r="G1919" s="16" t="s">
        <v>2097</v>
      </c>
      <c r="H1919" s="16" t="s">
        <v>2099</v>
      </c>
      <c r="I1919" s="17">
        <v>45380</v>
      </c>
    </row>
    <row r="1920" spans="1:9" x14ac:dyDescent="0.15">
      <c r="A1920" s="16" t="s">
        <v>2105</v>
      </c>
      <c r="B1920" s="7" t="s">
        <v>9</v>
      </c>
      <c r="C1920" s="16" t="s">
        <v>40</v>
      </c>
      <c r="D1920" s="16" t="s">
        <v>41</v>
      </c>
      <c r="E1920" s="13" t="str">
        <f>+HYPERLINK("http://trademark.i-assist.jp/data/china/image_1891th/77650673.pdf","77650673")</f>
        <v>77650673</v>
      </c>
      <c r="F1920" s="16" t="s">
        <v>2103</v>
      </c>
      <c r="G1920" s="16" t="s">
        <v>2102</v>
      </c>
      <c r="H1920" s="16" t="s">
        <v>2104</v>
      </c>
      <c r="I1920" s="17">
        <v>45380</v>
      </c>
    </row>
    <row r="1921" spans="1:9" x14ac:dyDescent="0.15">
      <c r="A1921" s="16" t="s">
        <v>2110</v>
      </c>
      <c r="B1921" s="7" t="s">
        <v>9</v>
      </c>
      <c r="C1921" s="16" t="s">
        <v>40</v>
      </c>
      <c r="D1921" s="16" t="s">
        <v>41</v>
      </c>
      <c r="E1921" s="13" t="str">
        <f>+HYPERLINK("http://trademark.i-assist.jp/data/china/image_1891th/77650859.pdf","77650859")</f>
        <v>77650859</v>
      </c>
      <c r="F1921" s="16" t="s">
        <v>2108</v>
      </c>
      <c r="G1921" s="16" t="s">
        <v>2107</v>
      </c>
      <c r="H1921" s="16" t="s">
        <v>2109</v>
      </c>
      <c r="I1921" s="17">
        <v>45380</v>
      </c>
    </row>
    <row r="1922" spans="1:9" x14ac:dyDescent="0.15">
      <c r="A1922" s="16" t="s">
        <v>2115</v>
      </c>
      <c r="B1922" s="7" t="s">
        <v>9</v>
      </c>
      <c r="C1922" s="16" t="s">
        <v>40</v>
      </c>
      <c r="D1922" s="16" t="s">
        <v>41</v>
      </c>
      <c r="E1922" s="13" t="str">
        <f>+HYPERLINK("http://trademark.i-assist.jp/data/china/image_1891th/77650874.pdf","77650874")</f>
        <v>77650874</v>
      </c>
      <c r="F1922" s="16" t="s">
        <v>2113</v>
      </c>
      <c r="G1922" s="16" t="s">
        <v>2112</v>
      </c>
      <c r="H1922" s="16" t="s">
        <v>2114</v>
      </c>
      <c r="I1922" s="17">
        <v>45380</v>
      </c>
    </row>
    <row r="1923" spans="1:9" x14ac:dyDescent="0.15">
      <c r="A1923" s="16" t="s">
        <v>2119</v>
      </c>
      <c r="B1923" s="7" t="s">
        <v>9</v>
      </c>
      <c r="C1923" s="16" t="s">
        <v>40</v>
      </c>
      <c r="D1923" s="16" t="s">
        <v>41</v>
      </c>
      <c r="E1923" s="13" t="str">
        <f>+HYPERLINK("http://trademark.i-assist.jp/data/china/image_1891th/77650959.pdf","77650959")</f>
        <v>77650959</v>
      </c>
      <c r="F1923" s="16" t="s">
        <v>52</v>
      </c>
      <c r="G1923" s="16" t="s">
        <v>2117</v>
      </c>
      <c r="H1923" s="16" t="s">
        <v>2118</v>
      </c>
      <c r="I1923" s="17">
        <v>45380</v>
      </c>
    </row>
    <row r="1924" spans="1:9" x14ac:dyDescent="0.15">
      <c r="A1924" s="16" t="s">
        <v>2124</v>
      </c>
      <c r="B1924" s="7" t="s">
        <v>9</v>
      </c>
      <c r="C1924" s="16" t="s">
        <v>40</v>
      </c>
      <c r="D1924" s="16" t="s">
        <v>41</v>
      </c>
      <c r="E1924" s="13" t="str">
        <f>+HYPERLINK("http://trademark.i-assist.jp/data/china/image_1891th/77651369.pdf","77651369")</f>
        <v>77651369</v>
      </c>
      <c r="F1924" s="16" t="s">
        <v>2122</v>
      </c>
      <c r="G1924" s="16" t="s">
        <v>2121</v>
      </c>
      <c r="H1924" s="16" t="s">
        <v>2123</v>
      </c>
      <c r="I1924" s="17">
        <v>45380</v>
      </c>
    </row>
    <row r="1925" spans="1:9" x14ac:dyDescent="0.15">
      <c r="A1925" s="16" t="s">
        <v>2128</v>
      </c>
      <c r="B1925" s="7" t="s">
        <v>9</v>
      </c>
      <c r="C1925" s="16" t="s">
        <v>40</v>
      </c>
      <c r="D1925" s="16" t="s">
        <v>41</v>
      </c>
      <c r="E1925" s="13" t="str">
        <f>+HYPERLINK("http://trademark.i-assist.jp/data/china/image_1891th/77651415.pdf","77651415")</f>
        <v>77651415</v>
      </c>
      <c r="F1925" s="16" t="s">
        <v>52</v>
      </c>
      <c r="G1925" s="16" t="s">
        <v>2126</v>
      </c>
      <c r="H1925" s="16" t="s">
        <v>2127</v>
      </c>
      <c r="I1925" s="17">
        <v>45380</v>
      </c>
    </row>
    <row r="1926" spans="1:9" x14ac:dyDescent="0.15">
      <c r="A1926" s="16" t="s">
        <v>2132</v>
      </c>
      <c r="B1926" s="7" t="s">
        <v>9</v>
      </c>
      <c r="C1926" s="16" t="s">
        <v>40</v>
      </c>
      <c r="D1926" s="16" t="s">
        <v>41</v>
      </c>
      <c r="E1926" s="13" t="str">
        <f>+HYPERLINK("http://trademark.i-assist.jp/data/china/image_1891th/77651643.pdf","77651643")</f>
        <v>77651643</v>
      </c>
      <c r="F1926" s="16" t="s">
        <v>52</v>
      </c>
      <c r="G1926" s="16" t="s">
        <v>11106</v>
      </c>
      <c r="H1926" s="16" t="s">
        <v>2131</v>
      </c>
      <c r="I1926" s="17">
        <v>45380</v>
      </c>
    </row>
    <row r="1927" spans="1:9" x14ac:dyDescent="0.15">
      <c r="A1927" s="16" t="s">
        <v>8834</v>
      </c>
      <c r="B1927" s="7" t="s">
        <v>9</v>
      </c>
      <c r="C1927" s="16" t="s">
        <v>40</v>
      </c>
      <c r="D1927" s="16" t="s">
        <v>41</v>
      </c>
      <c r="E1927" s="13" t="str">
        <f>+HYPERLINK("http://trademark.i-assist.jp/data/china/image_1891th/77651948.pdf","77651948")</f>
        <v>77651948</v>
      </c>
      <c r="F1927" s="16" t="s">
        <v>2134</v>
      </c>
      <c r="G1927" s="16" t="s">
        <v>2097</v>
      </c>
      <c r="H1927" s="16" t="s">
        <v>2135</v>
      </c>
      <c r="I1927" s="17">
        <v>45380</v>
      </c>
    </row>
    <row r="1928" spans="1:9" x14ac:dyDescent="0.15">
      <c r="A1928" s="16" t="s">
        <v>8838</v>
      </c>
      <c r="B1928" s="7" t="s">
        <v>9</v>
      </c>
      <c r="C1928" s="16" t="s">
        <v>40</v>
      </c>
      <c r="D1928" s="16" t="s">
        <v>41</v>
      </c>
      <c r="E1928" s="13" t="str">
        <f>+HYPERLINK("http://trademark.i-assist.jp/data/china/image_1891th/77653131.pdf","77653131")</f>
        <v>77653131</v>
      </c>
      <c r="F1928" s="16" t="s">
        <v>52</v>
      </c>
      <c r="G1928" s="16" t="s">
        <v>8836</v>
      </c>
      <c r="H1928" s="16" t="s">
        <v>8837</v>
      </c>
      <c r="I1928" s="17">
        <v>45380</v>
      </c>
    </row>
    <row r="1929" spans="1:9" x14ac:dyDescent="0.15">
      <c r="A1929" s="16" t="s">
        <v>8843</v>
      </c>
      <c r="B1929" s="7" t="s">
        <v>9</v>
      </c>
      <c r="C1929" s="16" t="s">
        <v>40</v>
      </c>
      <c r="D1929" s="16" t="s">
        <v>41</v>
      </c>
      <c r="E1929" s="13" t="str">
        <f>+HYPERLINK("http://trademark.i-assist.jp/data/china/image_1891th/77653286.pdf","77653286")</f>
        <v>77653286</v>
      </c>
      <c r="F1929" s="16" t="s">
        <v>8841</v>
      </c>
      <c r="G1929" s="16" t="s">
        <v>11124</v>
      </c>
      <c r="H1929" s="16" t="s">
        <v>8842</v>
      </c>
      <c r="I1929" s="17">
        <v>45380</v>
      </c>
    </row>
    <row r="1930" spans="1:9" x14ac:dyDescent="0.15">
      <c r="A1930" s="16" t="s">
        <v>8848</v>
      </c>
      <c r="B1930" s="7" t="s">
        <v>9</v>
      </c>
      <c r="C1930" s="16" t="s">
        <v>40</v>
      </c>
      <c r="D1930" s="16" t="s">
        <v>41</v>
      </c>
      <c r="E1930" s="13" t="str">
        <f>+HYPERLINK("http://trademark.i-assist.jp/data/china/image_1891th/77654352.pdf","77654352")</f>
        <v>77654352</v>
      </c>
      <c r="F1930" s="16" t="s">
        <v>8846</v>
      </c>
      <c r="G1930" s="16" t="s">
        <v>8845</v>
      </c>
      <c r="H1930" s="16" t="s">
        <v>8847</v>
      </c>
      <c r="I1930" s="17">
        <v>45380</v>
      </c>
    </row>
    <row r="1931" spans="1:9" x14ac:dyDescent="0.15">
      <c r="A1931" s="16" t="s">
        <v>8853</v>
      </c>
      <c r="B1931" s="7" t="s">
        <v>9</v>
      </c>
      <c r="C1931" s="16" t="s">
        <v>40</v>
      </c>
      <c r="D1931" s="16" t="s">
        <v>41</v>
      </c>
      <c r="E1931" s="13" t="str">
        <f>+HYPERLINK("http://trademark.i-assist.jp/data/china/image_1891th/77654511.pdf","77654511")</f>
        <v>77654511</v>
      </c>
      <c r="F1931" s="16" t="s">
        <v>8851</v>
      </c>
      <c r="G1931" s="16" t="s">
        <v>8850</v>
      </c>
      <c r="H1931" s="16" t="s">
        <v>8852</v>
      </c>
      <c r="I1931" s="17">
        <v>45380</v>
      </c>
    </row>
    <row r="1932" spans="1:9" x14ac:dyDescent="0.15">
      <c r="A1932" s="16" t="s">
        <v>8858</v>
      </c>
      <c r="B1932" s="7" t="s">
        <v>9</v>
      </c>
      <c r="C1932" s="16" t="s">
        <v>40</v>
      </c>
      <c r="D1932" s="16" t="s">
        <v>41</v>
      </c>
      <c r="E1932" s="13" t="str">
        <f>+HYPERLINK("http://trademark.i-assist.jp/data/china/image_1891th/77654590.pdf","77654590")</f>
        <v>77654590</v>
      </c>
      <c r="F1932" s="16" t="s">
        <v>8856</v>
      </c>
      <c r="G1932" s="16" t="s">
        <v>8855</v>
      </c>
      <c r="H1932" s="16" t="s">
        <v>8857</v>
      </c>
      <c r="I1932" s="17">
        <v>45380</v>
      </c>
    </row>
    <row r="1933" spans="1:9" x14ac:dyDescent="0.15">
      <c r="A1933" s="16" t="s">
        <v>8863</v>
      </c>
      <c r="B1933" s="7" t="s">
        <v>9</v>
      </c>
      <c r="C1933" s="16" t="s">
        <v>40</v>
      </c>
      <c r="D1933" s="16" t="s">
        <v>41</v>
      </c>
      <c r="E1933" s="13" t="str">
        <f>+HYPERLINK("http://trademark.i-assist.jp/data/china/image_1891th/77654888.pdf","77654888")</f>
        <v>77654888</v>
      </c>
      <c r="F1933" s="16" t="s">
        <v>8861</v>
      </c>
      <c r="G1933" s="16" t="s">
        <v>8860</v>
      </c>
      <c r="H1933" s="16" t="s">
        <v>8862</v>
      </c>
      <c r="I1933" s="17">
        <v>45380</v>
      </c>
    </row>
    <row r="1934" spans="1:9" x14ac:dyDescent="0.15">
      <c r="A1934" s="16" t="s">
        <v>8868</v>
      </c>
      <c r="B1934" s="7" t="s">
        <v>9</v>
      </c>
      <c r="C1934" s="16" t="s">
        <v>40</v>
      </c>
      <c r="D1934" s="16" t="s">
        <v>41</v>
      </c>
      <c r="E1934" s="13" t="str">
        <f>+HYPERLINK("http://trademark.i-assist.jp/data/china/image_1891th/77654993.pdf","77654993")</f>
        <v>77654993</v>
      </c>
      <c r="F1934" s="16" t="s">
        <v>8866</v>
      </c>
      <c r="G1934" s="16" t="s">
        <v>8865</v>
      </c>
      <c r="H1934" s="16" t="s">
        <v>8867</v>
      </c>
      <c r="I1934" s="17">
        <v>45380</v>
      </c>
    </row>
    <row r="1935" spans="1:9" x14ac:dyDescent="0.15">
      <c r="A1935" s="16" t="s">
        <v>8872</v>
      </c>
      <c r="B1935" s="7" t="s">
        <v>9</v>
      </c>
      <c r="C1935" s="16" t="s">
        <v>40</v>
      </c>
      <c r="D1935" s="16" t="s">
        <v>41</v>
      </c>
      <c r="E1935" s="13" t="str">
        <f>+HYPERLINK("http://trademark.i-assist.jp/data/china/image_1891th/77655068.pdf","77655068")</f>
        <v>77655068</v>
      </c>
      <c r="F1935" s="16" t="s">
        <v>8870</v>
      </c>
      <c r="G1935" s="16" t="s">
        <v>2097</v>
      </c>
      <c r="H1935" s="16" t="s">
        <v>8871</v>
      </c>
      <c r="I1935" s="17">
        <v>45380</v>
      </c>
    </row>
    <row r="1936" spans="1:9" x14ac:dyDescent="0.15">
      <c r="A1936" s="16" t="s">
        <v>8877</v>
      </c>
      <c r="B1936" s="7" t="s">
        <v>9</v>
      </c>
      <c r="C1936" s="16" t="s">
        <v>40</v>
      </c>
      <c r="D1936" s="16" t="s">
        <v>41</v>
      </c>
      <c r="E1936" s="13" t="str">
        <f>+HYPERLINK("http://trademark.i-assist.jp/data/china/image_1891th/77655381.pdf","77655381")</f>
        <v>77655381</v>
      </c>
      <c r="F1936" s="16" t="s">
        <v>8875</v>
      </c>
      <c r="G1936" s="16" t="s">
        <v>8874</v>
      </c>
      <c r="H1936" s="16" t="s">
        <v>8876</v>
      </c>
      <c r="I1936" s="17">
        <v>45380</v>
      </c>
    </row>
    <row r="1937" spans="1:9" x14ac:dyDescent="0.15">
      <c r="A1937" s="16" t="s">
        <v>8882</v>
      </c>
      <c r="B1937" s="7" t="s">
        <v>9</v>
      </c>
      <c r="C1937" s="16" t="s">
        <v>40</v>
      </c>
      <c r="D1937" s="16" t="s">
        <v>41</v>
      </c>
      <c r="E1937" s="13" t="str">
        <f>+HYPERLINK("http://trademark.i-assist.jp/data/china/image_1891th/77655423.pdf","77655423")</f>
        <v>77655423</v>
      </c>
      <c r="F1937" s="16" t="s">
        <v>8880</v>
      </c>
      <c r="G1937" s="16" t="s">
        <v>8879</v>
      </c>
      <c r="H1937" s="16" t="s">
        <v>8881</v>
      </c>
      <c r="I1937" s="17">
        <v>45380</v>
      </c>
    </row>
    <row r="1938" spans="1:9" x14ac:dyDescent="0.15">
      <c r="A1938" s="16" t="s">
        <v>8886</v>
      </c>
      <c r="B1938" s="7" t="s">
        <v>9</v>
      </c>
      <c r="C1938" s="16" t="s">
        <v>40</v>
      </c>
      <c r="D1938" s="16" t="s">
        <v>41</v>
      </c>
      <c r="E1938" s="13" t="str">
        <f>+HYPERLINK("http://trademark.i-assist.jp/data/china/image_1891th/77655543.pdf","77655543")</f>
        <v>77655543</v>
      </c>
      <c r="F1938" s="16" t="s">
        <v>52</v>
      </c>
      <c r="G1938" s="16" t="s">
        <v>8884</v>
      </c>
      <c r="H1938" s="16" t="s">
        <v>8885</v>
      </c>
      <c r="I1938" s="17">
        <v>45380</v>
      </c>
    </row>
    <row r="1939" spans="1:9" x14ac:dyDescent="0.15">
      <c r="A1939" s="16" t="s">
        <v>8891</v>
      </c>
      <c r="B1939" s="7" t="s">
        <v>9</v>
      </c>
      <c r="C1939" s="16" t="s">
        <v>40</v>
      </c>
      <c r="D1939" s="16" t="s">
        <v>41</v>
      </c>
      <c r="E1939" s="13" t="str">
        <f>+HYPERLINK("http://trademark.i-assist.jp/data/china/image_1891th/77655642.pdf","77655642")</f>
        <v>77655642</v>
      </c>
      <c r="F1939" s="16" t="s">
        <v>8889</v>
      </c>
      <c r="G1939" s="16" t="s">
        <v>8888</v>
      </c>
      <c r="H1939" s="16" t="s">
        <v>8890</v>
      </c>
      <c r="I1939" s="17">
        <v>45380</v>
      </c>
    </row>
    <row r="1940" spans="1:9" x14ac:dyDescent="0.15">
      <c r="A1940" s="16" t="s">
        <v>8896</v>
      </c>
      <c r="B1940" s="7" t="s">
        <v>9</v>
      </c>
      <c r="C1940" s="16" t="s">
        <v>40</v>
      </c>
      <c r="D1940" s="16" t="s">
        <v>41</v>
      </c>
      <c r="E1940" s="13" t="str">
        <f>+HYPERLINK("http://trademark.i-assist.jp/data/china/image_1891th/77655652.pdf","77655652")</f>
        <v>77655652</v>
      </c>
      <c r="F1940" s="16" t="s">
        <v>8894</v>
      </c>
      <c r="G1940" s="16" t="s">
        <v>8893</v>
      </c>
      <c r="H1940" s="16" t="s">
        <v>8895</v>
      </c>
      <c r="I1940" s="17">
        <v>45380</v>
      </c>
    </row>
    <row r="1941" spans="1:9" x14ac:dyDescent="0.15">
      <c r="A1941" s="16" t="s">
        <v>8901</v>
      </c>
      <c r="B1941" s="7" t="s">
        <v>9</v>
      </c>
      <c r="C1941" s="16" t="s">
        <v>40</v>
      </c>
      <c r="D1941" s="16" t="s">
        <v>41</v>
      </c>
      <c r="E1941" s="13" t="str">
        <f>+HYPERLINK("http://trademark.i-assist.jp/data/china/image_1891th/77655664.pdf","77655664")</f>
        <v>77655664</v>
      </c>
      <c r="F1941" s="16" t="s">
        <v>8899</v>
      </c>
      <c r="G1941" s="16" t="s">
        <v>8898</v>
      </c>
      <c r="H1941" s="16" t="s">
        <v>8900</v>
      </c>
      <c r="I1941" s="17">
        <v>45380</v>
      </c>
    </row>
    <row r="1942" spans="1:9" x14ac:dyDescent="0.15">
      <c r="A1942" s="16" t="s">
        <v>8906</v>
      </c>
      <c r="B1942" s="7" t="s">
        <v>9</v>
      </c>
      <c r="C1942" s="16" t="s">
        <v>40</v>
      </c>
      <c r="D1942" s="16" t="s">
        <v>41</v>
      </c>
      <c r="E1942" s="13" t="str">
        <f>+HYPERLINK("http://trademark.i-assist.jp/data/china/image_1891th/77656909.pdf","77656909")</f>
        <v>77656909</v>
      </c>
      <c r="F1942" s="16" t="s">
        <v>8904</v>
      </c>
      <c r="G1942" s="16" t="s">
        <v>8903</v>
      </c>
      <c r="H1942" s="16" t="s">
        <v>8905</v>
      </c>
      <c r="I1942" s="17">
        <v>45380</v>
      </c>
    </row>
    <row r="1943" spans="1:9" x14ac:dyDescent="0.15">
      <c r="A1943" s="16" t="s">
        <v>8911</v>
      </c>
      <c r="B1943" s="7" t="s">
        <v>9</v>
      </c>
      <c r="C1943" s="16" t="s">
        <v>40</v>
      </c>
      <c r="D1943" s="16" t="s">
        <v>41</v>
      </c>
      <c r="E1943" s="13" t="str">
        <f>+HYPERLINK("http://trademark.i-assist.jp/data/china/image_1891th/77657399.pdf","77657399")</f>
        <v>77657399</v>
      </c>
      <c r="F1943" s="16" t="s">
        <v>8909</v>
      </c>
      <c r="G1943" s="16" t="s">
        <v>8908</v>
      </c>
      <c r="H1943" s="16" t="s">
        <v>8910</v>
      </c>
      <c r="I1943" s="17">
        <v>45380</v>
      </c>
    </row>
    <row r="1944" spans="1:9" x14ac:dyDescent="0.15">
      <c r="A1944" s="16" t="s">
        <v>8915</v>
      </c>
      <c r="B1944" s="7" t="s">
        <v>9</v>
      </c>
      <c r="C1944" s="16" t="s">
        <v>40</v>
      </c>
      <c r="D1944" s="16" t="s">
        <v>41</v>
      </c>
      <c r="E1944" s="13" t="str">
        <f>+HYPERLINK("http://trademark.i-assist.jp/data/china/image_1891th/77657655.pdf","77657655")</f>
        <v>77657655</v>
      </c>
      <c r="F1944" s="16" t="s">
        <v>8913</v>
      </c>
      <c r="G1944" s="16" t="s">
        <v>2112</v>
      </c>
      <c r="H1944" s="16" t="s">
        <v>8914</v>
      </c>
      <c r="I1944" s="17">
        <v>45380</v>
      </c>
    </row>
    <row r="1945" spans="1:9" x14ac:dyDescent="0.15">
      <c r="A1945" s="16" t="s">
        <v>8920</v>
      </c>
      <c r="B1945" s="7" t="s">
        <v>9</v>
      </c>
      <c r="C1945" s="16" t="s">
        <v>40</v>
      </c>
      <c r="D1945" s="16" t="s">
        <v>41</v>
      </c>
      <c r="E1945" s="13" t="str">
        <f>+HYPERLINK("http://trademark.i-assist.jp/data/china/image_1891th/77657689.pdf","77657689")</f>
        <v>77657689</v>
      </c>
      <c r="F1945" s="16" t="s">
        <v>8918</v>
      </c>
      <c r="G1945" s="16" t="s">
        <v>8917</v>
      </c>
      <c r="H1945" s="16" t="s">
        <v>8919</v>
      </c>
      <c r="I1945" s="17">
        <v>45380</v>
      </c>
    </row>
    <row r="1946" spans="1:9" x14ac:dyDescent="0.15">
      <c r="A1946" s="16" t="s">
        <v>6585</v>
      </c>
      <c r="B1946" s="7" t="s">
        <v>9</v>
      </c>
      <c r="C1946" s="16" t="s">
        <v>40</v>
      </c>
      <c r="D1946" s="16" t="s">
        <v>41</v>
      </c>
      <c r="E1946" s="13" t="str">
        <f>+HYPERLINK("http://trademark.i-assist.jp/data/china/image_1891th/77657708.pdf","77657708")</f>
        <v>77657708</v>
      </c>
      <c r="F1946" s="16" t="s">
        <v>8922</v>
      </c>
      <c r="G1946" s="16" t="s">
        <v>8630</v>
      </c>
      <c r="H1946" s="16" t="s">
        <v>8923</v>
      </c>
      <c r="I1946" s="17">
        <v>45380</v>
      </c>
    </row>
    <row r="1947" spans="1:9" x14ac:dyDescent="0.15">
      <c r="A1947" s="16" t="s">
        <v>6590</v>
      </c>
      <c r="B1947" s="7" t="s">
        <v>9</v>
      </c>
      <c r="C1947" s="16" t="s">
        <v>40</v>
      </c>
      <c r="D1947" s="16" t="s">
        <v>41</v>
      </c>
      <c r="E1947" s="13" t="str">
        <f>+HYPERLINK("http://trademark.i-assist.jp/data/china/image_1891th/77657718.pdf","77657718")</f>
        <v>77657718</v>
      </c>
      <c r="F1947" s="16" t="s">
        <v>6588</v>
      </c>
      <c r="G1947" s="16" t="s">
        <v>6587</v>
      </c>
      <c r="H1947" s="16" t="s">
        <v>6589</v>
      </c>
      <c r="I1947" s="17">
        <v>45380</v>
      </c>
    </row>
    <row r="1948" spans="1:9" x14ac:dyDescent="0.15">
      <c r="A1948" s="16" t="s">
        <v>6594</v>
      </c>
      <c r="B1948" s="7" t="s">
        <v>9</v>
      </c>
      <c r="C1948" s="16" t="s">
        <v>40</v>
      </c>
      <c r="D1948" s="16" t="s">
        <v>41</v>
      </c>
      <c r="E1948" s="13" t="str">
        <f>+HYPERLINK("http://trademark.i-assist.jp/data/china/image_1891th/77658041.pdf","77658041")</f>
        <v>77658041</v>
      </c>
      <c r="F1948" s="16" t="s">
        <v>6592</v>
      </c>
      <c r="G1948" s="16" t="s">
        <v>2112</v>
      </c>
      <c r="H1948" s="16" t="s">
        <v>6593</v>
      </c>
      <c r="I1948" s="17">
        <v>45380</v>
      </c>
    </row>
    <row r="1949" spans="1:9" x14ac:dyDescent="0.15">
      <c r="A1949" s="16" t="s">
        <v>6599</v>
      </c>
      <c r="B1949" s="7" t="s">
        <v>9</v>
      </c>
      <c r="C1949" s="16" t="s">
        <v>40</v>
      </c>
      <c r="D1949" s="16" t="s">
        <v>41</v>
      </c>
      <c r="E1949" s="13" t="str">
        <f>+HYPERLINK("http://trademark.i-assist.jp/data/china/image_1891th/77658327.pdf","77658327")</f>
        <v>77658327</v>
      </c>
      <c r="F1949" s="16" t="s">
        <v>6597</v>
      </c>
      <c r="G1949" s="16" t="s">
        <v>6596</v>
      </c>
      <c r="H1949" s="16" t="s">
        <v>6598</v>
      </c>
      <c r="I1949" s="17">
        <v>45380</v>
      </c>
    </row>
    <row r="1950" spans="1:9" x14ac:dyDescent="0.15">
      <c r="A1950" s="16" t="s">
        <v>6604</v>
      </c>
      <c r="B1950" s="7" t="s">
        <v>9</v>
      </c>
      <c r="C1950" s="16" t="s">
        <v>40</v>
      </c>
      <c r="D1950" s="16" t="s">
        <v>41</v>
      </c>
      <c r="E1950" s="13" t="str">
        <f>+HYPERLINK("http://trademark.i-assist.jp/data/china/image_1891th/77658461.pdf","77658461")</f>
        <v>77658461</v>
      </c>
      <c r="F1950" s="16" t="s">
        <v>6602</v>
      </c>
      <c r="G1950" s="16" t="s">
        <v>6601</v>
      </c>
      <c r="H1950" s="16" t="s">
        <v>6603</v>
      </c>
      <c r="I1950" s="17">
        <v>45380</v>
      </c>
    </row>
    <row r="1951" spans="1:9" x14ac:dyDescent="0.15">
      <c r="A1951" s="16" t="s">
        <v>6609</v>
      </c>
      <c r="B1951" s="7" t="s">
        <v>9</v>
      </c>
      <c r="C1951" s="16" t="s">
        <v>40</v>
      </c>
      <c r="D1951" s="16" t="s">
        <v>41</v>
      </c>
      <c r="E1951" s="13" t="str">
        <f>+HYPERLINK("http://trademark.i-assist.jp/data/china/image_1891th/77658826.pdf","77658826")</f>
        <v>77658826</v>
      </c>
      <c r="F1951" s="16" t="s">
        <v>6607</v>
      </c>
      <c r="G1951" s="16" t="s">
        <v>6606</v>
      </c>
      <c r="H1951" s="16" t="s">
        <v>6608</v>
      </c>
      <c r="I1951" s="17">
        <v>45380</v>
      </c>
    </row>
    <row r="1952" spans="1:9" x14ac:dyDescent="0.15">
      <c r="A1952" s="16" t="s">
        <v>6615</v>
      </c>
      <c r="B1952" s="7" t="s">
        <v>9</v>
      </c>
      <c r="C1952" s="16" t="s">
        <v>40</v>
      </c>
      <c r="D1952" s="16" t="s">
        <v>41</v>
      </c>
      <c r="E1952" s="13" t="str">
        <f>+HYPERLINK("http://trademark.i-assist.jp/data/china/image_1891th/77659702.pdf","77659702")</f>
        <v>77659702</v>
      </c>
      <c r="F1952" s="16" t="s">
        <v>6612</v>
      </c>
      <c r="G1952" s="16" t="s">
        <v>6611</v>
      </c>
      <c r="H1952" s="16" t="s">
        <v>6613</v>
      </c>
      <c r="I1952" s="17">
        <v>45381</v>
      </c>
    </row>
    <row r="1953" spans="1:9" x14ac:dyDescent="0.15">
      <c r="A1953" s="16" t="s">
        <v>6620</v>
      </c>
      <c r="B1953" s="7" t="s">
        <v>9</v>
      </c>
      <c r="C1953" s="16" t="s">
        <v>40</v>
      </c>
      <c r="D1953" s="16" t="s">
        <v>41</v>
      </c>
      <c r="E1953" s="13" t="str">
        <f>+HYPERLINK("http://trademark.i-assist.jp/data/china/image_1891th/77659755.pdf","77659755")</f>
        <v>77659755</v>
      </c>
      <c r="F1953" s="16" t="s">
        <v>6618</v>
      </c>
      <c r="G1953" s="16" t="s">
        <v>6617</v>
      </c>
      <c r="H1953" s="16" t="s">
        <v>6619</v>
      </c>
      <c r="I1953" s="17">
        <v>45381</v>
      </c>
    </row>
    <row r="1954" spans="1:9" x14ac:dyDescent="0.15">
      <c r="A1954" s="16" t="s">
        <v>6625</v>
      </c>
      <c r="B1954" s="7" t="s">
        <v>9</v>
      </c>
      <c r="C1954" s="16" t="s">
        <v>40</v>
      </c>
      <c r="D1954" s="16" t="s">
        <v>41</v>
      </c>
      <c r="E1954" s="13" t="str">
        <f>+HYPERLINK("http://trademark.i-assist.jp/data/china/image_1891th/77660032.pdf","77660032")</f>
        <v>77660032</v>
      </c>
      <c r="F1954" s="16" t="s">
        <v>6623</v>
      </c>
      <c r="G1954" s="16" t="s">
        <v>6622</v>
      </c>
      <c r="H1954" s="16" t="s">
        <v>6624</v>
      </c>
      <c r="I1954" s="17">
        <v>45381</v>
      </c>
    </row>
    <row r="1955" spans="1:9" x14ac:dyDescent="0.15">
      <c r="A1955" s="16" t="s">
        <v>6630</v>
      </c>
      <c r="B1955" s="7" t="s">
        <v>9</v>
      </c>
      <c r="C1955" s="16" t="s">
        <v>40</v>
      </c>
      <c r="D1955" s="16" t="s">
        <v>41</v>
      </c>
      <c r="E1955" s="13" t="str">
        <f>+HYPERLINK("http://trademark.i-assist.jp/data/china/image_1891th/77660134.pdf","77660134")</f>
        <v>77660134</v>
      </c>
      <c r="F1955" s="16" t="s">
        <v>6628</v>
      </c>
      <c r="G1955" s="16" t="s">
        <v>6627</v>
      </c>
      <c r="H1955" s="16" t="s">
        <v>6629</v>
      </c>
      <c r="I1955" s="17">
        <v>45381</v>
      </c>
    </row>
    <row r="1956" spans="1:9" x14ac:dyDescent="0.15">
      <c r="A1956" s="16" t="s">
        <v>6635</v>
      </c>
      <c r="B1956" s="7" t="s">
        <v>9</v>
      </c>
      <c r="C1956" s="16" t="s">
        <v>40</v>
      </c>
      <c r="D1956" s="16" t="s">
        <v>41</v>
      </c>
      <c r="E1956" s="13" t="str">
        <f>+HYPERLINK("http://trademark.i-assist.jp/data/china/image_1891th/77660952.pdf","77660952")</f>
        <v>77660952</v>
      </c>
      <c r="F1956" s="16" t="s">
        <v>6633</v>
      </c>
      <c r="G1956" s="16" t="s">
        <v>6632</v>
      </c>
      <c r="H1956" s="16" t="s">
        <v>6634</v>
      </c>
      <c r="I1956" s="17">
        <v>45381</v>
      </c>
    </row>
    <row r="1957" spans="1:9" x14ac:dyDescent="0.15">
      <c r="A1957" s="16" t="s">
        <v>6640</v>
      </c>
      <c r="B1957" s="7" t="s">
        <v>9</v>
      </c>
      <c r="C1957" s="16" t="s">
        <v>40</v>
      </c>
      <c r="D1957" s="16" t="s">
        <v>41</v>
      </c>
      <c r="E1957" s="13" t="str">
        <f>+HYPERLINK("http://trademark.i-assist.jp/data/china/image_1891th/77661358.pdf","77661358")</f>
        <v>77661358</v>
      </c>
      <c r="F1957" s="16" t="s">
        <v>6638</v>
      </c>
      <c r="G1957" s="16" t="s">
        <v>6637</v>
      </c>
      <c r="H1957" s="16" t="s">
        <v>6639</v>
      </c>
      <c r="I1957" s="17">
        <v>45381</v>
      </c>
    </row>
    <row r="1958" spans="1:9" x14ac:dyDescent="0.15">
      <c r="A1958" s="16" t="s">
        <v>6645</v>
      </c>
      <c r="B1958" s="7" t="s">
        <v>9</v>
      </c>
      <c r="C1958" s="16" t="s">
        <v>40</v>
      </c>
      <c r="D1958" s="16" t="s">
        <v>41</v>
      </c>
      <c r="E1958" s="13" t="str">
        <f>+HYPERLINK("http://trademark.i-assist.jp/data/china/image_1891th/77661427.pdf","77661427")</f>
        <v>77661427</v>
      </c>
      <c r="F1958" s="16" t="s">
        <v>6643</v>
      </c>
      <c r="G1958" s="16" t="s">
        <v>6642</v>
      </c>
      <c r="H1958" s="16" t="s">
        <v>6644</v>
      </c>
      <c r="I1958" s="17">
        <v>45381</v>
      </c>
    </row>
    <row r="1959" spans="1:9" x14ac:dyDescent="0.15">
      <c r="A1959" s="16" t="s">
        <v>6650</v>
      </c>
      <c r="B1959" s="7" t="s">
        <v>9</v>
      </c>
      <c r="C1959" s="16" t="s">
        <v>40</v>
      </c>
      <c r="D1959" s="16" t="s">
        <v>41</v>
      </c>
      <c r="E1959" s="13" t="str">
        <f>+HYPERLINK("http://trademark.i-assist.jp/data/china/image_1891th/77661449.pdf","77661449")</f>
        <v>77661449</v>
      </c>
      <c r="F1959" s="16" t="s">
        <v>6648</v>
      </c>
      <c r="G1959" s="16" t="s">
        <v>6647</v>
      </c>
      <c r="H1959" s="16" t="s">
        <v>6649</v>
      </c>
      <c r="I1959" s="17">
        <v>45381</v>
      </c>
    </row>
    <row r="1960" spans="1:9" x14ac:dyDescent="0.15">
      <c r="A1960" s="16" t="s">
        <v>6654</v>
      </c>
      <c r="B1960" s="7" t="s">
        <v>9</v>
      </c>
      <c r="C1960" s="16" t="s">
        <v>40</v>
      </c>
      <c r="D1960" s="16" t="s">
        <v>41</v>
      </c>
      <c r="E1960" s="13" t="str">
        <f>+HYPERLINK("http://trademark.i-assist.jp/data/china/image_1891th/77662181.pdf","77662181")</f>
        <v>77662181</v>
      </c>
      <c r="F1960" s="16" t="s">
        <v>6652</v>
      </c>
      <c r="G1960" s="16" t="s">
        <v>6632</v>
      </c>
      <c r="H1960" s="16" t="s">
        <v>6653</v>
      </c>
      <c r="I1960" s="17">
        <v>45381</v>
      </c>
    </row>
    <row r="1961" spans="1:9" x14ac:dyDescent="0.15">
      <c r="A1961" s="16" t="s">
        <v>6659</v>
      </c>
      <c r="B1961" s="7" t="s">
        <v>9</v>
      </c>
      <c r="C1961" s="16" t="s">
        <v>40</v>
      </c>
      <c r="D1961" s="16" t="s">
        <v>41</v>
      </c>
      <c r="E1961" s="13" t="str">
        <f>+HYPERLINK("http://trademark.i-assist.jp/data/china/image_1891th/77662297.pdf","77662297")</f>
        <v>77662297</v>
      </c>
      <c r="F1961" s="16" t="s">
        <v>6657</v>
      </c>
      <c r="G1961" s="16" t="s">
        <v>6656</v>
      </c>
      <c r="H1961" s="16" t="s">
        <v>6658</v>
      </c>
      <c r="I1961" s="17">
        <v>45381</v>
      </c>
    </row>
    <row r="1962" spans="1:9" x14ac:dyDescent="0.15">
      <c r="A1962" s="16" t="s">
        <v>6664</v>
      </c>
      <c r="B1962" s="7" t="s">
        <v>9</v>
      </c>
      <c r="C1962" s="16" t="s">
        <v>40</v>
      </c>
      <c r="D1962" s="16" t="s">
        <v>41</v>
      </c>
      <c r="E1962" s="13" t="str">
        <f>+HYPERLINK("http://trademark.i-assist.jp/data/china/image_1891th/77662342.pdf","77662342")</f>
        <v>77662342</v>
      </c>
      <c r="F1962" s="16" t="s">
        <v>6662</v>
      </c>
      <c r="G1962" s="16" t="s">
        <v>6661</v>
      </c>
      <c r="H1962" s="16" t="s">
        <v>6663</v>
      </c>
      <c r="I1962" s="17">
        <v>45381</v>
      </c>
    </row>
    <row r="1963" spans="1:9" x14ac:dyDescent="0.15">
      <c r="A1963" s="16" t="s">
        <v>6669</v>
      </c>
      <c r="B1963" s="7" t="s">
        <v>9</v>
      </c>
      <c r="C1963" s="16" t="s">
        <v>40</v>
      </c>
      <c r="D1963" s="16" t="s">
        <v>41</v>
      </c>
      <c r="E1963" s="13" t="str">
        <f>+HYPERLINK("http://trademark.i-assist.jp/data/china/image_1891th/77662382.pdf","77662382")</f>
        <v>77662382</v>
      </c>
      <c r="F1963" s="16" t="s">
        <v>6667</v>
      </c>
      <c r="G1963" s="16" t="s">
        <v>6666</v>
      </c>
      <c r="H1963" s="16" t="s">
        <v>6668</v>
      </c>
      <c r="I1963" s="17">
        <v>45381</v>
      </c>
    </row>
    <row r="1964" spans="1:9" x14ac:dyDescent="0.15">
      <c r="A1964" s="16" t="s">
        <v>6674</v>
      </c>
      <c r="B1964" s="7" t="s">
        <v>9</v>
      </c>
      <c r="C1964" s="16" t="s">
        <v>40</v>
      </c>
      <c r="D1964" s="16" t="s">
        <v>41</v>
      </c>
      <c r="E1964" s="13" t="str">
        <f>+HYPERLINK("http://trademark.i-assist.jp/data/china/image_1891th/77663030.pdf","77663030")</f>
        <v>77663030</v>
      </c>
      <c r="F1964" s="16" t="s">
        <v>6672</v>
      </c>
      <c r="G1964" s="16" t="s">
        <v>6671</v>
      </c>
      <c r="H1964" s="16" t="s">
        <v>6673</v>
      </c>
      <c r="I1964" s="17">
        <v>45381</v>
      </c>
    </row>
    <row r="1965" spans="1:9" x14ac:dyDescent="0.15">
      <c r="A1965" s="16" t="s">
        <v>6679</v>
      </c>
      <c r="B1965" s="7" t="s">
        <v>9</v>
      </c>
      <c r="C1965" s="16" t="s">
        <v>40</v>
      </c>
      <c r="D1965" s="16" t="s">
        <v>41</v>
      </c>
      <c r="E1965" s="13" t="str">
        <f>+HYPERLINK("http://trademark.i-assist.jp/data/china/image_1891th/77663093.pdf","77663093")</f>
        <v>77663093</v>
      </c>
      <c r="F1965" s="16" t="s">
        <v>6677</v>
      </c>
      <c r="G1965" s="16" t="s">
        <v>6676</v>
      </c>
      <c r="H1965" s="16" t="s">
        <v>6678</v>
      </c>
      <c r="I1965" s="17">
        <v>45381</v>
      </c>
    </row>
    <row r="1966" spans="1:9" x14ac:dyDescent="0.15">
      <c r="A1966" s="16" t="s">
        <v>6684</v>
      </c>
      <c r="B1966" s="7" t="s">
        <v>9</v>
      </c>
      <c r="C1966" s="16" t="s">
        <v>40</v>
      </c>
      <c r="D1966" s="16" t="s">
        <v>41</v>
      </c>
      <c r="E1966" s="13" t="str">
        <f>+HYPERLINK("http://trademark.i-assist.jp/data/china/image_1891th/77663263.pdf","77663263")</f>
        <v>77663263</v>
      </c>
      <c r="F1966" s="16" t="s">
        <v>6682</v>
      </c>
      <c r="G1966" s="16" t="s">
        <v>6681</v>
      </c>
      <c r="H1966" s="16" t="s">
        <v>6683</v>
      </c>
      <c r="I1966" s="17">
        <v>45381</v>
      </c>
    </row>
    <row r="1967" spans="1:9" x14ac:dyDescent="0.15">
      <c r="A1967" s="16" t="s">
        <v>6689</v>
      </c>
      <c r="B1967" s="7" t="s">
        <v>9</v>
      </c>
      <c r="C1967" s="16" t="s">
        <v>40</v>
      </c>
      <c r="D1967" s="16" t="s">
        <v>41</v>
      </c>
      <c r="E1967" s="13" t="str">
        <f>+HYPERLINK("http://trademark.i-assist.jp/data/china/image_1891th/77663296.pdf","77663296")</f>
        <v>77663296</v>
      </c>
      <c r="F1967" s="16" t="s">
        <v>6687</v>
      </c>
      <c r="G1967" s="16" t="s">
        <v>6686</v>
      </c>
      <c r="H1967" s="16" t="s">
        <v>6688</v>
      </c>
      <c r="I1967" s="17">
        <v>45381</v>
      </c>
    </row>
    <row r="1968" spans="1:9" x14ac:dyDescent="0.15">
      <c r="A1968" s="16" t="s">
        <v>6693</v>
      </c>
      <c r="B1968" s="7" t="s">
        <v>9</v>
      </c>
      <c r="C1968" s="16" t="s">
        <v>40</v>
      </c>
      <c r="D1968" s="16" t="s">
        <v>41</v>
      </c>
      <c r="E1968" s="13" t="str">
        <f>+HYPERLINK("http://trademark.i-assist.jp/data/china/image_1891th/77663434.pdf","77663434")</f>
        <v>77663434</v>
      </c>
      <c r="F1968" s="16" t="s">
        <v>6691</v>
      </c>
      <c r="G1968" s="16" t="s">
        <v>5317</v>
      </c>
      <c r="H1968" s="16" t="s">
        <v>6692</v>
      </c>
      <c r="I1968" s="17">
        <v>45381</v>
      </c>
    </row>
    <row r="1969" spans="1:9" x14ac:dyDescent="0.15">
      <c r="A1969" s="16" t="s">
        <v>6697</v>
      </c>
      <c r="B1969" s="7" t="s">
        <v>9</v>
      </c>
      <c r="C1969" s="16" t="s">
        <v>40</v>
      </c>
      <c r="D1969" s="16" t="s">
        <v>41</v>
      </c>
      <c r="E1969" s="13" t="str">
        <f>+HYPERLINK("http://trademark.i-assist.jp/data/china/image_1891th/77663528.pdf","77663528")</f>
        <v>77663528</v>
      </c>
      <c r="F1969" s="16" t="s">
        <v>52</v>
      </c>
      <c r="G1969" s="16" t="s">
        <v>6695</v>
      </c>
      <c r="H1969" s="16" t="s">
        <v>6696</v>
      </c>
      <c r="I1969" s="17">
        <v>45381</v>
      </c>
    </row>
    <row r="1970" spans="1:9" x14ac:dyDescent="0.15">
      <c r="A1970" s="16" t="s">
        <v>6701</v>
      </c>
      <c r="B1970" s="7" t="s">
        <v>9</v>
      </c>
      <c r="C1970" s="16" t="s">
        <v>40</v>
      </c>
      <c r="D1970" s="16" t="s">
        <v>41</v>
      </c>
      <c r="E1970" s="13" t="str">
        <f>+HYPERLINK("http://trademark.i-assist.jp/data/china/image_1891th/77663734.pdf","77663734")</f>
        <v>77663734</v>
      </c>
      <c r="F1970" s="16" t="s">
        <v>6699</v>
      </c>
      <c r="G1970" s="16" t="s">
        <v>6647</v>
      </c>
      <c r="H1970" s="16" t="s">
        <v>6700</v>
      </c>
      <c r="I1970" s="17">
        <v>45381</v>
      </c>
    </row>
    <row r="1971" spans="1:9" x14ac:dyDescent="0.15">
      <c r="A1971" s="16" t="s">
        <v>6705</v>
      </c>
      <c r="B1971" s="7" t="s">
        <v>9</v>
      </c>
      <c r="C1971" s="16" t="s">
        <v>40</v>
      </c>
      <c r="D1971" s="16" t="s">
        <v>41</v>
      </c>
      <c r="E1971" s="13" t="str">
        <f>+HYPERLINK("http://trademark.i-assist.jp/data/china/image_1891th/77663843.pdf","77663843")</f>
        <v>77663843</v>
      </c>
      <c r="F1971" s="16" t="s">
        <v>6703</v>
      </c>
      <c r="G1971" s="16" t="s">
        <v>5317</v>
      </c>
      <c r="H1971" s="16" t="s">
        <v>6704</v>
      </c>
      <c r="I1971" s="17">
        <v>45381</v>
      </c>
    </row>
    <row r="1972" spans="1:9" x14ac:dyDescent="0.15">
      <c r="A1972" s="16" t="s">
        <v>6710</v>
      </c>
      <c r="B1972" s="7" t="s">
        <v>9</v>
      </c>
      <c r="C1972" s="16" t="s">
        <v>40</v>
      </c>
      <c r="D1972" s="16" t="s">
        <v>41</v>
      </c>
      <c r="E1972" s="13" t="str">
        <f>+HYPERLINK("http://trademark.i-assist.jp/data/china/image_1891th/77664245.pdf","77664245")</f>
        <v>77664245</v>
      </c>
      <c r="F1972" s="16" t="s">
        <v>6708</v>
      </c>
      <c r="G1972" s="16" t="s">
        <v>6707</v>
      </c>
      <c r="H1972" s="16" t="s">
        <v>6709</v>
      </c>
      <c r="I1972" s="17">
        <v>45381</v>
      </c>
    </row>
    <row r="1973" spans="1:9" x14ac:dyDescent="0.15">
      <c r="A1973" s="16" t="s">
        <v>6714</v>
      </c>
      <c r="B1973" s="7" t="s">
        <v>9</v>
      </c>
      <c r="C1973" s="16" t="s">
        <v>40</v>
      </c>
      <c r="D1973" s="16" t="s">
        <v>41</v>
      </c>
      <c r="E1973" s="13" t="str">
        <f>+HYPERLINK("http://trademark.i-assist.jp/data/china/image_1891th/77664289.pdf","77664289")</f>
        <v>77664289</v>
      </c>
      <c r="F1973" s="16" t="s">
        <v>6712</v>
      </c>
      <c r="G1973" s="16" t="s">
        <v>6666</v>
      </c>
      <c r="H1973" s="16" t="s">
        <v>6713</v>
      </c>
      <c r="I1973" s="17">
        <v>45381</v>
      </c>
    </row>
    <row r="1974" spans="1:9" x14ac:dyDescent="0.15">
      <c r="A1974" s="16" t="s">
        <v>6719</v>
      </c>
      <c r="B1974" s="7" t="s">
        <v>9</v>
      </c>
      <c r="C1974" s="16" t="s">
        <v>40</v>
      </c>
      <c r="D1974" s="16" t="s">
        <v>41</v>
      </c>
      <c r="E1974" s="13" t="str">
        <f>+HYPERLINK("http://trademark.i-assist.jp/data/china/image_1891th/77664391.pdf","77664391")</f>
        <v>77664391</v>
      </c>
      <c r="F1974" s="16" t="s">
        <v>6717</v>
      </c>
      <c r="G1974" s="16" t="s">
        <v>6716</v>
      </c>
      <c r="H1974" s="16" t="s">
        <v>6718</v>
      </c>
      <c r="I1974" s="17">
        <v>45381</v>
      </c>
    </row>
    <row r="1975" spans="1:9" x14ac:dyDescent="0.15">
      <c r="A1975" s="16" t="s">
        <v>6723</v>
      </c>
      <c r="B1975" s="7" t="s">
        <v>9</v>
      </c>
      <c r="C1975" s="16" t="s">
        <v>40</v>
      </c>
      <c r="D1975" s="16" t="s">
        <v>41</v>
      </c>
      <c r="E1975" s="13" t="str">
        <f>+HYPERLINK("http://trademark.i-assist.jp/data/china/image_1891th/77664584.pdf","77664584")</f>
        <v>77664584</v>
      </c>
      <c r="F1975" s="16" t="s">
        <v>6721</v>
      </c>
      <c r="G1975" s="16" t="s">
        <v>6622</v>
      </c>
      <c r="H1975" s="16" t="s">
        <v>6722</v>
      </c>
      <c r="I1975" s="17">
        <v>45381</v>
      </c>
    </row>
    <row r="1976" spans="1:9" x14ac:dyDescent="0.15">
      <c r="A1976" s="16" t="s">
        <v>8924</v>
      </c>
      <c r="B1976" s="7" t="s">
        <v>9</v>
      </c>
      <c r="C1976" s="16" t="s">
        <v>40</v>
      </c>
      <c r="D1976" s="16" t="s">
        <v>41</v>
      </c>
      <c r="E1976" s="13" t="str">
        <f>+HYPERLINK("http://trademark.i-assist.jp/data/china/image_1891th/77664915.pdf","77664915")</f>
        <v>77664915</v>
      </c>
      <c r="F1976" s="16" t="s">
        <v>6726</v>
      </c>
      <c r="G1976" s="16" t="s">
        <v>6725</v>
      </c>
      <c r="H1976" s="16" t="s">
        <v>6727</v>
      </c>
      <c r="I1976" s="17">
        <v>45381</v>
      </c>
    </row>
    <row r="1977" spans="1:9" x14ac:dyDescent="0.15">
      <c r="A1977" s="16" t="s">
        <v>8929</v>
      </c>
      <c r="B1977" s="7" t="s">
        <v>9</v>
      </c>
      <c r="C1977" s="16" t="s">
        <v>40</v>
      </c>
      <c r="D1977" s="16" t="s">
        <v>41</v>
      </c>
      <c r="E1977" s="13" t="str">
        <f>+HYPERLINK("http://trademark.i-assist.jp/data/china/image_1891th/77664929.pdf","77664929")</f>
        <v>77664929</v>
      </c>
      <c r="F1977" s="16" t="s">
        <v>8927</v>
      </c>
      <c r="G1977" s="16" t="s">
        <v>8926</v>
      </c>
      <c r="H1977" s="16" t="s">
        <v>8928</v>
      </c>
      <c r="I1977" s="17">
        <v>45381</v>
      </c>
    </row>
    <row r="1978" spans="1:9" x14ac:dyDescent="0.15">
      <c r="A1978" s="16" t="s">
        <v>8934</v>
      </c>
      <c r="B1978" s="7" t="s">
        <v>9</v>
      </c>
      <c r="C1978" s="16" t="s">
        <v>40</v>
      </c>
      <c r="D1978" s="16" t="s">
        <v>41</v>
      </c>
      <c r="E1978" s="13" t="str">
        <f>+HYPERLINK("http://trademark.i-assist.jp/data/china/image_1891th/77665049.pdf","77665049")</f>
        <v>77665049</v>
      </c>
      <c r="F1978" s="16" t="s">
        <v>11100</v>
      </c>
      <c r="G1978" s="16" t="s">
        <v>8931</v>
      </c>
      <c r="H1978" s="16" t="s">
        <v>8933</v>
      </c>
      <c r="I1978" s="17">
        <v>45381</v>
      </c>
    </row>
    <row r="1979" spans="1:9" x14ac:dyDescent="0.15">
      <c r="A1979" s="16" t="s">
        <v>8939</v>
      </c>
      <c r="B1979" s="7" t="s">
        <v>9</v>
      </c>
      <c r="C1979" s="16" t="s">
        <v>40</v>
      </c>
      <c r="D1979" s="16" t="s">
        <v>41</v>
      </c>
      <c r="E1979" s="13" t="str">
        <f>+HYPERLINK("http://trademark.i-assist.jp/data/china/image_1891th/77665405.pdf","77665405")</f>
        <v>77665405</v>
      </c>
      <c r="F1979" s="16" t="s">
        <v>8937</v>
      </c>
      <c r="G1979" s="16" t="s">
        <v>8936</v>
      </c>
      <c r="H1979" s="16" t="s">
        <v>8938</v>
      </c>
      <c r="I1979" s="17">
        <v>45381</v>
      </c>
    </row>
    <row r="1980" spans="1:9" x14ac:dyDescent="0.15">
      <c r="A1980" s="16" t="s">
        <v>8943</v>
      </c>
      <c r="B1980" s="7" t="s">
        <v>9</v>
      </c>
      <c r="C1980" s="16" t="s">
        <v>40</v>
      </c>
      <c r="D1980" s="16" t="s">
        <v>41</v>
      </c>
      <c r="E1980" s="13" t="str">
        <f>+HYPERLINK("http://trademark.i-assist.jp/data/china/image_1891th/77665487.pdf","77665487")</f>
        <v>77665487</v>
      </c>
      <c r="F1980" s="16" t="s">
        <v>8941</v>
      </c>
      <c r="G1980" s="16" t="s">
        <v>6647</v>
      </c>
      <c r="H1980" s="16" t="s">
        <v>8942</v>
      </c>
      <c r="I1980" s="17">
        <v>45381</v>
      </c>
    </row>
    <row r="1981" spans="1:9" x14ac:dyDescent="0.15">
      <c r="A1981" s="16" t="s">
        <v>8948</v>
      </c>
      <c r="B1981" s="7" t="s">
        <v>9</v>
      </c>
      <c r="C1981" s="16" t="s">
        <v>40</v>
      </c>
      <c r="D1981" s="16" t="s">
        <v>41</v>
      </c>
      <c r="E1981" s="13" t="str">
        <f>+HYPERLINK("http://trademark.i-assist.jp/data/china/image_1891th/77665557.pdf","77665557")</f>
        <v>77665557</v>
      </c>
      <c r="F1981" s="16" t="s">
        <v>8946</v>
      </c>
      <c r="G1981" s="16" t="s">
        <v>8945</v>
      </c>
      <c r="H1981" s="16" t="s">
        <v>8947</v>
      </c>
      <c r="I1981" s="17">
        <v>45381</v>
      </c>
    </row>
    <row r="1982" spans="1:9" x14ac:dyDescent="0.15">
      <c r="A1982" s="16" t="s">
        <v>8952</v>
      </c>
      <c r="B1982" s="7" t="s">
        <v>9</v>
      </c>
      <c r="C1982" s="16" t="s">
        <v>40</v>
      </c>
      <c r="D1982" s="16" t="s">
        <v>41</v>
      </c>
      <c r="E1982" s="13" t="str">
        <f>+HYPERLINK("http://trademark.i-assist.jp/data/china/image_1891th/77665752.pdf","77665752")</f>
        <v>77665752</v>
      </c>
      <c r="F1982" s="16" t="s">
        <v>8950</v>
      </c>
      <c r="G1982" s="16" t="s">
        <v>6666</v>
      </c>
      <c r="H1982" s="16" t="s">
        <v>8951</v>
      </c>
      <c r="I1982" s="17">
        <v>45381</v>
      </c>
    </row>
    <row r="1983" spans="1:9" x14ac:dyDescent="0.15">
      <c r="A1983" s="16" t="s">
        <v>8956</v>
      </c>
      <c r="B1983" s="7" t="s">
        <v>9</v>
      </c>
      <c r="C1983" s="16" t="s">
        <v>40</v>
      </c>
      <c r="D1983" s="16" t="s">
        <v>41</v>
      </c>
      <c r="E1983" s="13" t="str">
        <f>+HYPERLINK("http://trademark.i-assist.jp/data/china/image_1891th/77665788.pdf","77665788")</f>
        <v>77665788</v>
      </c>
      <c r="F1983" s="16" t="s">
        <v>8954</v>
      </c>
      <c r="G1983" s="16" t="s">
        <v>29</v>
      </c>
      <c r="H1983" s="16" t="s">
        <v>8955</v>
      </c>
      <c r="I1983" s="17">
        <v>45381</v>
      </c>
    </row>
    <row r="1984" spans="1:9" x14ac:dyDescent="0.15">
      <c r="A1984" s="16" t="s">
        <v>8961</v>
      </c>
      <c r="B1984" s="7" t="s">
        <v>9</v>
      </c>
      <c r="C1984" s="16" t="s">
        <v>40</v>
      </c>
      <c r="D1984" s="16" t="s">
        <v>41</v>
      </c>
      <c r="E1984" s="13" t="str">
        <f>+HYPERLINK("http://trademark.i-assist.jp/data/china/image_1891th/77666255.pdf","77666255")</f>
        <v>77666255</v>
      </c>
      <c r="F1984" s="16" t="s">
        <v>8959</v>
      </c>
      <c r="G1984" s="16" t="s">
        <v>8958</v>
      </c>
      <c r="H1984" s="16" t="s">
        <v>8960</v>
      </c>
      <c r="I1984" s="17">
        <v>45381</v>
      </c>
    </row>
    <row r="1985" spans="1:9" x14ac:dyDescent="0.15">
      <c r="A1985" s="16" t="s">
        <v>8966</v>
      </c>
      <c r="B1985" s="7" t="s">
        <v>9</v>
      </c>
      <c r="C1985" s="16" t="s">
        <v>40</v>
      </c>
      <c r="D1985" s="16" t="s">
        <v>41</v>
      </c>
      <c r="E1985" s="13" t="str">
        <f>+HYPERLINK("http://trademark.i-assist.jp/data/china/image_1891th/77666260.pdf","77666260")</f>
        <v>77666260</v>
      </c>
      <c r="F1985" s="16" t="s">
        <v>8964</v>
      </c>
      <c r="G1985" s="16" t="s">
        <v>8963</v>
      </c>
      <c r="H1985" s="16" t="s">
        <v>8965</v>
      </c>
      <c r="I1985" s="17">
        <v>45381</v>
      </c>
    </row>
    <row r="1986" spans="1:9" x14ac:dyDescent="0.15">
      <c r="A1986" s="16" t="s">
        <v>8970</v>
      </c>
      <c r="B1986" s="7" t="s">
        <v>9</v>
      </c>
      <c r="C1986" s="16" t="s">
        <v>40</v>
      </c>
      <c r="D1986" s="16" t="s">
        <v>41</v>
      </c>
      <c r="E1986" s="13" t="str">
        <f>+HYPERLINK("http://trademark.i-assist.jp/data/china/image_1891th/77666270.pdf","77666270")</f>
        <v>77666270</v>
      </c>
      <c r="F1986" s="16" t="s">
        <v>52</v>
      </c>
      <c r="G1986" s="16" t="s">
        <v>8968</v>
      </c>
      <c r="H1986" s="16" t="s">
        <v>8969</v>
      </c>
      <c r="I1986" s="17">
        <v>45381</v>
      </c>
    </row>
    <row r="1987" spans="1:9" x14ac:dyDescent="0.15">
      <c r="A1987" s="16" t="s">
        <v>8975</v>
      </c>
      <c r="B1987" s="7" t="s">
        <v>9</v>
      </c>
      <c r="C1987" s="16" t="s">
        <v>40</v>
      </c>
      <c r="D1987" s="16" t="s">
        <v>41</v>
      </c>
      <c r="E1987" s="13" t="str">
        <f>+HYPERLINK("http://trademark.i-assist.jp/data/china/image_1891th/77666300.pdf","77666300")</f>
        <v>77666300</v>
      </c>
      <c r="F1987" s="16" t="s">
        <v>8973</v>
      </c>
      <c r="G1987" s="16" t="s">
        <v>8972</v>
      </c>
      <c r="H1987" s="16" t="s">
        <v>8974</v>
      </c>
      <c r="I1987" s="17">
        <v>45381</v>
      </c>
    </row>
    <row r="1988" spans="1:9" x14ac:dyDescent="0.15">
      <c r="A1988" s="16" t="s">
        <v>8979</v>
      </c>
      <c r="B1988" s="7" t="s">
        <v>9</v>
      </c>
      <c r="C1988" s="16" t="s">
        <v>40</v>
      </c>
      <c r="D1988" s="16" t="s">
        <v>41</v>
      </c>
      <c r="E1988" s="13" t="str">
        <f>+HYPERLINK("http://trademark.i-assist.jp/data/china/image_1891th/77666376.pdf","77666376")</f>
        <v>77666376</v>
      </c>
      <c r="F1988" s="16" t="s">
        <v>8977</v>
      </c>
      <c r="G1988" s="16" t="s">
        <v>6661</v>
      </c>
      <c r="H1988" s="16" t="s">
        <v>8978</v>
      </c>
      <c r="I1988" s="17">
        <v>45381</v>
      </c>
    </row>
    <row r="1989" spans="1:9" x14ac:dyDescent="0.15">
      <c r="A1989" s="16" t="s">
        <v>8984</v>
      </c>
      <c r="B1989" s="7" t="s">
        <v>9</v>
      </c>
      <c r="C1989" s="16" t="s">
        <v>40</v>
      </c>
      <c r="D1989" s="16" t="s">
        <v>41</v>
      </c>
      <c r="E1989" s="13" t="str">
        <f>+HYPERLINK("http://trademark.i-assist.jp/data/china/image_1891th/77666595.pdf","77666595")</f>
        <v>77666595</v>
      </c>
      <c r="F1989" s="16" t="s">
        <v>8982</v>
      </c>
      <c r="G1989" s="16" t="s">
        <v>8981</v>
      </c>
      <c r="H1989" s="16" t="s">
        <v>8983</v>
      </c>
      <c r="I1989" s="17">
        <v>45381</v>
      </c>
    </row>
    <row r="1990" spans="1:9" x14ac:dyDescent="0.15">
      <c r="A1990" s="16" t="s">
        <v>8987</v>
      </c>
      <c r="B1990" s="7" t="s">
        <v>9</v>
      </c>
      <c r="C1990" s="16" t="s">
        <v>40</v>
      </c>
      <c r="D1990" s="16" t="s">
        <v>41</v>
      </c>
      <c r="E1990" s="13" t="str">
        <f>+HYPERLINK("http://trademark.i-assist.jp/data/china/image_1891th/77666889.pdf","77666889")</f>
        <v>77666889</v>
      </c>
      <c r="F1990" s="16" t="s">
        <v>6703</v>
      </c>
      <c r="G1990" s="16" t="s">
        <v>5317</v>
      </c>
      <c r="H1990" s="16" t="s">
        <v>8986</v>
      </c>
      <c r="I1990" s="17">
        <v>45381</v>
      </c>
    </row>
    <row r="1991" spans="1:9" x14ac:dyDescent="0.15">
      <c r="A1991" s="16" t="s">
        <v>8993</v>
      </c>
      <c r="B1991" s="7" t="s">
        <v>9</v>
      </c>
      <c r="C1991" s="16" t="s">
        <v>40</v>
      </c>
      <c r="D1991" s="16" t="s">
        <v>41</v>
      </c>
      <c r="E1991" s="13" t="str">
        <f>+HYPERLINK("http://trademark.i-assist.jp/data/china/image_1891th/77667927.pdf","77667927")</f>
        <v>77667927</v>
      </c>
      <c r="F1991" s="16" t="s">
        <v>8990</v>
      </c>
      <c r="G1991" s="16" t="s">
        <v>8989</v>
      </c>
      <c r="H1991" s="16" t="s">
        <v>8991</v>
      </c>
      <c r="I1991" s="17">
        <v>45382</v>
      </c>
    </row>
    <row r="1992" spans="1:9" x14ac:dyDescent="0.15">
      <c r="A1992" s="16" t="s">
        <v>8998</v>
      </c>
      <c r="B1992" s="7" t="s">
        <v>9</v>
      </c>
      <c r="C1992" s="16" t="s">
        <v>40</v>
      </c>
      <c r="D1992" s="16" t="s">
        <v>41</v>
      </c>
      <c r="E1992" s="13" t="str">
        <f>+HYPERLINK("http://trademark.i-assist.jp/data/china/image_1891th/77668385.pdf","77668385")</f>
        <v>77668385</v>
      </c>
      <c r="F1992" s="16" t="s">
        <v>8996</v>
      </c>
      <c r="G1992" s="16" t="s">
        <v>8995</v>
      </c>
      <c r="H1992" s="16" t="s">
        <v>8997</v>
      </c>
      <c r="I1992" s="17">
        <v>45382</v>
      </c>
    </row>
    <row r="1993" spans="1:9" x14ac:dyDescent="0.15">
      <c r="A1993" s="16" t="s">
        <v>9003</v>
      </c>
      <c r="B1993" s="7" t="s">
        <v>9</v>
      </c>
      <c r="C1993" s="16" t="s">
        <v>40</v>
      </c>
      <c r="D1993" s="16" t="s">
        <v>41</v>
      </c>
      <c r="E1993" s="13" t="str">
        <f>+HYPERLINK("http://trademark.i-assist.jp/data/china/image_1891th/77671444.pdf","77671444")</f>
        <v>77671444</v>
      </c>
      <c r="F1993" s="16" t="s">
        <v>9001</v>
      </c>
      <c r="G1993" s="16" t="s">
        <v>9000</v>
      </c>
      <c r="H1993" s="16" t="s">
        <v>9002</v>
      </c>
      <c r="I1993" s="17">
        <v>45382</v>
      </c>
    </row>
    <row r="1994" spans="1:9" x14ac:dyDescent="0.15">
      <c r="A1994" s="16" t="s">
        <v>9009</v>
      </c>
      <c r="B1994" s="7" t="s">
        <v>9</v>
      </c>
      <c r="C1994" s="16" t="s">
        <v>40</v>
      </c>
      <c r="D1994" s="16" t="s">
        <v>41</v>
      </c>
      <c r="E1994" s="13" t="str">
        <f>+HYPERLINK("http://trademark.i-assist.jp/data/china/image_1891th/77671930.pdf","77671930")</f>
        <v>77671930</v>
      </c>
      <c r="F1994" s="16" t="s">
        <v>9006</v>
      </c>
      <c r="G1994" s="16" t="s">
        <v>9005</v>
      </c>
      <c r="H1994" s="16" t="s">
        <v>9007</v>
      </c>
      <c r="I1994" s="17">
        <v>45383</v>
      </c>
    </row>
    <row r="1995" spans="1:9" x14ac:dyDescent="0.15">
      <c r="A1995" s="16" t="s">
        <v>9014</v>
      </c>
      <c r="B1995" s="7" t="s">
        <v>9</v>
      </c>
      <c r="C1995" s="16" t="s">
        <v>40</v>
      </c>
      <c r="D1995" s="16" t="s">
        <v>41</v>
      </c>
      <c r="E1995" s="13" t="str">
        <f>+HYPERLINK("http://trademark.i-assist.jp/data/china/image_1891th/77672425.pdf","77672425")</f>
        <v>77672425</v>
      </c>
      <c r="F1995" s="16" t="s">
        <v>9012</v>
      </c>
      <c r="G1995" s="16" t="s">
        <v>9011</v>
      </c>
      <c r="H1995" s="16" t="s">
        <v>9013</v>
      </c>
      <c r="I1995" s="17">
        <v>45383</v>
      </c>
    </row>
    <row r="1996" spans="1:9" x14ac:dyDescent="0.15">
      <c r="A1996" s="16" t="s">
        <v>9019</v>
      </c>
      <c r="B1996" s="7" t="s">
        <v>9</v>
      </c>
      <c r="C1996" s="16" t="s">
        <v>40</v>
      </c>
      <c r="D1996" s="16" t="s">
        <v>41</v>
      </c>
      <c r="E1996" s="13" t="str">
        <f>+HYPERLINK("http://trademark.i-assist.jp/data/china/image_1891th/77672712.pdf","77672712")</f>
        <v>77672712</v>
      </c>
      <c r="F1996" s="16" t="s">
        <v>9017</v>
      </c>
      <c r="G1996" s="16" t="s">
        <v>9016</v>
      </c>
      <c r="H1996" s="16" t="s">
        <v>9018</v>
      </c>
      <c r="I1996" s="17">
        <v>45383</v>
      </c>
    </row>
    <row r="1997" spans="1:9" x14ac:dyDescent="0.15">
      <c r="A1997" s="16" t="s">
        <v>9023</v>
      </c>
      <c r="B1997" s="7" t="s">
        <v>9</v>
      </c>
      <c r="C1997" s="16" t="s">
        <v>40</v>
      </c>
      <c r="D1997" s="16" t="s">
        <v>41</v>
      </c>
      <c r="E1997" s="13" t="str">
        <f>+HYPERLINK("http://trademark.i-assist.jp/data/china/image_1891th/77672770.pdf","77672770")</f>
        <v>77672770</v>
      </c>
      <c r="F1997" s="16" t="s">
        <v>52</v>
      </c>
      <c r="G1997" s="16" t="s">
        <v>9021</v>
      </c>
      <c r="H1997" s="16" t="s">
        <v>9022</v>
      </c>
      <c r="I1997" s="17">
        <v>45383</v>
      </c>
    </row>
    <row r="1998" spans="1:9" x14ac:dyDescent="0.15">
      <c r="A1998" s="16" t="s">
        <v>9028</v>
      </c>
      <c r="B1998" s="7" t="s">
        <v>9</v>
      </c>
      <c r="C1998" s="16" t="s">
        <v>40</v>
      </c>
      <c r="D1998" s="16" t="s">
        <v>41</v>
      </c>
      <c r="E1998" s="13" t="str">
        <f>+HYPERLINK("http://trademark.i-assist.jp/data/china/image_1891th/77672805.pdf","77672805")</f>
        <v>77672805</v>
      </c>
      <c r="F1998" s="16" t="s">
        <v>9026</v>
      </c>
      <c r="G1998" s="16" t="s">
        <v>9025</v>
      </c>
      <c r="H1998" s="16" t="s">
        <v>9027</v>
      </c>
      <c r="I1998" s="17">
        <v>45383</v>
      </c>
    </row>
    <row r="1999" spans="1:9" x14ac:dyDescent="0.15">
      <c r="A1999" s="16" t="s">
        <v>9033</v>
      </c>
      <c r="B1999" s="7" t="s">
        <v>9</v>
      </c>
      <c r="C1999" s="16" t="s">
        <v>40</v>
      </c>
      <c r="D1999" s="16" t="s">
        <v>41</v>
      </c>
      <c r="E1999" s="13" t="str">
        <f>+HYPERLINK("http://trademark.i-assist.jp/data/china/image_1891th/77673073.pdf","77673073")</f>
        <v>77673073</v>
      </c>
      <c r="F1999" s="16" t="s">
        <v>9031</v>
      </c>
      <c r="G1999" s="16" t="s">
        <v>9030</v>
      </c>
      <c r="H1999" s="16" t="s">
        <v>9032</v>
      </c>
      <c r="I1999" s="17">
        <v>45383</v>
      </c>
    </row>
    <row r="2000" spans="1:9" x14ac:dyDescent="0.15">
      <c r="A2000" s="16" t="s">
        <v>9038</v>
      </c>
      <c r="B2000" s="7" t="s">
        <v>9</v>
      </c>
      <c r="C2000" s="16" t="s">
        <v>40</v>
      </c>
      <c r="D2000" s="16" t="s">
        <v>41</v>
      </c>
      <c r="E2000" s="13" t="str">
        <f>+HYPERLINK("http://trademark.i-assist.jp/data/china/image_1891th/77673635.pdf","77673635")</f>
        <v>77673635</v>
      </c>
      <c r="F2000" s="16" t="s">
        <v>9036</v>
      </c>
      <c r="G2000" s="16" t="s">
        <v>9035</v>
      </c>
      <c r="H2000" s="16" t="s">
        <v>9037</v>
      </c>
      <c r="I2000" s="17">
        <v>45383</v>
      </c>
    </row>
    <row r="2001" spans="1:9" x14ac:dyDescent="0.15">
      <c r="A2001" s="16" t="s">
        <v>9042</v>
      </c>
      <c r="B2001" s="7" t="s">
        <v>9</v>
      </c>
      <c r="C2001" s="16" t="s">
        <v>40</v>
      </c>
      <c r="D2001" s="16" t="s">
        <v>41</v>
      </c>
      <c r="E2001" s="13" t="str">
        <f>+HYPERLINK("http://trademark.i-assist.jp/data/china/image_1891th/77673941.pdf","77673941")</f>
        <v>77673941</v>
      </c>
      <c r="F2001" s="16" t="s">
        <v>9040</v>
      </c>
      <c r="G2001" s="16" t="s">
        <v>9021</v>
      </c>
      <c r="H2001" s="16" t="s">
        <v>9041</v>
      </c>
      <c r="I2001" s="17">
        <v>45383</v>
      </c>
    </row>
    <row r="2002" spans="1:9" x14ac:dyDescent="0.15">
      <c r="A2002" s="16" t="s">
        <v>9046</v>
      </c>
      <c r="B2002" s="7" t="s">
        <v>9</v>
      </c>
      <c r="C2002" s="16" t="s">
        <v>40</v>
      </c>
      <c r="D2002" s="16" t="s">
        <v>41</v>
      </c>
      <c r="E2002" s="13" t="str">
        <f>+HYPERLINK("http://trademark.i-assist.jp/data/china/image_1891th/77673989.pdf","77673989")</f>
        <v>77673989</v>
      </c>
      <c r="F2002" s="16" t="s">
        <v>9044</v>
      </c>
      <c r="G2002" s="16" t="s">
        <v>9021</v>
      </c>
      <c r="H2002" s="16" t="s">
        <v>9045</v>
      </c>
      <c r="I2002" s="17">
        <v>45383</v>
      </c>
    </row>
    <row r="2003" spans="1:9" x14ac:dyDescent="0.15">
      <c r="A2003" s="16" t="s">
        <v>9051</v>
      </c>
      <c r="B2003" s="7" t="s">
        <v>9</v>
      </c>
      <c r="C2003" s="16" t="s">
        <v>40</v>
      </c>
      <c r="D2003" s="16" t="s">
        <v>41</v>
      </c>
      <c r="E2003" s="13" t="str">
        <f>+HYPERLINK("http://trademark.i-assist.jp/data/china/image_1891th/77674217.pdf","77674217")</f>
        <v>77674217</v>
      </c>
      <c r="F2003" s="16" t="s">
        <v>9049</v>
      </c>
      <c r="G2003" s="16" t="s">
        <v>9048</v>
      </c>
      <c r="H2003" s="16" t="s">
        <v>9050</v>
      </c>
      <c r="I2003" s="17">
        <v>45383</v>
      </c>
    </row>
    <row r="2004" spans="1:9" x14ac:dyDescent="0.15">
      <c r="A2004" s="16" t="s">
        <v>9056</v>
      </c>
      <c r="B2004" s="7" t="s">
        <v>9</v>
      </c>
      <c r="C2004" s="16" t="s">
        <v>40</v>
      </c>
      <c r="D2004" s="16" t="s">
        <v>41</v>
      </c>
      <c r="E2004" s="13" t="str">
        <f>+HYPERLINK("http://trademark.i-assist.jp/data/china/image_1891th/77674219.pdf","77674219")</f>
        <v>77674219</v>
      </c>
      <c r="F2004" s="16" t="s">
        <v>9054</v>
      </c>
      <c r="G2004" s="16" t="s">
        <v>9053</v>
      </c>
      <c r="H2004" s="16" t="s">
        <v>9055</v>
      </c>
      <c r="I2004" s="17">
        <v>45383</v>
      </c>
    </row>
    <row r="2005" spans="1:9" x14ac:dyDescent="0.15">
      <c r="A2005" s="16" t="s">
        <v>9061</v>
      </c>
      <c r="B2005" s="7" t="s">
        <v>9</v>
      </c>
      <c r="C2005" s="16" t="s">
        <v>40</v>
      </c>
      <c r="D2005" s="16" t="s">
        <v>41</v>
      </c>
      <c r="E2005" s="13" t="str">
        <f>+HYPERLINK("http://trademark.i-assist.jp/data/china/image_1891th/77675036.pdf","77675036")</f>
        <v>77675036</v>
      </c>
      <c r="F2005" s="16" t="s">
        <v>9059</v>
      </c>
      <c r="G2005" s="16" t="s">
        <v>9058</v>
      </c>
      <c r="H2005" s="16" t="s">
        <v>9060</v>
      </c>
      <c r="I2005" s="17">
        <v>45383</v>
      </c>
    </row>
    <row r="2006" spans="1:9" x14ac:dyDescent="0.15">
      <c r="A2006" s="16" t="s">
        <v>9065</v>
      </c>
      <c r="B2006" s="7" t="s">
        <v>9</v>
      </c>
      <c r="C2006" s="16" t="s">
        <v>40</v>
      </c>
      <c r="D2006" s="16" t="s">
        <v>41</v>
      </c>
      <c r="E2006" s="13" t="str">
        <f>+HYPERLINK("http://trademark.i-assist.jp/data/china/image_1891th/77675635.pdf","77675635")</f>
        <v>77675635</v>
      </c>
      <c r="F2006" s="16" t="s">
        <v>9063</v>
      </c>
      <c r="G2006" s="16" t="s">
        <v>9016</v>
      </c>
      <c r="H2006" s="16" t="s">
        <v>9064</v>
      </c>
      <c r="I2006" s="17">
        <v>45383</v>
      </c>
    </row>
    <row r="2007" spans="1:9" x14ac:dyDescent="0.15">
      <c r="A2007" s="16" t="s">
        <v>9070</v>
      </c>
      <c r="B2007" s="7" t="s">
        <v>9</v>
      </c>
      <c r="C2007" s="16" t="s">
        <v>40</v>
      </c>
      <c r="D2007" s="16" t="s">
        <v>41</v>
      </c>
      <c r="E2007" s="13" t="str">
        <f>+HYPERLINK("http://trademark.i-assist.jp/data/china/image_1891th/77676424.pdf","77676424")</f>
        <v>77676424</v>
      </c>
      <c r="F2007" s="16" t="s">
        <v>9068</v>
      </c>
      <c r="G2007" s="16" t="s">
        <v>9067</v>
      </c>
      <c r="H2007" s="16" t="s">
        <v>9069</v>
      </c>
      <c r="I2007" s="17">
        <v>45383</v>
      </c>
    </row>
    <row r="2008" spans="1:9" x14ac:dyDescent="0.15">
      <c r="A2008" s="16" t="s">
        <v>9074</v>
      </c>
      <c r="B2008" s="7" t="s">
        <v>9</v>
      </c>
      <c r="C2008" s="16" t="s">
        <v>40</v>
      </c>
      <c r="D2008" s="16" t="s">
        <v>41</v>
      </c>
      <c r="E2008" s="13" t="str">
        <f>+HYPERLINK("http://trademark.i-assist.jp/data/china/image_1891th/77676468.pdf","77676468")</f>
        <v>77676468</v>
      </c>
      <c r="F2008" s="16" t="s">
        <v>9072</v>
      </c>
      <c r="G2008" s="16" t="s">
        <v>9035</v>
      </c>
      <c r="H2008" s="16" t="s">
        <v>9073</v>
      </c>
      <c r="I2008" s="17">
        <v>45383</v>
      </c>
    </row>
    <row r="2009" spans="1:9" x14ac:dyDescent="0.15">
      <c r="A2009" s="16" t="s">
        <v>9079</v>
      </c>
      <c r="B2009" s="7" t="s">
        <v>9</v>
      </c>
      <c r="C2009" s="16" t="s">
        <v>40</v>
      </c>
      <c r="D2009" s="16" t="s">
        <v>41</v>
      </c>
      <c r="E2009" s="13" t="str">
        <f>+HYPERLINK("http://trademark.i-assist.jp/data/china/image_1891th/77676486.pdf","77676486")</f>
        <v>77676486</v>
      </c>
      <c r="F2009" s="16" t="s">
        <v>9077</v>
      </c>
      <c r="G2009" s="16" t="s">
        <v>9076</v>
      </c>
      <c r="H2009" s="16" t="s">
        <v>9078</v>
      </c>
      <c r="I2009" s="17">
        <v>45383</v>
      </c>
    </row>
    <row r="2010" spans="1:9" x14ac:dyDescent="0.15">
      <c r="A2010" s="16" t="s">
        <v>9084</v>
      </c>
      <c r="B2010" s="7" t="s">
        <v>9</v>
      </c>
      <c r="C2010" s="16" t="s">
        <v>40</v>
      </c>
      <c r="D2010" s="16" t="s">
        <v>41</v>
      </c>
      <c r="E2010" s="13" t="str">
        <f>+HYPERLINK("http://trademark.i-assist.jp/data/china/image_1891th/77676552.pdf","77676552")</f>
        <v>77676552</v>
      </c>
      <c r="F2010" s="16" t="s">
        <v>9082</v>
      </c>
      <c r="G2010" s="16" t="s">
        <v>9081</v>
      </c>
      <c r="H2010" s="16" t="s">
        <v>9083</v>
      </c>
      <c r="I2010" s="17">
        <v>45383</v>
      </c>
    </row>
    <row r="2011" spans="1:9" x14ac:dyDescent="0.15">
      <c r="A2011" s="16" t="s">
        <v>9089</v>
      </c>
      <c r="B2011" s="7" t="s">
        <v>9</v>
      </c>
      <c r="C2011" s="16" t="s">
        <v>40</v>
      </c>
      <c r="D2011" s="16" t="s">
        <v>41</v>
      </c>
      <c r="E2011" s="13" t="str">
        <f>+HYPERLINK("http://trademark.i-assist.jp/data/china/image_1891th/77676647.pdf","77676647")</f>
        <v>77676647</v>
      </c>
      <c r="F2011" s="16" t="s">
        <v>9087</v>
      </c>
      <c r="G2011" s="16" t="s">
        <v>9086</v>
      </c>
      <c r="H2011" s="16" t="s">
        <v>9088</v>
      </c>
      <c r="I2011" s="17">
        <v>45383</v>
      </c>
    </row>
    <row r="2012" spans="1:9" x14ac:dyDescent="0.15">
      <c r="A2012" s="16" t="s">
        <v>9094</v>
      </c>
      <c r="B2012" s="7" t="s">
        <v>9</v>
      </c>
      <c r="C2012" s="16" t="s">
        <v>40</v>
      </c>
      <c r="D2012" s="16" t="s">
        <v>41</v>
      </c>
      <c r="E2012" s="13" t="str">
        <f>+HYPERLINK("http://trademark.i-assist.jp/data/china/image_1891th/77676916.pdf","77676916")</f>
        <v>77676916</v>
      </c>
      <c r="F2012" s="16" t="s">
        <v>9092</v>
      </c>
      <c r="G2012" s="16" t="s">
        <v>9091</v>
      </c>
      <c r="H2012" s="16" t="s">
        <v>9093</v>
      </c>
      <c r="I2012" s="17">
        <v>45383</v>
      </c>
    </row>
    <row r="2013" spans="1:9" x14ac:dyDescent="0.15">
      <c r="A2013" s="16" t="s">
        <v>9098</v>
      </c>
      <c r="B2013" s="7" t="s">
        <v>9</v>
      </c>
      <c r="C2013" s="16" t="s">
        <v>40</v>
      </c>
      <c r="D2013" s="16" t="s">
        <v>41</v>
      </c>
      <c r="E2013" s="13" t="str">
        <f>+HYPERLINK("http://trademark.i-assist.jp/data/china/image_1891th/77677211.pdf","77677211")</f>
        <v>77677211</v>
      </c>
      <c r="F2013" s="16" t="s">
        <v>9096</v>
      </c>
      <c r="G2013" s="16" t="s">
        <v>2790</v>
      </c>
      <c r="H2013" s="16" t="s">
        <v>9097</v>
      </c>
      <c r="I2013" s="17">
        <v>45383</v>
      </c>
    </row>
    <row r="2014" spans="1:9" x14ac:dyDescent="0.15">
      <c r="A2014" s="16" t="s">
        <v>9102</v>
      </c>
      <c r="B2014" s="7" t="s">
        <v>9</v>
      </c>
      <c r="C2014" s="16" t="s">
        <v>40</v>
      </c>
      <c r="D2014" s="16" t="s">
        <v>41</v>
      </c>
      <c r="E2014" s="13" t="str">
        <f>+HYPERLINK("http://trademark.i-assist.jp/data/china/image_1891th/77677947.pdf","77677947")</f>
        <v>77677947</v>
      </c>
      <c r="F2014" s="16" t="s">
        <v>9100</v>
      </c>
      <c r="G2014" s="16" t="s">
        <v>9021</v>
      </c>
      <c r="H2014" s="16" t="s">
        <v>9101</v>
      </c>
      <c r="I2014" s="17">
        <v>45383</v>
      </c>
    </row>
    <row r="2015" spans="1:9" x14ac:dyDescent="0.15">
      <c r="A2015" s="16" t="s">
        <v>9107</v>
      </c>
      <c r="B2015" s="7" t="s">
        <v>9</v>
      </c>
      <c r="C2015" s="16" t="s">
        <v>40</v>
      </c>
      <c r="D2015" s="16" t="s">
        <v>41</v>
      </c>
      <c r="E2015" s="13" t="str">
        <f>+HYPERLINK("http://trademark.i-assist.jp/data/china/image_1891th/77678702.pdf","77678702")</f>
        <v>77678702</v>
      </c>
      <c r="F2015" s="16" t="s">
        <v>9105</v>
      </c>
      <c r="G2015" s="16" t="s">
        <v>9104</v>
      </c>
      <c r="H2015" s="16" t="s">
        <v>9106</v>
      </c>
      <c r="I2015" s="17">
        <v>45383</v>
      </c>
    </row>
    <row r="2016" spans="1:9" x14ac:dyDescent="0.15">
      <c r="A2016" s="16" t="s">
        <v>9112</v>
      </c>
      <c r="B2016" s="7" t="s">
        <v>9</v>
      </c>
      <c r="C2016" s="16" t="s">
        <v>40</v>
      </c>
      <c r="D2016" s="16" t="s">
        <v>41</v>
      </c>
      <c r="E2016" s="13" t="str">
        <f>+HYPERLINK("http://trademark.i-assist.jp/data/china/image_1891th/77678881.pdf","77678881")</f>
        <v>77678881</v>
      </c>
      <c r="F2016" s="16" t="s">
        <v>9110</v>
      </c>
      <c r="G2016" s="16" t="s">
        <v>9109</v>
      </c>
      <c r="H2016" s="16" t="s">
        <v>9111</v>
      </c>
      <c r="I2016" s="17">
        <v>45383</v>
      </c>
    </row>
    <row r="2017" spans="1:9" x14ac:dyDescent="0.15">
      <c r="A2017" s="16" t="s">
        <v>9117</v>
      </c>
      <c r="B2017" s="7" t="s">
        <v>9</v>
      </c>
      <c r="C2017" s="16" t="s">
        <v>40</v>
      </c>
      <c r="D2017" s="16" t="s">
        <v>41</v>
      </c>
      <c r="E2017" s="13" t="str">
        <f>+HYPERLINK("http://trademark.i-assist.jp/data/china/image_1891th/77679235.pdf","77679235")</f>
        <v>77679235</v>
      </c>
      <c r="F2017" s="16" t="s">
        <v>9115</v>
      </c>
      <c r="G2017" s="16" t="s">
        <v>9114</v>
      </c>
      <c r="H2017" s="16" t="s">
        <v>9116</v>
      </c>
      <c r="I2017" s="17">
        <v>45383</v>
      </c>
    </row>
    <row r="2018" spans="1:9" x14ac:dyDescent="0.15">
      <c r="A2018" s="16" t="s">
        <v>9122</v>
      </c>
      <c r="B2018" s="7" t="s">
        <v>9</v>
      </c>
      <c r="C2018" s="16" t="s">
        <v>40</v>
      </c>
      <c r="D2018" s="16" t="s">
        <v>41</v>
      </c>
      <c r="E2018" s="13" t="str">
        <f>+HYPERLINK("http://trademark.i-assist.jp/data/china/image_1891th/77679359.pdf","77679359")</f>
        <v>77679359</v>
      </c>
      <c r="F2018" s="16" t="s">
        <v>9120</v>
      </c>
      <c r="G2018" s="16" t="s">
        <v>9119</v>
      </c>
      <c r="H2018" s="16" t="s">
        <v>9121</v>
      </c>
      <c r="I2018" s="17">
        <v>45383</v>
      </c>
    </row>
    <row r="2019" spans="1:9" x14ac:dyDescent="0.15">
      <c r="A2019" s="16" t="s">
        <v>9126</v>
      </c>
      <c r="B2019" s="7" t="s">
        <v>9</v>
      </c>
      <c r="C2019" s="16" t="s">
        <v>40</v>
      </c>
      <c r="D2019" s="16" t="s">
        <v>41</v>
      </c>
      <c r="E2019" s="13" t="str">
        <f>+HYPERLINK("http://trademark.i-assist.jp/data/china/image_1891th/77679528.pdf","77679528")</f>
        <v>77679528</v>
      </c>
      <c r="F2019" s="16" t="s">
        <v>9124</v>
      </c>
      <c r="G2019" s="16" t="s">
        <v>23</v>
      </c>
      <c r="H2019" s="16" t="s">
        <v>9125</v>
      </c>
      <c r="I2019" s="17">
        <v>45383</v>
      </c>
    </row>
    <row r="2020" spans="1:9" x14ac:dyDescent="0.15">
      <c r="A2020" s="16" t="s">
        <v>9131</v>
      </c>
      <c r="B2020" s="7" t="s">
        <v>9</v>
      </c>
      <c r="C2020" s="16" t="s">
        <v>40</v>
      </c>
      <c r="D2020" s="16" t="s">
        <v>41</v>
      </c>
      <c r="E2020" s="13" t="str">
        <f>+HYPERLINK("http://trademark.i-assist.jp/data/china/image_1891th/77679544.pdf","77679544")</f>
        <v>77679544</v>
      </c>
      <c r="F2020" s="16" t="s">
        <v>9129</v>
      </c>
      <c r="G2020" s="16" t="s">
        <v>9128</v>
      </c>
      <c r="H2020" s="16" t="s">
        <v>9130</v>
      </c>
      <c r="I2020" s="17">
        <v>45383</v>
      </c>
    </row>
    <row r="2021" spans="1:9" x14ac:dyDescent="0.15">
      <c r="A2021" s="16" t="s">
        <v>9136</v>
      </c>
      <c r="B2021" s="7" t="s">
        <v>9</v>
      </c>
      <c r="C2021" s="16" t="s">
        <v>40</v>
      </c>
      <c r="D2021" s="16" t="s">
        <v>41</v>
      </c>
      <c r="E2021" s="13" t="str">
        <f>+HYPERLINK("http://trademark.i-assist.jp/data/china/image_1891th/77679929.pdf","77679929")</f>
        <v>77679929</v>
      </c>
      <c r="F2021" s="16" t="s">
        <v>9134</v>
      </c>
      <c r="G2021" s="16" t="s">
        <v>9133</v>
      </c>
      <c r="H2021" s="16" t="s">
        <v>9135</v>
      </c>
      <c r="I2021" s="17">
        <v>45383</v>
      </c>
    </row>
    <row r="2022" spans="1:9" x14ac:dyDescent="0.15">
      <c r="A2022" s="16" t="s">
        <v>9141</v>
      </c>
      <c r="B2022" s="7" t="s">
        <v>9</v>
      </c>
      <c r="C2022" s="16" t="s">
        <v>40</v>
      </c>
      <c r="D2022" s="16" t="s">
        <v>41</v>
      </c>
      <c r="E2022" s="13" t="str">
        <f>+HYPERLINK("http://trademark.i-assist.jp/data/china/image_1891th/77680027.pdf","77680027")</f>
        <v>77680027</v>
      </c>
      <c r="F2022" s="16" t="s">
        <v>9139</v>
      </c>
      <c r="G2022" s="16" t="s">
        <v>9138</v>
      </c>
      <c r="H2022" s="16" t="s">
        <v>9140</v>
      </c>
      <c r="I2022" s="17">
        <v>45383</v>
      </c>
    </row>
    <row r="2023" spans="1:9" x14ac:dyDescent="0.15">
      <c r="A2023" s="16" t="s">
        <v>9146</v>
      </c>
      <c r="B2023" s="7" t="s">
        <v>9</v>
      </c>
      <c r="C2023" s="16" t="s">
        <v>40</v>
      </c>
      <c r="D2023" s="16" t="s">
        <v>41</v>
      </c>
      <c r="E2023" s="13" t="str">
        <f>+HYPERLINK("http://trademark.i-assist.jp/data/china/image_1891th/77680091.pdf","77680091")</f>
        <v>77680091</v>
      </c>
      <c r="F2023" s="16" t="s">
        <v>9144</v>
      </c>
      <c r="G2023" s="16" t="s">
        <v>9143</v>
      </c>
      <c r="H2023" s="16" t="s">
        <v>9145</v>
      </c>
      <c r="I2023" s="17">
        <v>45383</v>
      </c>
    </row>
    <row r="2024" spans="1:9" x14ac:dyDescent="0.15">
      <c r="A2024" s="16" t="s">
        <v>9151</v>
      </c>
      <c r="B2024" s="7" t="s">
        <v>9</v>
      </c>
      <c r="C2024" s="16" t="s">
        <v>40</v>
      </c>
      <c r="D2024" s="16" t="s">
        <v>41</v>
      </c>
      <c r="E2024" s="13" t="str">
        <f>+HYPERLINK("http://trademark.i-assist.jp/data/china/image_1891th/77680258.pdf","77680258")</f>
        <v>77680258</v>
      </c>
      <c r="F2024" s="16" t="s">
        <v>9149</v>
      </c>
      <c r="G2024" s="16" t="s">
        <v>9148</v>
      </c>
      <c r="H2024" s="16" t="s">
        <v>9150</v>
      </c>
      <c r="I2024" s="17">
        <v>45383</v>
      </c>
    </row>
    <row r="2025" spans="1:9" x14ac:dyDescent="0.15">
      <c r="A2025" s="16" t="s">
        <v>9156</v>
      </c>
      <c r="B2025" s="7" t="s">
        <v>9</v>
      </c>
      <c r="C2025" s="16" t="s">
        <v>40</v>
      </c>
      <c r="D2025" s="16" t="s">
        <v>41</v>
      </c>
      <c r="E2025" s="13" t="str">
        <f>+HYPERLINK("http://trademark.i-assist.jp/data/china/image_1891th/77681020.pdf","77681020")</f>
        <v>77681020</v>
      </c>
      <c r="F2025" s="16" t="s">
        <v>9154</v>
      </c>
      <c r="G2025" s="16" t="s">
        <v>9153</v>
      </c>
      <c r="H2025" s="16" t="s">
        <v>9155</v>
      </c>
      <c r="I2025" s="17">
        <v>45383</v>
      </c>
    </row>
    <row r="2026" spans="1:9" x14ac:dyDescent="0.15">
      <c r="A2026" s="16" t="s">
        <v>9161</v>
      </c>
      <c r="B2026" s="7" t="s">
        <v>9</v>
      </c>
      <c r="C2026" s="16" t="s">
        <v>40</v>
      </c>
      <c r="D2026" s="16" t="s">
        <v>41</v>
      </c>
      <c r="E2026" s="13" t="str">
        <f>+HYPERLINK("http://trademark.i-assist.jp/data/china/image_1891th/77681157.pdf","77681157")</f>
        <v>77681157</v>
      </c>
      <c r="F2026" s="16" t="s">
        <v>9159</v>
      </c>
      <c r="G2026" s="16" t="s">
        <v>9158</v>
      </c>
      <c r="H2026" s="16" t="s">
        <v>9160</v>
      </c>
      <c r="I2026" s="17">
        <v>45383</v>
      </c>
    </row>
    <row r="2027" spans="1:9" x14ac:dyDescent="0.15">
      <c r="A2027" s="16" t="s">
        <v>9166</v>
      </c>
      <c r="B2027" s="7" t="s">
        <v>9</v>
      </c>
      <c r="C2027" s="16" t="s">
        <v>40</v>
      </c>
      <c r="D2027" s="16" t="s">
        <v>41</v>
      </c>
      <c r="E2027" s="13" t="str">
        <f>+HYPERLINK("http://trademark.i-assist.jp/data/china/image_1891th/77681509.pdf","77681509")</f>
        <v>77681509</v>
      </c>
      <c r="F2027" s="16" t="s">
        <v>9164</v>
      </c>
      <c r="G2027" s="16" t="s">
        <v>9163</v>
      </c>
      <c r="H2027" s="16" t="s">
        <v>9165</v>
      </c>
      <c r="I2027" s="17">
        <v>45383</v>
      </c>
    </row>
    <row r="2028" spans="1:9" x14ac:dyDescent="0.15">
      <c r="A2028" s="16" t="s">
        <v>9171</v>
      </c>
      <c r="B2028" s="7" t="s">
        <v>9</v>
      </c>
      <c r="C2028" s="16" t="s">
        <v>40</v>
      </c>
      <c r="D2028" s="16" t="s">
        <v>41</v>
      </c>
      <c r="E2028" s="13" t="str">
        <f>+HYPERLINK("http://trademark.i-assist.jp/data/china/image_1891th/77681711.pdf","77681711")</f>
        <v>77681711</v>
      </c>
      <c r="F2028" s="16" t="s">
        <v>9169</v>
      </c>
      <c r="G2028" s="16" t="s">
        <v>9168</v>
      </c>
      <c r="H2028" s="16" t="s">
        <v>9170</v>
      </c>
      <c r="I2028" s="17">
        <v>45383</v>
      </c>
    </row>
    <row r="2029" spans="1:9" x14ac:dyDescent="0.15">
      <c r="A2029" s="16" t="s">
        <v>9175</v>
      </c>
      <c r="B2029" s="7" t="s">
        <v>9</v>
      </c>
      <c r="C2029" s="16" t="s">
        <v>40</v>
      </c>
      <c r="D2029" s="16" t="s">
        <v>41</v>
      </c>
      <c r="E2029" s="13" t="str">
        <f>+HYPERLINK("http://trademark.i-assist.jp/data/china/image_1891th/77681766.pdf","77681766")</f>
        <v>77681766</v>
      </c>
      <c r="F2029" s="16" t="s">
        <v>52</v>
      </c>
      <c r="G2029" s="16" t="s">
        <v>9173</v>
      </c>
      <c r="H2029" s="16" t="s">
        <v>11144</v>
      </c>
      <c r="I2029" s="17">
        <v>45383</v>
      </c>
    </row>
    <row r="2030" spans="1:9" x14ac:dyDescent="0.15">
      <c r="A2030" s="16" t="s">
        <v>9180</v>
      </c>
      <c r="B2030" s="7" t="s">
        <v>9</v>
      </c>
      <c r="C2030" s="16" t="s">
        <v>40</v>
      </c>
      <c r="D2030" s="16" t="s">
        <v>41</v>
      </c>
      <c r="E2030" s="13" t="str">
        <f>+HYPERLINK("http://trademark.i-assist.jp/data/china/image_1891th/77683242.pdf","77683242")</f>
        <v>77683242</v>
      </c>
      <c r="F2030" s="16" t="s">
        <v>9178</v>
      </c>
      <c r="G2030" s="16" t="s">
        <v>9177</v>
      </c>
      <c r="H2030" s="16" t="s">
        <v>9179</v>
      </c>
      <c r="I2030" s="17">
        <v>45383</v>
      </c>
    </row>
    <row r="2031" spans="1:9" x14ac:dyDescent="0.15">
      <c r="A2031" s="16" t="s">
        <v>9184</v>
      </c>
      <c r="B2031" s="7" t="s">
        <v>9</v>
      </c>
      <c r="C2031" s="16" t="s">
        <v>40</v>
      </c>
      <c r="D2031" s="16" t="s">
        <v>41</v>
      </c>
      <c r="E2031" s="13" t="str">
        <f>+HYPERLINK("http://trademark.i-assist.jp/data/china/image_1891th/77683276.pdf","77683276")</f>
        <v>77683276</v>
      </c>
      <c r="F2031" s="16" t="s">
        <v>9182</v>
      </c>
      <c r="G2031" s="16" t="s">
        <v>9133</v>
      </c>
      <c r="H2031" s="16" t="s">
        <v>9183</v>
      </c>
      <c r="I2031" s="17">
        <v>45383</v>
      </c>
    </row>
    <row r="2032" spans="1:9" x14ac:dyDescent="0.15">
      <c r="A2032" s="16" t="s">
        <v>9189</v>
      </c>
      <c r="B2032" s="7" t="s">
        <v>9</v>
      </c>
      <c r="C2032" s="16" t="s">
        <v>40</v>
      </c>
      <c r="D2032" s="16" t="s">
        <v>41</v>
      </c>
      <c r="E2032" s="13" t="str">
        <f>+HYPERLINK("http://trademark.i-assist.jp/data/china/image_1891th/77683474.pdf","77683474")</f>
        <v>77683474</v>
      </c>
      <c r="F2032" s="16" t="s">
        <v>9187</v>
      </c>
      <c r="G2032" s="16" t="s">
        <v>9186</v>
      </c>
      <c r="H2032" s="16" t="s">
        <v>9188</v>
      </c>
      <c r="I2032" s="17">
        <v>45383</v>
      </c>
    </row>
    <row r="2033" spans="1:9" x14ac:dyDescent="0.15">
      <c r="A2033" s="16" t="s">
        <v>9193</v>
      </c>
      <c r="B2033" s="7" t="s">
        <v>9</v>
      </c>
      <c r="C2033" s="16" t="s">
        <v>40</v>
      </c>
      <c r="D2033" s="16" t="s">
        <v>41</v>
      </c>
      <c r="E2033" s="13" t="str">
        <f>+HYPERLINK("http://trademark.i-assist.jp/data/china/image_1891th/77684425.pdf","77684425")</f>
        <v>77684425</v>
      </c>
      <c r="F2033" s="16" t="s">
        <v>9191</v>
      </c>
      <c r="G2033" s="16" t="s">
        <v>9053</v>
      </c>
      <c r="H2033" s="16" t="s">
        <v>9192</v>
      </c>
      <c r="I2033" s="17">
        <v>45383</v>
      </c>
    </row>
    <row r="2034" spans="1:9" x14ac:dyDescent="0.15">
      <c r="A2034" s="16" t="s">
        <v>9197</v>
      </c>
      <c r="B2034" s="7" t="s">
        <v>9</v>
      </c>
      <c r="C2034" s="16" t="s">
        <v>40</v>
      </c>
      <c r="D2034" s="16" t="s">
        <v>41</v>
      </c>
      <c r="E2034" s="13" t="str">
        <f>+HYPERLINK("http://trademark.i-assist.jp/data/china/image_1891th/77684440.pdf","77684440")</f>
        <v>77684440</v>
      </c>
      <c r="F2034" s="16" t="s">
        <v>11101</v>
      </c>
      <c r="G2034" s="16" t="s">
        <v>9053</v>
      </c>
      <c r="H2034" s="16" t="s">
        <v>9196</v>
      </c>
      <c r="I2034" s="17">
        <v>45383</v>
      </c>
    </row>
    <row r="2035" spans="1:9" x14ac:dyDescent="0.15">
      <c r="A2035" s="16" t="s">
        <v>9201</v>
      </c>
      <c r="B2035" s="7" t="s">
        <v>9</v>
      </c>
      <c r="C2035" s="16" t="s">
        <v>40</v>
      </c>
      <c r="D2035" s="16" t="s">
        <v>41</v>
      </c>
      <c r="E2035" s="13" t="str">
        <f>+HYPERLINK("http://trademark.i-assist.jp/data/china/image_1891th/77684458.pdf","77684458")</f>
        <v>77684458</v>
      </c>
      <c r="F2035" s="16" t="s">
        <v>9199</v>
      </c>
      <c r="G2035" s="16" t="s">
        <v>9053</v>
      </c>
      <c r="H2035" s="16" t="s">
        <v>9200</v>
      </c>
      <c r="I2035" s="17">
        <v>45383</v>
      </c>
    </row>
    <row r="2036" spans="1:9" x14ac:dyDescent="0.15">
      <c r="A2036" s="16" t="s">
        <v>9206</v>
      </c>
      <c r="B2036" s="7" t="s">
        <v>9</v>
      </c>
      <c r="C2036" s="16" t="s">
        <v>40</v>
      </c>
      <c r="D2036" s="16" t="s">
        <v>41</v>
      </c>
      <c r="E2036" s="13" t="str">
        <f>+HYPERLINK("http://trademark.i-assist.jp/data/china/image_1891th/77684816.pdf","77684816")</f>
        <v>77684816</v>
      </c>
      <c r="F2036" s="16" t="s">
        <v>9204</v>
      </c>
      <c r="G2036" s="16" t="s">
        <v>9203</v>
      </c>
      <c r="H2036" s="16" t="s">
        <v>9205</v>
      </c>
      <c r="I2036" s="17">
        <v>45383</v>
      </c>
    </row>
    <row r="2037" spans="1:9" x14ac:dyDescent="0.15">
      <c r="A2037" s="16" t="s">
        <v>9211</v>
      </c>
      <c r="B2037" s="7" t="s">
        <v>9</v>
      </c>
      <c r="C2037" s="16" t="s">
        <v>40</v>
      </c>
      <c r="D2037" s="16" t="s">
        <v>41</v>
      </c>
      <c r="E2037" s="13" t="str">
        <f>+HYPERLINK("http://trademark.i-assist.jp/data/china/image_1891th/77685352.pdf","77685352")</f>
        <v>77685352</v>
      </c>
      <c r="F2037" s="16" t="s">
        <v>9209</v>
      </c>
      <c r="G2037" s="16" t="s">
        <v>9208</v>
      </c>
      <c r="H2037" s="16" t="s">
        <v>9210</v>
      </c>
      <c r="I2037" s="17">
        <v>45383</v>
      </c>
    </row>
    <row r="2038" spans="1:9" x14ac:dyDescent="0.15">
      <c r="A2038" s="16" t="s">
        <v>9216</v>
      </c>
      <c r="B2038" s="7" t="s">
        <v>9</v>
      </c>
      <c r="C2038" s="16" t="s">
        <v>40</v>
      </c>
      <c r="D2038" s="16" t="s">
        <v>41</v>
      </c>
      <c r="E2038" s="13" t="str">
        <f>+HYPERLINK("http://trademark.i-assist.jp/data/china/image_1891th/77685495.pdf","77685495")</f>
        <v>77685495</v>
      </c>
      <c r="F2038" s="16" t="s">
        <v>9214</v>
      </c>
      <c r="G2038" s="16" t="s">
        <v>9213</v>
      </c>
      <c r="H2038" s="16" t="s">
        <v>9215</v>
      </c>
      <c r="I2038" s="17">
        <v>45383</v>
      </c>
    </row>
    <row r="2039" spans="1:9" x14ac:dyDescent="0.15">
      <c r="A2039" s="16" t="s">
        <v>9219</v>
      </c>
      <c r="B2039" s="7" t="s">
        <v>9</v>
      </c>
      <c r="C2039" s="16" t="s">
        <v>40</v>
      </c>
      <c r="D2039" s="16" t="s">
        <v>41</v>
      </c>
      <c r="E2039" s="13" t="str">
        <f>+HYPERLINK("http://trademark.i-assist.jp/data/china/image_1891th/77685596.pdf","77685596")</f>
        <v>77685596</v>
      </c>
      <c r="F2039" s="16" t="s">
        <v>52</v>
      </c>
      <c r="G2039" s="16" t="s">
        <v>9058</v>
      </c>
      <c r="H2039" s="16" t="s">
        <v>9218</v>
      </c>
      <c r="I2039" s="17">
        <v>45383</v>
      </c>
    </row>
    <row r="2040" spans="1:9" x14ac:dyDescent="0.15">
      <c r="A2040" s="16" t="s">
        <v>9223</v>
      </c>
      <c r="B2040" s="7" t="s">
        <v>9</v>
      </c>
      <c r="C2040" s="16" t="s">
        <v>40</v>
      </c>
      <c r="D2040" s="16" t="s">
        <v>41</v>
      </c>
      <c r="E2040" s="13" t="str">
        <f>+HYPERLINK("http://trademark.i-assist.jp/data/china/image_1891th/77685774.pdf","77685774")</f>
        <v>77685774</v>
      </c>
      <c r="F2040" s="16" t="s">
        <v>9221</v>
      </c>
      <c r="G2040" s="16" t="s">
        <v>9021</v>
      </c>
      <c r="H2040" s="16" t="s">
        <v>9222</v>
      </c>
      <c r="I2040" s="17">
        <v>45383</v>
      </c>
    </row>
    <row r="2041" spans="1:9" x14ac:dyDescent="0.15">
      <c r="A2041" s="16" t="s">
        <v>9228</v>
      </c>
      <c r="B2041" s="7" t="s">
        <v>9</v>
      </c>
      <c r="C2041" s="16" t="s">
        <v>40</v>
      </c>
      <c r="D2041" s="16" t="s">
        <v>41</v>
      </c>
      <c r="E2041" s="13" t="str">
        <f>+HYPERLINK("http://trademark.i-assist.jp/data/china/image_1891th/77686454.pdf","77686454")</f>
        <v>77686454</v>
      </c>
      <c r="F2041" s="16" t="s">
        <v>9226</v>
      </c>
      <c r="G2041" s="16" t="s">
        <v>9225</v>
      </c>
      <c r="H2041" s="16" t="s">
        <v>9227</v>
      </c>
      <c r="I2041" s="17">
        <v>45383</v>
      </c>
    </row>
    <row r="2042" spans="1:9" x14ac:dyDescent="0.15">
      <c r="A2042" s="16" t="s">
        <v>9232</v>
      </c>
      <c r="B2042" s="7" t="s">
        <v>9</v>
      </c>
      <c r="C2042" s="16" t="s">
        <v>40</v>
      </c>
      <c r="D2042" s="16" t="s">
        <v>41</v>
      </c>
      <c r="E2042" s="13" t="str">
        <f>+HYPERLINK("http://trademark.i-assist.jp/data/china/image_1891th/77686958.pdf","77686958")</f>
        <v>77686958</v>
      </c>
      <c r="F2042" s="16" t="s">
        <v>9230</v>
      </c>
      <c r="G2042" s="16" t="s">
        <v>9016</v>
      </c>
      <c r="H2042" s="16" t="s">
        <v>9231</v>
      </c>
      <c r="I2042" s="17">
        <v>45383</v>
      </c>
    </row>
    <row r="2043" spans="1:9" x14ac:dyDescent="0.15">
      <c r="A2043" s="16" t="s">
        <v>9237</v>
      </c>
      <c r="B2043" s="7" t="s">
        <v>9</v>
      </c>
      <c r="C2043" s="16" t="s">
        <v>40</v>
      </c>
      <c r="D2043" s="16" t="s">
        <v>41</v>
      </c>
      <c r="E2043" s="13" t="str">
        <f>+HYPERLINK("http://trademark.i-assist.jp/data/china/image_1891th/77687586.pdf","77687586")</f>
        <v>77687586</v>
      </c>
      <c r="F2043" s="16" t="s">
        <v>9235</v>
      </c>
      <c r="G2043" s="16" t="s">
        <v>9234</v>
      </c>
      <c r="H2043" s="16" t="s">
        <v>9236</v>
      </c>
      <c r="I2043" s="17">
        <v>45383</v>
      </c>
    </row>
    <row r="2044" spans="1:9" x14ac:dyDescent="0.15">
      <c r="A2044" s="16" t="s">
        <v>9242</v>
      </c>
      <c r="B2044" s="7" t="s">
        <v>9</v>
      </c>
      <c r="C2044" s="16" t="s">
        <v>40</v>
      </c>
      <c r="D2044" s="16" t="s">
        <v>41</v>
      </c>
      <c r="E2044" s="13" t="str">
        <f>+HYPERLINK("http://trademark.i-assist.jp/data/china/image_1891th/77687748.pdf","77687748")</f>
        <v>77687748</v>
      </c>
      <c r="F2044" s="16" t="s">
        <v>9240</v>
      </c>
      <c r="G2044" s="16" t="s">
        <v>9239</v>
      </c>
      <c r="H2044" s="16" t="s">
        <v>9241</v>
      </c>
      <c r="I2044" s="17">
        <v>45383</v>
      </c>
    </row>
    <row r="2045" spans="1:9" x14ac:dyDescent="0.15">
      <c r="A2045" s="16" t="s">
        <v>9247</v>
      </c>
      <c r="B2045" s="7" t="s">
        <v>9</v>
      </c>
      <c r="C2045" s="16" t="s">
        <v>40</v>
      </c>
      <c r="D2045" s="16" t="s">
        <v>41</v>
      </c>
      <c r="E2045" s="13" t="str">
        <f>+HYPERLINK("http://trademark.i-assist.jp/data/china/image_1891th/77687829.pdf","77687829")</f>
        <v>77687829</v>
      </c>
      <c r="F2045" s="16" t="s">
        <v>9245</v>
      </c>
      <c r="G2045" s="16" t="s">
        <v>9244</v>
      </c>
      <c r="H2045" s="16" t="s">
        <v>9246</v>
      </c>
      <c r="I2045" s="17">
        <v>45383</v>
      </c>
    </row>
    <row r="2046" spans="1:9" x14ac:dyDescent="0.15">
      <c r="A2046" s="16" t="s">
        <v>9252</v>
      </c>
      <c r="B2046" s="7" t="s">
        <v>9</v>
      </c>
      <c r="C2046" s="16" t="s">
        <v>40</v>
      </c>
      <c r="D2046" s="16" t="s">
        <v>41</v>
      </c>
      <c r="E2046" s="13" t="str">
        <f>+HYPERLINK("http://trademark.i-assist.jp/data/china/image_1891th/77688156.pdf","77688156")</f>
        <v>77688156</v>
      </c>
      <c r="F2046" s="16" t="s">
        <v>9250</v>
      </c>
      <c r="G2046" s="16" t="s">
        <v>9249</v>
      </c>
      <c r="H2046" s="16" t="s">
        <v>9251</v>
      </c>
      <c r="I2046" s="17">
        <v>45383</v>
      </c>
    </row>
    <row r="2047" spans="1:9" x14ac:dyDescent="0.15">
      <c r="A2047" s="16" t="s">
        <v>9257</v>
      </c>
      <c r="B2047" s="7" t="s">
        <v>9</v>
      </c>
      <c r="C2047" s="16" t="s">
        <v>40</v>
      </c>
      <c r="D2047" s="16" t="s">
        <v>41</v>
      </c>
      <c r="E2047" s="13" t="str">
        <f>+HYPERLINK("http://trademark.i-assist.jp/data/china/image_1891th/77688800.pdf","77688800")</f>
        <v>77688800</v>
      </c>
      <c r="F2047" s="16" t="s">
        <v>9255</v>
      </c>
      <c r="G2047" s="16" t="s">
        <v>9254</v>
      </c>
      <c r="H2047" s="16" t="s">
        <v>9256</v>
      </c>
      <c r="I2047" s="17">
        <v>45383</v>
      </c>
    </row>
    <row r="2048" spans="1:9" x14ac:dyDescent="0.15">
      <c r="A2048" s="16" t="s">
        <v>9261</v>
      </c>
      <c r="B2048" s="7" t="s">
        <v>9</v>
      </c>
      <c r="C2048" s="16" t="s">
        <v>40</v>
      </c>
      <c r="D2048" s="16" t="s">
        <v>41</v>
      </c>
      <c r="E2048" s="13" t="str">
        <f>+HYPERLINK("http://trademark.i-assist.jp/data/china/image_1891th/77688822.pdf","77688822")</f>
        <v>77688822</v>
      </c>
      <c r="F2048" s="16" t="s">
        <v>9259</v>
      </c>
      <c r="G2048" s="16" t="s">
        <v>9128</v>
      </c>
      <c r="H2048" s="16" t="s">
        <v>9260</v>
      </c>
      <c r="I2048" s="17">
        <v>45383</v>
      </c>
    </row>
    <row r="2049" spans="1:9" x14ac:dyDescent="0.15">
      <c r="A2049" s="16" t="s">
        <v>9265</v>
      </c>
      <c r="B2049" s="7" t="s">
        <v>9</v>
      </c>
      <c r="C2049" s="16" t="s">
        <v>40</v>
      </c>
      <c r="D2049" s="16" t="s">
        <v>41</v>
      </c>
      <c r="E2049" s="13" t="str">
        <f>+HYPERLINK("http://trademark.i-assist.jp/data/china/image_1891th/77689263.pdf","77689263")</f>
        <v>77689263</v>
      </c>
      <c r="F2049" s="16" t="s">
        <v>9263</v>
      </c>
      <c r="G2049" s="16" t="s">
        <v>9225</v>
      </c>
      <c r="H2049" s="16" t="s">
        <v>9264</v>
      </c>
      <c r="I2049" s="17">
        <v>45383</v>
      </c>
    </row>
    <row r="2050" spans="1:9" x14ac:dyDescent="0.15">
      <c r="A2050" s="16" t="s">
        <v>9270</v>
      </c>
      <c r="B2050" s="7" t="s">
        <v>9</v>
      </c>
      <c r="C2050" s="16" t="s">
        <v>40</v>
      </c>
      <c r="D2050" s="16" t="s">
        <v>41</v>
      </c>
      <c r="E2050" s="13" t="str">
        <f>+HYPERLINK("http://trademark.i-assist.jp/data/china/image_1891th/77689759.pdf","77689759")</f>
        <v>77689759</v>
      </c>
      <c r="F2050" s="16" t="s">
        <v>9268</v>
      </c>
      <c r="G2050" s="16" t="s">
        <v>9267</v>
      </c>
      <c r="H2050" s="16" t="s">
        <v>9269</v>
      </c>
      <c r="I2050" s="17">
        <v>45383</v>
      </c>
    </row>
    <row r="2051" spans="1:9" x14ac:dyDescent="0.15">
      <c r="A2051" s="16" t="s">
        <v>9275</v>
      </c>
      <c r="B2051" s="7" t="s">
        <v>9</v>
      </c>
      <c r="C2051" s="16" t="s">
        <v>40</v>
      </c>
      <c r="D2051" s="16" t="s">
        <v>41</v>
      </c>
      <c r="E2051" s="13" t="str">
        <f>+HYPERLINK("http://trademark.i-assist.jp/data/china/image_1891th/77689849.pdf","77689849")</f>
        <v>77689849</v>
      </c>
      <c r="F2051" s="16" t="s">
        <v>9273</v>
      </c>
      <c r="G2051" s="16" t="s">
        <v>9272</v>
      </c>
      <c r="H2051" s="16" t="s">
        <v>9274</v>
      </c>
      <c r="I2051" s="17">
        <v>45383</v>
      </c>
    </row>
    <row r="2052" spans="1:9" x14ac:dyDescent="0.15">
      <c r="A2052" s="16" t="s">
        <v>9280</v>
      </c>
      <c r="B2052" s="7" t="s">
        <v>9</v>
      </c>
      <c r="C2052" s="16" t="s">
        <v>40</v>
      </c>
      <c r="D2052" s="16" t="s">
        <v>41</v>
      </c>
      <c r="E2052" s="13" t="str">
        <f>+HYPERLINK("http://trademark.i-assist.jp/data/china/image_1891th/77690523.pdf","77690523")</f>
        <v>77690523</v>
      </c>
      <c r="F2052" s="16" t="s">
        <v>9278</v>
      </c>
      <c r="G2052" s="16" t="s">
        <v>9277</v>
      </c>
      <c r="H2052" s="16" t="s">
        <v>9279</v>
      </c>
      <c r="I2052" s="17">
        <v>45383</v>
      </c>
    </row>
    <row r="2053" spans="1:9" x14ac:dyDescent="0.15">
      <c r="A2053" s="16" t="s">
        <v>9284</v>
      </c>
      <c r="B2053" s="7" t="s">
        <v>9</v>
      </c>
      <c r="C2053" s="16" t="s">
        <v>40</v>
      </c>
      <c r="D2053" s="16" t="s">
        <v>41</v>
      </c>
      <c r="E2053" s="13" t="str">
        <f>+HYPERLINK("http://trademark.i-assist.jp/data/china/image_1891th/77690594.pdf","77690594")</f>
        <v>77690594</v>
      </c>
      <c r="F2053" s="16" t="s">
        <v>9282</v>
      </c>
      <c r="G2053" s="16" t="s">
        <v>14</v>
      </c>
      <c r="H2053" s="16" t="s">
        <v>9283</v>
      </c>
      <c r="I2053" s="17">
        <v>45383</v>
      </c>
    </row>
    <row r="2054" spans="1:9" x14ac:dyDescent="0.15">
      <c r="A2054" s="16" t="s">
        <v>9288</v>
      </c>
      <c r="B2054" s="7" t="s">
        <v>9</v>
      </c>
      <c r="C2054" s="16" t="s">
        <v>40</v>
      </c>
      <c r="D2054" s="16" t="s">
        <v>41</v>
      </c>
      <c r="E2054" s="13" t="str">
        <f>+HYPERLINK("http://trademark.i-assist.jp/data/china/image_1891th/77690871.pdf","77690871")</f>
        <v>77690871</v>
      </c>
      <c r="F2054" s="16" t="s">
        <v>9286</v>
      </c>
      <c r="G2054" s="16" t="s">
        <v>9053</v>
      </c>
      <c r="H2054" s="16" t="s">
        <v>9287</v>
      </c>
      <c r="I2054" s="17">
        <v>45383</v>
      </c>
    </row>
    <row r="2055" spans="1:9" x14ac:dyDescent="0.15">
      <c r="A2055" s="16" t="s">
        <v>9293</v>
      </c>
      <c r="B2055" s="7" t="s">
        <v>9</v>
      </c>
      <c r="C2055" s="16" t="s">
        <v>40</v>
      </c>
      <c r="D2055" s="16" t="s">
        <v>41</v>
      </c>
      <c r="E2055" s="13" t="str">
        <f>+HYPERLINK("http://trademark.i-assist.jp/data/china/image_1891th/77691838.pdf","77691838")</f>
        <v>77691838</v>
      </c>
      <c r="F2055" s="16" t="s">
        <v>9291</v>
      </c>
      <c r="G2055" s="16" t="s">
        <v>9290</v>
      </c>
      <c r="H2055" s="16" t="s">
        <v>9292</v>
      </c>
      <c r="I2055" s="17">
        <v>45383</v>
      </c>
    </row>
    <row r="2056" spans="1:9" x14ac:dyDescent="0.15">
      <c r="A2056" s="16" t="s">
        <v>9298</v>
      </c>
      <c r="B2056" s="7" t="s">
        <v>9</v>
      </c>
      <c r="C2056" s="16" t="s">
        <v>40</v>
      </c>
      <c r="D2056" s="16" t="s">
        <v>41</v>
      </c>
      <c r="E2056" s="13" t="str">
        <f>+HYPERLINK("http://trademark.i-assist.jp/data/china/image_1891th/77693824.pdf","77693824")</f>
        <v>77693824</v>
      </c>
      <c r="F2056" s="16" t="s">
        <v>9296</v>
      </c>
      <c r="G2056" s="16" t="s">
        <v>9295</v>
      </c>
      <c r="H2056" s="16" t="s">
        <v>9297</v>
      </c>
      <c r="I2056" s="17">
        <v>45383</v>
      </c>
    </row>
    <row r="2057" spans="1:9" x14ac:dyDescent="0.15">
      <c r="A2057" s="16" t="s">
        <v>9303</v>
      </c>
      <c r="B2057" s="7" t="s">
        <v>9</v>
      </c>
      <c r="C2057" s="16" t="s">
        <v>40</v>
      </c>
      <c r="D2057" s="16" t="s">
        <v>41</v>
      </c>
      <c r="E2057" s="13" t="str">
        <f>+HYPERLINK("http://trademark.i-assist.jp/data/china/image_1891th/77694082.pdf","77694082")</f>
        <v>77694082</v>
      </c>
      <c r="F2057" s="16" t="s">
        <v>9301</v>
      </c>
      <c r="G2057" s="16" t="s">
        <v>9300</v>
      </c>
      <c r="H2057" s="16" t="s">
        <v>9302</v>
      </c>
      <c r="I2057" s="17">
        <v>45383</v>
      </c>
    </row>
    <row r="2058" spans="1:9" x14ac:dyDescent="0.15">
      <c r="A2058" s="16" t="s">
        <v>9308</v>
      </c>
      <c r="B2058" s="7" t="s">
        <v>9</v>
      </c>
      <c r="C2058" s="16" t="s">
        <v>40</v>
      </c>
      <c r="D2058" s="16" t="s">
        <v>41</v>
      </c>
      <c r="E2058" s="13" t="str">
        <f>+HYPERLINK("http://trademark.i-assist.jp/data/china/image_1891th/77694243.pdf","77694243")</f>
        <v>77694243</v>
      </c>
      <c r="F2058" s="16" t="s">
        <v>9306</v>
      </c>
      <c r="G2058" s="16" t="s">
        <v>9305</v>
      </c>
      <c r="H2058" s="16" t="s">
        <v>9307</v>
      </c>
      <c r="I2058" s="17">
        <v>45383</v>
      </c>
    </row>
    <row r="2059" spans="1:9" x14ac:dyDescent="0.15">
      <c r="A2059" s="16" t="s">
        <v>9313</v>
      </c>
      <c r="B2059" s="7" t="s">
        <v>9</v>
      </c>
      <c r="C2059" s="16" t="s">
        <v>40</v>
      </c>
      <c r="D2059" s="16" t="s">
        <v>41</v>
      </c>
      <c r="E2059" s="13" t="str">
        <f>+HYPERLINK("http://trademark.i-assist.jp/data/china/image_1891th/77694397.pdf","77694397")</f>
        <v>77694397</v>
      </c>
      <c r="F2059" s="16" t="s">
        <v>9311</v>
      </c>
      <c r="G2059" s="16" t="s">
        <v>9310</v>
      </c>
      <c r="H2059" s="16" t="s">
        <v>9312</v>
      </c>
      <c r="I2059" s="17">
        <v>45383</v>
      </c>
    </row>
    <row r="2060" spans="1:9" x14ac:dyDescent="0.15">
      <c r="A2060" s="16" t="s">
        <v>9318</v>
      </c>
      <c r="B2060" s="7" t="s">
        <v>9</v>
      </c>
      <c r="C2060" s="16" t="s">
        <v>40</v>
      </c>
      <c r="D2060" s="16" t="s">
        <v>41</v>
      </c>
      <c r="E2060" s="13" t="str">
        <f>+HYPERLINK("http://trademark.i-assist.jp/data/china/image_1891th/77694608.pdf","77694608")</f>
        <v>77694608</v>
      </c>
      <c r="F2060" s="16" t="s">
        <v>9316</v>
      </c>
      <c r="G2060" s="16" t="s">
        <v>9315</v>
      </c>
      <c r="H2060" s="16" t="s">
        <v>9317</v>
      </c>
      <c r="I2060" s="17">
        <v>45383</v>
      </c>
    </row>
    <row r="2061" spans="1:9" x14ac:dyDescent="0.15">
      <c r="A2061" s="16" t="s">
        <v>9323</v>
      </c>
      <c r="B2061" s="7" t="s">
        <v>9</v>
      </c>
      <c r="C2061" s="16" t="s">
        <v>40</v>
      </c>
      <c r="D2061" s="16" t="s">
        <v>41</v>
      </c>
      <c r="E2061" s="13" t="str">
        <f>+HYPERLINK("http://trademark.i-assist.jp/data/china/image_1891th/77694641.pdf","77694641")</f>
        <v>77694641</v>
      </c>
      <c r="F2061" s="16" t="s">
        <v>9321</v>
      </c>
      <c r="G2061" s="16" t="s">
        <v>9320</v>
      </c>
      <c r="H2061" s="16" t="s">
        <v>9322</v>
      </c>
      <c r="I2061" s="17">
        <v>45383</v>
      </c>
    </row>
    <row r="2062" spans="1:9" x14ac:dyDescent="0.15">
      <c r="A2062" s="16" t="s">
        <v>9328</v>
      </c>
      <c r="B2062" s="7" t="s">
        <v>9</v>
      </c>
      <c r="C2062" s="16" t="s">
        <v>40</v>
      </c>
      <c r="D2062" s="16" t="s">
        <v>41</v>
      </c>
      <c r="E2062" s="13" t="str">
        <f>+HYPERLINK("http://trademark.i-assist.jp/data/china/image_1891th/77694899.pdf","77694899")</f>
        <v>77694899</v>
      </c>
      <c r="F2062" s="16" t="s">
        <v>9326</v>
      </c>
      <c r="G2062" s="16" t="s">
        <v>9325</v>
      </c>
      <c r="H2062" s="16" t="s">
        <v>9327</v>
      </c>
      <c r="I2062" s="17">
        <v>45383</v>
      </c>
    </row>
    <row r="2063" spans="1:9" x14ac:dyDescent="0.15">
      <c r="A2063" s="16" t="s">
        <v>9332</v>
      </c>
      <c r="B2063" s="7" t="s">
        <v>9</v>
      </c>
      <c r="C2063" s="16" t="s">
        <v>40</v>
      </c>
      <c r="D2063" s="16" t="s">
        <v>41</v>
      </c>
      <c r="E2063" s="13" t="str">
        <f>+HYPERLINK("http://trademark.i-assist.jp/data/china/image_1891th/77695271.pdf","77695271")</f>
        <v>77695271</v>
      </c>
      <c r="F2063" s="16" t="s">
        <v>52</v>
      </c>
      <c r="G2063" s="16" t="s">
        <v>9330</v>
      </c>
      <c r="H2063" s="16" t="s">
        <v>9331</v>
      </c>
      <c r="I2063" s="17">
        <v>45383</v>
      </c>
    </row>
    <row r="2064" spans="1:9" x14ac:dyDescent="0.15">
      <c r="A2064" s="16" t="s">
        <v>9337</v>
      </c>
      <c r="B2064" s="7" t="s">
        <v>9</v>
      </c>
      <c r="C2064" s="16" t="s">
        <v>40</v>
      </c>
      <c r="D2064" s="16" t="s">
        <v>41</v>
      </c>
      <c r="E2064" s="13" t="str">
        <f>+HYPERLINK("http://trademark.i-assist.jp/data/china/image_1891th/77695389.pdf","77695389")</f>
        <v>77695389</v>
      </c>
      <c r="F2064" s="16" t="s">
        <v>9335</v>
      </c>
      <c r="G2064" s="16" t="s">
        <v>9334</v>
      </c>
      <c r="H2064" s="16" t="s">
        <v>9336</v>
      </c>
      <c r="I2064" s="17">
        <v>45383</v>
      </c>
    </row>
    <row r="2065" spans="1:9" x14ac:dyDescent="0.15">
      <c r="A2065" s="16" t="s">
        <v>9342</v>
      </c>
      <c r="B2065" s="7" t="s">
        <v>9</v>
      </c>
      <c r="C2065" s="16" t="s">
        <v>40</v>
      </c>
      <c r="D2065" s="16" t="s">
        <v>41</v>
      </c>
      <c r="E2065" s="13" t="str">
        <f>+HYPERLINK("http://trademark.i-assist.jp/data/china/image_1891th/77695572.pdf","77695572")</f>
        <v>77695572</v>
      </c>
      <c r="F2065" s="16" t="s">
        <v>9340</v>
      </c>
      <c r="G2065" s="16" t="s">
        <v>9339</v>
      </c>
      <c r="H2065" s="16" t="s">
        <v>9341</v>
      </c>
      <c r="I2065" s="17">
        <v>45383</v>
      </c>
    </row>
    <row r="2066" spans="1:9" x14ac:dyDescent="0.15">
      <c r="A2066" s="16" t="s">
        <v>9346</v>
      </c>
      <c r="B2066" s="7" t="s">
        <v>9</v>
      </c>
      <c r="C2066" s="16" t="s">
        <v>40</v>
      </c>
      <c r="D2066" s="16" t="s">
        <v>41</v>
      </c>
      <c r="E2066" s="13" t="str">
        <f>+HYPERLINK("http://trademark.i-assist.jp/data/china/image_1891th/77695763.pdf","77695763")</f>
        <v>77695763</v>
      </c>
      <c r="F2066" s="16" t="s">
        <v>9344</v>
      </c>
      <c r="G2066" s="16" t="s">
        <v>9239</v>
      </c>
      <c r="H2066" s="16" t="s">
        <v>9345</v>
      </c>
      <c r="I2066" s="17">
        <v>45383</v>
      </c>
    </row>
    <row r="2067" spans="1:9" x14ac:dyDescent="0.15">
      <c r="A2067" s="16" t="s">
        <v>9351</v>
      </c>
      <c r="B2067" s="7" t="s">
        <v>9</v>
      </c>
      <c r="C2067" s="16" t="s">
        <v>40</v>
      </c>
      <c r="D2067" s="16" t="s">
        <v>41</v>
      </c>
      <c r="E2067" s="13" t="str">
        <f>+HYPERLINK("http://trademark.i-assist.jp/data/china/image_1891th/77695807.pdf","77695807")</f>
        <v>77695807</v>
      </c>
      <c r="F2067" s="16" t="s">
        <v>9349</v>
      </c>
      <c r="G2067" s="16" t="s">
        <v>9348</v>
      </c>
      <c r="H2067" s="16" t="s">
        <v>9350</v>
      </c>
      <c r="I2067" s="17">
        <v>45383</v>
      </c>
    </row>
    <row r="2068" spans="1:9" x14ac:dyDescent="0.15">
      <c r="A2068" s="16" t="s">
        <v>9356</v>
      </c>
      <c r="B2068" s="7" t="s">
        <v>9</v>
      </c>
      <c r="C2068" s="16" t="s">
        <v>40</v>
      </c>
      <c r="D2068" s="16" t="s">
        <v>41</v>
      </c>
      <c r="E2068" s="13" t="str">
        <f>+HYPERLINK("http://trademark.i-assist.jp/data/china/image_1891th/77696060.pdf","77696060")</f>
        <v>77696060</v>
      </c>
      <c r="F2068" s="16" t="s">
        <v>9354</v>
      </c>
      <c r="G2068" s="16" t="s">
        <v>9353</v>
      </c>
      <c r="H2068" s="16" t="s">
        <v>9355</v>
      </c>
      <c r="I2068" s="17">
        <v>45383</v>
      </c>
    </row>
    <row r="2069" spans="1:9" x14ac:dyDescent="0.15">
      <c r="A2069" s="16" t="s">
        <v>9360</v>
      </c>
      <c r="B2069" s="7" t="s">
        <v>9</v>
      </c>
      <c r="C2069" s="16" t="s">
        <v>40</v>
      </c>
      <c r="D2069" s="16" t="s">
        <v>41</v>
      </c>
      <c r="E2069" s="13" t="str">
        <f>+HYPERLINK("http://trademark.i-assist.jp/data/china/image_1891th/77696419.pdf","77696419")</f>
        <v>77696419</v>
      </c>
      <c r="F2069" s="16" t="s">
        <v>9358</v>
      </c>
      <c r="G2069" s="16" t="s">
        <v>9053</v>
      </c>
      <c r="H2069" s="16" t="s">
        <v>9359</v>
      </c>
      <c r="I2069" s="17">
        <v>45383</v>
      </c>
    </row>
    <row r="2070" spans="1:9" x14ac:dyDescent="0.15">
      <c r="A2070" s="16" t="s">
        <v>9364</v>
      </c>
      <c r="B2070" s="7" t="s">
        <v>9</v>
      </c>
      <c r="C2070" s="16" t="s">
        <v>40</v>
      </c>
      <c r="D2070" s="16" t="s">
        <v>41</v>
      </c>
      <c r="E2070" s="13" t="str">
        <f>+HYPERLINK("http://trademark.i-assist.jp/data/china/image_1891th/77696949.pdf","77696949")</f>
        <v>77696949</v>
      </c>
      <c r="F2070" s="16" t="s">
        <v>52</v>
      </c>
      <c r="G2070" s="16" t="s">
        <v>9362</v>
      </c>
      <c r="H2070" s="16" t="s">
        <v>9363</v>
      </c>
      <c r="I2070" s="17">
        <v>45383</v>
      </c>
    </row>
    <row r="2071" spans="1:9" x14ac:dyDescent="0.15">
      <c r="A2071" s="16" t="s">
        <v>9368</v>
      </c>
      <c r="B2071" s="7" t="s">
        <v>9</v>
      </c>
      <c r="C2071" s="16" t="s">
        <v>40</v>
      </c>
      <c r="D2071" s="16" t="s">
        <v>41</v>
      </c>
      <c r="E2071" s="13" t="str">
        <f>+HYPERLINK("http://trademark.i-assist.jp/data/china/image_1891th/77697381.pdf","77697381")</f>
        <v>77697381</v>
      </c>
      <c r="F2071" s="16" t="s">
        <v>9366</v>
      </c>
      <c r="G2071" s="16" t="s">
        <v>9177</v>
      </c>
      <c r="H2071" s="16" t="s">
        <v>9367</v>
      </c>
      <c r="I2071" s="17">
        <v>45383</v>
      </c>
    </row>
    <row r="2072" spans="1:9" x14ac:dyDescent="0.15">
      <c r="A2072" s="16" t="s">
        <v>9372</v>
      </c>
      <c r="B2072" s="7" t="s">
        <v>9</v>
      </c>
      <c r="C2072" s="16" t="s">
        <v>40</v>
      </c>
      <c r="D2072" s="16" t="s">
        <v>41</v>
      </c>
      <c r="E2072" s="13" t="str">
        <f>+HYPERLINK("http://trademark.i-assist.jp/data/china/image_1891th/77697692.pdf","77697692")</f>
        <v>77697692</v>
      </c>
      <c r="F2072" s="16" t="s">
        <v>52</v>
      </c>
      <c r="G2072" s="16" t="s">
        <v>9370</v>
      </c>
      <c r="H2072" s="16" t="s">
        <v>9371</v>
      </c>
      <c r="I2072" s="17">
        <v>45383</v>
      </c>
    </row>
    <row r="2073" spans="1:9" x14ac:dyDescent="0.15">
      <c r="A2073" s="16" t="s">
        <v>9376</v>
      </c>
      <c r="B2073" s="7" t="s">
        <v>9</v>
      </c>
      <c r="C2073" s="16" t="s">
        <v>40</v>
      </c>
      <c r="D2073" s="16" t="s">
        <v>41</v>
      </c>
      <c r="E2073" s="13" t="str">
        <f>+HYPERLINK("http://trademark.i-assist.jp/data/china/image_1891th/77698077.pdf","77698077")</f>
        <v>77698077</v>
      </c>
      <c r="F2073" s="16" t="s">
        <v>52</v>
      </c>
      <c r="G2073" s="16" t="s">
        <v>9374</v>
      </c>
      <c r="H2073" s="16" t="s">
        <v>9375</v>
      </c>
      <c r="I2073" s="17">
        <v>45383</v>
      </c>
    </row>
    <row r="2074" spans="1:9" x14ac:dyDescent="0.15">
      <c r="A2074" s="16" t="s">
        <v>9381</v>
      </c>
      <c r="B2074" s="7" t="s">
        <v>9</v>
      </c>
      <c r="C2074" s="16" t="s">
        <v>40</v>
      </c>
      <c r="D2074" s="16" t="s">
        <v>41</v>
      </c>
      <c r="E2074" s="13" t="str">
        <f>+HYPERLINK("http://trademark.i-assist.jp/data/china/image_1891th/77698198.pdf","77698198")</f>
        <v>77698198</v>
      </c>
      <c r="F2074" s="16" t="s">
        <v>9379</v>
      </c>
      <c r="G2074" s="16" t="s">
        <v>9378</v>
      </c>
      <c r="H2074" s="16" t="s">
        <v>9380</v>
      </c>
      <c r="I2074" s="17">
        <v>45383</v>
      </c>
    </row>
    <row r="2075" spans="1:9" x14ac:dyDescent="0.15">
      <c r="A2075" s="16" t="s">
        <v>9386</v>
      </c>
      <c r="B2075" s="7" t="s">
        <v>9</v>
      </c>
      <c r="C2075" s="16" t="s">
        <v>40</v>
      </c>
      <c r="D2075" s="16" t="s">
        <v>41</v>
      </c>
      <c r="E2075" s="13" t="str">
        <f>+HYPERLINK("http://trademark.i-assist.jp/data/china/image_1891th/77698486.pdf","77698486")</f>
        <v>77698486</v>
      </c>
      <c r="F2075" s="16" t="s">
        <v>9384</v>
      </c>
      <c r="G2075" s="16" t="s">
        <v>9383</v>
      </c>
      <c r="H2075" s="16" t="s">
        <v>9385</v>
      </c>
      <c r="I2075" s="17">
        <v>45383</v>
      </c>
    </row>
    <row r="2076" spans="1:9" x14ac:dyDescent="0.15">
      <c r="A2076" s="16" t="s">
        <v>9389</v>
      </c>
      <c r="B2076" s="7" t="s">
        <v>9</v>
      </c>
      <c r="C2076" s="16" t="s">
        <v>40</v>
      </c>
      <c r="D2076" s="16" t="s">
        <v>41</v>
      </c>
      <c r="E2076" s="13" t="str">
        <f>+HYPERLINK("http://trademark.i-assist.jp/data/china/image_1891th/77698563.pdf","77698563")</f>
        <v>77698563</v>
      </c>
      <c r="F2076" s="16" t="s">
        <v>52</v>
      </c>
      <c r="G2076" s="16" t="s">
        <v>9370</v>
      </c>
      <c r="H2076" s="16" t="s">
        <v>9388</v>
      </c>
      <c r="I2076" s="17">
        <v>45383</v>
      </c>
    </row>
    <row r="2077" spans="1:9" x14ac:dyDescent="0.15">
      <c r="A2077" s="16" t="s">
        <v>9394</v>
      </c>
      <c r="B2077" s="7" t="s">
        <v>9</v>
      </c>
      <c r="C2077" s="16" t="s">
        <v>40</v>
      </c>
      <c r="D2077" s="16" t="s">
        <v>41</v>
      </c>
      <c r="E2077" s="13" t="str">
        <f>+HYPERLINK("http://trademark.i-assist.jp/data/china/image_1891th/77700379.pdf","77700379")</f>
        <v>77700379</v>
      </c>
      <c r="F2077" s="16" t="s">
        <v>9392</v>
      </c>
      <c r="G2077" s="16" t="s">
        <v>9391</v>
      </c>
      <c r="H2077" s="16" t="s">
        <v>9393</v>
      </c>
      <c r="I2077" s="17">
        <v>45383</v>
      </c>
    </row>
    <row r="2078" spans="1:9" x14ac:dyDescent="0.15">
      <c r="A2078" s="16" t="s">
        <v>9399</v>
      </c>
      <c r="B2078" s="7" t="s">
        <v>9</v>
      </c>
      <c r="C2078" s="16" t="s">
        <v>40</v>
      </c>
      <c r="D2078" s="16" t="s">
        <v>41</v>
      </c>
      <c r="E2078" s="13" t="str">
        <f>+HYPERLINK("http://trademark.i-assist.jp/data/china/image_1891th/77700409.pdf","77700409")</f>
        <v>77700409</v>
      </c>
      <c r="F2078" s="16" t="s">
        <v>9397</v>
      </c>
      <c r="G2078" s="16" t="s">
        <v>9396</v>
      </c>
      <c r="H2078" s="16" t="s">
        <v>9398</v>
      </c>
      <c r="I2078" s="17">
        <v>45383</v>
      </c>
    </row>
    <row r="2079" spans="1:9" x14ac:dyDescent="0.15">
      <c r="A2079" s="16" t="s">
        <v>9405</v>
      </c>
      <c r="B2079" s="7" t="s">
        <v>9</v>
      </c>
      <c r="C2079" s="16" t="s">
        <v>40</v>
      </c>
      <c r="D2079" s="16" t="s">
        <v>41</v>
      </c>
      <c r="E2079" s="13" t="str">
        <f>+HYPERLINK("http://trademark.i-assist.jp/data/china/image_1891th/77701193.pdf","77701193")</f>
        <v>77701193</v>
      </c>
      <c r="F2079" s="16" t="s">
        <v>9402</v>
      </c>
      <c r="G2079" s="16" t="s">
        <v>9401</v>
      </c>
      <c r="H2079" s="16" t="s">
        <v>9403</v>
      </c>
      <c r="I2079" s="17">
        <v>45384</v>
      </c>
    </row>
    <row r="2080" spans="1:9" x14ac:dyDescent="0.15">
      <c r="A2080" s="16" t="s">
        <v>9410</v>
      </c>
      <c r="B2080" s="7" t="s">
        <v>9</v>
      </c>
      <c r="C2080" s="16" t="s">
        <v>40</v>
      </c>
      <c r="D2080" s="16" t="s">
        <v>41</v>
      </c>
      <c r="E2080" s="13" t="str">
        <f>+HYPERLINK("http://trademark.i-assist.jp/data/china/image_1891th/77701749.pdf","77701749")</f>
        <v>77701749</v>
      </c>
      <c r="F2080" s="16" t="s">
        <v>9408</v>
      </c>
      <c r="G2080" s="16" t="s">
        <v>9407</v>
      </c>
      <c r="H2080" s="16" t="s">
        <v>9409</v>
      </c>
      <c r="I2080" s="17">
        <v>45384</v>
      </c>
    </row>
    <row r="2081" spans="1:9" x14ac:dyDescent="0.15">
      <c r="A2081" s="16" t="s">
        <v>9415</v>
      </c>
      <c r="B2081" s="7" t="s">
        <v>9</v>
      </c>
      <c r="C2081" s="16" t="s">
        <v>40</v>
      </c>
      <c r="D2081" s="16" t="s">
        <v>41</v>
      </c>
      <c r="E2081" s="13" t="str">
        <f>+HYPERLINK("http://trademark.i-assist.jp/data/china/image_1891th/77701813.pdf","77701813")</f>
        <v>77701813</v>
      </c>
      <c r="F2081" s="16" t="s">
        <v>9413</v>
      </c>
      <c r="G2081" s="16" t="s">
        <v>9412</v>
      </c>
      <c r="H2081" s="16" t="s">
        <v>9414</v>
      </c>
      <c r="I2081" s="17">
        <v>45384</v>
      </c>
    </row>
    <row r="2082" spans="1:9" x14ac:dyDescent="0.15">
      <c r="A2082" s="16" t="s">
        <v>9420</v>
      </c>
      <c r="B2082" s="7" t="s">
        <v>9</v>
      </c>
      <c r="C2082" s="16" t="s">
        <v>40</v>
      </c>
      <c r="D2082" s="16" t="s">
        <v>41</v>
      </c>
      <c r="E2082" s="13" t="str">
        <f>+HYPERLINK("http://trademark.i-assist.jp/data/china/image_1891th/77701903.pdf","77701903")</f>
        <v>77701903</v>
      </c>
      <c r="F2082" s="16" t="s">
        <v>9418</v>
      </c>
      <c r="G2082" s="16" t="s">
        <v>9417</v>
      </c>
      <c r="H2082" s="16" t="s">
        <v>9419</v>
      </c>
      <c r="I2082" s="17">
        <v>45384</v>
      </c>
    </row>
    <row r="2083" spans="1:9" x14ac:dyDescent="0.15">
      <c r="A2083" s="16" t="s">
        <v>9425</v>
      </c>
      <c r="B2083" s="7" t="s">
        <v>9</v>
      </c>
      <c r="C2083" s="16" t="s">
        <v>40</v>
      </c>
      <c r="D2083" s="16" t="s">
        <v>41</v>
      </c>
      <c r="E2083" s="13" t="str">
        <f>+HYPERLINK("http://trademark.i-assist.jp/data/china/image_1891th/77702026.pdf","77702026")</f>
        <v>77702026</v>
      </c>
      <c r="F2083" s="16" t="s">
        <v>9423</v>
      </c>
      <c r="G2083" s="16" t="s">
        <v>9422</v>
      </c>
      <c r="H2083" s="16" t="s">
        <v>9424</v>
      </c>
      <c r="I2083" s="17">
        <v>45384</v>
      </c>
    </row>
    <row r="2084" spans="1:9" x14ac:dyDescent="0.15">
      <c r="A2084" s="16" t="s">
        <v>9430</v>
      </c>
      <c r="B2084" s="7" t="s">
        <v>9</v>
      </c>
      <c r="C2084" s="16" t="s">
        <v>40</v>
      </c>
      <c r="D2084" s="16" t="s">
        <v>41</v>
      </c>
      <c r="E2084" s="13" t="str">
        <f>+HYPERLINK("http://trademark.i-assist.jp/data/china/image_1891th/77702634.pdf","77702634")</f>
        <v>77702634</v>
      </c>
      <c r="F2084" s="16" t="s">
        <v>9428</v>
      </c>
      <c r="G2084" s="16" t="s">
        <v>9427</v>
      </c>
      <c r="H2084" s="16" t="s">
        <v>9429</v>
      </c>
      <c r="I2084" s="17">
        <v>45384</v>
      </c>
    </row>
    <row r="2085" spans="1:9" x14ac:dyDescent="0.15">
      <c r="A2085" s="16" t="s">
        <v>9434</v>
      </c>
      <c r="B2085" s="7" t="s">
        <v>9</v>
      </c>
      <c r="C2085" s="16" t="s">
        <v>40</v>
      </c>
      <c r="D2085" s="16" t="s">
        <v>41</v>
      </c>
      <c r="E2085" s="13" t="str">
        <f>+HYPERLINK("http://trademark.i-assist.jp/data/china/image_1891th/77702665.pdf","77702665")</f>
        <v>77702665</v>
      </c>
      <c r="F2085" s="16" t="s">
        <v>9432</v>
      </c>
      <c r="G2085" s="16" t="s">
        <v>9427</v>
      </c>
      <c r="H2085" s="16" t="s">
        <v>9433</v>
      </c>
      <c r="I2085" s="17">
        <v>45384</v>
      </c>
    </row>
    <row r="2086" spans="1:9" x14ac:dyDescent="0.15">
      <c r="A2086" s="16" t="s">
        <v>9439</v>
      </c>
      <c r="B2086" s="7" t="s">
        <v>9</v>
      </c>
      <c r="C2086" s="16" t="s">
        <v>40</v>
      </c>
      <c r="D2086" s="16" t="s">
        <v>41</v>
      </c>
      <c r="E2086" s="13" t="str">
        <f>+HYPERLINK("http://trademark.i-assist.jp/data/china/image_1891th/77702678.pdf","77702678")</f>
        <v>77702678</v>
      </c>
      <c r="F2086" s="16" t="s">
        <v>9437</v>
      </c>
      <c r="G2086" s="16" t="s">
        <v>9436</v>
      </c>
      <c r="H2086" s="16" t="s">
        <v>9438</v>
      </c>
      <c r="I2086" s="17">
        <v>45384</v>
      </c>
    </row>
    <row r="2087" spans="1:9" x14ac:dyDescent="0.15">
      <c r="A2087" s="16" t="s">
        <v>9444</v>
      </c>
      <c r="B2087" s="7" t="s">
        <v>9</v>
      </c>
      <c r="C2087" s="16" t="s">
        <v>40</v>
      </c>
      <c r="D2087" s="16" t="s">
        <v>41</v>
      </c>
      <c r="E2087" s="13" t="str">
        <f>+HYPERLINK("http://trademark.i-assist.jp/data/china/image_1891th/77702816.pdf","77702816")</f>
        <v>77702816</v>
      </c>
      <c r="F2087" s="16" t="s">
        <v>9442</v>
      </c>
      <c r="G2087" s="16" t="s">
        <v>9441</v>
      </c>
      <c r="H2087" s="16" t="s">
        <v>9443</v>
      </c>
      <c r="I2087" s="17">
        <v>45384</v>
      </c>
    </row>
    <row r="2088" spans="1:9" x14ac:dyDescent="0.15">
      <c r="A2088" s="16" t="s">
        <v>9449</v>
      </c>
      <c r="B2088" s="7" t="s">
        <v>9</v>
      </c>
      <c r="C2088" s="16" t="s">
        <v>40</v>
      </c>
      <c r="D2088" s="16" t="s">
        <v>41</v>
      </c>
      <c r="E2088" s="13" t="str">
        <f>+HYPERLINK("http://trademark.i-assist.jp/data/china/image_1891th/77703534.pdf","77703534")</f>
        <v>77703534</v>
      </c>
      <c r="F2088" s="16" t="s">
        <v>9447</v>
      </c>
      <c r="G2088" s="16" t="s">
        <v>9446</v>
      </c>
      <c r="H2088" s="16" t="s">
        <v>9448</v>
      </c>
      <c r="I2088" s="17">
        <v>45384</v>
      </c>
    </row>
    <row r="2089" spans="1:9" x14ac:dyDescent="0.15">
      <c r="A2089" s="16" t="s">
        <v>9454</v>
      </c>
      <c r="B2089" s="7" t="s">
        <v>9</v>
      </c>
      <c r="C2089" s="16" t="s">
        <v>40</v>
      </c>
      <c r="D2089" s="16" t="s">
        <v>41</v>
      </c>
      <c r="E2089" s="13" t="str">
        <f>+HYPERLINK("http://trademark.i-assist.jp/data/china/image_1891th/77703833.pdf","77703833")</f>
        <v>77703833</v>
      </c>
      <c r="F2089" s="16" t="s">
        <v>9452</v>
      </c>
      <c r="G2089" s="16" t="s">
        <v>9451</v>
      </c>
      <c r="H2089" s="16" t="s">
        <v>9453</v>
      </c>
      <c r="I2089" s="17">
        <v>45384</v>
      </c>
    </row>
    <row r="2090" spans="1:9" x14ac:dyDescent="0.15">
      <c r="A2090" s="16" t="s">
        <v>9459</v>
      </c>
      <c r="B2090" s="7" t="s">
        <v>9</v>
      </c>
      <c r="C2090" s="16" t="s">
        <v>40</v>
      </c>
      <c r="D2090" s="16" t="s">
        <v>41</v>
      </c>
      <c r="E2090" s="13" t="str">
        <f>+HYPERLINK("http://trademark.i-assist.jp/data/china/image_1891th/77704313.pdf","77704313")</f>
        <v>77704313</v>
      </c>
      <c r="F2090" s="16" t="s">
        <v>9457</v>
      </c>
      <c r="G2090" s="16" t="s">
        <v>9456</v>
      </c>
      <c r="H2090" s="16" t="s">
        <v>9458</v>
      </c>
      <c r="I2090" s="17">
        <v>45384</v>
      </c>
    </row>
    <row r="2091" spans="1:9" x14ac:dyDescent="0.15">
      <c r="A2091" s="16" t="s">
        <v>9463</v>
      </c>
      <c r="B2091" s="7" t="s">
        <v>9</v>
      </c>
      <c r="C2091" s="16" t="s">
        <v>40</v>
      </c>
      <c r="D2091" s="16" t="s">
        <v>41</v>
      </c>
      <c r="E2091" s="13" t="str">
        <f>+HYPERLINK("http://trademark.i-assist.jp/data/china/image_1891th/77704566.pdf","77704566")</f>
        <v>77704566</v>
      </c>
      <c r="F2091" s="16" t="s">
        <v>9461</v>
      </c>
      <c r="G2091" s="16" t="s">
        <v>9401</v>
      </c>
      <c r="H2091" s="16" t="s">
        <v>9462</v>
      </c>
      <c r="I2091" s="17">
        <v>45384</v>
      </c>
    </row>
    <row r="2092" spans="1:9" x14ac:dyDescent="0.15">
      <c r="A2092" s="16" t="s">
        <v>9468</v>
      </c>
      <c r="B2092" s="7" t="s">
        <v>9</v>
      </c>
      <c r="C2092" s="16" t="s">
        <v>40</v>
      </c>
      <c r="D2092" s="16" t="s">
        <v>41</v>
      </c>
      <c r="E2092" s="13" t="str">
        <f>+HYPERLINK("http://trademark.i-assist.jp/data/china/image_1891th/77705077.pdf","77705077")</f>
        <v>77705077</v>
      </c>
      <c r="F2092" s="16" t="s">
        <v>9466</v>
      </c>
      <c r="G2092" s="16" t="s">
        <v>9465</v>
      </c>
      <c r="H2092" s="16" t="s">
        <v>9467</v>
      </c>
      <c r="I2092" s="17">
        <v>45384</v>
      </c>
    </row>
    <row r="2093" spans="1:9" x14ac:dyDescent="0.15">
      <c r="A2093" s="16" t="s">
        <v>9472</v>
      </c>
      <c r="B2093" s="7" t="s">
        <v>9</v>
      </c>
      <c r="C2093" s="16" t="s">
        <v>40</v>
      </c>
      <c r="D2093" s="16" t="s">
        <v>41</v>
      </c>
      <c r="E2093" s="13" t="str">
        <f>+HYPERLINK("http://trademark.i-assist.jp/data/china/image_1891th/77705093.pdf","77705093")</f>
        <v>77705093</v>
      </c>
      <c r="F2093" s="16" t="s">
        <v>9470</v>
      </c>
      <c r="G2093" s="16" t="s">
        <v>9465</v>
      </c>
      <c r="H2093" s="16" t="s">
        <v>9471</v>
      </c>
      <c r="I2093" s="17">
        <v>45384</v>
      </c>
    </row>
    <row r="2094" spans="1:9" x14ac:dyDescent="0.15">
      <c r="A2094" s="16" t="s">
        <v>9477</v>
      </c>
      <c r="B2094" s="7" t="s">
        <v>9</v>
      </c>
      <c r="C2094" s="16" t="s">
        <v>40</v>
      </c>
      <c r="D2094" s="16" t="s">
        <v>41</v>
      </c>
      <c r="E2094" s="13" t="str">
        <f>+HYPERLINK("http://trademark.i-assist.jp/data/china/image_1891th/77705145.pdf","77705145")</f>
        <v>77705145</v>
      </c>
      <c r="F2094" s="16" t="s">
        <v>9475</v>
      </c>
      <c r="G2094" s="16" t="s">
        <v>9474</v>
      </c>
      <c r="H2094" s="16" t="s">
        <v>9476</v>
      </c>
      <c r="I2094" s="17">
        <v>45384</v>
      </c>
    </row>
    <row r="2095" spans="1:9" x14ac:dyDescent="0.15">
      <c r="A2095" s="16" t="s">
        <v>9482</v>
      </c>
      <c r="B2095" s="7" t="s">
        <v>9</v>
      </c>
      <c r="C2095" s="16" t="s">
        <v>40</v>
      </c>
      <c r="D2095" s="16" t="s">
        <v>41</v>
      </c>
      <c r="E2095" s="13" t="str">
        <f>+HYPERLINK("http://trademark.i-assist.jp/data/china/image_1891th/77705451.pdf","77705451")</f>
        <v>77705451</v>
      </c>
      <c r="F2095" s="16" t="s">
        <v>9480</v>
      </c>
      <c r="G2095" s="16" t="s">
        <v>9479</v>
      </c>
      <c r="H2095" s="16" t="s">
        <v>9481</v>
      </c>
      <c r="I2095" s="17">
        <v>45384</v>
      </c>
    </row>
    <row r="2096" spans="1:9" x14ac:dyDescent="0.15">
      <c r="A2096" s="16" t="s">
        <v>9487</v>
      </c>
      <c r="B2096" s="7" t="s">
        <v>9</v>
      </c>
      <c r="C2096" s="16" t="s">
        <v>40</v>
      </c>
      <c r="D2096" s="16" t="s">
        <v>41</v>
      </c>
      <c r="E2096" s="13" t="str">
        <f>+HYPERLINK("http://trademark.i-assist.jp/data/china/image_1891th/77705477.pdf","77705477")</f>
        <v>77705477</v>
      </c>
      <c r="F2096" s="16" t="s">
        <v>9485</v>
      </c>
      <c r="G2096" s="16" t="s">
        <v>9484</v>
      </c>
      <c r="H2096" s="16" t="s">
        <v>9486</v>
      </c>
      <c r="I2096" s="17">
        <v>45384</v>
      </c>
    </row>
    <row r="2097" spans="1:9" x14ac:dyDescent="0.15">
      <c r="A2097" s="16" t="s">
        <v>9492</v>
      </c>
      <c r="B2097" s="7" t="s">
        <v>9</v>
      </c>
      <c r="C2097" s="16" t="s">
        <v>40</v>
      </c>
      <c r="D2097" s="16" t="s">
        <v>41</v>
      </c>
      <c r="E2097" s="13" t="str">
        <f>+HYPERLINK("http://trademark.i-assist.jp/data/china/image_1891th/77705504.pdf","77705504")</f>
        <v>77705504</v>
      </c>
      <c r="F2097" s="16" t="s">
        <v>9490</v>
      </c>
      <c r="G2097" s="16" t="s">
        <v>9489</v>
      </c>
      <c r="H2097" s="16" t="s">
        <v>9491</v>
      </c>
      <c r="I2097" s="17">
        <v>45384</v>
      </c>
    </row>
    <row r="2098" spans="1:9" x14ac:dyDescent="0.15">
      <c r="A2098" s="16" t="s">
        <v>9497</v>
      </c>
      <c r="B2098" s="7" t="s">
        <v>9</v>
      </c>
      <c r="C2098" s="16" t="s">
        <v>40</v>
      </c>
      <c r="D2098" s="16" t="s">
        <v>41</v>
      </c>
      <c r="E2098" s="13" t="str">
        <f>+HYPERLINK("http://trademark.i-assist.jp/data/china/image_1891th/77705538.pdf","77705538")</f>
        <v>77705538</v>
      </c>
      <c r="F2098" s="16" t="s">
        <v>9495</v>
      </c>
      <c r="G2098" s="16" t="s">
        <v>9494</v>
      </c>
      <c r="H2098" s="16" t="s">
        <v>9496</v>
      </c>
      <c r="I2098" s="17">
        <v>45384</v>
      </c>
    </row>
    <row r="2099" spans="1:9" x14ac:dyDescent="0.15">
      <c r="A2099" s="16" t="s">
        <v>9502</v>
      </c>
      <c r="B2099" s="7" t="s">
        <v>9</v>
      </c>
      <c r="C2099" s="16" t="s">
        <v>40</v>
      </c>
      <c r="D2099" s="16" t="s">
        <v>41</v>
      </c>
      <c r="E2099" s="13" t="str">
        <f>+HYPERLINK("http://trademark.i-assist.jp/data/china/image_1891th/77705834.pdf","77705834")</f>
        <v>77705834</v>
      </c>
      <c r="F2099" s="16" t="s">
        <v>9500</v>
      </c>
      <c r="G2099" s="16" t="s">
        <v>9499</v>
      </c>
      <c r="H2099" s="16" t="s">
        <v>9501</v>
      </c>
      <c r="I2099" s="17">
        <v>45384</v>
      </c>
    </row>
    <row r="2100" spans="1:9" x14ac:dyDescent="0.15">
      <c r="A2100" s="16" t="s">
        <v>9507</v>
      </c>
      <c r="B2100" s="7" t="s">
        <v>9</v>
      </c>
      <c r="C2100" s="16" t="s">
        <v>40</v>
      </c>
      <c r="D2100" s="16" t="s">
        <v>41</v>
      </c>
      <c r="E2100" s="13" t="str">
        <f>+HYPERLINK("http://trademark.i-assist.jp/data/china/image_1891th/77706309.pdf","77706309")</f>
        <v>77706309</v>
      </c>
      <c r="F2100" s="16" t="s">
        <v>9505</v>
      </c>
      <c r="G2100" s="16" t="s">
        <v>9504</v>
      </c>
      <c r="H2100" s="16" t="s">
        <v>9506</v>
      </c>
      <c r="I2100" s="17">
        <v>45384</v>
      </c>
    </row>
    <row r="2101" spans="1:9" x14ac:dyDescent="0.15">
      <c r="A2101" s="16" t="s">
        <v>9512</v>
      </c>
      <c r="B2101" s="7" t="s">
        <v>9</v>
      </c>
      <c r="C2101" s="16" t="s">
        <v>40</v>
      </c>
      <c r="D2101" s="16" t="s">
        <v>41</v>
      </c>
      <c r="E2101" s="13" t="str">
        <f>+HYPERLINK("http://trademark.i-assist.jp/data/china/image_1891th/77706903.pdf","77706903")</f>
        <v>77706903</v>
      </c>
      <c r="F2101" s="16" t="s">
        <v>9510</v>
      </c>
      <c r="G2101" s="16" t="s">
        <v>9509</v>
      </c>
      <c r="H2101" s="16" t="s">
        <v>9511</v>
      </c>
      <c r="I2101" s="17">
        <v>45384</v>
      </c>
    </row>
    <row r="2102" spans="1:9" x14ac:dyDescent="0.15">
      <c r="A2102" s="16" t="s">
        <v>9517</v>
      </c>
      <c r="B2102" s="7" t="s">
        <v>9</v>
      </c>
      <c r="C2102" s="16" t="s">
        <v>40</v>
      </c>
      <c r="D2102" s="16" t="s">
        <v>41</v>
      </c>
      <c r="E2102" s="13" t="str">
        <f>+HYPERLINK("http://trademark.i-assist.jp/data/china/image_1891th/77707747.pdf","77707747")</f>
        <v>77707747</v>
      </c>
      <c r="F2102" s="16" t="s">
        <v>9515</v>
      </c>
      <c r="G2102" s="16" t="s">
        <v>9514</v>
      </c>
      <c r="H2102" s="16" t="s">
        <v>9516</v>
      </c>
      <c r="I2102" s="17">
        <v>45384</v>
      </c>
    </row>
    <row r="2103" spans="1:9" x14ac:dyDescent="0.15">
      <c r="A2103" s="16" t="s">
        <v>9522</v>
      </c>
      <c r="B2103" s="7" t="s">
        <v>9</v>
      </c>
      <c r="C2103" s="16" t="s">
        <v>40</v>
      </c>
      <c r="D2103" s="16" t="s">
        <v>41</v>
      </c>
      <c r="E2103" s="13" t="str">
        <f>+HYPERLINK("http://trademark.i-assist.jp/data/china/image_1891th/77707779.pdf","77707779")</f>
        <v>77707779</v>
      </c>
      <c r="F2103" s="16" t="s">
        <v>9520</v>
      </c>
      <c r="G2103" s="16" t="s">
        <v>9519</v>
      </c>
      <c r="H2103" s="16" t="s">
        <v>9521</v>
      </c>
      <c r="I2103" s="17">
        <v>45384</v>
      </c>
    </row>
    <row r="2104" spans="1:9" x14ac:dyDescent="0.15">
      <c r="A2104" s="16" t="s">
        <v>9527</v>
      </c>
      <c r="B2104" s="7" t="s">
        <v>9</v>
      </c>
      <c r="C2104" s="16" t="s">
        <v>40</v>
      </c>
      <c r="D2104" s="16" t="s">
        <v>41</v>
      </c>
      <c r="E2104" s="13" t="str">
        <f>+HYPERLINK("http://trademark.i-assist.jp/data/china/image_1891th/77707970.pdf","77707970")</f>
        <v>77707970</v>
      </c>
      <c r="F2104" s="16" t="s">
        <v>9525</v>
      </c>
      <c r="G2104" s="16" t="s">
        <v>9524</v>
      </c>
      <c r="H2104" s="16" t="s">
        <v>9526</v>
      </c>
      <c r="I2104" s="17">
        <v>45384</v>
      </c>
    </row>
    <row r="2105" spans="1:9" x14ac:dyDescent="0.15">
      <c r="A2105" s="16" t="s">
        <v>9531</v>
      </c>
      <c r="B2105" s="7" t="s">
        <v>9</v>
      </c>
      <c r="C2105" s="16" t="s">
        <v>40</v>
      </c>
      <c r="D2105" s="16" t="s">
        <v>41</v>
      </c>
      <c r="E2105" s="13" t="str">
        <f>+HYPERLINK("http://trademark.i-assist.jp/data/china/image_1891th/77708093.pdf","77708093")</f>
        <v>77708093</v>
      </c>
      <c r="F2105" s="16" t="s">
        <v>9529</v>
      </c>
      <c r="G2105" s="16" t="s">
        <v>22</v>
      </c>
      <c r="H2105" s="16" t="s">
        <v>9530</v>
      </c>
      <c r="I2105" s="17">
        <v>45384</v>
      </c>
    </row>
    <row r="2106" spans="1:9" x14ac:dyDescent="0.15">
      <c r="A2106" s="16" t="s">
        <v>9535</v>
      </c>
      <c r="B2106" s="7" t="s">
        <v>9</v>
      </c>
      <c r="C2106" s="16" t="s">
        <v>40</v>
      </c>
      <c r="D2106" s="16" t="s">
        <v>41</v>
      </c>
      <c r="E2106" s="13" t="str">
        <f>+HYPERLINK("http://trademark.i-assist.jp/data/china/image_1891th/77708534.pdf","77708534")</f>
        <v>77708534</v>
      </c>
      <c r="F2106" s="16" t="s">
        <v>52</v>
      </c>
      <c r="G2106" s="16" t="s">
        <v>9533</v>
      </c>
      <c r="H2106" s="16" t="s">
        <v>9534</v>
      </c>
      <c r="I2106" s="17">
        <v>45384</v>
      </c>
    </row>
    <row r="2107" spans="1:9" x14ac:dyDescent="0.15">
      <c r="A2107" s="16" t="s">
        <v>9540</v>
      </c>
      <c r="B2107" s="7" t="s">
        <v>9</v>
      </c>
      <c r="C2107" s="16" t="s">
        <v>40</v>
      </c>
      <c r="D2107" s="16" t="s">
        <v>41</v>
      </c>
      <c r="E2107" s="13" t="str">
        <f>+HYPERLINK("http://trademark.i-assist.jp/data/china/image_1891th/77709204.pdf","77709204")</f>
        <v>77709204</v>
      </c>
      <c r="F2107" s="16" t="s">
        <v>9538</v>
      </c>
      <c r="G2107" s="16" t="s">
        <v>9537</v>
      </c>
      <c r="H2107" s="16" t="s">
        <v>9539</v>
      </c>
      <c r="I2107" s="17">
        <v>45384</v>
      </c>
    </row>
    <row r="2108" spans="1:9" x14ac:dyDescent="0.15">
      <c r="A2108" s="16" t="s">
        <v>9545</v>
      </c>
      <c r="B2108" s="7" t="s">
        <v>9</v>
      </c>
      <c r="C2108" s="16" t="s">
        <v>40</v>
      </c>
      <c r="D2108" s="16" t="s">
        <v>41</v>
      </c>
      <c r="E2108" s="13" t="str">
        <f>+HYPERLINK("http://trademark.i-assist.jp/data/china/image_1891th/77709626.pdf","77709626")</f>
        <v>77709626</v>
      </c>
      <c r="F2108" s="16" t="s">
        <v>9543</v>
      </c>
      <c r="G2108" s="16" t="s">
        <v>9542</v>
      </c>
      <c r="H2108" s="16" t="s">
        <v>9544</v>
      </c>
      <c r="I2108" s="17">
        <v>45384</v>
      </c>
    </row>
    <row r="2109" spans="1:9" x14ac:dyDescent="0.15">
      <c r="A2109" s="16" t="s">
        <v>9549</v>
      </c>
      <c r="B2109" s="7" t="s">
        <v>9</v>
      </c>
      <c r="C2109" s="16" t="s">
        <v>40</v>
      </c>
      <c r="D2109" s="16" t="s">
        <v>41</v>
      </c>
      <c r="E2109" s="13" t="str">
        <f>+HYPERLINK("http://trademark.i-assist.jp/data/china/image_1891th/77709637.pdf","77709637")</f>
        <v>77709637</v>
      </c>
      <c r="F2109" s="16" t="s">
        <v>52</v>
      </c>
      <c r="G2109" s="16" t="s">
        <v>9547</v>
      </c>
      <c r="H2109" s="16" t="s">
        <v>9548</v>
      </c>
      <c r="I2109" s="17">
        <v>45384</v>
      </c>
    </row>
    <row r="2110" spans="1:9" x14ac:dyDescent="0.15">
      <c r="A2110" s="16" t="s">
        <v>9553</v>
      </c>
      <c r="B2110" s="7" t="s">
        <v>9</v>
      </c>
      <c r="C2110" s="16" t="s">
        <v>40</v>
      </c>
      <c r="D2110" s="16" t="s">
        <v>41</v>
      </c>
      <c r="E2110" s="13" t="str">
        <f>+HYPERLINK("http://trademark.i-assist.jp/data/china/image_1891th/77709831.pdf","77709831")</f>
        <v>77709831</v>
      </c>
      <c r="F2110" s="16" t="s">
        <v>9551</v>
      </c>
      <c r="G2110" s="16" t="s">
        <v>9417</v>
      </c>
      <c r="H2110" s="16" t="s">
        <v>9552</v>
      </c>
      <c r="I2110" s="17">
        <v>45384</v>
      </c>
    </row>
    <row r="2111" spans="1:9" x14ac:dyDescent="0.15">
      <c r="A2111" s="16" t="s">
        <v>9557</v>
      </c>
      <c r="B2111" s="7" t="s">
        <v>9</v>
      </c>
      <c r="C2111" s="16" t="s">
        <v>40</v>
      </c>
      <c r="D2111" s="16" t="s">
        <v>41</v>
      </c>
      <c r="E2111" s="13" t="str">
        <f>+HYPERLINK("http://trademark.i-assist.jp/data/china/image_1891th/77710106.pdf","77710106")</f>
        <v>77710106</v>
      </c>
      <c r="F2111" s="16" t="s">
        <v>9555</v>
      </c>
      <c r="G2111" s="16" t="s">
        <v>9417</v>
      </c>
      <c r="H2111" s="16" t="s">
        <v>9556</v>
      </c>
      <c r="I2111" s="17">
        <v>45384</v>
      </c>
    </row>
    <row r="2112" spans="1:9" x14ac:dyDescent="0.15">
      <c r="A2112" s="16" t="s">
        <v>9561</v>
      </c>
      <c r="B2112" s="7" t="s">
        <v>9</v>
      </c>
      <c r="C2112" s="16" t="s">
        <v>40</v>
      </c>
      <c r="D2112" s="16" t="s">
        <v>41</v>
      </c>
      <c r="E2112" s="13" t="str">
        <f>+HYPERLINK("http://trademark.i-assist.jp/data/china/image_1891th/77710135.pdf","77710135")</f>
        <v>77710135</v>
      </c>
      <c r="F2112" s="16" t="s">
        <v>9559</v>
      </c>
      <c r="G2112" s="16" t="s">
        <v>9417</v>
      </c>
      <c r="H2112" s="16" t="s">
        <v>9560</v>
      </c>
      <c r="I2112" s="17">
        <v>45384</v>
      </c>
    </row>
    <row r="2113" spans="1:9" x14ac:dyDescent="0.15">
      <c r="A2113" s="16" t="s">
        <v>9565</v>
      </c>
      <c r="B2113" s="7" t="s">
        <v>9</v>
      </c>
      <c r="C2113" s="16" t="s">
        <v>40</v>
      </c>
      <c r="D2113" s="16" t="s">
        <v>41</v>
      </c>
      <c r="E2113" s="13" t="str">
        <f>+HYPERLINK("http://trademark.i-assist.jp/data/china/image_1891th/77710671.pdf","77710671")</f>
        <v>77710671</v>
      </c>
      <c r="F2113" s="16" t="s">
        <v>9563</v>
      </c>
      <c r="G2113" s="16" t="s">
        <v>9417</v>
      </c>
      <c r="H2113" s="16" t="s">
        <v>9564</v>
      </c>
      <c r="I2113" s="17">
        <v>45384</v>
      </c>
    </row>
    <row r="2114" spans="1:9" x14ac:dyDescent="0.15">
      <c r="A2114" s="16" t="s">
        <v>9570</v>
      </c>
      <c r="B2114" s="7" t="s">
        <v>9</v>
      </c>
      <c r="C2114" s="16" t="s">
        <v>40</v>
      </c>
      <c r="D2114" s="16" t="s">
        <v>41</v>
      </c>
      <c r="E2114" s="13" t="str">
        <f>+HYPERLINK("http://trademark.i-assist.jp/data/china/image_1891th/77710854.pdf","77710854")</f>
        <v>77710854</v>
      </c>
      <c r="F2114" s="16" t="s">
        <v>11102</v>
      </c>
      <c r="G2114" s="16" t="s">
        <v>9567</v>
      </c>
      <c r="H2114" s="16" t="s">
        <v>9569</v>
      </c>
      <c r="I2114" s="17">
        <v>45384</v>
      </c>
    </row>
    <row r="2115" spans="1:9" x14ac:dyDescent="0.15">
      <c r="A2115" s="16" t="s">
        <v>9574</v>
      </c>
      <c r="B2115" s="7" t="s">
        <v>9</v>
      </c>
      <c r="C2115" s="16" t="s">
        <v>40</v>
      </c>
      <c r="D2115" s="16" t="s">
        <v>41</v>
      </c>
      <c r="E2115" s="13" t="str">
        <f>+HYPERLINK("http://trademark.i-assist.jp/data/china/image_1891th/77710987.pdf","77710987")</f>
        <v>77710987</v>
      </c>
      <c r="F2115" s="16" t="s">
        <v>9572</v>
      </c>
      <c r="G2115" s="16" t="s">
        <v>9417</v>
      </c>
      <c r="H2115" s="16" t="s">
        <v>9573</v>
      </c>
      <c r="I2115" s="17">
        <v>45384</v>
      </c>
    </row>
    <row r="2116" spans="1:9" x14ac:dyDescent="0.15">
      <c r="A2116" s="16" t="s">
        <v>9578</v>
      </c>
      <c r="B2116" s="7" t="s">
        <v>9</v>
      </c>
      <c r="C2116" s="16" t="s">
        <v>40</v>
      </c>
      <c r="D2116" s="16" t="s">
        <v>41</v>
      </c>
      <c r="E2116" s="13" t="str">
        <f>+HYPERLINK("http://trademark.i-assist.jp/data/china/image_1891th/77711257.pdf","77711257")</f>
        <v>77711257</v>
      </c>
      <c r="F2116" s="16" t="s">
        <v>9576</v>
      </c>
      <c r="G2116" s="16" t="s">
        <v>9407</v>
      </c>
      <c r="H2116" s="16" t="s">
        <v>9577</v>
      </c>
      <c r="I2116" s="17">
        <v>45384</v>
      </c>
    </row>
    <row r="2117" spans="1:9" x14ac:dyDescent="0.15">
      <c r="A2117" s="16" t="s">
        <v>9582</v>
      </c>
      <c r="B2117" s="7" t="s">
        <v>9</v>
      </c>
      <c r="C2117" s="16" t="s">
        <v>40</v>
      </c>
      <c r="D2117" s="16" t="s">
        <v>41</v>
      </c>
      <c r="E2117" s="13" t="str">
        <f>+HYPERLINK("http://trademark.i-assist.jp/data/china/image_1891th/77711405.pdf","77711405")</f>
        <v>77711405</v>
      </c>
      <c r="F2117" s="16" t="s">
        <v>9580</v>
      </c>
      <c r="G2117" s="16" t="s">
        <v>9465</v>
      </c>
      <c r="H2117" s="16" t="s">
        <v>9581</v>
      </c>
      <c r="I2117" s="17">
        <v>45384</v>
      </c>
    </row>
    <row r="2118" spans="1:9" x14ac:dyDescent="0.15">
      <c r="A2118" s="16" t="s">
        <v>9586</v>
      </c>
      <c r="B2118" s="7" t="s">
        <v>9</v>
      </c>
      <c r="C2118" s="16" t="s">
        <v>40</v>
      </c>
      <c r="D2118" s="16" t="s">
        <v>41</v>
      </c>
      <c r="E2118" s="13" t="str">
        <f>+HYPERLINK("http://trademark.i-assist.jp/data/china/image_1891th/77711502.pdf","77711502")</f>
        <v>77711502</v>
      </c>
      <c r="F2118" s="16" t="s">
        <v>9584</v>
      </c>
      <c r="G2118" s="16" t="s">
        <v>4514</v>
      </c>
      <c r="H2118" s="16" t="s">
        <v>9585</v>
      </c>
      <c r="I2118" s="17">
        <v>45384</v>
      </c>
    </row>
    <row r="2119" spans="1:9" x14ac:dyDescent="0.15">
      <c r="A2119" s="16" t="s">
        <v>9591</v>
      </c>
      <c r="B2119" s="7" t="s">
        <v>9</v>
      </c>
      <c r="C2119" s="16" t="s">
        <v>40</v>
      </c>
      <c r="D2119" s="16" t="s">
        <v>41</v>
      </c>
      <c r="E2119" s="13" t="str">
        <f>+HYPERLINK("http://trademark.i-assist.jp/data/china/image_1891th/77711706.pdf","77711706")</f>
        <v>77711706</v>
      </c>
      <c r="F2119" s="16" t="s">
        <v>9589</v>
      </c>
      <c r="G2119" s="16" t="s">
        <v>9588</v>
      </c>
      <c r="H2119" s="16" t="s">
        <v>9590</v>
      </c>
      <c r="I2119" s="17">
        <v>45384</v>
      </c>
    </row>
    <row r="2120" spans="1:9" x14ac:dyDescent="0.15">
      <c r="A2120" s="16" t="s">
        <v>9596</v>
      </c>
      <c r="B2120" s="7" t="s">
        <v>9</v>
      </c>
      <c r="C2120" s="16" t="s">
        <v>40</v>
      </c>
      <c r="D2120" s="16" t="s">
        <v>41</v>
      </c>
      <c r="E2120" s="13" t="str">
        <f>+HYPERLINK("http://trademark.i-assist.jp/data/china/image_1891th/77712102.pdf","77712102")</f>
        <v>77712102</v>
      </c>
      <c r="F2120" s="16" t="s">
        <v>9594</v>
      </c>
      <c r="G2120" s="16" t="s">
        <v>9593</v>
      </c>
      <c r="H2120" s="16" t="s">
        <v>9595</v>
      </c>
      <c r="I2120" s="17">
        <v>45384</v>
      </c>
    </row>
    <row r="2121" spans="1:9" x14ac:dyDescent="0.15">
      <c r="A2121" s="16" t="s">
        <v>9601</v>
      </c>
      <c r="B2121" s="7" t="s">
        <v>9</v>
      </c>
      <c r="C2121" s="16" t="s">
        <v>40</v>
      </c>
      <c r="D2121" s="16" t="s">
        <v>41</v>
      </c>
      <c r="E2121" s="13" t="str">
        <f>+HYPERLINK("http://trademark.i-assist.jp/data/china/image_1891th/77712372.pdf","77712372")</f>
        <v>77712372</v>
      </c>
      <c r="F2121" s="16" t="s">
        <v>9599</v>
      </c>
      <c r="G2121" s="16" t="s">
        <v>9598</v>
      </c>
      <c r="H2121" s="16" t="s">
        <v>9600</v>
      </c>
      <c r="I2121" s="17">
        <v>45384</v>
      </c>
    </row>
    <row r="2122" spans="1:9" x14ac:dyDescent="0.15">
      <c r="A2122" s="16" t="s">
        <v>9606</v>
      </c>
      <c r="B2122" s="7" t="s">
        <v>9</v>
      </c>
      <c r="C2122" s="16" t="s">
        <v>40</v>
      </c>
      <c r="D2122" s="16" t="s">
        <v>41</v>
      </c>
      <c r="E2122" s="13" t="str">
        <f>+HYPERLINK("http://trademark.i-assist.jp/data/china/image_1891th/77712495.pdf","77712495")</f>
        <v>77712495</v>
      </c>
      <c r="F2122" s="16" t="s">
        <v>9604</v>
      </c>
      <c r="G2122" s="16" t="s">
        <v>9603</v>
      </c>
      <c r="H2122" s="16" t="s">
        <v>9605</v>
      </c>
      <c r="I2122" s="17">
        <v>45384</v>
      </c>
    </row>
    <row r="2123" spans="1:9" x14ac:dyDescent="0.15">
      <c r="A2123" s="16" t="s">
        <v>9611</v>
      </c>
      <c r="B2123" s="7" t="s">
        <v>9</v>
      </c>
      <c r="C2123" s="16" t="s">
        <v>40</v>
      </c>
      <c r="D2123" s="16" t="s">
        <v>41</v>
      </c>
      <c r="E2123" s="13" t="str">
        <f>+HYPERLINK("http://trademark.i-assist.jp/data/china/image_1891th/77712894.pdf","77712894")</f>
        <v>77712894</v>
      </c>
      <c r="F2123" s="16" t="s">
        <v>9609</v>
      </c>
      <c r="G2123" s="16" t="s">
        <v>9608</v>
      </c>
      <c r="H2123" s="16" t="s">
        <v>9610</v>
      </c>
      <c r="I2123" s="17">
        <v>45384</v>
      </c>
    </row>
    <row r="2124" spans="1:9" x14ac:dyDescent="0.15">
      <c r="A2124" s="16" t="s">
        <v>9616</v>
      </c>
      <c r="B2124" s="7" t="s">
        <v>9</v>
      </c>
      <c r="C2124" s="16" t="s">
        <v>40</v>
      </c>
      <c r="D2124" s="16" t="s">
        <v>41</v>
      </c>
      <c r="E2124" s="13" t="str">
        <f>+HYPERLINK("http://trademark.i-assist.jp/data/china/image_1891th/77713095.pdf","77713095")</f>
        <v>77713095</v>
      </c>
      <c r="F2124" s="16" t="s">
        <v>9614</v>
      </c>
      <c r="G2124" s="16" t="s">
        <v>9613</v>
      </c>
      <c r="H2124" s="16" t="s">
        <v>9615</v>
      </c>
      <c r="I2124" s="17">
        <v>45384</v>
      </c>
    </row>
    <row r="2125" spans="1:9" x14ac:dyDescent="0.15">
      <c r="A2125" s="16" t="s">
        <v>9621</v>
      </c>
      <c r="B2125" s="7" t="s">
        <v>9</v>
      </c>
      <c r="C2125" s="16" t="s">
        <v>40</v>
      </c>
      <c r="D2125" s="16" t="s">
        <v>41</v>
      </c>
      <c r="E2125" s="13" t="str">
        <f>+HYPERLINK("http://trademark.i-assist.jp/data/china/image_1891th/77713543.pdf","77713543")</f>
        <v>77713543</v>
      </c>
      <c r="F2125" s="16" t="s">
        <v>9619</v>
      </c>
      <c r="G2125" s="16" t="s">
        <v>9618</v>
      </c>
      <c r="H2125" s="16" t="s">
        <v>9620</v>
      </c>
      <c r="I2125" s="17">
        <v>45384</v>
      </c>
    </row>
    <row r="2126" spans="1:9" x14ac:dyDescent="0.15">
      <c r="A2126" s="16" t="s">
        <v>9626</v>
      </c>
      <c r="B2126" s="7" t="s">
        <v>9</v>
      </c>
      <c r="C2126" s="16" t="s">
        <v>40</v>
      </c>
      <c r="D2126" s="16" t="s">
        <v>41</v>
      </c>
      <c r="E2126" s="13" t="str">
        <f>+HYPERLINK("http://trademark.i-assist.jp/data/china/image_1891th/77713707.pdf","77713707")</f>
        <v>77713707</v>
      </c>
      <c r="F2126" s="16" t="s">
        <v>9624</v>
      </c>
      <c r="G2126" s="16" t="s">
        <v>9623</v>
      </c>
      <c r="H2126" s="16" t="s">
        <v>9625</v>
      </c>
      <c r="I2126" s="17">
        <v>45384</v>
      </c>
    </row>
    <row r="2127" spans="1:9" x14ac:dyDescent="0.15">
      <c r="A2127" s="16" t="s">
        <v>9631</v>
      </c>
      <c r="B2127" s="7" t="s">
        <v>9</v>
      </c>
      <c r="C2127" s="16" t="s">
        <v>40</v>
      </c>
      <c r="D2127" s="16" t="s">
        <v>41</v>
      </c>
      <c r="E2127" s="13" t="str">
        <f>+HYPERLINK("http://trademark.i-assist.jp/data/china/image_1891th/77713868.pdf","77713868")</f>
        <v>77713868</v>
      </c>
      <c r="F2127" s="16" t="s">
        <v>9629</v>
      </c>
      <c r="G2127" s="16" t="s">
        <v>9628</v>
      </c>
      <c r="H2127" s="16" t="s">
        <v>9630</v>
      </c>
      <c r="I2127" s="17">
        <v>45384</v>
      </c>
    </row>
    <row r="2128" spans="1:9" x14ac:dyDescent="0.15">
      <c r="A2128" s="16" t="s">
        <v>9636</v>
      </c>
      <c r="B2128" s="7" t="s">
        <v>9</v>
      </c>
      <c r="C2128" s="16" t="s">
        <v>40</v>
      </c>
      <c r="D2128" s="16" t="s">
        <v>41</v>
      </c>
      <c r="E2128" s="13" t="str">
        <f>+HYPERLINK("http://trademark.i-assist.jp/data/china/image_1891th/77714262.pdf","77714262")</f>
        <v>77714262</v>
      </c>
      <c r="F2128" s="16" t="s">
        <v>9634</v>
      </c>
      <c r="G2128" s="16" t="s">
        <v>9633</v>
      </c>
      <c r="H2128" s="16" t="s">
        <v>9635</v>
      </c>
      <c r="I2128" s="17">
        <v>45384</v>
      </c>
    </row>
    <row r="2129" spans="1:9" x14ac:dyDescent="0.15">
      <c r="A2129" s="16" t="s">
        <v>9640</v>
      </c>
      <c r="B2129" s="7" t="s">
        <v>9</v>
      </c>
      <c r="C2129" s="16" t="s">
        <v>40</v>
      </c>
      <c r="D2129" s="16" t="s">
        <v>41</v>
      </c>
      <c r="E2129" s="13" t="str">
        <f>+HYPERLINK("http://trademark.i-assist.jp/data/china/image_1891th/77714595.pdf","77714595")</f>
        <v>77714595</v>
      </c>
      <c r="F2129" s="16" t="s">
        <v>9638</v>
      </c>
      <c r="G2129" s="16" t="s">
        <v>25</v>
      </c>
      <c r="H2129" s="16" t="s">
        <v>9639</v>
      </c>
      <c r="I2129" s="17">
        <v>45384</v>
      </c>
    </row>
    <row r="2130" spans="1:9" x14ac:dyDescent="0.15">
      <c r="A2130" s="16" t="s">
        <v>9645</v>
      </c>
      <c r="B2130" s="7" t="s">
        <v>9</v>
      </c>
      <c r="C2130" s="16" t="s">
        <v>40</v>
      </c>
      <c r="D2130" s="16" t="s">
        <v>41</v>
      </c>
      <c r="E2130" s="13" t="str">
        <f>+HYPERLINK("http://trademark.i-assist.jp/data/china/image_1891th/77714855.pdf","77714855")</f>
        <v>77714855</v>
      </c>
      <c r="F2130" s="16" t="s">
        <v>9643</v>
      </c>
      <c r="G2130" s="16" t="s">
        <v>9642</v>
      </c>
      <c r="H2130" s="16" t="s">
        <v>9644</v>
      </c>
      <c r="I2130" s="17">
        <v>45384</v>
      </c>
    </row>
    <row r="2131" spans="1:9" x14ac:dyDescent="0.15">
      <c r="A2131" s="16" t="s">
        <v>9650</v>
      </c>
      <c r="B2131" s="7" t="s">
        <v>9</v>
      </c>
      <c r="C2131" s="16" t="s">
        <v>40</v>
      </c>
      <c r="D2131" s="16" t="s">
        <v>41</v>
      </c>
      <c r="E2131" s="13" t="str">
        <f>+HYPERLINK("http://trademark.i-assist.jp/data/china/image_1891th/77715034.pdf","77715034")</f>
        <v>77715034</v>
      </c>
      <c r="F2131" s="16" t="s">
        <v>9648</v>
      </c>
      <c r="G2131" s="16" t="s">
        <v>9647</v>
      </c>
      <c r="H2131" s="16" t="s">
        <v>9649</v>
      </c>
      <c r="I2131" s="17">
        <v>45384</v>
      </c>
    </row>
    <row r="2132" spans="1:9" x14ac:dyDescent="0.15">
      <c r="A2132" s="16" t="s">
        <v>9655</v>
      </c>
      <c r="B2132" s="7" t="s">
        <v>9</v>
      </c>
      <c r="C2132" s="16" t="s">
        <v>40</v>
      </c>
      <c r="D2132" s="16" t="s">
        <v>41</v>
      </c>
      <c r="E2132" s="13" t="str">
        <f>+HYPERLINK("http://trademark.i-assist.jp/data/china/image_1891th/77715292.pdf","77715292")</f>
        <v>77715292</v>
      </c>
      <c r="F2132" s="16" t="s">
        <v>9653</v>
      </c>
      <c r="G2132" s="16" t="s">
        <v>9652</v>
      </c>
      <c r="H2132" s="16" t="s">
        <v>9654</v>
      </c>
      <c r="I2132" s="17">
        <v>45384</v>
      </c>
    </row>
    <row r="2133" spans="1:9" x14ac:dyDescent="0.15">
      <c r="A2133" s="16" t="s">
        <v>9660</v>
      </c>
      <c r="B2133" s="7" t="s">
        <v>9</v>
      </c>
      <c r="C2133" s="16" t="s">
        <v>40</v>
      </c>
      <c r="D2133" s="16" t="s">
        <v>41</v>
      </c>
      <c r="E2133" s="13" t="str">
        <f>+HYPERLINK("http://trademark.i-assist.jp/data/china/image_1891th/77715383.pdf","77715383")</f>
        <v>77715383</v>
      </c>
      <c r="F2133" s="16" t="s">
        <v>9658</v>
      </c>
      <c r="G2133" s="16" t="s">
        <v>9657</v>
      </c>
      <c r="H2133" s="16" t="s">
        <v>9659</v>
      </c>
      <c r="I2133" s="17">
        <v>45384</v>
      </c>
    </row>
    <row r="2134" spans="1:9" x14ac:dyDescent="0.15">
      <c r="A2134" s="16" t="s">
        <v>9665</v>
      </c>
      <c r="B2134" s="7" t="s">
        <v>9</v>
      </c>
      <c r="C2134" s="16" t="s">
        <v>40</v>
      </c>
      <c r="D2134" s="16" t="s">
        <v>41</v>
      </c>
      <c r="E2134" s="13" t="str">
        <f>+HYPERLINK("http://trademark.i-assist.jp/data/china/image_1891th/77715636.pdf","77715636")</f>
        <v>77715636</v>
      </c>
      <c r="F2134" s="16" t="s">
        <v>9663</v>
      </c>
      <c r="G2134" s="16" t="s">
        <v>9662</v>
      </c>
      <c r="H2134" s="16" t="s">
        <v>9664</v>
      </c>
      <c r="I2134" s="17">
        <v>45384</v>
      </c>
    </row>
    <row r="2135" spans="1:9" x14ac:dyDescent="0.15">
      <c r="A2135" s="16" t="s">
        <v>9669</v>
      </c>
      <c r="B2135" s="7" t="s">
        <v>9</v>
      </c>
      <c r="C2135" s="16" t="s">
        <v>40</v>
      </c>
      <c r="D2135" s="16" t="s">
        <v>41</v>
      </c>
      <c r="E2135" s="13" t="str">
        <f>+HYPERLINK("http://trademark.i-assist.jp/data/china/image_1891th/77716033.pdf","77716033")</f>
        <v>77716033</v>
      </c>
      <c r="F2135" s="16" t="s">
        <v>9667</v>
      </c>
      <c r="G2135" s="16" t="s">
        <v>9407</v>
      </c>
      <c r="H2135" s="16" t="s">
        <v>9668</v>
      </c>
      <c r="I2135" s="17">
        <v>45384</v>
      </c>
    </row>
    <row r="2136" spans="1:9" x14ac:dyDescent="0.15">
      <c r="A2136" s="16" t="s">
        <v>9674</v>
      </c>
      <c r="B2136" s="7" t="s">
        <v>9</v>
      </c>
      <c r="C2136" s="16" t="s">
        <v>40</v>
      </c>
      <c r="D2136" s="16" t="s">
        <v>41</v>
      </c>
      <c r="E2136" s="13" t="str">
        <f>+HYPERLINK("http://trademark.i-assist.jp/data/china/image_1891th/77716207.pdf","77716207")</f>
        <v>77716207</v>
      </c>
      <c r="F2136" s="16" t="s">
        <v>9672</v>
      </c>
      <c r="G2136" s="16" t="s">
        <v>9671</v>
      </c>
      <c r="H2136" s="16" t="s">
        <v>9673</v>
      </c>
      <c r="I2136" s="17">
        <v>45384</v>
      </c>
    </row>
    <row r="2137" spans="1:9" x14ac:dyDescent="0.15">
      <c r="A2137" s="16" t="s">
        <v>9678</v>
      </c>
      <c r="B2137" s="7" t="s">
        <v>9</v>
      </c>
      <c r="C2137" s="16" t="s">
        <v>40</v>
      </c>
      <c r="D2137" s="16" t="s">
        <v>41</v>
      </c>
      <c r="E2137" s="13" t="str">
        <f>+HYPERLINK("http://trademark.i-assist.jp/data/china/image_1891th/77716598.pdf","77716598")</f>
        <v>77716598</v>
      </c>
      <c r="F2137" s="16" t="s">
        <v>9676</v>
      </c>
      <c r="G2137" s="16" t="s">
        <v>22</v>
      </c>
      <c r="H2137" s="16" t="s">
        <v>9677</v>
      </c>
      <c r="I2137" s="17">
        <v>45384</v>
      </c>
    </row>
    <row r="2138" spans="1:9" x14ac:dyDescent="0.15">
      <c r="A2138" s="16" t="s">
        <v>9682</v>
      </c>
      <c r="B2138" s="7" t="s">
        <v>9</v>
      </c>
      <c r="C2138" s="16" t="s">
        <v>40</v>
      </c>
      <c r="D2138" s="16" t="s">
        <v>41</v>
      </c>
      <c r="E2138" s="13" t="str">
        <f>+HYPERLINK("http://trademark.i-assist.jp/data/china/image_1891th/77716627.pdf","77716627")</f>
        <v>77716627</v>
      </c>
      <c r="F2138" s="16" t="s">
        <v>9680</v>
      </c>
      <c r="G2138" s="16" t="s">
        <v>9446</v>
      </c>
      <c r="H2138" s="16" t="s">
        <v>9681</v>
      </c>
      <c r="I2138" s="17">
        <v>45384</v>
      </c>
    </row>
    <row r="2139" spans="1:9" x14ac:dyDescent="0.15">
      <c r="A2139" s="16" t="s">
        <v>9686</v>
      </c>
      <c r="B2139" s="7" t="s">
        <v>9</v>
      </c>
      <c r="C2139" s="16" t="s">
        <v>40</v>
      </c>
      <c r="D2139" s="16" t="s">
        <v>41</v>
      </c>
      <c r="E2139" s="13" t="str">
        <f>+HYPERLINK("http://trademark.i-assist.jp/data/china/image_1891th/77716639.pdf","77716639")</f>
        <v>77716639</v>
      </c>
      <c r="F2139" s="16" t="s">
        <v>9684</v>
      </c>
      <c r="G2139" s="16" t="s">
        <v>9652</v>
      </c>
      <c r="H2139" s="16" t="s">
        <v>9685</v>
      </c>
      <c r="I2139" s="17">
        <v>45384</v>
      </c>
    </row>
    <row r="2140" spans="1:9" x14ac:dyDescent="0.15">
      <c r="A2140" s="16" t="s">
        <v>9691</v>
      </c>
      <c r="B2140" s="7" t="s">
        <v>9</v>
      </c>
      <c r="C2140" s="16" t="s">
        <v>40</v>
      </c>
      <c r="D2140" s="16" t="s">
        <v>41</v>
      </c>
      <c r="E2140" s="13" t="str">
        <f>+HYPERLINK("http://trademark.i-assist.jp/data/china/image_1891th/77717088.pdf","77717088")</f>
        <v>77717088</v>
      </c>
      <c r="F2140" s="16" t="s">
        <v>9689</v>
      </c>
      <c r="G2140" s="16" t="s">
        <v>9688</v>
      </c>
      <c r="H2140" s="16" t="s">
        <v>9690</v>
      </c>
      <c r="I2140" s="17">
        <v>45384</v>
      </c>
    </row>
    <row r="2141" spans="1:9" x14ac:dyDescent="0.15">
      <c r="A2141" s="16" t="s">
        <v>9695</v>
      </c>
      <c r="B2141" s="7" t="s">
        <v>9</v>
      </c>
      <c r="C2141" s="16" t="s">
        <v>40</v>
      </c>
      <c r="D2141" s="16" t="s">
        <v>41</v>
      </c>
      <c r="E2141" s="13" t="str">
        <f>+HYPERLINK("http://trademark.i-assist.jp/data/china/image_1891th/77717186.pdf","77717186")</f>
        <v>77717186</v>
      </c>
      <c r="F2141" s="16" t="s">
        <v>52</v>
      </c>
      <c r="G2141" s="16" t="s">
        <v>9693</v>
      </c>
      <c r="H2141" s="16" t="s">
        <v>9694</v>
      </c>
      <c r="I2141" s="17">
        <v>45384</v>
      </c>
    </row>
    <row r="2142" spans="1:9" x14ac:dyDescent="0.15">
      <c r="A2142" s="16" t="s">
        <v>9699</v>
      </c>
      <c r="B2142" s="7" t="s">
        <v>9</v>
      </c>
      <c r="C2142" s="16" t="s">
        <v>40</v>
      </c>
      <c r="D2142" s="16" t="s">
        <v>41</v>
      </c>
      <c r="E2142" s="13" t="str">
        <f>+HYPERLINK("http://trademark.i-assist.jp/data/china/image_1891th/77717965.pdf","77717965")</f>
        <v>77717965</v>
      </c>
      <c r="F2142" s="16" t="s">
        <v>9697</v>
      </c>
      <c r="G2142" s="16" t="s">
        <v>9652</v>
      </c>
      <c r="H2142" s="16" t="s">
        <v>9698</v>
      </c>
      <c r="I2142" s="17">
        <v>45384</v>
      </c>
    </row>
    <row r="2143" spans="1:9" x14ac:dyDescent="0.15">
      <c r="A2143" s="16" t="s">
        <v>9704</v>
      </c>
      <c r="B2143" s="7" t="s">
        <v>9</v>
      </c>
      <c r="C2143" s="16" t="s">
        <v>40</v>
      </c>
      <c r="D2143" s="16" t="s">
        <v>41</v>
      </c>
      <c r="E2143" s="13" t="str">
        <f>+HYPERLINK("http://trademark.i-assist.jp/data/china/image_1891th/77718877.pdf","77718877")</f>
        <v>77718877</v>
      </c>
      <c r="F2143" s="16" t="s">
        <v>9702</v>
      </c>
      <c r="G2143" s="16" t="s">
        <v>9701</v>
      </c>
      <c r="H2143" s="16" t="s">
        <v>9703</v>
      </c>
      <c r="I2143" s="17">
        <v>45384</v>
      </c>
    </row>
    <row r="2144" spans="1:9" x14ac:dyDescent="0.15">
      <c r="A2144" s="16" t="s">
        <v>9708</v>
      </c>
      <c r="B2144" s="7" t="s">
        <v>9</v>
      </c>
      <c r="C2144" s="16" t="s">
        <v>40</v>
      </c>
      <c r="D2144" s="16" t="s">
        <v>41</v>
      </c>
      <c r="E2144" s="13" t="str">
        <f>+HYPERLINK("http://trademark.i-assist.jp/data/china/image_1891th/77718932.pdf","77718932")</f>
        <v>77718932</v>
      </c>
      <c r="F2144" s="16" t="s">
        <v>9706</v>
      </c>
      <c r="G2144" s="16" t="s">
        <v>9688</v>
      </c>
      <c r="H2144" s="16" t="s">
        <v>9707</v>
      </c>
      <c r="I2144" s="17">
        <v>45384</v>
      </c>
    </row>
    <row r="2145" spans="1:9" x14ac:dyDescent="0.15">
      <c r="A2145" s="16" t="s">
        <v>9712</v>
      </c>
      <c r="B2145" s="7" t="s">
        <v>9</v>
      </c>
      <c r="C2145" s="16" t="s">
        <v>40</v>
      </c>
      <c r="D2145" s="16" t="s">
        <v>41</v>
      </c>
      <c r="E2145" s="13" t="str">
        <f>+HYPERLINK("http://trademark.i-assist.jp/data/china/image_1891th/77719019.pdf","77719019")</f>
        <v>77719019</v>
      </c>
      <c r="F2145" s="16" t="s">
        <v>52</v>
      </c>
      <c r="G2145" s="16" t="s">
        <v>9710</v>
      </c>
      <c r="H2145" s="16" t="s">
        <v>9711</v>
      </c>
      <c r="I2145" s="17">
        <v>45384</v>
      </c>
    </row>
    <row r="2146" spans="1:9" x14ac:dyDescent="0.15">
      <c r="A2146" s="16" t="s">
        <v>9716</v>
      </c>
      <c r="B2146" s="7" t="s">
        <v>9</v>
      </c>
      <c r="C2146" s="16" t="s">
        <v>40</v>
      </c>
      <c r="D2146" s="16" t="s">
        <v>41</v>
      </c>
      <c r="E2146" s="13" t="str">
        <f>+HYPERLINK("http://trademark.i-assist.jp/data/china/image_1891th/77719236.pdf","77719236")</f>
        <v>77719236</v>
      </c>
      <c r="F2146" s="16" t="s">
        <v>9714</v>
      </c>
      <c r="G2146" s="16" t="s">
        <v>9407</v>
      </c>
      <c r="H2146" s="16" t="s">
        <v>9715</v>
      </c>
      <c r="I2146" s="17">
        <v>45384</v>
      </c>
    </row>
    <row r="2147" spans="1:9" x14ac:dyDescent="0.15">
      <c r="A2147" s="16" t="s">
        <v>9720</v>
      </c>
      <c r="B2147" s="7" t="s">
        <v>9</v>
      </c>
      <c r="C2147" s="16" t="s">
        <v>40</v>
      </c>
      <c r="D2147" s="16" t="s">
        <v>41</v>
      </c>
      <c r="E2147" s="13" t="str">
        <f>+HYPERLINK("http://trademark.i-assist.jp/data/china/image_1891th/77719269.pdf","77719269")</f>
        <v>77719269</v>
      </c>
      <c r="F2147" s="16" t="s">
        <v>9718</v>
      </c>
      <c r="G2147" s="16" t="s">
        <v>9412</v>
      </c>
      <c r="H2147" s="16" t="s">
        <v>9719</v>
      </c>
      <c r="I2147" s="17">
        <v>45384</v>
      </c>
    </row>
    <row r="2148" spans="1:9" x14ac:dyDescent="0.15">
      <c r="A2148" s="16" t="s">
        <v>9725</v>
      </c>
      <c r="B2148" s="7" t="s">
        <v>9</v>
      </c>
      <c r="C2148" s="16" t="s">
        <v>40</v>
      </c>
      <c r="D2148" s="16" t="s">
        <v>41</v>
      </c>
      <c r="E2148" s="13" t="str">
        <f>+HYPERLINK("http://trademark.i-assist.jp/data/china/image_1891th/77719335.pdf","77719335")</f>
        <v>77719335</v>
      </c>
      <c r="F2148" s="16" t="s">
        <v>9723</v>
      </c>
      <c r="G2148" s="16" t="s">
        <v>9722</v>
      </c>
      <c r="H2148" s="16" t="s">
        <v>9724</v>
      </c>
      <c r="I2148" s="17">
        <v>45384</v>
      </c>
    </row>
    <row r="2149" spans="1:9" x14ac:dyDescent="0.15">
      <c r="A2149" s="16" t="s">
        <v>9730</v>
      </c>
      <c r="B2149" s="7" t="s">
        <v>9</v>
      </c>
      <c r="C2149" s="16" t="s">
        <v>40</v>
      </c>
      <c r="D2149" s="16" t="s">
        <v>41</v>
      </c>
      <c r="E2149" s="13" t="str">
        <f>+HYPERLINK("http://trademark.i-assist.jp/data/china/image_1891th/77719801.pdf","77719801")</f>
        <v>77719801</v>
      </c>
      <c r="F2149" s="16" t="s">
        <v>9728</v>
      </c>
      <c r="G2149" s="16" t="s">
        <v>9727</v>
      </c>
      <c r="H2149" s="16" t="s">
        <v>9729</v>
      </c>
      <c r="I2149" s="17">
        <v>45384</v>
      </c>
    </row>
    <row r="2150" spans="1:9" x14ac:dyDescent="0.15">
      <c r="A2150" s="16" t="s">
        <v>9734</v>
      </c>
      <c r="B2150" s="7" t="s">
        <v>9</v>
      </c>
      <c r="C2150" s="16" t="s">
        <v>40</v>
      </c>
      <c r="D2150" s="16" t="s">
        <v>41</v>
      </c>
      <c r="E2150" s="13" t="str">
        <f>+HYPERLINK("http://trademark.i-assist.jp/data/china/image_1891th/77719883.pdf","77719883")</f>
        <v>77719883</v>
      </c>
      <c r="F2150" s="16" t="s">
        <v>9732</v>
      </c>
      <c r="G2150" s="16" t="s">
        <v>9407</v>
      </c>
      <c r="H2150" s="16" t="s">
        <v>9733</v>
      </c>
      <c r="I2150" s="17">
        <v>45384</v>
      </c>
    </row>
    <row r="2151" spans="1:9" x14ac:dyDescent="0.15">
      <c r="A2151" s="16" t="s">
        <v>9739</v>
      </c>
      <c r="B2151" s="7" t="s">
        <v>9</v>
      </c>
      <c r="C2151" s="16" t="s">
        <v>40</v>
      </c>
      <c r="D2151" s="16" t="s">
        <v>41</v>
      </c>
      <c r="E2151" s="13" t="str">
        <f>+HYPERLINK("http://trademark.i-assist.jp/data/china/image_1891th/77719913.pdf","77719913")</f>
        <v>77719913</v>
      </c>
      <c r="F2151" s="16" t="s">
        <v>9737</v>
      </c>
      <c r="G2151" s="16" t="s">
        <v>9736</v>
      </c>
      <c r="H2151" s="16" t="s">
        <v>9738</v>
      </c>
      <c r="I2151" s="17">
        <v>45384</v>
      </c>
    </row>
    <row r="2152" spans="1:9" x14ac:dyDescent="0.15">
      <c r="A2152" s="16" t="s">
        <v>9744</v>
      </c>
      <c r="B2152" s="7" t="s">
        <v>9</v>
      </c>
      <c r="C2152" s="16" t="s">
        <v>40</v>
      </c>
      <c r="D2152" s="16" t="s">
        <v>41</v>
      </c>
      <c r="E2152" s="13" t="str">
        <f>+HYPERLINK("http://trademark.i-assist.jp/data/china/image_1891th/77719992.pdf","77719992")</f>
        <v>77719992</v>
      </c>
      <c r="F2152" s="16" t="s">
        <v>9742</v>
      </c>
      <c r="G2152" s="16" t="s">
        <v>9741</v>
      </c>
      <c r="H2152" s="16" t="s">
        <v>9743</v>
      </c>
      <c r="I2152" s="17">
        <v>45384</v>
      </c>
    </row>
    <row r="2153" spans="1:9" x14ac:dyDescent="0.15">
      <c r="A2153" s="16" t="s">
        <v>9749</v>
      </c>
      <c r="B2153" s="7" t="s">
        <v>9</v>
      </c>
      <c r="C2153" s="16" t="s">
        <v>40</v>
      </c>
      <c r="D2153" s="16" t="s">
        <v>41</v>
      </c>
      <c r="E2153" s="13" t="str">
        <f>+HYPERLINK("http://trademark.i-assist.jp/data/china/image_1891th/77720215.pdf","77720215")</f>
        <v>77720215</v>
      </c>
      <c r="F2153" s="16" t="s">
        <v>9747</v>
      </c>
      <c r="G2153" s="16" t="s">
        <v>9746</v>
      </c>
      <c r="H2153" s="16" t="s">
        <v>9748</v>
      </c>
      <c r="I2153" s="17">
        <v>45384</v>
      </c>
    </row>
    <row r="2154" spans="1:9" x14ac:dyDescent="0.15">
      <c r="A2154" s="16" t="s">
        <v>9753</v>
      </c>
      <c r="B2154" s="7" t="s">
        <v>9</v>
      </c>
      <c r="C2154" s="16" t="s">
        <v>40</v>
      </c>
      <c r="D2154" s="16" t="s">
        <v>41</v>
      </c>
      <c r="E2154" s="13" t="str">
        <f>+HYPERLINK("http://trademark.i-assist.jp/data/china/image_1891th/77721073.pdf","77721073")</f>
        <v>77721073</v>
      </c>
      <c r="F2154" s="16" t="s">
        <v>9751</v>
      </c>
      <c r="G2154" s="16" t="s">
        <v>9652</v>
      </c>
      <c r="H2154" s="16" t="s">
        <v>9752</v>
      </c>
      <c r="I2154" s="17">
        <v>45384</v>
      </c>
    </row>
    <row r="2155" spans="1:9" x14ac:dyDescent="0.15">
      <c r="A2155" s="16" t="s">
        <v>9758</v>
      </c>
      <c r="B2155" s="7" t="s">
        <v>9</v>
      </c>
      <c r="C2155" s="16" t="s">
        <v>40</v>
      </c>
      <c r="D2155" s="16" t="s">
        <v>41</v>
      </c>
      <c r="E2155" s="13" t="str">
        <f>+HYPERLINK("http://trademark.i-assist.jp/data/china/image_1891th/77721096.pdf","77721096")</f>
        <v>77721096</v>
      </c>
      <c r="F2155" s="16" t="s">
        <v>11112</v>
      </c>
      <c r="G2155" s="16" t="s">
        <v>9755</v>
      </c>
      <c r="H2155" s="16" t="s">
        <v>9757</v>
      </c>
      <c r="I2155" s="17">
        <v>45384</v>
      </c>
    </row>
    <row r="2156" spans="1:9" x14ac:dyDescent="0.15">
      <c r="A2156" s="16" t="s">
        <v>9762</v>
      </c>
      <c r="B2156" s="7" t="s">
        <v>9</v>
      </c>
      <c r="C2156" s="16" t="s">
        <v>40</v>
      </c>
      <c r="D2156" s="16" t="s">
        <v>41</v>
      </c>
      <c r="E2156" s="13" t="str">
        <f>+HYPERLINK("http://trademark.i-assist.jp/data/china/image_1891th/77721109.pdf","77721109")</f>
        <v>77721109</v>
      </c>
      <c r="F2156" s="16" t="s">
        <v>9760</v>
      </c>
      <c r="G2156" s="16" t="s">
        <v>9755</v>
      </c>
      <c r="H2156" s="16" t="s">
        <v>9761</v>
      </c>
      <c r="I2156" s="17">
        <v>45384</v>
      </c>
    </row>
    <row r="2157" spans="1:9" x14ac:dyDescent="0.15">
      <c r="A2157" s="16" t="s">
        <v>9767</v>
      </c>
      <c r="B2157" s="7" t="s">
        <v>9</v>
      </c>
      <c r="C2157" s="16" t="s">
        <v>40</v>
      </c>
      <c r="D2157" s="16" t="s">
        <v>41</v>
      </c>
      <c r="E2157" s="13" t="str">
        <f>+HYPERLINK("http://trademark.i-assist.jp/data/china/image_1891th/77721133.pdf","77721133")</f>
        <v>77721133</v>
      </c>
      <c r="F2157" s="16" t="s">
        <v>9765</v>
      </c>
      <c r="G2157" s="16" t="s">
        <v>9764</v>
      </c>
      <c r="H2157" s="16" t="s">
        <v>9766</v>
      </c>
      <c r="I2157" s="17">
        <v>45384</v>
      </c>
    </row>
    <row r="2158" spans="1:9" x14ac:dyDescent="0.15">
      <c r="A2158" s="16" t="s">
        <v>9772</v>
      </c>
      <c r="B2158" s="7" t="s">
        <v>9</v>
      </c>
      <c r="C2158" s="16" t="s">
        <v>40</v>
      </c>
      <c r="D2158" s="16" t="s">
        <v>41</v>
      </c>
      <c r="E2158" s="13" t="str">
        <f>+HYPERLINK("http://trademark.i-assist.jp/data/china/image_1891th/77721345.pdf","77721345")</f>
        <v>77721345</v>
      </c>
      <c r="F2158" s="16" t="s">
        <v>9770</v>
      </c>
      <c r="G2158" s="16" t="s">
        <v>9769</v>
      </c>
      <c r="H2158" s="16" t="s">
        <v>9771</v>
      </c>
      <c r="I2158" s="17">
        <v>45384</v>
      </c>
    </row>
    <row r="2159" spans="1:9" x14ac:dyDescent="0.15">
      <c r="A2159" s="16" t="s">
        <v>9777</v>
      </c>
      <c r="B2159" s="7" t="s">
        <v>9</v>
      </c>
      <c r="C2159" s="16" t="s">
        <v>40</v>
      </c>
      <c r="D2159" s="16" t="s">
        <v>41</v>
      </c>
      <c r="E2159" s="13" t="str">
        <f>+HYPERLINK("http://trademark.i-assist.jp/data/china/image_1891th/77721507.pdf","77721507")</f>
        <v>77721507</v>
      </c>
      <c r="F2159" s="16" t="s">
        <v>9775</v>
      </c>
      <c r="G2159" s="16" t="s">
        <v>9774</v>
      </c>
      <c r="H2159" s="16" t="s">
        <v>9776</v>
      </c>
      <c r="I2159" s="17">
        <v>45384</v>
      </c>
    </row>
    <row r="2160" spans="1:9" x14ac:dyDescent="0.15">
      <c r="A2160" s="16" t="s">
        <v>9781</v>
      </c>
      <c r="B2160" s="7" t="s">
        <v>9</v>
      </c>
      <c r="C2160" s="16" t="s">
        <v>40</v>
      </c>
      <c r="D2160" s="16" t="s">
        <v>41</v>
      </c>
      <c r="E2160" s="13" t="str">
        <f>+HYPERLINK("http://trademark.i-assist.jp/data/china/image_1891th/77721615.pdf","77721615")</f>
        <v>77721615</v>
      </c>
      <c r="F2160" s="16" t="s">
        <v>9779</v>
      </c>
      <c r="G2160" s="16" t="s">
        <v>9722</v>
      </c>
      <c r="H2160" s="16" t="s">
        <v>9780</v>
      </c>
      <c r="I2160" s="17">
        <v>45384</v>
      </c>
    </row>
    <row r="2161" spans="1:9" x14ac:dyDescent="0.15">
      <c r="A2161" s="16" t="s">
        <v>9785</v>
      </c>
      <c r="B2161" s="7" t="s">
        <v>9</v>
      </c>
      <c r="C2161" s="16" t="s">
        <v>40</v>
      </c>
      <c r="D2161" s="16" t="s">
        <v>41</v>
      </c>
      <c r="E2161" s="13" t="str">
        <f>+HYPERLINK("http://trademark.i-assist.jp/data/china/image_1891th/77722066.pdf","77722066")</f>
        <v>77722066</v>
      </c>
      <c r="F2161" s="16" t="s">
        <v>52</v>
      </c>
      <c r="G2161" s="16" t="s">
        <v>9783</v>
      </c>
      <c r="H2161" s="16" t="s">
        <v>9784</v>
      </c>
      <c r="I2161" s="17">
        <v>45384</v>
      </c>
    </row>
    <row r="2162" spans="1:9" x14ac:dyDescent="0.15">
      <c r="A2162" s="16" t="s">
        <v>9790</v>
      </c>
      <c r="B2162" s="7" t="s">
        <v>9</v>
      </c>
      <c r="C2162" s="16" t="s">
        <v>40</v>
      </c>
      <c r="D2162" s="16" t="s">
        <v>41</v>
      </c>
      <c r="E2162" s="13" t="str">
        <f>+HYPERLINK("http://trademark.i-assist.jp/data/china/image_1891th/77722737.pdf","77722737")</f>
        <v>77722737</v>
      </c>
      <c r="F2162" s="16" t="s">
        <v>9788</v>
      </c>
      <c r="G2162" s="16" t="s">
        <v>9787</v>
      </c>
      <c r="H2162" s="16" t="s">
        <v>9789</v>
      </c>
      <c r="I2162" s="17">
        <v>45384</v>
      </c>
    </row>
    <row r="2163" spans="1:9" x14ac:dyDescent="0.15">
      <c r="A2163" s="16" t="s">
        <v>9794</v>
      </c>
      <c r="B2163" s="7" t="s">
        <v>9</v>
      </c>
      <c r="C2163" s="16" t="s">
        <v>40</v>
      </c>
      <c r="D2163" s="16" t="s">
        <v>41</v>
      </c>
      <c r="E2163" s="13" t="str">
        <f>+HYPERLINK("http://trademark.i-assist.jp/data/china/image_1891th/77722908.pdf","77722908")</f>
        <v>77722908</v>
      </c>
      <c r="F2163" s="16" t="s">
        <v>9792</v>
      </c>
      <c r="G2163" s="16" t="s">
        <v>9514</v>
      </c>
      <c r="H2163" s="16" t="s">
        <v>9793</v>
      </c>
      <c r="I2163" s="17">
        <v>45384</v>
      </c>
    </row>
    <row r="2164" spans="1:9" x14ac:dyDescent="0.15">
      <c r="A2164" s="16" t="s">
        <v>9798</v>
      </c>
      <c r="B2164" s="7" t="s">
        <v>9</v>
      </c>
      <c r="C2164" s="16" t="s">
        <v>40</v>
      </c>
      <c r="D2164" s="16" t="s">
        <v>41</v>
      </c>
      <c r="E2164" s="13" t="str">
        <f>+HYPERLINK("http://trademark.i-assist.jp/data/china/image_1891th/77723205.pdf","77723205")</f>
        <v>77723205</v>
      </c>
      <c r="F2164" s="16" t="s">
        <v>9796</v>
      </c>
      <c r="G2164" s="16" t="s">
        <v>9446</v>
      </c>
      <c r="H2164" s="16" t="s">
        <v>9797</v>
      </c>
      <c r="I2164" s="17">
        <v>45384</v>
      </c>
    </row>
    <row r="2165" spans="1:9" x14ac:dyDescent="0.15">
      <c r="A2165" s="16" t="s">
        <v>9803</v>
      </c>
      <c r="B2165" s="7" t="s">
        <v>9</v>
      </c>
      <c r="C2165" s="16" t="s">
        <v>40</v>
      </c>
      <c r="D2165" s="16" t="s">
        <v>41</v>
      </c>
      <c r="E2165" s="13" t="str">
        <f>+HYPERLINK("http://trademark.i-assist.jp/data/china/image_1891th/77723841.pdf","77723841")</f>
        <v>77723841</v>
      </c>
      <c r="F2165" s="16" t="s">
        <v>9801</v>
      </c>
      <c r="G2165" s="16" t="s">
        <v>9800</v>
      </c>
      <c r="H2165" s="16" t="s">
        <v>9802</v>
      </c>
      <c r="I2165" s="17">
        <v>45384</v>
      </c>
    </row>
    <row r="2166" spans="1:9" x14ac:dyDescent="0.15">
      <c r="A2166" s="16" t="s">
        <v>9807</v>
      </c>
      <c r="B2166" s="7" t="s">
        <v>9</v>
      </c>
      <c r="C2166" s="16" t="s">
        <v>40</v>
      </c>
      <c r="D2166" s="16" t="s">
        <v>41</v>
      </c>
      <c r="E2166" s="13" t="str">
        <f>+HYPERLINK("http://trademark.i-assist.jp/data/china/image_1891th/77723881.pdf","77723881")</f>
        <v>77723881</v>
      </c>
      <c r="F2166" s="16" t="s">
        <v>9806</v>
      </c>
      <c r="G2166" s="16" t="s">
        <v>9805</v>
      </c>
      <c r="H2166" s="16" t="s">
        <v>223</v>
      </c>
      <c r="I2166" s="17">
        <v>45384</v>
      </c>
    </row>
    <row r="2167" spans="1:9" x14ac:dyDescent="0.15">
      <c r="A2167" s="16" t="s">
        <v>9811</v>
      </c>
      <c r="B2167" s="7" t="s">
        <v>9</v>
      </c>
      <c r="C2167" s="16" t="s">
        <v>40</v>
      </c>
      <c r="D2167" s="16" t="s">
        <v>41</v>
      </c>
      <c r="E2167" s="13" t="str">
        <f>+HYPERLINK("http://trademark.i-assist.jp/data/china/image_1891th/77724262.pdf","77724262")</f>
        <v>77724262</v>
      </c>
      <c r="F2167" s="16" t="s">
        <v>9809</v>
      </c>
      <c r="G2167" s="16" t="s">
        <v>9652</v>
      </c>
      <c r="H2167" s="16" t="s">
        <v>9810</v>
      </c>
      <c r="I2167" s="17">
        <v>45384</v>
      </c>
    </row>
    <row r="2168" spans="1:9" x14ac:dyDescent="0.15">
      <c r="A2168" s="16" t="s">
        <v>9816</v>
      </c>
      <c r="B2168" s="7" t="s">
        <v>9</v>
      </c>
      <c r="C2168" s="16" t="s">
        <v>40</v>
      </c>
      <c r="D2168" s="16" t="s">
        <v>41</v>
      </c>
      <c r="E2168" s="13" t="str">
        <f>+HYPERLINK("http://trademark.i-assist.jp/data/china/image_1891th/77724314.pdf","77724314")</f>
        <v>77724314</v>
      </c>
      <c r="F2168" s="16" t="s">
        <v>9814</v>
      </c>
      <c r="G2168" s="16" t="s">
        <v>9813</v>
      </c>
      <c r="H2168" s="16" t="s">
        <v>9815</v>
      </c>
      <c r="I2168" s="17">
        <v>45384</v>
      </c>
    </row>
    <row r="2169" spans="1:9" x14ac:dyDescent="0.15">
      <c r="A2169" s="16" t="s">
        <v>9821</v>
      </c>
      <c r="B2169" s="7" t="s">
        <v>9</v>
      </c>
      <c r="C2169" s="16" t="s">
        <v>40</v>
      </c>
      <c r="D2169" s="16" t="s">
        <v>41</v>
      </c>
      <c r="E2169" s="13" t="str">
        <f>+HYPERLINK("http://trademark.i-assist.jp/data/china/image_1891th/77724668.pdf","77724668")</f>
        <v>77724668</v>
      </c>
      <c r="F2169" s="16" t="s">
        <v>9819</v>
      </c>
      <c r="G2169" s="16" t="s">
        <v>9818</v>
      </c>
      <c r="H2169" s="16" t="s">
        <v>9820</v>
      </c>
      <c r="I2169" s="17">
        <v>45384</v>
      </c>
    </row>
    <row r="2170" spans="1:9" x14ac:dyDescent="0.15">
      <c r="A2170" s="16" t="s">
        <v>9825</v>
      </c>
      <c r="B2170" s="7" t="s">
        <v>9</v>
      </c>
      <c r="C2170" s="16" t="s">
        <v>40</v>
      </c>
      <c r="D2170" s="16" t="s">
        <v>41</v>
      </c>
      <c r="E2170" s="13" t="str">
        <f>+HYPERLINK("http://trademark.i-assist.jp/data/china/image_1891th/77724690.pdf","77724690")</f>
        <v>77724690</v>
      </c>
      <c r="F2170" s="16" t="s">
        <v>9823</v>
      </c>
      <c r="G2170" s="16" t="s">
        <v>9417</v>
      </c>
      <c r="H2170" s="16" t="s">
        <v>9824</v>
      </c>
      <c r="I2170" s="17">
        <v>45384</v>
      </c>
    </row>
    <row r="2171" spans="1:9" x14ac:dyDescent="0.15">
      <c r="A2171" s="16" t="s">
        <v>9829</v>
      </c>
      <c r="B2171" s="7" t="s">
        <v>9</v>
      </c>
      <c r="C2171" s="16" t="s">
        <v>40</v>
      </c>
      <c r="D2171" s="16" t="s">
        <v>41</v>
      </c>
      <c r="E2171" s="13" t="str">
        <f>+HYPERLINK("http://trademark.i-assist.jp/data/china/image_1891th/77724919.pdf","77724919")</f>
        <v>77724919</v>
      </c>
      <c r="F2171" s="16" t="s">
        <v>9827</v>
      </c>
      <c r="G2171" s="16" t="s">
        <v>9671</v>
      </c>
      <c r="H2171" s="16" t="s">
        <v>9828</v>
      </c>
      <c r="I2171" s="17">
        <v>45384</v>
      </c>
    </row>
    <row r="2172" spans="1:9" x14ac:dyDescent="0.15">
      <c r="A2172" s="16" t="s">
        <v>9833</v>
      </c>
      <c r="B2172" s="7" t="s">
        <v>9</v>
      </c>
      <c r="C2172" s="16" t="s">
        <v>40</v>
      </c>
      <c r="D2172" s="16" t="s">
        <v>41</v>
      </c>
      <c r="E2172" s="13" t="str">
        <f>+HYPERLINK("http://trademark.i-assist.jp/data/china/image_1891th/77724922.pdf","77724922")</f>
        <v>77724922</v>
      </c>
      <c r="F2172" s="16" t="s">
        <v>9831</v>
      </c>
      <c r="G2172" s="16" t="s">
        <v>9671</v>
      </c>
      <c r="H2172" s="16" t="s">
        <v>9832</v>
      </c>
      <c r="I2172" s="17">
        <v>45384</v>
      </c>
    </row>
    <row r="2173" spans="1:9" x14ac:dyDescent="0.15">
      <c r="A2173" s="16" t="s">
        <v>9837</v>
      </c>
      <c r="B2173" s="7" t="s">
        <v>9</v>
      </c>
      <c r="C2173" s="16" t="s">
        <v>40</v>
      </c>
      <c r="D2173" s="16" t="s">
        <v>41</v>
      </c>
      <c r="E2173" s="13" t="str">
        <f>+HYPERLINK("http://trademark.i-assist.jp/data/china/image_1891th/77725081.pdf","77725081")</f>
        <v>77725081</v>
      </c>
      <c r="F2173" s="16" t="s">
        <v>9835</v>
      </c>
      <c r="G2173" s="16" t="s">
        <v>9407</v>
      </c>
      <c r="H2173" s="16" t="s">
        <v>9836</v>
      </c>
      <c r="I2173" s="17">
        <v>45384</v>
      </c>
    </row>
    <row r="2174" spans="1:9" x14ac:dyDescent="0.15">
      <c r="A2174" s="16" t="s">
        <v>9842</v>
      </c>
      <c r="B2174" s="7" t="s">
        <v>9</v>
      </c>
      <c r="C2174" s="16" t="s">
        <v>40</v>
      </c>
      <c r="D2174" s="16" t="s">
        <v>41</v>
      </c>
      <c r="E2174" s="13" t="str">
        <f>+HYPERLINK("http://trademark.i-assist.jp/data/china/image_1891th/77725082.pdf","77725082")</f>
        <v>77725082</v>
      </c>
      <c r="F2174" s="16" t="s">
        <v>9840</v>
      </c>
      <c r="G2174" s="16" t="s">
        <v>9839</v>
      </c>
      <c r="H2174" s="16" t="s">
        <v>9841</v>
      </c>
      <c r="I2174" s="17">
        <v>45384</v>
      </c>
    </row>
    <row r="2175" spans="1:9" x14ac:dyDescent="0.15">
      <c r="A2175" s="16" t="s">
        <v>9847</v>
      </c>
      <c r="B2175" s="7" t="s">
        <v>9</v>
      </c>
      <c r="C2175" s="16" t="s">
        <v>40</v>
      </c>
      <c r="D2175" s="16" t="s">
        <v>41</v>
      </c>
      <c r="E2175" s="13" t="str">
        <f>+HYPERLINK("http://trademark.i-assist.jp/data/china/image_1891th/77725456.pdf","77725456")</f>
        <v>77725456</v>
      </c>
      <c r="F2175" s="16" t="s">
        <v>9845</v>
      </c>
      <c r="G2175" s="16" t="s">
        <v>9844</v>
      </c>
      <c r="H2175" s="16" t="s">
        <v>9846</v>
      </c>
      <c r="I2175" s="17">
        <v>45384</v>
      </c>
    </row>
    <row r="2176" spans="1:9" x14ac:dyDescent="0.15">
      <c r="A2176" s="16" t="s">
        <v>9851</v>
      </c>
      <c r="B2176" s="7" t="s">
        <v>9</v>
      </c>
      <c r="C2176" s="16" t="s">
        <v>40</v>
      </c>
      <c r="D2176" s="16" t="s">
        <v>41</v>
      </c>
      <c r="E2176" s="13" t="str">
        <f>+HYPERLINK("http://trademark.i-assist.jp/data/china/image_1891th/77725826.pdf","77725826")</f>
        <v>77725826</v>
      </c>
      <c r="F2176" s="16" t="s">
        <v>9849</v>
      </c>
      <c r="G2176" s="16" t="s">
        <v>22</v>
      </c>
      <c r="H2176" s="16" t="s">
        <v>9850</v>
      </c>
      <c r="I2176" s="17">
        <v>45384</v>
      </c>
    </row>
    <row r="2177" spans="1:9" x14ac:dyDescent="0.15">
      <c r="A2177" s="16" t="s">
        <v>9856</v>
      </c>
      <c r="B2177" s="7" t="s">
        <v>9</v>
      </c>
      <c r="C2177" s="16" t="s">
        <v>40</v>
      </c>
      <c r="D2177" s="16" t="s">
        <v>41</v>
      </c>
      <c r="E2177" s="13" t="str">
        <f>+HYPERLINK("http://trademark.i-assist.jp/data/china/image_1891th/77725935.pdf","77725935")</f>
        <v>77725935</v>
      </c>
      <c r="F2177" s="16" t="s">
        <v>9854</v>
      </c>
      <c r="G2177" s="16" t="s">
        <v>9853</v>
      </c>
      <c r="H2177" s="16" t="s">
        <v>9855</v>
      </c>
      <c r="I2177" s="17">
        <v>45384</v>
      </c>
    </row>
    <row r="2178" spans="1:9" x14ac:dyDescent="0.15">
      <c r="A2178" s="16" t="s">
        <v>9860</v>
      </c>
      <c r="B2178" s="7" t="s">
        <v>9</v>
      </c>
      <c r="C2178" s="16" t="s">
        <v>40</v>
      </c>
      <c r="D2178" s="16" t="s">
        <v>41</v>
      </c>
      <c r="E2178" s="13" t="str">
        <f>+HYPERLINK("http://trademark.i-assist.jp/data/china/image_1891th/77726159.pdf","77726159")</f>
        <v>77726159</v>
      </c>
      <c r="F2178" s="16" t="s">
        <v>9858</v>
      </c>
      <c r="G2178" s="16" t="s">
        <v>9446</v>
      </c>
      <c r="H2178" s="16" t="s">
        <v>9859</v>
      </c>
      <c r="I2178" s="17">
        <v>45384</v>
      </c>
    </row>
    <row r="2179" spans="1:9" x14ac:dyDescent="0.15">
      <c r="A2179" s="16" t="s">
        <v>9865</v>
      </c>
      <c r="B2179" s="7" t="s">
        <v>9</v>
      </c>
      <c r="C2179" s="16" t="s">
        <v>40</v>
      </c>
      <c r="D2179" s="16" t="s">
        <v>41</v>
      </c>
      <c r="E2179" s="13" t="str">
        <f>+HYPERLINK("http://trademark.i-assist.jp/data/china/image_1891th/77726222.pdf","77726222")</f>
        <v>77726222</v>
      </c>
      <c r="F2179" s="16" t="s">
        <v>9863</v>
      </c>
      <c r="G2179" s="16" t="s">
        <v>9862</v>
      </c>
      <c r="H2179" s="16" t="s">
        <v>9864</v>
      </c>
      <c r="I2179" s="17">
        <v>45384</v>
      </c>
    </row>
    <row r="2180" spans="1:9" x14ac:dyDescent="0.15">
      <c r="A2180" s="16" t="s">
        <v>9869</v>
      </c>
      <c r="B2180" s="7" t="s">
        <v>9</v>
      </c>
      <c r="C2180" s="16" t="s">
        <v>40</v>
      </c>
      <c r="D2180" s="16" t="s">
        <v>41</v>
      </c>
      <c r="E2180" s="13" t="str">
        <f>+HYPERLINK("http://trademark.i-assist.jp/data/china/image_1891th/77726228.pdf","77726228")</f>
        <v>77726228</v>
      </c>
      <c r="F2180" s="16" t="s">
        <v>9867</v>
      </c>
      <c r="G2180" s="16" t="s">
        <v>22</v>
      </c>
      <c r="H2180" s="16" t="s">
        <v>9868</v>
      </c>
      <c r="I2180" s="17">
        <v>45384</v>
      </c>
    </row>
    <row r="2181" spans="1:9" x14ac:dyDescent="0.15">
      <c r="A2181" s="16" t="s">
        <v>9873</v>
      </c>
      <c r="B2181" s="7" t="s">
        <v>9</v>
      </c>
      <c r="C2181" s="16" t="s">
        <v>40</v>
      </c>
      <c r="D2181" s="16" t="s">
        <v>41</v>
      </c>
      <c r="E2181" s="13" t="str">
        <f>+HYPERLINK("http://trademark.i-assist.jp/data/china/image_1891th/77726271.pdf","77726271")</f>
        <v>77726271</v>
      </c>
      <c r="F2181" s="16" t="s">
        <v>9871</v>
      </c>
      <c r="G2181" s="16" t="s">
        <v>9727</v>
      </c>
      <c r="H2181" s="16" t="s">
        <v>9872</v>
      </c>
      <c r="I2181" s="17">
        <v>45384</v>
      </c>
    </row>
    <row r="2182" spans="1:9" x14ac:dyDescent="0.15">
      <c r="A2182" s="16" t="s">
        <v>9877</v>
      </c>
      <c r="B2182" s="7" t="s">
        <v>9</v>
      </c>
      <c r="C2182" s="16" t="s">
        <v>40</v>
      </c>
      <c r="D2182" s="16" t="s">
        <v>41</v>
      </c>
      <c r="E2182" s="13" t="str">
        <f>+HYPERLINK("http://trademark.i-assist.jp/data/china/image_1891th/77726378.pdf","77726378")</f>
        <v>77726378</v>
      </c>
      <c r="F2182" s="16" t="s">
        <v>9875</v>
      </c>
      <c r="G2182" s="16" t="s">
        <v>9514</v>
      </c>
      <c r="H2182" s="16" t="s">
        <v>9876</v>
      </c>
      <c r="I2182" s="17">
        <v>45384</v>
      </c>
    </row>
    <row r="2183" spans="1:9" x14ac:dyDescent="0.15">
      <c r="A2183" s="16" t="s">
        <v>9882</v>
      </c>
      <c r="B2183" s="7" t="s">
        <v>9</v>
      </c>
      <c r="C2183" s="16" t="s">
        <v>40</v>
      </c>
      <c r="D2183" s="16" t="s">
        <v>41</v>
      </c>
      <c r="E2183" s="13" t="str">
        <f>+HYPERLINK("http://trademark.i-assist.jp/data/china/image_1891th/77726572.pdf","77726572")</f>
        <v>77726572</v>
      </c>
      <c r="F2183" s="16" t="s">
        <v>9880</v>
      </c>
      <c r="G2183" s="16" t="s">
        <v>9879</v>
      </c>
      <c r="H2183" s="16" t="s">
        <v>9881</v>
      </c>
      <c r="I2183" s="17">
        <v>45384</v>
      </c>
    </row>
    <row r="2184" spans="1:9" x14ac:dyDescent="0.15">
      <c r="A2184" s="16" t="s">
        <v>9887</v>
      </c>
      <c r="B2184" s="7" t="s">
        <v>9</v>
      </c>
      <c r="C2184" s="16" t="s">
        <v>40</v>
      </c>
      <c r="D2184" s="16" t="s">
        <v>41</v>
      </c>
      <c r="E2184" s="13" t="str">
        <f>+HYPERLINK("http://trademark.i-assist.jp/data/china/image_1891th/77726586.pdf","77726586")</f>
        <v>77726586</v>
      </c>
      <c r="F2184" s="16" t="s">
        <v>9885</v>
      </c>
      <c r="G2184" s="16" t="s">
        <v>9884</v>
      </c>
      <c r="H2184" s="16" t="s">
        <v>9886</v>
      </c>
      <c r="I2184" s="17">
        <v>45384</v>
      </c>
    </row>
    <row r="2185" spans="1:9" x14ac:dyDescent="0.15">
      <c r="A2185" s="16" t="s">
        <v>9891</v>
      </c>
      <c r="B2185" s="7" t="s">
        <v>9</v>
      </c>
      <c r="C2185" s="16" t="s">
        <v>40</v>
      </c>
      <c r="D2185" s="16" t="s">
        <v>41</v>
      </c>
      <c r="E2185" s="13" t="str">
        <f>+HYPERLINK("http://trademark.i-assist.jp/data/china/image_1891th/77727902.pdf","77727902")</f>
        <v>77727902</v>
      </c>
      <c r="F2185" s="16" t="s">
        <v>9889</v>
      </c>
      <c r="G2185" s="16" t="s">
        <v>22</v>
      </c>
      <c r="H2185" s="16" t="s">
        <v>9890</v>
      </c>
      <c r="I2185" s="17">
        <v>45384</v>
      </c>
    </row>
    <row r="2186" spans="1:9" x14ac:dyDescent="0.15">
      <c r="A2186" s="16" t="s">
        <v>9896</v>
      </c>
      <c r="B2186" s="7" t="s">
        <v>9</v>
      </c>
      <c r="C2186" s="16" t="s">
        <v>40</v>
      </c>
      <c r="D2186" s="16" t="s">
        <v>41</v>
      </c>
      <c r="E2186" s="13" t="str">
        <f>+HYPERLINK("http://trademark.i-assist.jp/data/china/image_1891th/77728855.pdf","77728855")</f>
        <v>77728855</v>
      </c>
      <c r="F2186" s="16" t="s">
        <v>9894</v>
      </c>
      <c r="G2186" s="16" t="s">
        <v>9893</v>
      </c>
      <c r="H2186" s="16" t="s">
        <v>9895</v>
      </c>
      <c r="I2186" s="17">
        <v>45384</v>
      </c>
    </row>
    <row r="2187" spans="1:9" x14ac:dyDescent="0.15">
      <c r="A2187" s="16" t="s">
        <v>9900</v>
      </c>
      <c r="B2187" s="7" t="s">
        <v>9</v>
      </c>
      <c r="C2187" s="16" t="s">
        <v>40</v>
      </c>
      <c r="D2187" s="16" t="s">
        <v>41</v>
      </c>
      <c r="E2187" s="13" t="str">
        <f>+HYPERLINK("http://trademark.i-assist.jp/data/china/image_1891th/77729114.pdf","77729114")</f>
        <v>77729114</v>
      </c>
      <c r="F2187" s="16" t="s">
        <v>9898</v>
      </c>
      <c r="G2187" s="16" t="s">
        <v>22</v>
      </c>
      <c r="H2187" s="16" t="s">
        <v>9899</v>
      </c>
      <c r="I2187" s="17">
        <v>45384</v>
      </c>
    </row>
    <row r="2188" spans="1:9" x14ac:dyDescent="0.15">
      <c r="A2188" s="16" t="s">
        <v>9905</v>
      </c>
      <c r="B2188" s="7" t="s">
        <v>9</v>
      </c>
      <c r="C2188" s="16" t="s">
        <v>40</v>
      </c>
      <c r="D2188" s="16" t="s">
        <v>41</v>
      </c>
      <c r="E2188" s="13" t="str">
        <f>+HYPERLINK("http://trademark.i-assist.jp/data/china/image_1891th/77730334.pdf","77730334")</f>
        <v>77730334</v>
      </c>
      <c r="F2188" s="16" t="s">
        <v>9903</v>
      </c>
      <c r="G2188" s="16" t="s">
        <v>9902</v>
      </c>
      <c r="H2188" s="16" t="s">
        <v>9904</v>
      </c>
      <c r="I2188" s="17">
        <v>45384</v>
      </c>
    </row>
    <row r="2189" spans="1:9" x14ac:dyDescent="0.15">
      <c r="A2189" s="16" t="s">
        <v>9910</v>
      </c>
      <c r="B2189" s="7" t="s">
        <v>9</v>
      </c>
      <c r="C2189" s="16" t="s">
        <v>40</v>
      </c>
      <c r="D2189" s="16" t="s">
        <v>41</v>
      </c>
      <c r="E2189" s="13" t="str">
        <f>+HYPERLINK("http://trademark.i-assist.jp/data/china/image_1891th/77730371.pdf","77730371")</f>
        <v>77730371</v>
      </c>
      <c r="F2189" s="16" t="s">
        <v>9908</v>
      </c>
      <c r="G2189" s="16" t="s">
        <v>9907</v>
      </c>
      <c r="H2189" s="16" t="s">
        <v>9909</v>
      </c>
      <c r="I2189" s="17">
        <v>45384</v>
      </c>
    </row>
    <row r="2190" spans="1:9" x14ac:dyDescent="0.15">
      <c r="A2190" s="16" t="s">
        <v>9915</v>
      </c>
      <c r="B2190" s="7" t="s">
        <v>9</v>
      </c>
      <c r="C2190" s="16" t="s">
        <v>40</v>
      </c>
      <c r="D2190" s="16" t="s">
        <v>41</v>
      </c>
      <c r="E2190" s="13" t="str">
        <f>+HYPERLINK("http://trademark.i-assist.jp/data/china/image_1891th/77730625.pdf","77730625")</f>
        <v>77730625</v>
      </c>
      <c r="F2190" s="16" t="s">
        <v>9913</v>
      </c>
      <c r="G2190" s="16" t="s">
        <v>9912</v>
      </c>
      <c r="H2190" s="16" t="s">
        <v>9914</v>
      </c>
      <c r="I2190" s="17">
        <v>45384</v>
      </c>
    </row>
    <row r="2191" spans="1:9" x14ac:dyDescent="0.15">
      <c r="A2191" s="16" t="s">
        <v>9920</v>
      </c>
      <c r="B2191" s="7" t="s">
        <v>9</v>
      </c>
      <c r="C2191" s="16" t="s">
        <v>40</v>
      </c>
      <c r="D2191" s="16" t="s">
        <v>41</v>
      </c>
      <c r="E2191" s="13" t="str">
        <f>+HYPERLINK("http://trademark.i-assist.jp/data/china/image_1891th/77730649.pdf","77730649")</f>
        <v>77730649</v>
      </c>
      <c r="F2191" s="16" t="s">
        <v>9918</v>
      </c>
      <c r="G2191" s="16" t="s">
        <v>9917</v>
      </c>
      <c r="H2191" s="16" t="s">
        <v>9919</v>
      </c>
      <c r="I2191" s="17">
        <v>45384</v>
      </c>
    </row>
    <row r="2192" spans="1:9" x14ac:dyDescent="0.15">
      <c r="A2192" s="16" t="s">
        <v>9925</v>
      </c>
      <c r="B2192" s="7" t="s">
        <v>9</v>
      </c>
      <c r="C2192" s="16" t="s">
        <v>40</v>
      </c>
      <c r="D2192" s="16" t="s">
        <v>41</v>
      </c>
      <c r="E2192" s="13" t="str">
        <f>+HYPERLINK("http://trademark.i-assist.jp/data/china/image_1891th/77731169.pdf","77731169")</f>
        <v>77731169</v>
      </c>
      <c r="F2192" s="16" t="s">
        <v>9923</v>
      </c>
      <c r="G2192" s="16" t="s">
        <v>9922</v>
      </c>
      <c r="H2192" s="16" t="s">
        <v>9924</v>
      </c>
      <c r="I2192" s="17">
        <v>45385</v>
      </c>
    </row>
    <row r="2193" spans="1:9" x14ac:dyDescent="0.15">
      <c r="A2193" s="16" t="s">
        <v>9929</v>
      </c>
      <c r="B2193" s="7" t="s">
        <v>9</v>
      </c>
      <c r="C2193" s="16" t="s">
        <v>40</v>
      </c>
      <c r="D2193" s="16" t="s">
        <v>41</v>
      </c>
      <c r="E2193" s="13" t="str">
        <f>+HYPERLINK("http://trademark.i-assist.jp/data/china/image_1891th/77731601.pdf","77731601")</f>
        <v>77731601</v>
      </c>
      <c r="F2193" s="16" t="s">
        <v>9927</v>
      </c>
      <c r="G2193" s="16" t="s">
        <v>7180</v>
      </c>
      <c r="H2193" s="16" t="s">
        <v>9928</v>
      </c>
      <c r="I2193" s="17">
        <v>45385</v>
      </c>
    </row>
    <row r="2194" spans="1:9" x14ac:dyDescent="0.15">
      <c r="A2194" s="16" t="s">
        <v>9934</v>
      </c>
      <c r="B2194" s="7" t="s">
        <v>9</v>
      </c>
      <c r="C2194" s="16" t="s">
        <v>40</v>
      </c>
      <c r="D2194" s="16" t="s">
        <v>41</v>
      </c>
      <c r="E2194" s="13" t="str">
        <f>+HYPERLINK("http://trademark.i-assist.jp/data/china/image_1891th/77731901.pdf","77731901")</f>
        <v>77731901</v>
      </c>
      <c r="F2194" s="16" t="s">
        <v>9932</v>
      </c>
      <c r="G2194" s="16" t="s">
        <v>9931</v>
      </c>
      <c r="H2194" s="16" t="s">
        <v>9933</v>
      </c>
      <c r="I2194" s="17">
        <v>45385</v>
      </c>
    </row>
    <row r="2195" spans="1:9" x14ac:dyDescent="0.15">
      <c r="A2195" s="16" t="s">
        <v>9939</v>
      </c>
      <c r="B2195" s="7" t="s">
        <v>9</v>
      </c>
      <c r="C2195" s="16" t="s">
        <v>40</v>
      </c>
      <c r="D2195" s="16" t="s">
        <v>41</v>
      </c>
      <c r="E2195" s="13" t="str">
        <f>+HYPERLINK("http://trademark.i-assist.jp/data/china/image_1891th/77733539.pdf","77733539")</f>
        <v>77733539</v>
      </c>
      <c r="F2195" s="16" t="s">
        <v>9937</v>
      </c>
      <c r="G2195" s="16" t="s">
        <v>9936</v>
      </c>
      <c r="H2195" s="16" t="s">
        <v>9938</v>
      </c>
      <c r="I2195" s="17">
        <v>45385</v>
      </c>
    </row>
    <row r="2196" spans="1:9" x14ac:dyDescent="0.15">
      <c r="A2196" s="16" t="s">
        <v>9944</v>
      </c>
      <c r="B2196" s="7" t="s">
        <v>9</v>
      </c>
      <c r="C2196" s="16" t="s">
        <v>40</v>
      </c>
      <c r="D2196" s="16" t="s">
        <v>41</v>
      </c>
      <c r="E2196" s="13" t="str">
        <f>+HYPERLINK("http://trademark.i-assist.jp/data/china/image_1891th/77733616.pdf","77733616")</f>
        <v>77733616</v>
      </c>
      <c r="F2196" s="16" t="s">
        <v>9942</v>
      </c>
      <c r="G2196" s="16" t="s">
        <v>9941</v>
      </c>
      <c r="H2196" s="16" t="s">
        <v>9943</v>
      </c>
      <c r="I2196" s="17">
        <v>45385</v>
      </c>
    </row>
    <row r="2197" spans="1:9" x14ac:dyDescent="0.15">
      <c r="A2197" s="16" t="s">
        <v>9949</v>
      </c>
      <c r="B2197" s="7" t="s">
        <v>9</v>
      </c>
      <c r="C2197" s="16" t="s">
        <v>40</v>
      </c>
      <c r="D2197" s="16" t="s">
        <v>41</v>
      </c>
      <c r="E2197" s="13" t="str">
        <f>+HYPERLINK("http://trademark.i-assist.jp/data/china/image_1891th/77734977.pdf","77734977")</f>
        <v>77734977</v>
      </c>
      <c r="F2197" s="16" t="s">
        <v>9947</v>
      </c>
      <c r="G2197" s="16" t="s">
        <v>9946</v>
      </c>
      <c r="H2197" s="16" t="s">
        <v>9948</v>
      </c>
      <c r="I2197" s="17">
        <v>45385</v>
      </c>
    </row>
    <row r="2198" spans="1:9" x14ac:dyDescent="0.15">
      <c r="A2198" s="16" t="s">
        <v>9954</v>
      </c>
      <c r="B2198" s="7" t="s">
        <v>9</v>
      </c>
      <c r="C2198" s="16" t="s">
        <v>40</v>
      </c>
      <c r="D2198" s="16" t="s">
        <v>41</v>
      </c>
      <c r="E2198" s="13" t="str">
        <f>+HYPERLINK("http://trademark.i-assist.jp/data/china/image_1891th/77735159.pdf","77735159")</f>
        <v>77735159</v>
      </c>
      <c r="F2198" s="16" t="s">
        <v>9952</v>
      </c>
      <c r="G2198" s="16" t="s">
        <v>9951</v>
      </c>
      <c r="H2198" s="16" t="s">
        <v>9953</v>
      </c>
      <c r="I2198" s="17">
        <v>45385</v>
      </c>
    </row>
    <row r="2199" spans="1:9" x14ac:dyDescent="0.15">
      <c r="A2199" s="16" t="s">
        <v>9959</v>
      </c>
      <c r="B2199" s="7" t="s">
        <v>9</v>
      </c>
      <c r="C2199" s="16" t="s">
        <v>40</v>
      </c>
      <c r="D2199" s="16" t="s">
        <v>41</v>
      </c>
      <c r="E2199" s="13" t="str">
        <f>+HYPERLINK("http://trademark.i-assist.jp/data/china/image_1891th/77735162.pdf","77735162")</f>
        <v>77735162</v>
      </c>
      <c r="F2199" s="16" t="s">
        <v>9957</v>
      </c>
      <c r="G2199" s="16" t="s">
        <v>9956</v>
      </c>
      <c r="H2199" s="16" t="s">
        <v>9958</v>
      </c>
      <c r="I2199" s="17">
        <v>45385</v>
      </c>
    </row>
    <row r="2200" spans="1:9" x14ac:dyDescent="0.15">
      <c r="A2200" s="16" t="s">
        <v>9964</v>
      </c>
      <c r="B2200" s="7" t="s">
        <v>9</v>
      </c>
      <c r="C2200" s="16" t="s">
        <v>40</v>
      </c>
      <c r="D2200" s="16" t="s">
        <v>41</v>
      </c>
      <c r="E2200" s="13" t="str">
        <f>+HYPERLINK("http://trademark.i-assist.jp/data/china/image_1891th/77735569.pdf","77735569")</f>
        <v>77735569</v>
      </c>
      <c r="F2200" s="16" t="s">
        <v>9962</v>
      </c>
      <c r="G2200" s="16" t="s">
        <v>9961</v>
      </c>
      <c r="H2200" s="16" t="s">
        <v>9963</v>
      </c>
      <c r="I2200" s="17">
        <v>45385</v>
      </c>
    </row>
    <row r="2201" spans="1:9" x14ac:dyDescent="0.15">
      <c r="A2201" s="16" t="s">
        <v>9969</v>
      </c>
      <c r="B2201" s="7" t="s">
        <v>9</v>
      </c>
      <c r="C2201" s="16" t="s">
        <v>40</v>
      </c>
      <c r="D2201" s="16" t="s">
        <v>41</v>
      </c>
      <c r="E2201" s="13" t="str">
        <f>+HYPERLINK("http://trademark.i-assist.jp/data/china/image_1891th/77735678.pdf","77735678")</f>
        <v>77735678</v>
      </c>
      <c r="F2201" s="16" t="s">
        <v>9967</v>
      </c>
      <c r="G2201" s="16" t="s">
        <v>9966</v>
      </c>
      <c r="H2201" s="16" t="s">
        <v>9968</v>
      </c>
      <c r="I2201" s="17">
        <v>45385</v>
      </c>
    </row>
    <row r="2202" spans="1:9" x14ac:dyDescent="0.15">
      <c r="A2202" s="16" t="s">
        <v>4939</v>
      </c>
      <c r="B2202" s="7" t="s">
        <v>9</v>
      </c>
      <c r="C2202" s="16" t="s">
        <v>40</v>
      </c>
      <c r="D2202" s="16" t="s">
        <v>41</v>
      </c>
      <c r="E2202" s="13" t="str">
        <f>+HYPERLINK("http://trademark.i-assist.jp/data/china/image_1891th/77735748.pdf","77735748")</f>
        <v>77735748</v>
      </c>
      <c r="F2202" s="16" t="s">
        <v>9972</v>
      </c>
      <c r="G2202" s="16" t="s">
        <v>9971</v>
      </c>
      <c r="H2202" s="16" t="s">
        <v>9973</v>
      </c>
      <c r="I2202" s="17">
        <v>45385</v>
      </c>
    </row>
    <row r="2203" spans="1:9" x14ac:dyDescent="0.15">
      <c r="A2203" s="16" t="s">
        <v>4945</v>
      </c>
      <c r="B2203" s="7" t="s">
        <v>9</v>
      </c>
      <c r="C2203" s="16" t="s">
        <v>40</v>
      </c>
      <c r="D2203" s="16" t="s">
        <v>41</v>
      </c>
      <c r="E2203" s="13" t="str">
        <f>+HYPERLINK("http://trademark.i-assist.jp/data/china/image_1891th/77735765.pdf","77735765")</f>
        <v>77735765</v>
      </c>
      <c r="F2203" s="16" t="s">
        <v>4942</v>
      </c>
      <c r="G2203" s="16" t="s">
        <v>4941</v>
      </c>
      <c r="H2203" s="16" t="s">
        <v>4943</v>
      </c>
      <c r="I2203" s="17">
        <v>45385</v>
      </c>
    </row>
    <row r="2204" spans="1:9" x14ac:dyDescent="0.15">
      <c r="A2204" s="16" t="s">
        <v>4949</v>
      </c>
      <c r="B2204" s="7" t="s">
        <v>9</v>
      </c>
      <c r="C2204" s="16" t="s">
        <v>40</v>
      </c>
      <c r="D2204" s="16" t="s">
        <v>41</v>
      </c>
      <c r="E2204" s="13" t="str">
        <f>+HYPERLINK("http://trademark.i-assist.jp/data/china/image_1891th/77736994.pdf","77736994")</f>
        <v>77736994</v>
      </c>
      <c r="F2204" s="16" t="s">
        <v>52</v>
      </c>
      <c r="G2204" s="16" t="s">
        <v>4947</v>
      </c>
      <c r="H2204" s="16" t="s">
        <v>4948</v>
      </c>
      <c r="I2204" s="17">
        <v>45385</v>
      </c>
    </row>
    <row r="2205" spans="1:9" x14ac:dyDescent="0.15">
      <c r="A2205" s="16" t="s">
        <v>4954</v>
      </c>
      <c r="B2205" s="7" t="s">
        <v>9</v>
      </c>
      <c r="C2205" s="16" t="s">
        <v>40</v>
      </c>
      <c r="D2205" s="16" t="s">
        <v>41</v>
      </c>
      <c r="E2205" s="13" t="str">
        <f>+HYPERLINK("http://trademark.i-assist.jp/data/china/image_1891th/77737283.pdf","77737283")</f>
        <v>77737283</v>
      </c>
      <c r="F2205" s="16" t="s">
        <v>4952</v>
      </c>
      <c r="G2205" s="16" t="s">
        <v>4951</v>
      </c>
      <c r="H2205" s="16" t="s">
        <v>4953</v>
      </c>
      <c r="I2205" s="17">
        <v>45385</v>
      </c>
    </row>
    <row r="2206" spans="1:9" x14ac:dyDescent="0.15">
      <c r="A2206" s="16" t="s">
        <v>4959</v>
      </c>
      <c r="B2206" s="7" t="s">
        <v>9</v>
      </c>
      <c r="C2206" s="16" t="s">
        <v>40</v>
      </c>
      <c r="D2206" s="16" t="s">
        <v>41</v>
      </c>
      <c r="E2206" s="13" t="str">
        <f>+HYPERLINK("http://trademark.i-assist.jp/data/china/image_1891th/77737346.pdf","77737346")</f>
        <v>77737346</v>
      </c>
      <c r="F2206" s="16" t="s">
        <v>4957</v>
      </c>
      <c r="G2206" s="16" t="s">
        <v>4956</v>
      </c>
      <c r="H2206" s="16" t="s">
        <v>4958</v>
      </c>
      <c r="I2206" s="17">
        <v>45385</v>
      </c>
    </row>
    <row r="2207" spans="1:9" x14ac:dyDescent="0.15">
      <c r="A2207" s="16" t="s">
        <v>4963</v>
      </c>
      <c r="B2207" s="7" t="s">
        <v>9</v>
      </c>
      <c r="C2207" s="16" t="s">
        <v>40</v>
      </c>
      <c r="D2207" s="16" t="s">
        <v>41</v>
      </c>
      <c r="E2207" s="13" t="str">
        <f>+HYPERLINK("http://trademark.i-assist.jp/data/china/image_1891th/77737861.pdf","77737861")</f>
        <v>77737861</v>
      </c>
      <c r="F2207" s="16" t="s">
        <v>52</v>
      </c>
      <c r="G2207" s="16" t="s">
        <v>4961</v>
      </c>
      <c r="H2207" s="16" t="s">
        <v>4962</v>
      </c>
      <c r="I2207" s="17">
        <v>45385</v>
      </c>
    </row>
    <row r="2208" spans="1:9" x14ac:dyDescent="0.15">
      <c r="A2208" s="16" t="s">
        <v>4968</v>
      </c>
      <c r="B2208" s="7" t="s">
        <v>9</v>
      </c>
      <c r="C2208" s="16" t="s">
        <v>40</v>
      </c>
      <c r="D2208" s="16" t="s">
        <v>41</v>
      </c>
      <c r="E2208" s="13" t="str">
        <f>+HYPERLINK("http://trademark.i-assist.jp/data/china/image_1891th/77738043.pdf","77738043")</f>
        <v>77738043</v>
      </c>
      <c r="F2208" s="16" t="s">
        <v>4966</v>
      </c>
      <c r="G2208" s="16" t="s">
        <v>4965</v>
      </c>
      <c r="H2208" s="16" t="s">
        <v>4967</v>
      </c>
      <c r="I2208" s="17">
        <v>45385</v>
      </c>
    </row>
    <row r="2209" spans="1:9" x14ac:dyDescent="0.15">
      <c r="A2209" s="16" t="s">
        <v>4973</v>
      </c>
      <c r="B2209" s="7" t="s">
        <v>9</v>
      </c>
      <c r="C2209" s="16" t="s">
        <v>40</v>
      </c>
      <c r="D2209" s="16" t="s">
        <v>41</v>
      </c>
      <c r="E2209" s="13" t="str">
        <f>+HYPERLINK("http://trademark.i-assist.jp/data/china/image_1891th/77738837.pdf","77738837")</f>
        <v>77738837</v>
      </c>
      <c r="F2209" s="16" t="s">
        <v>4971</v>
      </c>
      <c r="G2209" s="16" t="s">
        <v>4970</v>
      </c>
      <c r="H2209" s="16" t="s">
        <v>4972</v>
      </c>
      <c r="I2209" s="17">
        <v>45385</v>
      </c>
    </row>
    <row r="2210" spans="1:9" x14ac:dyDescent="0.15">
      <c r="A2210" s="16" t="s">
        <v>4978</v>
      </c>
      <c r="B2210" s="7" t="s">
        <v>9</v>
      </c>
      <c r="C2210" s="16" t="s">
        <v>40</v>
      </c>
      <c r="D2210" s="16" t="s">
        <v>41</v>
      </c>
      <c r="E2210" s="13" t="str">
        <f>+HYPERLINK("http://trademark.i-assist.jp/data/china/image_1891th/77739167.pdf","77739167")</f>
        <v>77739167</v>
      </c>
      <c r="F2210" s="16" t="s">
        <v>4976</v>
      </c>
      <c r="G2210" s="16" t="s">
        <v>4975</v>
      </c>
      <c r="H2210" s="16" t="s">
        <v>4977</v>
      </c>
      <c r="I2210" s="17">
        <v>45385</v>
      </c>
    </row>
    <row r="2211" spans="1:9" x14ac:dyDescent="0.15">
      <c r="A2211" s="16" t="s">
        <v>4983</v>
      </c>
      <c r="B2211" s="7" t="s">
        <v>9</v>
      </c>
      <c r="C2211" s="16" t="s">
        <v>40</v>
      </c>
      <c r="D2211" s="16" t="s">
        <v>41</v>
      </c>
      <c r="E2211" s="13" t="str">
        <f>+HYPERLINK("http://trademark.i-assist.jp/data/china/image_1891th/77739412.pdf","77739412")</f>
        <v>77739412</v>
      </c>
      <c r="F2211" s="16" t="s">
        <v>4981</v>
      </c>
      <c r="G2211" s="16" t="s">
        <v>4980</v>
      </c>
      <c r="H2211" s="16" t="s">
        <v>4982</v>
      </c>
      <c r="I2211" s="17">
        <v>45385</v>
      </c>
    </row>
    <row r="2212" spans="1:9" x14ac:dyDescent="0.15">
      <c r="A2212" s="16" t="s">
        <v>4988</v>
      </c>
      <c r="B2212" s="7" t="s">
        <v>9</v>
      </c>
      <c r="C2212" s="16" t="s">
        <v>40</v>
      </c>
      <c r="D2212" s="16" t="s">
        <v>41</v>
      </c>
      <c r="E2212" s="13" t="str">
        <f>+HYPERLINK("http://trademark.i-assist.jp/data/china/image_1891th/77739685.pdf","77739685")</f>
        <v>77739685</v>
      </c>
      <c r="F2212" s="16" t="s">
        <v>4986</v>
      </c>
      <c r="G2212" s="16" t="s">
        <v>4985</v>
      </c>
      <c r="H2212" s="16" t="s">
        <v>4987</v>
      </c>
      <c r="I2212" s="17">
        <v>45385</v>
      </c>
    </row>
    <row r="2213" spans="1:9" x14ac:dyDescent="0.15">
      <c r="A2213" s="16" t="s">
        <v>4993</v>
      </c>
      <c r="B2213" s="7" t="s">
        <v>9</v>
      </c>
      <c r="C2213" s="16" t="s">
        <v>40</v>
      </c>
      <c r="D2213" s="16" t="s">
        <v>41</v>
      </c>
      <c r="E2213" s="13" t="str">
        <f>+HYPERLINK("http://trademark.i-assist.jp/data/china/image_1891th/77739782.pdf","77739782")</f>
        <v>77739782</v>
      </c>
      <c r="F2213" s="16" t="s">
        <v>4991</v>
      </c>
      <c r="G2213" s="16" t="s">
        <v>4990</v>
      </c>
      <c r="H2213" s="16" t="s">
        <v>4992</v>
      </c>
      <c r="I2213" s="17">
        <v>45385</v>
      </c>
    </row>
    <row r="2214" spans="1:9" x14ac:dyDescent="0.15">
      <c r="A2214" s="16" t="s">
        <v>4998</v>
      </c>
      <c r="B2214" s="7" t="s">
        <v>9</v>
      </c>
      <c r="C2214" s="16" t="s">
        <v>40</v>
      </c>
      <c r="D2214" s="16" t="s">
        <v>41</v>
      </c>
      <c r="E2214" s="13" t="str">
        <f>+HYPERLINK("http://trademark.i-assist.jp/data/china/image_1891th/77739961.pdf","77739961")</f>
        <v>77739961</v>
      </c>
      <c r="F2214" s="16" t="s">
        <v>4996</v>
      </c>
      <c r="G2214" s="16" t="s">
        <v>4995</v>
      </c>
      <c r="H2214" s="16" t="s">
        <v>4997</v>
      </c>
      <c r="I2214" s="17">
        <v>45385</v>
      </c>
    </row>
    <row r="2215" spans="1:9" x14ac:dyDescent="0.15">
      <c r="A2215" s="16" t="s">
        <v>5002</v>
      </c>
      <c r="B2215" s="7" t="s">
        <v>9</v>
      </c>
      <c r="C2215" s="16" t="s">
        <v>40</v>
      </c>
      <c r="D2215" s="16" t="s">
        <v>41</v>
      </c>
      <c r="E2215" s="13" t="str">
        <f>+HYPERLINK("http://trademark.i-assist.jp/data/china/image_1891th/77739990.pdf","77739990")</f>
        <v>77739990</v>
      </c>
      <c r="F2215" s="16" t="s">
        <v>5000</v>
      </c>
      <c r="G2215" s="16" t="s">
        <v>4956</v>
      </c>
      <c r="H2215" s="16" t="s">
        <v>5001</v>
      </c>
      <c r="I2215" s="17">
        <v>45385</v>
      </c>
    </row>
    <row r="2216" spans="1:9" x14ac:dyDescent="0.15">
      <c r="A2216" s="16" t="s">
        <v>9974</v>
      </c>
      <c r="B2216" s="7" t="s">
        <v>9</v>
      </c>
      <c r="C2216" s="16" t="s">
        <v>40</v>
      </c>
      <c r="D2216" s="16" t="s">
        <v>41</v>
      </c>
      <c r="E2216" s="13" t="str">
        <f>+HYPERLINK("http://trademark.i-assist.jp/data/china/image_1891th/77740101.pdf","77740101")</f>
        <v>77740101</v>
      </c>
      <c r="F2216" s="16" t="s">
        <v>5005</v>
      </c>
      <c r="G2216" s="16" t="s">
        <v>5004</v>
      </c>
      <c r="H2216" s="16" t="s">
        <v>5006</v>
      </c>
      <c r="I2216" s="17">
        <v>45385</v>
      </c>
    </row>
    <row r="2217" spans="1:9" x14ac:dyDescent="0.15">
      <c r="A2217" s="16" t="s">
        <v>9979</v>
      </c>
      <c r="B2217" s="7" t="s">
        <v>9</v>
      </c>
      <c r="C2217" s="16" t="s">
        <v>40</v>
      </c>
      <c r="D2217" s="16" t="s">
        <v>41</v>
      </c>
      <c r="E2217" s="13" t="str">
        <f>+HYPERLINK("http://trademark.i-assist.jp/data/china/image_1891th/77740283.pdf","77740283")</f>
        <v>77740283</v>
      </c>
      <c r="F2217" s="16" t="s">
        <v>9977</v>
      </c>
      <c r="G2217" s="16" t="s">
        <v>9976</v>
      </c>
      <c r="H2217" s="16" t="s">
        <v>9978</v>
      </c>
      <c r="I2217" s="17">
        <v>45385</v>
      </c>
    </row>
    <row r="2218" spans="1:9" x14ac:dyDescent="0.15">
      <c r="A2218" s="16" t="s">
        <v>9983</v>
      </c>
      <c r="B2218" s="7" t="s">
        <v>9</v>
      </c>
      <c r="C2218" s="16" t="s">
        <v>40</v>
      </c>
      <c r="D2218" s="16" t="s">
        <v>41</v>
      </c>
      <c r="E2218" s="13" t="str">
        <f>+HYPERLINK("http://trademark.i-assist.jp/data/china/image_1891th/77740343.pdf","77740343")</f>
        <v>77740343</v>
      </c>
      <c r="F2218" s="16" t="s">
        <v>52</v>
      </c>
      <c r="G2218" s="16" t="s">
        <v>9981</v>
      </c>
      <c r="H2218" s="16" t="s">
        <v>9982</v>
      </c>
      <c r="I2218" s="17">
        <v>45385</v>
      </c>
    </row>
    <row r="2219" spans="1:9" x14ac:dyDescent="0.15">
      <c r="A2219" s="16" t="s">
        <v>9988</v>
      </c>
      <c r="B2219" s="7" t="s">
        <v>9</v>
      </c>
      <c r="C2219" s="16" t="s">
        <v>40</v>
      </c>
      <c r="D2219" s="16" t="s">
        <v>41</v>
      </c>
      <c r="E2219" s="13" t="str">
        <f>+HYPERLINK("http://trademark.i-assist.jp/data/china/image_1891th/77741583.pdf","77741583")</f>
        <v>77741583</v>
      </c>
      <c r="F2219" s="16" t="s">
        <v>9986</v>
      </c>
      <c r="G2219" s="16" t="s">
        <v>9985</v>
      </c>
      <c r="H2219" s="16" t="s">
        <v>9987</v>
      </c>
      <c r="I2219" s="17">
        <v>45385</v>
      </c>
    </row>
    <row r="2220" spans="1:9" x14ac:dyDescent="0.15">
      <c r="A2220" s="16" t="s">
        <v>9993</v>
      </c>
      <c r="B2220" s="7" t="s">
        <v>9</v>
      </c>
      <c r="C2220" s="16" t="s">
        <v>40</v>
      </c>
      <c r="D2220" s="16" t="s">
        <v>41</v>
      </c>
      <c r="E2220" s="13" t="str">
        <f>+HYPERLINK("http://trademark.i-assist.jp/data/china/image_1891th/77742119.pdf","77742119")</f>
        <v>77742119</v>
      </c>
      <c r="F2220" s="16" t="s">
        <v>9991</v>
      </c>
      <c r="G2220" s="16" t="s">
        <v>9990</v>
      </c>
      <c r="H2220" s="16" t="s">
        <v>9992</v>
      </c>
      <c r="I2220" s="17">
        <v>45385</v>
      </c>
    </row>
    <row r="2221" spans="1:9" x14ac:dyDescent="0.15">
      <c r="A2221" s="16" t="s">
        <v>9998</v>
      </c>
      <c r="B2221" s="7" t="s">
        <v>9</v>
      </c>
      <c r="C2221" s="16" t="s">
        <v>40</v>
      </c>
      <c r="D2221" s="16" t="s">
        <v>41</v>
      </c>
      <c r="E2221" s="13" t="str">
        <f>+HYPERLINK("http://trademark.i-assist.jp/data/china/image_1891th/77742473.pdf","77742473")</f>
        <v>77742473</v>
      </c>
      <c r="F2221" s="16" t="s">
        <v>9996</v>
      </c>
      <c r="G2221" s="16" t="s">
        <v>9995</v>
      </c>
      <c r="H2221" s="16" t="s">
        <v>9997</v>
      </c>
      <c r="I2221" s="17">
        <v>45385</v>
      </c>
    </row>
    <row r="2222" spans="1:9" x14ac:dyDescent="0.15">
      <c r="A2222" s="16" t="s">
        <v>10003</v>
      </c>
      <c r="B2222" s="7" t="s">
        <v>9</v>
      </c>
      <c r="C2222" s="16" t="s">
        <v>40</v>
      </c>
      <c r="D2222" s="16" t="s">
        <v>41</v>
      </c>
      <c r="E2222" s="13" t="str">
        <f>+HYPERLINK("http://trademark.i-assist.jp/data/china/image_1891th/77742488.pdf","77742488")</f>
        <v>77742488</v>
      </c>
      <c r="F2222" s="16" t="s">
        <v>10001</v>
      </c>
      <c r="G2222" s="16" t="s">
        <v>10000</v>
      </c>
      <c r="H2222" s="16" t="s">
        <v>10002</v>
      </c>
      <c r="I2222" s="17">
        <v>45385</v>
      </c>
    </row>
    <row r="2223" spans="1:9" x14ac:dyDescent="0.15">
      <c r="A2223" s="16" t="s">
        <v>10007</v>
      </c>
      <c r="B2223" s="7" t="s">
        <v>9</v>
      </c>
      <c r="C2223" s="16" t="s">
        <v>40</v>
      </c>
      <c r="D2223" s="16" t="s">
        <v>41</v>
      </c>
      <c r="E2223" s="13" t="str">
        <f>+HYPERLINK("http://trademark.i-assist.jp/data/china/image_1891th/77742529.pdf","77742529")</f>
        <v>77742529</v>
      </c>
      <c r="F2223" s="16" t="s">
        <v>10005</v>
      </c>
      <c r="G2223" s="16" t="s">
        <v>7180</v>
      </c>
      <c r="H2223" s="16" t="s">
        <v>10006</v>
      </c>
      <c r="I2223" s="17">
        <v>45385</v>
      </c>
    </row>
    <row r="2224" spans="1:9" x14ac:dyDescent="0.15">
      <c r="A2224" s="16" t="s">
        <v>10012</v>
      </c>
      <c r="B2224" s="7" t="s">
        <v>9</v>
      </c>
      <c r="C2224" s="16" t="s">
        <v>40</v>
      </c>
      <c r="D2224" s="16" t="s">
        <v>41</v>
      </c>
      <c r="E2224" s="13" t="str">
        <f>+HYPERLINK("http://trademark.i-assist.jp/data/china/image_1891th/77742815.pdf","77742815")</f>
        <v>77742815</v>
      </c>
      <c r="F2224" s="16" t="s">
        <v>10010</v>
      </c>
      <c r="G2224" s="16" t="s">
        <v>10009</v>
      </c>
      <c r="H2224" s="16" t="s">
        <v>10011</v>
      </c>
      <c r="I2224" s="17">
        <v>45385</v>
      </c>
    </row>
    <row r="2225" spans="1:9" x14ac:dyDescent="0.15">
      <c r="A2225" s="16" t="s">
        <v>10017</v>
      </c>
      <c r="B2225" s="7" t="s">
        <v>9</v>
      </c>
      <c r="C2225" s="16" t="s">
        <v>40</v>
      </c>
      <c r="D2225" s="16" t="s">
        <v>41</v>
      </c>
      <c r="E2225" s="13" t="str">
        <f>+HYPERLINK("http://trademark.i-assist.jp/data/china/image_1891th/77743347.pdf","77743347")</f>
        <v>77743347</v>
      </c>
      <c r="F2225" s="16" t="s">
        <v>10015</v>
      </c>
      <c r="G2225" s="16" t="s">
        <v>10014</v>
      </c>
      <c r="H2225" s="16" t="s">
        <v>10016</v>
      </c>
      <c r="I2225" s="17">
        <v>45385</v>
      </c>
    </row>
    <row r="2226" spans="1:9" x14ac:dyDescent="0.15">
      <c r="A2226" s="16" t="s">
        <v>10022</v>
      </c>
      <c r="B2226" s="7" t="s">
        <v>9</v>
      </c>
      <c r="C2226" s="16" t="s">
        <v>40</v>
      </c>
      <c r="D2226" s="16" t="s">
        <v>41</v>
      </c>
      <c r="E2226" s="13" t="str">
        <f>+HYPERLINK("http://trademark.i-assist.jp/data/china/image_1891th/77743392.pdf","77743392")</f>
        <v>77743392</v>
      </c>
      <c r="F2226" s="16" t="s">
        <v>10020</v>
      </c>
      <c r="G2226" s="16" t="s">
        <v>10019</v>
      </c>
      <c r="H2226" s="16" t="s">
        <v>10021</v>
      </c>
      <c r="I2226" s="17">
        <v>45385</v>
      </c>
    </row>
    <row r="2227" spans="1:9" x14ac:dyDescent="0.15">
      <c r="A2227" s="16" t="s">
        <v>10027</v>
      </c>
      <c r="B2227" s="7" t="s">
        <v>9</v>
      </c>
      <c r="C2227" s="16" t="s">
        <v>40</v>
      </c>
      <c r="D2227" s="16" t="s">
        <v>41</v>
      </c>
      <c r="E2227" s="13" t="str">
        <f>+HYPERLINK("http://trademark.i-assist.jp/data/china/image_1891th/77743479.pdf","77743479")</f>
        <v>77743479</v>
      </c>
      <c r="F2227" s="16" t="s">
        <v>10025</v>
      </c>
      <c r="G2227" s="16" t="s">
        <v>10024</v>
      </c>
      <c r="H2227" s="16" t="s">
        <v>10026</v>
      </c>
      <c r="I2227" s="17">
        <v>45385</v>
      </c>
    </row>
    <row r="2228" spans="1:9" x14ac:dyDescent="0.15">
      <c r="A2228" s="16" t="s">
        <v>10031</v>
      </c>
      <c r="B2228" s="7" t="s">
        <v>9</v>
      </c>
      <c r="C2228" s="16" t="s">
        <v>40</v>
      </c>
      <c r="D2228" s="16" t="s">
        <v>41</v>
      </c>
      <c r="E2228" s="13" t="str">
        <f>+HYPERLINK("http://trademark.i-assist.jp/data/china/image_1891th/77743480.pdf","77743480")</f>
        <v>77743480</v>
      </c>
      <c r="F2228" s="16" t="s">
        <v>10029</v>
      </c>
      <c r="G2228" s="16" t="s">
        <v>4965</v>
      </c>
      <c r="H2228" s="16" t="s">
        <v>10030</v>
      </c>
      <c r="I2228" s="17">
        <v>45385</v>
      </c>
    </row>
    <row r="2229" spans="1:9" x14ac:dyDescent="0.15">
      <c r="A2229" s="16" t="s">
        <v>10036</v>
      </c>
      <c r="B2229" s="7" t="s">
        <v>9</v>
      </c>
      <c r="C2229" s="16" t="s">
        <v>40</v>
      </c>
      <c r="D2229" s="16" t="s">
        <v>41</v>
      </c>
      <c r="E2229" s="13" t="str">
        <f>+HYPERLINK("http://trademark.i-assist.jp/data/china/image_1891th/77743524.pdf","77743524")</f>
        <v>77743524</v>
      </c>
      <c r="F2229" s="16" t="s">
        <v>10034</v>
      </c>
      <c r="G2229" s="16" t="s">
        <v>10033</v>
      </c>
      <c r="H2229" s="16" t="s">
        <v>10035</v>
      </c>
      <c r="I2229" s="17">
        <v>45385</v>
      </c>
    </row>
    <row r="2230" spans="1:9" x14ac:dyDescent="0.15">
      <c r="A2230" s="16" t="s">
        <v>10041</v>
      </c>
      <c r="B2230" s="7" t="s">
        <v>9</v>
      </c>
      <c r="C2230" s="16" t="s">
        <v>40</v>
      </c>
      <c r="D2230" s="16" t="s">
        <v>41</v>
      </c>
      <c r="E2230" s="13" t="str">
        <f>+HYPERLINK("http://trademark.i-assist.jp/data/china/image_1891th/77743955.pdf","77743955")</f>
        <v>77743955</v>
      </c>
      <c r="F2230" s="16" t="s">
        <v>10039</v>
      </c>
      <c r="G2230" s="16" t="s">
        <v>10038</v>
      </c>
      <c r="H2230" s="16" t="s">
        <v>10040</v>
      </c>
      <c r="I2230" s="17">
        <v>45385</v>
      </c>
    </row>
    <row r="2231" spans="1:9" x14ac:dyDescent="0.15">
      <c r="A2231" s="16" t="s">
        <v>10045</v>
      </c>
      <c r="B2231" s="7" t="s">
        <v>9</v>
      </c>
      <c r="C2231" s="16" t="s">
        <v>40</v>
      </c>
      <c r="D2231" s="16" t="s">
        <v>41</v>
      </c>
      <c r="E2231" s="13" t="str">
        <f>+HYPERLINK("http://trademark.i-assist.jp/data/china/image_1891th/77745511.pdf","77745511")</f>
        <v>77745511</v>
      </c>
      <c r="F2231" s="16" t="s">
        <v>10043</v>
      </c>
      <c r="G2231" s="16" t="s">
        <v>7180</v>
      </c>
      <c r="H2231" s="16" t="s">
        <v>10044</v>
      </c>
      <c r="I2231" s="17">
        <v>45385</v>
      </c>
    </row>
    <row r="2232" spans="1:9" x14ac:dyDescent="0.15">
      <c r="A2232" s="16" t="s">
        <v>10049</v>
      </c>
      <c r="B2232" s="7" t="s">
        <v>9</v>
      </c>
      <c r="C2232" s="16" t="s">
        <v>40</v>
      </c>
      <c r="D2232" s="16" t="s">
        <v>41</v>
      </c>
      <c r="E2232" s="13" t="str">
        <f>+HYPERLINK("http://trademark.i-assist.jp/data/china/image_1891th/77746003.pdf","77746003")</f>
        <v>77746003</v>
      </c>
      <c r="F2232" s="16" t="s">
        <v>10047</v>
      </c>
      <c r="G2232" s="16" t="s">
        <v>4985</v>
      </c>
      <c r="H2232" s="16" t="s">
        <v>10048</v>
      </c>
      <c r="I2232" s="17">
        <v>45385</v>
      </c>
    </row>
    <row r="2233" spans="1:9" x14ac:dyDescent="0.15">
      <c r="A2233" s="16" t="s">
        <v>10054</v>
      </c>
      <c r="B2233" s="7" t="s">
        <v>9</v>
      </c>
      <c r="C2233" s="16" t="s">
        <v>40</v>
      </c>
      <c r="D2233" s="16" t="s">
        <v>41</v>
      </c>
      <c r="E2233" s="13" t="str">
        <f>+HYPERLINK("http://trademark.i-assist.jp/data/china/image_1891th/77746457.pdf","77746457")</f>
        <v>77746457</v>
      </c>
      <c r="F2233" s="16" t="s">
        <v>10052</v>
      </c>
      <c r="G2233" s="16" t="s">
        <v>10051</v>
      </c>
      <c r="H2233" s="16" t="s">
        <v>10053</v>
      </c>
      <c r="I2233" s="17">
        <v>45385</v>
      </c>
    </row>
    <row r="2234" spans="1:9" x14ac:dyDescent="0.15">
      <c r="A2234" s="16" t="s">
        <v>10058</v>
      </c>
      <c r="B2234" s="7" t="s">
        <v>9</v>
      </c>
      <c r="C2234" s="16" t="s">
        <v>40</v>
      </c>
      <c r="D2234" s="16" t="s">
        <v>41</v>
      </c>
      <c r="E2234" s="13" t="str">
        <f>+HYPERLINK("http://trademark.i-assist.jp/data/china/image_1891th/77747538.pdf","77747538")</f>
        <v>77747538</v>
      </c>
      <c r="F2234" s="16" t="s">
        <v>10056</v>
      </c>
      <c r="G2234" s="16" t="s">
        <v>9623</v>
      </c>
      <c r="H2234" s="16" t="s">
        <v>10057</v>
      </c>
      <c r="I2234" s="17">
        <v>45385</v>
      </c>
    </row>
    <row r="2235" spans="1:9" x14ac:dyDescent="0.15">
      <c r="A2235" s="16" t="s">
        <v>10063</v>
      </c>
      <c r="B2235" s="7" t="s">
        <v>9</v>
      </c>
      <c r="C2235" s="16" t="s">
        <v>40</v>
      </c>
      <c r="D2235" s="16" t="s">
        <v>41</v>
      </c>
      <c r="E2235" s="13" t="str">
        <f>+HYPERLINK("http://trademark.i-assist.jp/data/china/image_1891th/77747794.pdf","77747794")</f>
        <v>77747794</v>
      </c>
      <c r="F2235" s="16" t="s">
        <v>10061</v>
      </c>
      <c r="G2235" s="16" t="s">
        <v>10060</v>
      </c>
      <c r="H2235" s="16" t="s">
        <v>10062</v>
      </c>
      <c r="I2235" s="17">
        <v>45385</v>
      </c>
    </row>
    <row r="2236" spans="1:9" x14ac:dyDescent="0.15">
      <c r="A2236" s="16" t="s">
        <v>10068</v>
      </c>
      <c r="B2236" s="7" t="s">
        <v>9</v>
      </c>
      <c r="C2236" s="16" t="s">
        <v>40</v>
      </c>
      <c r="D2236" s="16" t="s">
        <v>41</v>
      </c>
      <c r="E2236" s="13" t="str">
        <f>+HYPERLINK("http://trademark.i-assist.jp/data/china/image_1891th/77748738.pdf","77748738")</f>
        <v>77748738</v>
      </c>
      <c r="F2236" s="16" t="s">
        <v>10066</v>
      </c>
      <c r="G2236" s="16" t="s">
        <v>10065</v>
      </c>
      <c r="H2236" s="16" t="s">
        <v>10067</v>
      </c>
      <c r="I2236" s="17">
        <v>45385</v>
      </c>
    </row>
    <row r="2237" spans="1:9" x14ac:dyDescent="0.15">
      <c r="A2237" s="16" t="s">
        <v>10073</v>
      </c>
      <c r="B2237" s="7" t="s">
        <v>9</v>
      </c>
      <c r="C2237" s="16" t="s">
        <v>40</v>
      </c>
      <c r="D2237" s="16" t="s">
        <v>41</v>
      </c>
      <c r="E2237" s="13" t="str">
        <f>+HYPERLINK("http://trademark.i-assist.jp/data/china/image_1891th/77749172.pdf","77749172")</f>
        <v>77749172</v>
      </c>
      <c r="F2237" s="16" t="s">
        <v>10071</v>
      </c>
      <c r="G2237" s="16" t="s">
        <v>10070</v>
      </c>
      <c r="H2237" s="16" t="s">
        <v>10072</v>
      </c>
      <c r="I2237" s="17">
        <v>45385</v>
      </c>
    </row>
    <row r="2238" spans="1:9" x14ac:dyDescent="0.15">
      <c r="A2238" s="16" t="s">
        <v>10077</v>
      </c>
      <c r="B2238" s="7" t="s">
        <v>9</v>
      </c>
      <c r="C2238" s="16" t="s">
        <v>40</v>
      </c>
      <c r="D2238" s="16" t="s">
        <v>41</v>
      </c>
      <c r="E2238" s="13" t="str">
        <f>+HYPERLINK("http://trademark.i-assist.jp/data/china/image_1891th/77749327.pdf","77749327")</f>
        <v>77749327</v>
      </c>
      <c r="F2238" s="16" t="s">
        <v>11113</v>
      </c>
      <c r="G2238" s="16" t="s">
        <v>4956</v>
      </c>
      <c r="H2238" s="16" t="s">
        <v>10076</v>
      </c>
      <c r="I2238" s="17">
        <v>45385</v>
      </c>
    </row>
    <row r="2239" spans="1:9" x14ac:dyDescent="0.15">
      <c r="A2239" s="16" t="s">
        <v>10082</v>
      </c>
      <c r="B2239" s="7" t="s">
        <v>9</v>
      </c>
      <c r="C2239" s="16" t="s">
        <v>40</v>
      </c>
      <c r="D2239" s="16" t="s">
        <v>41</v>
      </c>
      <c r="E2239" s="13" t="str">
        <f>+HYPERLINK("http://trademark.i-assist.jp/data/china/image_1891th/77749450.pdf","77749450")</f>
        <v>77749450</v>
      </c>
      <c r="F2239" s="16" t="s">
        <v>10080</v>
      </c>
      <c r="G2239" s="16" t="s">
        <v>10079</v>
      </c>
      <c r="H2239" s="16" t="s">
        <v>10081</v>
      </c>
      <c r="I2239" s="17">
        <v>45385</v>
      </c>
    </row>
    <row r="2240" spans="1:9" x14ac:dyDescent="0.15">
      <c r="A2240" s="16" t="s">
        <v>10087</v>
      </c>
      <c r="B2240" s="7" t="s">
        <v>9</v>
      </c>
      <c r="C2240" s="16" t="s">
        <v>40</v>
      </c>
      <c r="D2240" s="16" t="s">
        <v>41</v>
      </c>
      <c r="E2240" s="13" t="str">
        <f>+HYPERLINK("http://trademark.i-assist.jp/data/china/image_1891th/77749483.pdf","77749483")</f>
        <v>77749483</v>
      </c>
      <c r="F2240" s="16" t="s">
        <v>10085</v>
      </c>
      <c r="G2240" s="16" t="s">
        <v>10084</v>
      </c>
      <c r="H2240" s="16" t="s">
        <v>10086</v>
      </c>
      <c r="I2240" s="17">
        <v>45385</v>
      </c>
    </row>
    <row r="2241" spans="1:9" x14ac:dyDescent="0.15">
      <c r="A2241" s="16" t="s">
        <v>10092</v>
      </c>
      <c r="B2241" s="7" t="s">
        <v>9</v>
      </c>
      <c r="C2241" s="16" t="s">
        <v>40</v>
      </c>
      <c r="D2241" s="16" t="s">
        <v>41</v>
      </c>
      <c r="E2241" s="13" t="str">
        <f>+HYPERLINK("http://trademark.i-assist.jp/data/china/image_1891th/77749657.pdf","77749657")</f>
        <v>77749657</v>
      </c>
      <c r="F2241" s="16" t="s">
        <v>10090</v>
      </c>
      <c r="G2241" s="16" t="s">
        <v>10089</v>
      </c>
      <c r="H2241" s="16" t="s">
        <v>10091</v>
      </c>
      <c r="I2241" s="17">
        <v>45385</v>
      </c>
    </row>
    <row r="2242" spans="1:9" x14ac:dyDescent="0.15">
      <c r="A2242" s="16" t="s">
        <v>10096</v>
      </c>
      <c r="B2242" s="7" t="s">
        <v>9</v>
      </c>
      <c r="C2242" s="16" t="s">
        <v>40</v>
      </c>
      <c r="D2242" s="16" t="s">
        <v>41</v>
      </c>
      <c r="E2242" s="13" t="str">
        <f>+HYPERLINK("http://trademark.i-assist.jp/data/china/image_1891th/77749717.pdf","77749717")</f>
        <v>77749717</v>
      </c>
      <c r="F2242" s="16" t="s">
        <v>10094</v>
      </c>
      <c r="G2242" s="16" t="s">
        <v>10070</v>
      </c>
      <c r="H2242" s="16" t="s">
        <v>10095</v>
      </c>
      <c r="I2242" s="17">
        <v>45385</v>
      </c>
    </row>
    <row r="2243" spans="1:9" x14ac:dyDescent="0.15">
      <c r="A2243" s="16" t="s">
        <v>10101</v>
      </c>
      <c r="B2243" s="7" t="s">
        <v>9</v>
      </c>
      <c r="C2243" s="16" t="s">
        <v>40</v>
      </c>
      <c r="D2243" s="16" t="s">
        <v>41</v>
      </c>
      <c r="E2243" s="13" t="str">
        <f>+HYPERLINK("http://trademark.i-assist.jp/data/china/image_1891th/77749972.pdf","77749972")</f>
        <v>77749972</v>
      </c>
      <c r="F2243" s="16" t="s">
        <v>10099</v>
      </c>
      <c r="G2243" s="16" t="s">
        <v>10098</v>
      </c>
      <c r="H2243" s="16" t="s">
        <v>10100</v>
      </c>
      <c r="I2243" s="17">
        <v>45385</v>
      </c>
    </row>
    <row r="2244" spans="1:9" x14ac:dyDescent="0.15">
      <c r="A2244" s="16" t="s">
        <v>10106</v>
      </c>
      <c r="B2244" s="7" t="s">
        <v>9</v>
      </c>
      <c r="C2244" s="16" t="s">
        <v>40</v>
      </c>
      <c r="D2244" s="16" t="s">
        <v>41</v>
      </c>
      <c r="E2244" s="13" t="str">
        <f>+HYPERLINK("http://trademark.i-assist.jp/data/china/image_1891th/77749974.pdf","77749974")</f>
        <v>77749974</v>
      </c>
      <c r="F2244" s="16" t="s">
        <v>10104</v>
      </c>
      <c r="G2244" s="16" t="s">
        <v>10103</v>
      </c>
      <c r="H2244" s="16" t="s">
        <v>10105</v>
      </c>
      <c r="I2244" s="17">
        <v>45385</v>
      </c>
    </row>
    <row r="2245" spans="1:9" x14ac:dyDescent="0.15">
      <c r="A2245" s="16" t="s">
        <v>10111</v>
      </c>
      <c r="B2245" s="7" t="s">
        <v>9</v>
      </c>
      <c r="C2245" s="16" t="s">
        <v>40</v>
      </c>
      <c r="D2245" s="16" t="s">
        <v>41</v>
      </c>
      <c r="E2245" s="13" t="str">
        <f>+HYPERLINK("http://trademark.i-assist.jp/data/china/image_1891th/77750122.pdf","77750122")</f>
        <v>77750122</v>
      </c>
      <c r="F2245" s="16" t="s">
        <v>10109</v>
      </c>
      <c r="G2245" s="16" t="s">
        <v>10108</v>
      </c>
      <c r="H2245" s="16" t="s">
        <v>10110</v>
      </c>
      <c r="I2245" s="17">
        <v>45385</v>
      </c>
    </row>
    <row r="2246" spans="1:9" x14ac:dyDescent="0.15">
      <c r="A2246" s="16" t="s">
        <v>10116</v>
      </c>
      <c r="B2246" s="7" t="s">
        <v>9</v>
      </c>
      <c r="C2246" s="16" t="s">
        <v>40</v>
      </c>
      <c r="D2246" s="16" t="s">
        <v>41</v>
      </c>
      <c r="E2246" s="13" t="str">
        <f>+HYPERLINK("http://trademark.i-assist.jp/data/china/image_1891th/77750577.pdf","77750577")</f>
        <v>77750577</v>
      </c>
      <c r="F2246" s="16" t="s">
        <v>10114</v>
      </c>
      <c r="G2246" s="16" t="s">
        <v>10113</v>
      </c>
      <c r="H2246" s="16" t="s">
        <v>10115</v>
      </c>
      <c r="I2246" s="17">
        <v>45385</v>
      </c>
    </row>
    <row r="2247" spans="1:9" x14ac:dyDescent="0.15">
      <c r="A2247" s="16" t="s">
        <v>10791</v>
      </c>
      <c r="B2247" s="7" t="s">
        <v>9</v>
      </c>
      <c r="C2247" s="16" t="s">
        <v>40</v>
      </c>
      <c r="D2247" s="16" t="s">
        <v>41</v>
      </c>
      <c r="E2247" s="13" t="str">
        <f>+HYPERLINK("http://trademark.i-assist.jp/data/china/image_1891th/77750806.pdf","77750806")</f>
        <v>77750806</v>
      </c>
      <c r="F2247" s="16" t="s">
        <v>10119</v>
      </c>
      <c r="G2247" s="16" t="s">
        <v>10118</v>
      </c>
      <c r="H2247" s="16" t="s">
        <v>10120</v>
      </c>
      <c r="I2247" s="17">
        <v>45385</v>
      </c>
    </row>
    <row r="2248" spans="1:9" x14ac:dyDescent="0.15">
      <c r="A2248" s="16" t="s">
        <v>10796</v>
      </c>
      <c r="B2248" s="7" t="s">
        <v>9</v>
      </c>
      <c r="C2248" s="16" t="s">
        <v>40</v>
      </c>
      <c r="D2248" s="16" t="s">
        <v>41</v>
      </c>
      <c r="E2248" s="13" t="str">
        <f>+HYPERLINK("http://trademark.i-assist.jp/data/china/image_1891th/77750960.pdf","77750960")</f>
        <v>77750960</v>
      </c>
      <c r="F2248" s="16" t="s">
        <v>10794</v>
      </c>
      <c r="G2248" s="16" t="s">
        <v>10793</v>
      </c>
      <c r="H2248" s="16" t="s">
        <v>10795</v>
      </c>
      <c r="I2248" s="17">
        <v>45385</v>
      </c>
    </row>
    <row r="2249" spans="1:9" x14ac:dyDescent="0.15">
      <c r="A2249" s="16" t="s">
        <v>10801</v>
      </c>
      <c r="B2249" s="7" t="s">
        <v>9</v>
      </c>
      <c r="C2249" s="16" t="s">
        <v>40</v>
      </c>
      <c r="D2249" s="16" t="s">
        <v>41</v>
      </c>
      <c r="E2249" s="13" t="str">
        <f>+HYPERLINK("http://trademark.i-assist.jp/data/china/image_1891th/77751266.pdf","77751266")</f>
        <v>77751266</v>
      </c>
      <c r="F2249" s="16" t="s">
        <v>10799</v>
      </c>
      <c r="G2249" s="16" t="s">
        <v>10798</v>
      </c>
      <c r="H2249" s="16" t="s">
        <v>10800</v>
      </c>
      <c r="I2249" s="17">
        <v>45385</v>
      </c>
    </row>
    <row r="2250" spans="1:9" x14ac:dyDescent="0.15">
      <c r="A2250" s="16" t="s">
        <v>10806</v>
      </c>
      <c r="B2250" s="7" t="s">
        <v>9</v>
      </c>
      <c r="C2250" s="16" t="s">
        <v>40</v>
      </c>
      <c r="D2250" s="16" t="s">
        <v>41</v>
      </c>
      <c r="E2250" s="13" t="str">
        <f>+HYPERLINK("http://trademark.i-assist.jp/data/china/image_1891th/77751471.pdf","77751471")</f>
        <v>77751471</v>
      </c>
      <c r="F2250" s="16" t="s">
        <v>10804</v>
      </c>
      <c r="G2250" s="16" t="s">
        <v>10803</v>
      </c>
      <c r="H2250" s="16" t="s">
        <v>10805</v>
      </c>
      <c r="I2250" s="17">
        <v>45385</v>
      </c>
    </row>
    <row r="2251" spans="1:9" x14ac:dyDescent="0.15">
      <c r="A2251" s="16" t="s">
        <v>10811</v>
      </c>
      <c r="B2251" s="7" t="s">
        <v>9</v>
      </c>
      <c r="C2251" s="16" t="s">
        <v>40</v>
      </c>
      <c r="D2251" s="16" t="s">
        <v>41</v>
      </c>
      <c r="E2251" s="13" t="str">
        <f>+HYPERLINK("http://trademark.i-assist.jp/data/china/image_1891th/77751637.pdf","77751637")</f>
        <v>77751637</v>
      </c>
      <c r="F2251" s="16" t="s">
        <v>10809</v>
      </c>
      <c r="G2251" s="16" t="s">
        <v>10808</v>
      </c>
      <c r="H2251" s="16" t="s">
        <v>10810</v>
      </c>
      <c r="I2251" s="17">
        <v>45385</v>
      </c>
    </row>
    <row r="2252" spans="1:9" x14ac:dyDescent="0.15">
      <c r="A2252" s="16" t="s">
        <v>10815</v>
      </c>
      <c r="B2252" s="7" t="s">
        <v>9</v>
      </c>
      <c r="C2252" s="16" t="s">
        <v>40</v>
      </c>
      <c r="D2252" s="16" t="s">
        <v>41</v>
      </c>
      <c r="E2252" s="13" t="str">
        <f>+HYPERLINK("http://trademark.i-assist.jp/data/china/image_1891th/77751654.pdf","77751654")</f>
        <v>77751654</v>
      </c>
      <c r="F2252" s="16" t="s">
        <v>10813</v>
      </c>
      <c r="G2252" s="16" t="s">
        <v>4985</v>
      </c>
      <c r="H2252" s="16" t="s">
        <v>10814</v>
      </c>
      <c r="I2252" s="17">
        <v>45385</v>
      </c>
    </row>
    <row r="2253" spans="1:9" x14ac:dyDescent="0.15">
      <c r="A2253" s="16" t="s">
        <v>10819</v>
      </c>
      <c r="B2253" s="7" t="s">
        <v>9</v>
      </c>
      <c r="C2253" s="16" t="s">
        <v>40</v>
      </c>
      <c r="D2253" s="16" t="s">
        <v>41</v>
      </c>
      <c r="E2253" s="13" t="str">
        <f>+HYPERLINK("http://trademark.i-assist.jp/data/china/image_1891th/77752200.pdf","77752200")</f>
        <v>77752200</v>
      </c>
      <c r="F2253" s="16" t="s">
        <v>10817</v>
      </c>
      <c r="G2253" s="16" t="s">
        <v>4985</v>
      </c>
      <c r="H2253" s="16" t="s">
        <v>10818</v>
      </c>
      <c r="I2253" s="17">
        <v>45385</v>
      </c>
    </row>
    <row r="2254" spans="1:9" x14ac:dyDescent="0.15">
      <c r="A2254" s="16" t="s">
        <v>10823</v>
      </c>
      <c r="B2254" s="7" t="s">
        <v>9</v>
      </c>
      <c r="C2254" s="16" t="s">
        <v>40</v>
      </c>
      <c r="D2254" s="16" t="s">
        <v>41</v>
      </c>
      <c r="E2254" s="13" t="str">
        <f>+HYPERLINK("http://trademark.i-assist.jp/data/china/image_1891th/77752503.pdf","77752503")</f>
        <v>77752503</v>
      </c>
      <c r="F2254" s="16" t="s">
        <v>10821</v>
      </c>
      <c r="G2254" s="16" t="s">
        <v>10019</v>
      </c>
      <c r="H2254" s="16" t="s">
        <v>10822</v>
      </c>
      <c r="I2254" s="17">
        <v>45385</v>
      </c>
    </row>
    <row r="2255" spans="1:9" x14ac:dyDescent="0.15">
      <c r="A2255" s="16" t="s">
        <v>10828</v>
      </c>
      <c r="B2255" s="7" t="s">
        <v>9</v>
      </c>
      <c r="C2255" s="16" t="s">
        <v>40</v>
      </c>
      <c r="D2255" s="16" t="s">
        <v>41</v>
      </c>
      <c r="E2255" s="13" t="str">
        <f>+HYPERLINK("http://trademark.i-assist.jp/data/china/image_1891th/77752886.pdf","77752886")</f>
        <v>77752886</v>
      </c>
      <c r="F2255" s="16" t="s">
        <v>10826</v>
      </c>
      <c r="G2255" s="16" t="s">
        <v>10825</v>
      </c>
      <c r="H2255" s="16" t="s">
        <v>10827</v>
      </c>
      <c r="I2255" s="17">
        <v>45385</v>
      </c>
    </row>
    <row r="2256" spans="1:9" x14ac:dyDescent="0.15">
      <c r="A2256" s="16" t="s">
        <v>10833</v>
      </c>
      <c r="B2256" s="7" t="s">
        <v>9</v>
      </c>
      <c r="C2256" s="16" t="s">
        <v>40</v>
      </c>
      <c r="D2256" s="16" t="s">
        <v>41</v>
      </c>
      <c r="E2256" s="13" t="str">
        <f>+HYPERLINK("http://trademark.i-assist.jp/data/china/image_1891th/77752890.pdf","77752890")</f>
        <v>77752890</v>
      </c>
      <c r="F2256" s="16" t="s">
        <v>10831</v>
      </c>
      <c r="G2256" s="16" t="s">
        <v>10830</v>
      </c>
      <c r="H2256" s="16" t="s">
        <v>10832</v>
      </c>
      <c r="I2256" s="17">
        <v>45385</v>
      </c>
    </row>
    <row r="2257" spans="1:9" x14ac:dyDescent="0.15">
      <c r="A2257" s="16" t="s">
        <v>10838</v>
      </c>
      <c r="B2257" s="7" t="s">
        <v>9</v>
      </c>
      <c r="C2257" s="16" t="s">
        <v>40</v>
      </c>
      <c r="D2257" s="16" t="s">
        <v>41</v>
      </c>
      <c r="E2257" s="13" t="str">
        <f>+HYPERLINK("http://trademark.i-assist.jp/data/china/image_1891th/77752906.pdf","77752906")</f>
        <v>77752906</v>
      </c>
      <c r="F2257" s="16" t="s">
        <v>10836</v>
      </c>
      <c r="G2257" s="16" t="s">
        <v>10835</v>
      </c>
      <c r="H2257" s="16" t="s">
        <v>10837</v>
      </c>
      <c r="I2257" s="17">
        <v>45385</v>
      </c>
    </row>
    <row r="2258" spans="1:9" x14ac:dyDescent="0.15">
      <c r="A2258" s="16" t="s">
        <v>10843</v>
      </c>
      <c r="B2258" s="7" t="s">
        <v>9</v>
      </c>
      <c r="C2258" s="16" t="s">
        <v>40</v>
      </c>
      <c r="D2258" s="16" t="s">
        <v>41</v>
      </c>
      <c r="E2258" s="13" t="str">
        <f>+HYPERLINK("http://trademark.i-assist.jp/data/china/image_1891th/77753170.pdf","77753170")</f>
        <v>77753170</v>
      </c>
      <c r="F2258" s="16" t="s">
        <v>10841</v>
      </c>
      <c r="G2258" s="16" t="s">
        <v>10840</v>
      </c>
      <c r="H2258" s="16" t="s">
        <v>10842</v>
      </c>
      <c r="I2258" s="17">
        <v>45385</v>
      </c>
    </row>
    <row r="2259" spans="1:9" x14ac:dyDescent="0.15">
      <c r="A2259" s="16" t="s">
        <v>10847</v>
      </c>
      <c r="B2259" s="7" t="s">
        <v>9</v>
      </c>
      <c r="C2259" s="16" t="s">
        <v>40</v>
      </c>
      <c r="D2259" s="16" t="s">
        <v>41</v>
      </c>
      <c r="E2259" s="13" t="str">
        <f>+HYPERLINK("http://trademark.i-assist.jp/data/china/image_1891th/77753181.pdf","77753181")</f>
        <v>77753181</v>
      </c>
      <c r="F2259" s="16" t="s">
        <v>10845</v>
      </c>
      <c r="G2259" s="16" t="s">
        <v>10118</v>
      </c>
      <c r="H2259" s="16" t="s">
        <v>10846</v>
      </c>
      <c r="I2259" s="17">
        <v>45385</v>
      </c>
    </row>
    <row r="2260" spans="1:9" x14ac:dyDescent="0.15">
      <c r="A2260" s="16" t="s">
        <v>10852</v>
      </c>
      <c r="B2260" s="7" t="s">
        <v>9</v>
      </c>
      <c r="C2260" s="16" t="s">
        <v>40</v>
      </c>
      <c r="D2260" s="16" t="s">
        <v>41</v>
      </c>
      <c r="E2260" s="13" t="str">
        <f>+HYPERLINK("http://trademark.i-assist.jp/data/china/image_1891th/77753757.pdf","77753757")</f>
        <v>77753757</v>
      </c>
      <c r="F2260" s="16" t="s">
        <v>10850</v>
      </c>
      <c r="G2260" s="16" t="s">
        <v>10849</v>
      </c>
      <c r="H2260" s="16" t="s">
        <v>10851</v>
      </c>
      <c r="I2260" s="17">
        <v>45385</v>
      </c>
    </row>
    <row r="2261" spans="1:9" x14ac:dyDescent="0.15">
      <c r="A2261" s="16" t="s">
        <v>10855</v>
      </c>
      <c r="B2261" s="7" t="s">
        <v>9</v>
      </c>
      <c r="C2261" s="16" t="s">
        <v>40</v>
      </c>
      <c r="D2261" s="16" t="s">
        <v>41</v>
      </c>
      <c r="E2261" s="13" t="str">
        <f>+HYPERLINK("http://trademark.i-assist.jp/data/china/image_1891th/77754020.pdf","77754020")</f>
        <v>77754020</v>
      </c>
      <c r="F2261" s="16" t="s">
        <v>52</v>
      </c>
      <c r="G2261" s="16" t="s">
        <v>10019</v>
      </c>
      <c r="H2261" s="16" t="s">
        <v>10854</v>
      </c>
      <c r="I2261" s="17">
        <v>45385</v>
      </c>
    </row>
    <row r="2262" spans="1:9" x14ac:dyDescent="0.15">
      <c r="A2262" s="16" t="s">
        <v>10860</v>
      </c>
      <c r="B2262" s="7" t="s">
        <v>9</v>
      </c>
      <c r="C2262" s="16" t="s">
        <v>40</v>
      </c>
      <c r="D2262" s="16" t="s">
        <v>41</v>
      </c>
      <c r="E2262" s="13" t="str">
        <f>+HYPERLINK("http://trademark.i-assist.jp/data/china/image_1891th/77754440.pdf","77754440")</f>
        <v>77754440</v>
      </c>
      <c r="F2262" s="16" t="s">
        <v>10858</v>
      </c>
      <c r="G2262" s="16" t="s">
        <v>10857</v>
      </c>
      <c r="H2262" s="16" t="s">
        <v>10859</v>
      </c>
      <c r="I2262" s="17">
        <v>45385</v>
      </c>
    </row>
    <row r="2263" spans="1:9" x14ac:dyDescent="0.15">
      <c r="A2263" s="16" t="s">
        <v>10865</v>
      </c>
      <c r="B2263" s="7" t="s">
        <v>9</v>
      </c>
      <c r="C2263" s="16" t="s">
        <v>40</v>
      </c>
      <c r="D2263" s="16" t="s">
        <v>41</v>
      </c>
      <c r="E2263" s="13" t="str">
        <f>+HYPERLINK("http://trademark.i-assist.jp/data/china/image_1891th/77754500.pdf","77754500")</f>
        <v>77754500</v>
      </c>
      <c r="F2263" s="16" t="s">
        <v>10863</v>
      </c>
      <c r="G2263" s="16" t="s">
        <v>10862</v>
      </c>
      <c r="H2263" s="16" t="s">
        <v>10864</v>
      </c>
      <c r="I2263" s="17">
        <v>45385</v>
      </c>
    </row>
    <row r="2264" spans="1:9" x14ac:dyDescent="0.15">
      <c r="A2264" s="16" t="s">
        <v>10870</v>
      </c>
      <c r="B2264" s="7" t="s">
        <v>9</v>
      </c>
      <c r="C2264" s="16" t="s">
        <v>40</v>
      </c>
      <c r="D2264" s="16" t="s">
        <v>41</v>
      </c>
      <c r="E2264" s="13" t="str">
        <f>+HYPERLINK("http://trademark.i-assist.jp/data/china/image_1891th/77754512.pdf","77754512")</f>
        <v>77754512</v>
      </c>
      <c r="F2264" s="16" t="s">
        <v>10868</v>
      </c>
      <c r="G2264" s="16" t="s">
        <v>10867</v>
      </c>
      <c r="H2264" s="16" t="s">
        <v>10869</v>
      </c>
      <c r="I2264" s="17">
        <v>45385</v>
      </c>
    </row>
    <row r="2265" spans="1:9" x14ac:dyDescent="0.15">
      <c r="A2265" s="16" t="s">
        <v>10875</v>
      </c>
      <c r="B2265" s="7" t="s">
        <v>9</v>
      </c>
      <c r="C2265" s="16" t="s">
        <v>40</v>
      </c>
      <c r="D2265" s="16" t="s">
        <v>41</v>
      </c>
      <c r="E2265" s="13" t="str">
        <f>+HYPERLINK("http://trademark.i-assist.jp/data/china/image_1891th/77755223.pdf","77755223")</f>
        <v>77755223</v>
      </c>
      <c r="F2265" s="16" t="s">
        <v>10873</v>
      </c>
      <c r="G2265" s="16" t="s">
        <v>10872</v>
      </c>
      <c r="H2265" s="16" t="s">
        <v>10874</v>
      </c>
      <c r="I2265" s="17">
        <v>45385</v>
      </c>
    </row>
    <row r="2266" spans="1:9" x14ac:dyDescent="0.15">
      <c r="A2266" s="16" t="s">
        <v>10880</v>
      </c>
      <c r="B2266" s="7" t="s">
        <v>9</v>
      </c>
      <c r="C2266" s="16" t="s">
        <v>40</v>
      </c>
      <c r="D2266" s="16" t="s">
        <v>41</v>
      </c>
      <c r="E2266" s="13" t="str">
        <f>+HYPERLINK("http://trademark.i-assist.jp/data/china/image_1891th/77755289.pdf","77755289")</f>
        <v>77755289</v>
      </c>
      <c r="F2266" s="16" t="s">
        <v>10878</v>
      </c>
      <c r="G2266" s="16" t="s">
        <v>10877</v>
      </c>
      <c r="H2266" s="16" t="s">
        <v>10879</v>
      </c>
      <c r="I2266" s="17">
        <v>45385</v>
      </c>
    </row>
    <row r="2267" spans="1:9" x14ac:dyDescent="0.15">
      <c r="A2267" s="16" t="s">
        <v>10885</v>
      </c>
      <c r="B2267" s="7" t="s">
        <v>9</v>
      </c>
      <c r="C2267" s="16" t="s">
        <v>40</v>
      </c>
      <c r="D2267" s="16" t="s">
        <v>41</v>
      </c>
      <c r="E2267" s="13" t="str">
        <f>+HYPERLINK("http://trademark.i-assist.jp/data/china/image_1891th/77755513.pdf","77755513")</f>
        <v>77755513</v>
      </c>
      <c r="F2267" s="16" t="s">
        <v>10883</v>
      </c>
      <c r="G2267" s="16" t="s">
        <v>10882</v>
      </c>
      <c r="H2267" s="16" t="s">
        <v>10884</v>
      </c>
      <c r="I2267" s="17">
        <v>45385</v>
      </c>
    </row>
    <row r="2268" spans="1:9" x14ac:dyDescent="0.15">
      <c r="A2268" s="16" t="s">
        <v>10889</v>
      </c>
      <c r="B2268" s="7" t="s">
        <v>9</v>
      </c>
      <c r="C2268" s="16" t="s">
        <v>40</v>
      </c>
      <c r="D2268" s="16" t="s">
        <v>41</v>
      </c>
      <c r="E2268" s="13" t="str">
        <f>+HYPERLINK("http://trademark.i-assist.jp/data/china/image_1891th/77756356.pdf","77756356")</f>
        <v>77756356</v>
      </c>
      <c r="F2268" s="16" t="s">
        <v>10887</v>
      </c>
      <c r="G2268" s="16" t="s">
        <v>10019</v>
      </c>
      <c r="H2268" s="16" t="s">
        <v>10888</v>
      </c>
      <c r="I2268" s="17">
        <v>45385</v>
      </c>
    </row>
    <row r="2269" spans="1:9" x14ac:dyDescent="0.15">
      <c r="A2269" s="16" t="s">
        <v>10894</v>
      </c>
      <c r="B2269" s="7" t="s">
        <v>9</v>
      </c>
      <c r="C2269" s="16" t="s">
        <v>40</v>
      </c>
      <c r="D2269" s="16" t="s">
        <v>41</v>
      </c>
      <c r="E2269" s="13" t="str">
        <f>+HYPERLINK("http://trademark.i-assist.jp/data/china/image_1891th/77756458.pdf","77756458")</f>
        <v>77756458</v>
      </c>
      <c r="F2269" s="16" t="s">
        <v>10892</v>
      </c>
      <c r="G2269" s="16" t="s">
        <v>10891</v>
      </c>
      <c r="H2269" s="16" t="s">
        <v>10893</v>
      </c>
      <c r="I2269" s="17">
        <v>45385</v>
      </c>
    </row>
    <row r="2270" spans="1:9" x14ac:dyDescent="0.15">
      <c r="A2270" s="16" t="s">
        <v>10898</v>
      </c>
      <c r="B2270" s="7" t="s">
        <v>9</v>
      </c>
      <c r="C2270" s="16" t="s">
        <v>40</v>
      </c>
      <c r="D2270" s="16" t="s">
        <v>41</v>
      </c>
      <c r="E2270" s="13" t="str">
        <f>+HYPERLINK("http://trademark.i-assist.jp/data/china/image_1891th/77756543.pdf","77756543")</f>
        <v>77756543</v>
      </c>
      <c r="F2270" s="16" t="s">
        <v>11114</v>
      </c>
      <c r="G2270" s="16" t="s">
        <v>4956</v>
      </c>
      <c r="H2270" s="16" t="s">
        <v>10897</v>
      </c>
      <c r="I2270" s="17">
        <v>45385</v>
      </c>
    </row>
    <row r="2271" spans="1:9" x14ac:dyDescent="0.15">
      <c r="A2271" s="16" t="s">
        <v>10903</v>
      </c>
      <c r="B2271" s="7" t="s">
        <v>9</v>
      </c>
      <c r="C2271" s="16" t="s">
        <v>40</v>
      </c>
      <c r="D2271" s="16" t="s">
        <v>41</v>
      </c>
      <c r="E2271" s="13" t="str">
        <f>+HYPERLINK("http://trademark.i-assist.jp/data/china/image_1891th/77757077.pdf","77757077")</f>
        <v>77757077</v>
      </c>
      <c r="F2271" s="16" t="s">
        <v>10901</v>
      </c>
      <c r="G2271" s="16" t="s">
        <v>10900</v>
      </c>
      <c r="H2271" s="16" t="s">
        <v>10902</v>
      </c>
      <c r="I2271" s="17">
        <v>45385</v>
      </c>
    </row>
    <row r="2272" spans="1:9" x14ac:dyDescent="0.15">
      <c r="A2272" s="16" t="s">
        <v>10908</v>
      </c>
      <c r="B2272" s="7" t="s">
        <v>9</v>
      </c>
      <c r="C2272" s="16" t="s">
        <v>40</v>
      </c>
      <c r="D2272" s="16" t="s">
        <v>41</v>
      </c>
      <c r="E2272" s="13" t="str">
        <f>+HYPERLINK("http://trademark.i-assist.jp/data/china/image_1891th/77757401.pdf","77757401")</f>
        <v>77757401</v>
      </c>
      <c r="F2272" s="16" t="s">
        <v>10906</v>
      </c>
      <c r="G2272" s="16" t="s">
        <v>10905</v>
      </c>
      <c r="H2272" s="16" t="s">
        <v>10907</v>
      </c>
      <c r="I2272" s="17">
        <v>45385</v>
      </c>
    </row>
    <row r="2273" spans="1:9" x14ac:dyDescent="0.15">
      <c r="A2273" s="16" t="s">
        <v>10913</v>
      </c>
      <c r="B2273" s="7" t="s">
        <v>9</v>
      </c>
      <c r="C2273" s="16" t="s">
        <v>40</v>
      </c>
      <c r="D2273" s="16" t="s">
        <v>41</v>
      </c>
      <c r="E2273" s="13" t="str">
        <f>+HYPERLINK("http://trademark.i-assist.jp/data/china/image_1891th/77758086.pdf","77758086")</f>
        <v>77758086</v>
      </c>
      <c r="F2273" s="16" t="s">
        <v>10911</v>
      </c>
      <c r="G2273" s="16" t="s">
        <v>10910</v>
      </c>
      <c r="H2273" s="16" t="s">
        <v>10912</v>
      </c>
      <c r="I2273" s="17">
        <v>45385</v>
      </c>
    </row>
    <row r="2274" spans="1:9" x14ac:dyDescent="0.15">
      <c r="A2274" s="16" t="s">
        <v>10917</v>
      </c>
      <c r="B2274" s="7" t="s">
        <v>9</v>
      </c>
      <c r="C2274" s="16" t="s">
        <v>40</v>
      </c>
      <c r="D2274" s="16" t="s">
        <v>41</v>
      </c>
      <c r="E2274" s="13" t="str">
        <f>+HYPERLINK("http://trademark.i-assist.jp/data/china/image_1891th/77758905.pdf","77758905")</f>
        <v>77758905</v>
      </c>
      <c r="F2274" s="16" t="s">
        <v>10915</v>
      </c>
      <c r="G2274" s="16" t="s">
        <v>10070</v>
      </c>
      <c r="H2274" s="16" t="s">
        <v>10916</v>
      </c>
      <c r="I2274" s="17">
        <v>45385</v>
      </c>
    </row>
    <row r="2275" spans="1:9" x14ac:dyDescent="0.15">
      <c r="A2275" s="16" t="s">
        <v>10921</v>
      </c>
      <c r="B2275" s="7" t="s">
        <v>9</v>
      </c>
      <c r="C2275" s="16" t="s">
        <v>40</v>
      </c>
      <c r="D2275" s="16" t="s">
        <v>41</v>
      </c>
      <c r="E2275" s="13" t="str">
        <f>+HYPERLINK("http://trademark.i-assist.jp/data/china/image_1891th/77759377.pdf","77759377")</f>
        <v>77759377</v>
      </c>
      <c r="F2275" s="16" t="s">
        <v>10919</v>
      </c>
      <c r="G2275" s="16" t="s">
        <v>10019</v>
      </c>
      <c r="H2275" s="16" t="s">
        <v>10920</v>
      </c>
      <c r="I2275" s="17">
        <v>45385</v>
      </c>
    </row>
    <row r="2276" spans="1:9" x14ac:dyDescent="0.15">
      <c r="A2276" s="16" t="s">
        <v>10926</v>
      </c>
      <c r="B2276" s="7" t="s">
        <v>9</v>
      </c>
      <c r="C2276" s="16" t="s">
        <v>40</v>
      </c>
      <c r="D2276" s="16" t="s">
        <v>41</v>
      </c>
      <c r="E2276" s="13" t="str">
        <f>+HYPERLINK("http://trademark.i-assist.jp/data/china/image_1891th/77759766.pdf","77759766")</f>
        <v>77759766</v>
      </c>
      <c r="F2276" s="16" t="s">
        <v>10924</v>
      </c>
      <c r="G2276" s="16" t="s">
        <v>10923</v>
      </c>
      <c r="H2276" s="16" t="s">
        <v>10925</v>
      </c>
      <c r="I2276" s="17">
        <v>45385</v>
      </c>
    </row>
    <row r="2277" spans="1:9" x14ac:dyDescent="0.15">
      <c r="A2277" s="16" t="s">
        <v>10931</v>
      </c>
      <c r="B2277" s="7" t="s">
        <v>9</v>
      </c>
      <c r="C2277" s="16" t="s">
        <v>40</v>
      </c>
      <c r="D2277" s="16" t="s">
        <v>41</v>
      </c>
      <c r="E2277" s="13" t="str">
        <f>+HYPERLINK("http://trademark.i-assist.jp/data/china/image_1891th/77760278.pdf","77760278")</f>
        <v>77760278</v>
      </c>
      <c r="F2277" s="16" t="s">
        <v>10929</v>
      </c>
      <c r="G2277" s="16" t="s">
        <v>10928</v>
      </c>
      <c r="H2277" s="16" t="s">
        <v>10930</v>
      </c>
      <c r="I2277" s="17">
        <v>45385</v>
      </c>
    </row>
    <row r="2278" spans="1:9" x14ac:dyDescent="0.15">
      <c r="A2278" s="16" t="s">
        <v>10935</v>
      </c>
      <c r="B2278" s="7" t="s">
        <v>9</v>
      </c>
      <c r="C2278" s="16" t="s">
        <v>40</v>
      </c>
      <c r="D2278" s="16" t="s">
        <v>41</v>
      </c>
      <c r="E2278" s="13" t="str">
        <f>+HYPERLINK("http://trademark.i-assist.jp/data/china/image_1891th/77760343.pdf","77760343")</f>
        <v>77760343</v>
      </c>
      <c r="F2278" s="16" t="s">
        <v>10933</v>
      </c>
      <c r="G2278" s="16" t="s">
        <v>9623</v>
      </c>
      <c r="H2278" s="16" t="s">
        <v>10934</v>
      </c>
      <c r="I2278" s="17">
        <v>45385</v>
      </c>
    </row>
    <row r="2279" spans="1:9" x14ac:dyDescent="0.15">
      <c r="A2279" s="16" t="s">
        <v>10938</v>
      </c>
      <c r="B2279" s="7" t="s">
        <v>9</v>
      </c>
      <c r="C2279" s="16" t="s">
        <v>40</v>
      </c>
      <c r="D2279" s="16" t="s">
        <v>41</v>
      </c>
      <c r="E2279" s="13" t="str">
        <f>+HYPERLINK("http://trademark.i-assist.jp/data/china/image_1891th/77760408.pdf","77760408")</f>
        <v>77760408</v>
      </c>
      <c r="F2279" s="16" t="s">
        <v>52</v>
      </c>
      <c r="G2279" s="16" t="s">
        <v>4947</v>
      </c>
      <c r="H2279" s="16" t="s">
        <v>10937</v>
      </c>
      <c r="I2279" s="17">
        <v>45385</v>
      </c>
    </row>
    <row r="2280" spans="1:9" x14ac:dyDescent="0.15">
      <c r="A2280" s="16" t="s">
        <v>10943</v>
      </c>
      <c r="B2280" s="7" t="s">
        <v>9</v>
      </c>
      <c r="C2280" s="16" t="s">
        <v>40</v>
      </c>
      <c r="D2280" s="16" t="s">
        <v>41</v>
      </c>
      <c r="E2280" s="13" t="str">
        <f>+HYPERLINK("http://trademark.i-assist.jp/data/china/image_1891th/77760880.pdf","77760880")</f>
        <v>77760880</v>
      </c>
      <c r="F2280" s="16" t="s">
        <v>10941</v>
      </c>
      <c r="G2280" s="16" t="s">
        <v>10940</v>
      </c>
      <c r="H2280" s="16" t="s">
        <v>10942</v>
      </c>
      <c r="I2280" s="17">
        <v>45385</v>
      </c>
    </row>
    <row r="2281" spans="1:9" x14ac:dyDescent="0.15">
      <c r="A2281" s="16" t="s">
        <v>10947</v>
      </c>
      <c r="B2281" s="7" t="s">
        <v>9</v>
      </c>
      <c r="C2281" s="16" t="s">
        <v>40</v>
      </c>
      <c r="D2281" s="16" t="s">
        <v>41</v>
      </c>
      <c r="E2281" s="13" t="str">
        <f>+HYPERLINK("http://trademark.i-assist.jp/data/china/image_1891th/77761026.pdf","77761026")</f>
        <v>77761026</v>
      </c>
      <c r="F2281" s="16" t="s">
        <v>10945</v>
      </c>
      <c r="G2281" s="16" t="s">
        <v>10019</v>
      </c>
      <c r="H2281" s="16" t="s">
        <v>10946</v>
      </c>
      <c r="I2281" s="17">
        <v>45385</v>
      </c>
    </row>
    <row r="2282" spans="1:9" x14ac:dyDescent="0.15">
      <c r="A2282" s="16" t="s">
        <v>10952</v>
      </c>
      <c r="B2282" s="7" t="s">
        <v>9</v>
      </c>
      <c r="C2282" s="16" t="s">
        <v>40</v>
      </c>
      <c r="D2282" s="16" t="s">
        <v>41</v>
      </c>
      <c r="E2282" s="13" t="str">
        <f>+HYPERLINK("http://trademark.i-assist.jp/data/china/image_1891th/77761047.pdf","77761047")</f>
        <v>77761047</v>
      </c>
      <c r="F2282" s="16" t="s">
        <v>10950</v>
      </c>
      <c r="G2282" s="16" t="s">
        <v>10949</v>
      </c>
      <c r="H2282" s="16" t="s">
        <v>10951</v>
      </c>
      <c r="I2282" s="17">
        <v>45385</v>
      </c>
    </row>
    <row r="2283" spans="1:9" x14ac:dyDescent="0.15">
      <c r="A2283" s="16" t="s">
        <v>10956</v>
      </c>
      <c r="B2283" s="7" t="s">
        <v>9</v>
      </c>
      <c r="C2283" s="16" t="s">
        <v>40</v>
      </c>
      <c r="D2283" s="16" t="s">
        <v>41</v>
      </c>
      <c r="E2283" s="13" t="str">
        <f>+HYPERLINK("http://trademark.i-assist.jp/data/china/image_1891th/77761484.pdf","77761484")</f>
        <v>77761484</v>
      </c>
      <c r="F2283" s="16" t="s">
        <v>10954</v>
      </c>
      <c r="G2283" s="16" t="s">
        <v>10019</v>
      </c>
      <c r="H2283" s="16" t="s">
        <v>10955</v>
      </c>
      <c r="I2283" s="17">
        <v>45385</v>
      </c>
    </row>
    <row r="2284" spans="1:9" x14ac:dyDescent="0.15">
      <c r="A2284" s="16" t="s">
        <v>10960</v>
      </c>
      <c r="B2284" s="7" t="s">
        <v>9</v>
      </c>
      <c r="C2284" s="16" t="s">
        <v>40</v>
      </c>
      <c r="D2284" s="16" t="s">
        <v>41</v>
      </c>
      <c r="E2284" s="13" t="str">
        <f>+HYPERLINK("http://trademark.i-assist.jp/data/china/image_1891th/77761635.pdf","77761635")</f>
        <v>77761635</v>
      </c>
      <c r="F2284" s="16" t="s">
        <v>10958</v>
      </c>
      <c r="G2284" s="16" t="s">
        <v>4965</v>
      </c>
      <c r="H2284" s="16" t="s">
        <v>10959</v>
      </c>
      <c r="I2284" s="17">
        <v>45385</v>
      </c>
    </row>
    <row r="2285" spans="1:9" x14ac:dyDescent="0.15">
      <c r="A2285" s="16" t="s">
        <v>10965</v>
      </c>
      <c r="B2285" s="7" t="s">
        <v>9</v>
      </c>
      <c r="C2285" s="16" t="s">
        <v>40</v>
      </c>
      <c r="D2285" s="16" t="s">
        <v>41</v>
      </c>
      <c r="E2285" s="13" t="str">
        <f>+HYPERLINK("http://trademark.i-assist.jp/data/china/image_1891th/77761945.pdf","77761945")</f>
        <v>77761945</v>
      </c>
      <c r="F2285" s="16" t="s">
        <v>10963</v>
      </c>
      <c r="G2285" s="16" t="s">
        <v>10962</v>
      </c>
      <c r="H2285" s="16" t="s">
        <v>10964</v>
      </c>
      <c r="I2285" s="17">
        <v>45385</v>
      </c>
    </row>
    <row r="2286" spans="1:9" x14ac:dyDescent="0.15">
      <c r="A2286" s="16" t="s">
        <v>10970</v>
      </c>
      <c r="B2286" s="7" t="s">
        <v>9</v>
      </c>
      <c r="C2286" s="16" t="s">
        <v>40</v>
      </c>
      <c r="D2286" s="16" t="s">
        <v>41</v>
      </c>
      <c r="E2286" s="13" t="str">
        <f>+HYPERLINK("http://trademark.i-assist.jp/data/china/image_1891th/77761965.pdf","77761965")</f>
        <v>77761965</v>
      </c>
      <c r="F2286" s="16" t="s">
        <v>10968</v>
      </c>
      <c r="G2286" s="16" t="s">
        <v>10967</v>
      </c>
      <c r="H2286" s="16" t="s">
        <v>10969</v>
      </c>
      <c r="I2286" s="17">
        <v>45385</v>
      </c>
    </row>
    <row r="2287" spans="1:9" x14ac:dyDescent="0.15">
      <c r="A2287" s="16" t="s">
        <v>10975</v>
      </c>
      <c r="B2287" s="7" t="s">
        <v>9</v>
      </c>
      <c r="C2287" s="16" t="s">
        <v>40</v>
      </c>
      <c r="D2287" s="16" t="s">
        <v>41</v>
      </c>
      <c r="E2287" s="13" t="str">
        <f>+HYPERLINK("http://trademark.i-assist.jp/data/china/image_1891th/77762678.pdf","77762678")</f>
        <v>77762678</v>
      </c>
      <c r="F2287" s="16" t="s">
        <v>10973</v>
      </c>
      <c r="G2287" s="16" t="s">
        <v>10972</v>
      </c>
      <c r="H2287" s="16" t="s">
        <v>10974</v>
      </c>
      <c r="I2287" s="17">
        <v>45385</v>
      </c>
    </row>
    <row r="2288" spans="1:9" x14ac:dyDescent="0.15">
      <c r="A2288" s="16" t="s">
        <v>10979</v>
      </c>
      <c r="B2288" s="7" t="s">
        <v>9</v>
      </c>
      <c r="C2288" s="16" t="s">
        <v>40</v>
      </c>
      <c r="D2288" s="16" t="s">
        <v>41</v>
      </c>
      <c r="E2288" s="13" t="str">
        <f>+HYPERLINK("http://trademark.i-assist.jp/data/china/image_1891th/77764050.pdf","77764050")</f>
        <v>77764050</v>
      </c>
      <c r="F2288" s="16" t="s">
        <v>52</v>
      </c>
      <c r="G2288" s="16" t="s">
        <v>10977</v>
      </c>
      <c r="H2288" s="16" t="s">
        <v>10978</v>
      </c>
      <c r="I2288" s="17">
        <v>45385</v>
      </c>
    </row>
    <row r="2289" spans="1:9" x14ac:dyDescent="0.15">
      <c r="A2289" s="16" t="s">
        <v>10984</v>
      </c>
      <c r="B2289" s="7" t="s">
        <v>9</v>
      </c>
      <c r="C2289" s="16" t="s">
        <v>40</v>
      </c>
      <c r="D2289" s="16" t="s">
        <v>41</v>
      </c>
      <c r="E2289" s="13" t="str">
        <f>+HYPERLINK("http://trademark.i-assist.jp/data/china/image_1891th/77764118.pdf","77764118")</f>
        <v>77764118</v>
      </c>
      <c r="F2289" s="16" t="s">
        <v>10982</v>
      </c>
      <c r="G2289" s="16" t="s">
        <v>10981</v>
      </c>
      <c r="H2289" s="16" t="s">
        <v>10983</v>
      </c>
      <c r="I2289" s="17">
        <v>45385</v>
      </c>
    </row>
    <row r="2290" spans="1:9" x14ac:dyDescent="0.15">
      <c r="A2290" s="16" t="s">
        <v>10989</v>
      </c>
      <c r="B2290" s="7" t="s">
        <v>9</v>
      </c>
      <c r="C2290" s="16" t="s">
        <v>40</v>
      </c>
      <c r="D2290" s="16" t="s">
        <v>41</v>
      </c>
      <c r="E2290" s="13" t="str">
        <f>+HYPERLINK("http://trademark.i-assist.jp/data/china/image_1891th/77764197.pdf","77764197")</f>
        <v>77764197</v>
      </c>
      <c r="F2290" s="16" t="s">
        <v>10987</v>
      </c>
      <c r="G2290" s="16" t="s">
        <v>10986</v>
      </c>
      <c r="H2290" s="16" t="s">
        <v>10988</v>
      </c>
      <c r="I2290" s="17">
        <v>45385</v>
      </c>
    </row>
    <row r="2291" spans="1:9" x14ac:dyDescent="0.15">
      <c r="A2291" s="16" t="s">
        <v>10995</v>
      </c>
      <c r="B2291" s="7" t="s">
        <v>9</v>
      </c>
      <c r="C2291" s="16" t="s">
        <v>40</v>
      </c>
      <c r="D2291" s="16" t="s">
        <v>41</v>
      </c>
      <c r="E2291" s="13" t="str">
        <f>+HYPERLINK("http://trademark.i-assist.jp/data/china/image_1891th/77764901.pdf","77764901")</f>
        <v>77764901</v>
      </c>
      <c r="F2291" s="16" t="s">
        <v>10992</v>
      </c>
      <c r="G2291" s="16" t="s">
        <v>10991</v>
      </c>
      <c r="H2291" s="16" t="s">
        <v>10993</v>
      </c>
      <c r="I2291" s="17">
        <v>45386</v>
      </c>
    </row>
    <row r="2292" spans="1:9" x14ac:dyDescent="0.15">
      <c r="A2292" s="16" t="s">
        <v>11000</v>
      </c>
      <c r="B2292" s="7" t="s">
        <v>9</v>
      </c>
      <c r="C2292" s="16" t="s">
        <v>40</v>
      </c>
      <c r="D2292" s="16" t="s">
        <v>41</v>
      </c>
      <c r="E2292" s="13" t="str">
        <f>+HYPERLINK("http://trademark.i-assist.jp/data/china/image_1891th/77765788.pdf","77765788")</f>
        <v>77765788</v>
      </c>
      <c r="F2292" s="16" t="s">
        <v>11115</v>
      </c>
      <c r="G2292" s="16" t="s">
        <v>10997</v>
      </c>
      <c r="H2292" s="16" t="s">
        <v>10999</v>
      </c>
      <c r="I2292" s="17">
        <v>45386</v>
      </c>
    </row>
    <row r="2293" spans="1:9" x14ac:dyDescent="0.15">
      <c r="A2293" s="16" t="s">
        <v>11004</v>
      </c>
      <c r="B2293" s="7" t="s">
        <v>9</v>
      </c>
      <c r="C2293" s="16" t="s">
        <v>40</v>
      </c>
      <c r="D2293" s="16" t="s">
        <v>41</v>
      </c>
      <c r="E2293" s="13" t="str">
        <f>+HYPERLINK("http://trademark.i-assist.jp/data/china/image_1891th/77765886.pdf","77765886")</f>
        <v>77765886</v>
      </c>
      <c r="F2293" s="16" t="s">
        <v>11002</v>
      </c>
      <c r="G2293" s="16" t="s">
        <v>10991</v>
      </c>
      <c r="H2293" s="16" t="s">
        <v>11003</v>
      </c>
      <c r="I2293" s="17">
        <v>45386</v>
      </c>
    </row>
    <row r="2294" spans="1:9" x14ac:dyDescent="0.15">
      <c r="A2294" s="16" t="s">
        <v>11008</v>
      </c>
      <c r="B2294" s="7" t="s">
        <v>9</v>
      </c>
      <c r="C2294" s="16" t="s">
        <v>40</v>
      </c>
      <c r="D2294" s="16" t="s">
        <v>41</v>
      </c>
      <c r="E2294" s="13" t="str">
        <f>+HYPERLINK("http://trademark.i-assist.jp/data/china/image_1891th/77765889.pdf","77765889")</f>
        <v>77765889</v>
      </c>
      <c r="F2294" s="16" t="s">
        <v>11006</v>
      </c>
      <c r="G2294" s="16" t="s">
        <v>10991</v>
      </c>
      <c r="H2294" s="16" t="s">
        <v>11007</v>
      </c>
      <c r="I2294" s="17">
        <v>45386</v>
      </c>
    </row>
    <row r="2295" spans="1:9" x14ac:dyDescent="0.15">
      <c r="A2295" s="16" t="s">
        <v>11014</v>
      </c>
      <c r="B2295" s="7" t="s">
        <v>9</v>
      </c>
      <c r="C2295" s="16" t="s">
        <v>40</v>
      </c>
      <c r="D2295" s="16" t="s">
        <v>41</v>
      </c>
      <c r="E2295" s="13" t="str">
        <f>+HYPERLINK("http://trademark.i-assist.jp/data/china/image_1891th/77768143.pdf","77768143")</f>
        <v>77768143</v>
      </c>
      <c r="F2295" s="16" t="s">
        <v>11011</v>
      </c>
      <c r="G2295" s="16" t="s">
        <v>11010</v>
      </c>
      <c r="H2295" s="16" t="s">
        <v>11012</v>
      </c>
      <c r="I2295" s="17">
        <v>45387</v>
      </c>
    </row>
    <row r="2296" spans="1:9" x14ac:dyDescent="0.15">
      <c r="A2296" s="16" t="s">
        <v>11019</v>
      </c>
      <c r="B2296" s="7" t="s">
        <v>9</v>
      </c>
      <c r="C2296" s="16" t="s">
        <v>40</v>
      </c>
      <c r="D2296" s="16" t="s">
        <v>41</v>
      </c>
      <c r="E2296" s="13" t="str">
        <f>+HYPERLINK("http://trademark.i-assist.jp/data/china/image_1891th/77768820.pdf","77768820")</f>
        <v>77768820</v>
      </c>
      <c r="F2296" s="16" t="s">
        <v>11017</v>
      </c>
      <c r="G2296" s="16" t="s">
        <v>11016</v>
      </c>
      <c r="H2296" s="16" t="s">
        <v>11018</v>
      </c>
      <c r="I2296" s="17">
        <v>45387</v>
      </c>
    </row>
    <row r="2297" spans="1:9" x14ac:dyDescent="0.15">
      <c r="A2297" s="16" t="s">
        <v>11024</v>
      </c>
      <c r="B2297" s="7" t="s">
        <v>9</v>
      </c>
      <c r="C2297" s="16" t="s">
        <v>40</v>
      </c>
      <c r="D2297" s="16" t="s">
        <v>41</v>
      </c>
      <c r="E2297" s="13" t="str">
        <f>+HYPERLINK("http://trademark.i-assist.jp/data/china/image_1891th/77769028.pdf","77769028")</f>
        <v>77769028</v>
      </c>
      <c r="F2297" s="16" t="s">
        <v>11022</v>
      </c>
      <c r="G2297" s="16" t="s">
        <v>11021</v>
      </c>
      <c r="H2297" s="16" t="s">
        <v>11023</v>
      </c>
      <c r="I2297" s="17">
        <v>45387</v>
      </c>
    </row>
    <row r="2298" spans="1:9" x14ac:dyDescent="0.15">
      <c r="A2298" s="16" t="s">
        <v>11029</v>
      </c>
      <c r="B2298" s="7" t="s">
        <v>9</v>
      </c>
      <c r="C2298" s="16" t="s">
        <v>40</v>
      </c>
      <c r="D2298" s="16" t="s">
        <v>41</v>
      </c>
      <c r="E2298" s="13" t="str">
        <f>+HYPERLINK("http://trademark.i-assist.jp/data/china/image_1891th/77769305.pdf","77769305")</f>
        <v>77769305</v>
      </c>
      <c r="F2298" s="16" t="s">
        <v>11027</v>
      </c>
      <c r="G2298" s="16" t="s">
        <v>11026</v>
      </c>
      <c r="H2298" s="16" t="s">
        <v>11028</v>
      </c>
      <c r="I2298" s="17">
        <v>45387</v>
      </c>
    </row>
    <row r="2299" spans="1:9" x14ac:dyDescent="0.15">
      <c r="A2299" s="16" t="s">
        <v>11033</v>
      </c>
      <c r="B2299" s="7" t="s">
        <v>9</v>
      </c>
      <c r="C2299" s="16" t="s">
        <v>40</v>
      </c>
      <c r="D2299" s="16" t="s">
        <v>41</v>
      </c>
      <c r="E2299" s="13" t="str">
        <f>+HYPERLINK("http://trademark.i-assist.jp/data/china/image_1891th/77769560.pdf","77769560")</f>
        <v>77769560</v>
      </c>
      <c r="F2299" s="16" t="s">
        <v>11031</v>
      </c>
      <c r="G2299" s="16" t="s">
        <v>11016</v>
      </c>
      <c r="H2299" s="16" t="s">
        <v>11032</v>
      </c>
      <c r="I2299" s="17">
        <v>45387</v>
      </c>
    </row>
    <row r="2300" spans="1:9" x14ac:dyDescent="0.15">
      <c r="A2300" s="16" t="s">
        <v>11038</v>
      </c>
      <c r="B2300" s="7" t="s">
        <v>9</v>
      </c>
      <c r="C2300" s="16" t="s">
        <v>40</v>
      </c>
      <c r="D2300" s="16" t="s">
        <v>41</v>
      </c>
      <c r="E2300" s="13" t="str">
        <f>+HYPERLINK("http://trademark.i-assist.jp/data/china/image_1891th/77769708.pdf","77769708")</f>
        <v>77769708</v>
      </c>
      <c r="F2300" s="16" t="s">
        <v>11036</v>
      </c>
      <c r="G2300" s="16" t="s">
        <v>11035</v>
      </c>
      <c r="H2300" s="16" t="s">
        <v>11037</v>
      </c>
      <c r="I2300" s="17">
        <v>45387</v>
      </c>
    </row>
    <row r="2301" spans="1:9" x14ac:dyDescent="0.15">
      <c r="A2301" s="16" t="s">
        <v>11044</v>
      </c>
      <c r="B2301" s="7" t="s">
        <v>9</v>
      </c>
      <c r="C2301" s="16" t="s">
        <v>40</v>
      </c>
      <c r="D2301" s="16" t="s">
        <v>41</v>
      </c>
      <c r="E2301" s="13" t="str">
        <f>+HYPERLINK("http://trademark.i-assist.jp/data/china/image_1891th/77770646.pdf","77770646")</f>
        <v>77770646</v>
      </c>
      <c r="F2301" s="16" t="s">
        <v>11041</v>
      </c>
      <c r="G2301" s="16" t="s">
        <v>11040</v>
      </c>
      <c r="H2301" s="16" t="s">
        <v>11042</v>
      </c>
      <c r="I2301" s="17">
        <v>45388</v>
      </c>
    </row>
    <row r="2302" spans="1:9" x14ac:dyDescent="0.15">
      <c r="A2302" s="16" t="s">
        <v>11049</v>
      </c>
      <c r="B2302" s="7" t="s">
        <v>9</v>
      </c>
      <c r="C2302" s="16" t="s">
        <v>40</v>
      </c>
      <c r="D2302" s="16" t="s">
        <v>41</v>
      </c>
      <c r="E2302" s="13" t="str">
        <f>+HYPERLINK("http://trademark.i-assist.jp/data/china/image_1891th/77770687.pdf","77770687")</f>
        <v>77770687</v>
      </c>
      <c r="F2302" s="16" t="s">
        <v>11047</v>
      </c>
      <c r="G2302" s="16" t="s">
        <v>11046</v>
      </c>
      <c r="H2302" s="16" t="s">
        <v>11048</v>
      </c>
      <c r="I2302" s="17">
        <v>45388</v>
      </c>
    </row>
    <row r="2303" spans="1:9" x14ac:dyDescent="0.15">
      <c r="A2303" s="16" t="s">
        <v>11054</v>
      </c>
      <c r="B2303" s="7" t="s">
        <v>9</v>
      </c>
      <c r="C2303" s="16" t="s">
        <v>40</v>
      </c>
      <c r="D2303" s="16" t="s">
        <v>41</v>
      </c>
      <c r="E2303" s="13" t="str">
        <f>+HYPERLINK("http://trademark.i-assist.jp/data/china/image_1891th/77770819.pdf","77770819")</f>
        <v>77770819</v>
      </c>
      <c r="F2303" s="16" t="s">
        <v>11052</v>
      </c>
      <c r="G2303" s="16" t="s">
        <v>11051</v>
      </c>
      <c r="H2303" s="16" t="s">
        <v>11053</v>
      </c>
      <c r="I2303" s="17">
        <v>45388</v>
      </c>
    </row>
    <row r="2304" spans="1:9" x14ac:dyDescent="0.15">
      <c r="A2304" s="16" t="s">
        <v>11059</v>
      </c>
      <c r="B2304" s="7" t="s">
        <v>9</v>
      </c>
      <c r="C2304" s="16" t="s">
        <v>40</v>
      </c>
      <c r="D2304" s="16" t="s">
        <v>41</v>
      </c>
      <c r="E2304" s="13" t="str">
        <f>+HYPERLINK("http://trademark.i-assist.jp/data/china/image_1891th/77771705.pdf","77771705")</f>
        <v>77771705</v>
      </c>
      <c r="F2304" s="16" t="s">
        <v>11057</v>
      </c>
      <c r="G2304" s="16" t="s">
        <v>11056</v>
      </c>
      <c r="H2304" s="16" t="s">
        <v>11058</v>
      </c>
      <c r="I2304" s="17">
        <v>45388</v>
      </c>
    </row>
    <row r="2305" spans="1:9" x14ac:dyDescent="0.15">
      <c r="A2305" s="16" t="s">
        <v>11063</v>
      </c>
      <c r="B2305" s="7" t="s">
        <v>9</v>
      </c>
      <c r="C2305" s="16" t="s">
        <v>40</v>
      </c>
      <c r="D2305" s="16" t="s">
        <v>41</v>
      </c>
      <c r="E2305" s="13" t="str">
        <f>+HYPERLINK("http://trademark.i-assist.jp/data/china/image_1891th/77772261.pdf","77772261")</f>
        <v>77772261</v>
      </c>
      <c r="F2305" s="16" t="s">
        <v>11061</v>
      </c>
      <c r="G2305" s="16" t="s">
        <v>10471</v>
      </c>
      <c r="H2305" s="16" t="s">
        <v>11062</v>
      </c>
      <c r="I2305" s="17">
        <v>45388</v>
      </c>
    </row>
    <row r="2306" spans="1:9" x14ac:dyDescent="0.15">
      <c r="A2306" s="16" t="s">
        <v>11067</v>
      </c>
      <c r="B2306" s="7" t="s">
        <v>9</v>
      </c>
      <c r="C2306" s="16" t="s">
        <v>40</v>
      </c>
      <c r="D2306" s="16" t="s">
        <v>41</v>
      </c>
      <c r="E2306" s="13" t="str">
        <f>+HYPERLINK("http://trademark.i-assist.jp/data/china/image_1891th/77772684.pdf","77772684")</f>
        <v>77772684</v>
      </c>
      <c r="F2306" s="16" t="s">
        <v>11065</v>
      </c>
      <c r="G2306" s="16" t="s">
        <v>10862</v>
      </c>
      <c r="H2306" s="16" t="s">
        <v>11066</v>
      </c>
      <c r="I2306" s="17">
        <v>45388</v>
      </c>
    </row>
    <row r="2307" spans="1:9" x14ac:dyDescent="0.15">
      <c r="A2307" s="16" t="s">
        <v>11070</v>
      </c>
      <c r="B2307" s="7" t="s">
        <v>9</v>
      </c>
      <c r="C2307" s="16" t="s">
        <v>40</v>
      </c>
      <c r="D2307" s="16" t="s">
        <v>41</v>
      </c>
      <c r="E2307" s="13" t="str">
        <f>+HYPERLINK("http://trademark.i-assist.jp/data/china/image_1891th/77772887.pdf","77772887")</f>
        <v>77772887</v>
      </c>
      <c r="F2307" s="16" t="s">
        <v>11061</v>
      </c>
      <c r="G2307" s="16" t="s">
        <v>10471</v>
      </c>
      <c r="H2307" s="16" t="s">
        <v>11069</v>
      </c>
      <c r="I2307" s="17">
        <v>45388</v>
      </c>
    </row>
    <row r="2308" spans="1:9" x14ac:dyDescent="0.15">
      <c r="A2308" s="16" t="s">
        <v>11075</v>
      </c>
      <c r="B2308" s="7" t="s">
        <v>9</v>
      </c>
      <c r="C2308" s="16" t="s">
        <v>40</v>
      </c>
      <c r="D2308" s="16" t="s">
        <v>41</v>
      </c>
      <c r="E2308" s="13" t="str">
        <f>+HYPERLINK("http://trademark.i-assist.jp/data/china/image_1891th/77773012.pdf","77773012")</f>
        <v>77773012</v>
      </c>
      <c r="F2308" s="16" t="s">
        <v>11073</v>
      </c>
      <c r="G2308" s="16" t="s">
        <v>11072</v>
      </c>
      <c r="H2308" s="16" t="s">
        <v>11074</v>
      </c>
      <c r="I2308" s="17">
        <v>45388</v>
      </c>
    </row>
    <row r="2309" spans="1:9" x14ac:dyDescent="0.15">
      <c r="A2309" s="16" t="s">
        <v>11090</v>
      </c>
      <c r="B2309" s="7" t="s">
        <v>9</v>
      </c>
      <c r="C2309" s="16" t="s">
        <v>40</v>
      </c>
      <c r="D2309" s="16" t="s">
        <v>41</v>
      </c>
      <c r="E2309" s="13" t="str">
        <f>+HYPERLINK("http://trademark.i-assist.jp/data/china/image_1891th/77773142.pdf","77773142")</f>
        <v>77773142</v>
      </c>
      <c r="F2309" s="16" t="s">
        <v>11078</v>
      </c>
      <c r="G2309" s="16" t="s">
        <v>11077</v>
      </c>
      <c r="H2309" s="16" t="s">
        <v>11079</v>
      </c>
      <c r="I2309" s="17">
        <v>45388</v>
      </c>
    </row>
  </sheetData>
  <autoFilter ref="A1:I1" xr:uid="{1AD2F4B9-B693-4E9E-9C66-8F916867F303}"/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1889th</vt:lpstr>
      <vt:lpstr>1889th (2)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2025-02-26T05:45:36Z</dcterms:modified>
</cp:coreProperties>
</file>