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A-KEI\Desktop\work\◎酒造組合\20250225_商標チェック後アップロード業務\1890\"/>
    </mc:Choice>
  </mc:AlternateContent>
  <bookViews>
    <workbookView xWindow="0" yWindow="0" windowWidth="20250" windowHeight="10320"/>
  </bookViews>
  <sheets>
    <sheet name="1890th" sheetId="2" r:id="rId1"/>
  </sheets>
  <definedNames>
    <definedName name="_xlnm._FilterDatabase" localSheetId="0" hidden="1">'1890th'!$A$1:$I$1</definedName>
  </definedNames>
  <calcPr calcId="152511"/>
</workbook>
</file>

<file path=xl/calcChain.xml><?xml version="1.0" encoding="utf-8"?>
<calcChain xmlns="http://schemas.openxmlformats.org/spreadsheetml/2006/main">
  <c r="E2" i="2" l="1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  <c r="E2041" i="2"/>
  <c r="E2042" i="2"/>
  <c r="E2043" i="2"/>
  <c r="E2044" i="2"/>
  <c r="E2045" i="2"/>
  <c r="E2046" i="2"/>
  <c r="E2047" i="2"/>
  <c r="E2048" i="2"/>
  <c r="E2049" i="2"/>
  <c r="E2050" i="2"/>
  <c r="E2051" i="2"/>
  <c r="E2052" i="2"/>
  <c r="E2053" i="2"/>
  <c r="E2054" i="2"/>
  <c r="E2055" i="2"/>
  <c r="E2056" i="2"/>
  <c r="E2057" i="2"/>
  <c r="E2058" i="2"/>
  <c r="E2059" i="2"/>
  <c r="E2060" i="2"/>
  <c r="E2061" i="2"/>
  <c r="E2062" i="2"/>
  <c r="E2063" i="2"/>
  <c r="E2064" i="2"/>
  <c r="E2065" i="2"/>
  <c r="E2066" i="2"/>
  <c r="E2067" i="2"/>
  <c r="E2068" i="2"/>
  <c r="E2069" i="2"/>
  <c r="E2070" i="2"/>
  <c r="E2071" i="2"/>
  <c r="E2072" i="2"/>
  <c r="E2073" i="2"/>
  <c r="E2074" i="2"/>
  <c r="E2075" i="2"/>
  <c r="E2076" i="2"/>
  <c r="E2077" i="2"/>
  <c r="E2078" i="2"/>
  <c r="E2079" i="2"/>
  <c r="E2080" i="2"/>
  <c r="E2081" i="2"/>
  <c r="E2082" i="2"/>
  <c r="E2083" i="2"/>
  <c r="E2084" i="2"/>
  <c r="E2085" i="2"/>
  <c r="E2086" i="2"/>
  <c r="E2087" i="2"/>
  <c r="E2088" i="2"/>
  <c r="E2089" i="2"/>
  <c r="E2090" i="2"/>
  <c r="E2091" i="2"/>
  <c r="E2092" i="2"/>
  <c r="E2093" i="2"/>
  <c r="E2094" i="2"/>
  <c r="E2095" i="2"/>
  <c r="E2096" i="2"/>
  <c r="E2097" i="2"/>
  <c r="E2098" i="2"/>
  <c r="E2099" i="2"/>
  <c r="E2100" i="2"/>
  <c r="E2101" i="2"/>
  <c r="E2102" i="2"/>
  <c r="E2103" i="2"/>
  <c r="E2104" i="2"/>
  <c r="E2105" i="2"/>
  <c r="E2106" i="2"/>
  <c r="E2107" i="2"/>
  <c r="E2108" i="2"/>
  <c r="E2109" i="2"/>
  <c r="E2110" i="2"/>
  <c r="E2111" i="2"/>
  <c r="E2112" i="2"/>
  <c r="E2113" i="2"/>
  <c r="E2114" i="2"/>
  <c r="E2115" i="2"/>
  <c r="E2116" i="2"/>
  <c r="E2117" i="2"/>
  <c r="E2118" i="2"/>
  <c r="E2119" i="2"/>
  <c r="E2120" i="2"/>
  <c r="E2121" i="2"/>
  <c r="E2122" i="2"/>
  <c r="E2123" i="2"/>
  <c r="E2124" i="2"/>
  <c r="E2125" i="2"/>
  <c r="E2126" i="2"/>
  <c r="E2127" i="2"/>
  <c r="E2128" i="2"/>
  <c r="E2129" i="2"/>
  <c r="E2130" i="2"/>
  <c r="E2131" i="2"/>
  <c r="E2132" i="2"/>
  <c r="E2133" i="2"/>
  <c r="E2134" i="2"/>
  <c r="E2135" i="2"/>
  <c r="E2136" i="2"/>
  <c r="E2137" i="2"/>
  <c r="E2138" i="2"/>
  <c r="E2139" i="2"/>
  <c r="E2140" i="2"/>
  <c r="E2141" i="2"/>
  <c r="E2142" i="2"/>
  <c r="E2143" i="2"/>
  <c r="E2144" i="2"/>
  <c r="E2145" i="2"/>
  <c r="E2146" i="2"/>
  <c r="E2147" i="2"/>
  <c r="E2148" i="2"/>
  <c r="E2149" i="2"/>
  <c r="E2150" i="2"/>
  <c r="E2151" i="2"/>
  <c r="E2152" i="2"/>
  <c r="E2153" i="2"/>
  <c r="E2154" i="2"/>
  <c r="E2155" i="2"/>
  <c r="E2156" i="2"/>
  <c r="E2157" i="2"/>
  <c r="E2158" i="2"/>
  <c r="E2159" i="2"/>
  <c r="E2160" i="2"/>
  <c r="E2161" i="2"/>
  <c r="E2162" i="2"/>
  <c r="E2163" i="2"/>
  <c r="E2164" i="2"/>
  <c r="E2165" i="2"/>
  <c r="E2166" i="2"/>
  <c r="E2167" i="2"/>
  <c r="E2168" i="2"/>
  <c r="E2169" i="2"/>
  <c r="E2170" i="2"/>
  <c r="E2171" i="2"/>
  <c r="E2172" i="2"/>
  <c r="E2173" i="2"/>
  <c r="E2174" i="2"/>
  <c r="E2175" i="2"/>
  <c r="E2176" i="2"/>
  <c r="E2177" i="2"/>
  <c r="E2178" i="2"/>
  <c r="E2179" i="2"/>
  <c r="E2180" i="2"/>
  <c r="E2181" i="2"/>
  <c r="E2182" i="2"/>
  <c r="E2183" i="2"/>
  <c r="E2184" i="2"/>
  <c r="E2185" i="2"/>
  <c r="E2186" i="2"/>
  <c r="E2187" i="2"/>
  <c r="E2188" i="2"/>
  <c r="E2189" i="2"/>
  <c r="E2190" i="2"/>
  <c r="E2191" i="2"/>
  <c r="E2192" i="2"/>
  <c r="E2193" i="2"/>
  <c r="E2194" i="2"/>
  <c r="E2195" i="2"/>
  <c r="E2196" i="2"/>
  <c r="E2197" i="2"/>
  <c r="E2198" i="2"/>
  <c r="E2199" i="2"/>
  <c r="E2200" i="2"/>
  <c r="E2201" i="2"/>
  <c r="E2202" i="2"/>
  <c r="E2203" i="2"/>
  <c r="E2204" i="2"/>
  <c r="E2205" i="2"/>
  <c r="E2206" i="2"/>
  <c r="E2207" i="2"/>
  <c r="E2208" i="2"/>
  <c r="E2209" i="2"/>
  <c r="E2210" i="2"/>
  <c r="E2211" i="2"/>
  <c r="E2212" i="2"/>
  <c r="E2213" i="2"/>
  <c r="E2214" i="2"/>
  <c r="E2215" i="2"/>
  <c r="E2216" i="2"/>
  <c r="E2217" i="2"/>
  <c r="E2218" i="2"/>
  <c r="E2219" i="2"/>
  <c r="E2220" i="2"/>
  <c r="E2221" i="2"/>
  <c r="E2222" i="2"/>
  <c r="E2223" i="2"/>
  <c r="E2224" i="2"/>
  <c r="E2225" i="2"/>
  <c r="E2226" i="2"/>
  <c r="E2227" i="2"/>
  <c r="E2228" i="2"/>
  <c r="E2229" i="2"/>
  <c r="E2230" i="2"/>
  <c r="E2231" i="2"/>
  <c r="E2232" i="2"/>
  <c r="E2233" i="2"/>
  <c r="E2234" i="2"/>
  <c r="E2235" i="2"/>
  <c r="E2236" i="2"/>
  <c r="E2237" i="2"/>
  <c r="E2238" i="2"/>
  <c r="E2239" i="2"/>
  <c r="E2240" i="2"/>
  <c r="E2241" i="2"/>
  <c r="E2242" i="2"/>
  <c r="E2243" i="2"/>
  <c r="E2244" i="2"/>
  <c r="E2245" i="2"/>
  <c r="E2246" i="2"/>
  <c r="E2247" i="2"/>
  <c r="E2248" i="2"/>
  <c r="E2249" i="2"/>
  <c r="E2250" i="2"/>
  <c r="E2251" i="2"/>
  <c r="E2252" i="2"/>
  <c r="E2253" i="2"/>
  <c r="E2254" i="2"/>
  <c r="E2255" i="2"/>
  <c r="E2256" i="2"/>
  <c r="E2257" i="2"/>
  <c r="E2258" i="2"/>
  <c r="E2259" i="2"/>
  <c r="E2260" i="2"/>
  <c r="E2261" i="2"/>
  <c r="E2262" i="2"/>
  <c r="E2263" i="2"/>
  <c r="E2264" i="2"/>
  <c r="E2265" i="2"/>
  <c r="E2266" i="2"/>
  <c r="E2267" i="2"/>
  <c r="E2268" i="2"/>
  <c r="E2269" i="2"/>
  <c r="E2270" i="2"/>
  <c r="E2271" i="2"/>
  <c r="E2272" i="2"/>
  <c r="E2273" i="2"/>
  <c r="E2274" i="2"/>
  <c r="E2275" i="2"/>
  <c r="E2276" i="2"/>
  <c r="E2277" i="2"/>
  <c r="E2278" i="2"/>
  <c r="E2279" i="2"/>
  <c r="E2280" i="2"/>
  <c r="E2281" i="2"/>
  <c r="E2282" i="2"/>
  <c r="E2283" i="2"/>
  <c r="E2284" i="2"/>
  <c r="E2285" i="2"/>
  <c r="E2286" i="2"/>
  <c r="E2287" i="2"/>
  <c r="E2288" i="2"/>
  <c r="E2289" i="2"/>
  <c r="E2290" i="2"/>
  <c r="E2291" i="2"/>
  <c r="E2292" i="2"/>
  <c r="E2293" i="2"/>
  <c r="E2294" i="2"/>
  <c r="E2295" i="2"/>
  <c r="E2296" i="2"/>
  <c r="E2297" i="2"/>
  <c r="E2298" i="2"/>
  <c r="E2299" i="2"/>
  <c r="E2300" i="2"/>
  <c r="E2301" i="2"/>
  <c r="E2302" i="2"/>
  <c r="E2303" i="2"/>
  <c r="E2304" i="2"/>
  <c r="E2305" i="2"/>
  <c r="E2306" i="2"/>
  <c r="E2307" i="2"/>
  <c r="E2308" i="2"/>
  <c r="E2309" i="2"/>
  <c r="E2310" i="2"/>
  <c r="E2311" i="2"/>
  <c r="E2312" i="2"/>
  <c r="E2313" i="2"/>
  <c r="E2314" i="2"/>
  <c r="E2315" i="2"/>
  <c r="E2316" i="2"/>
  <c r="E2317" i="2"/>
  <c r="E2318" i="2"/>
  <c r="E2319" i="2"/>
  <c r="E2320" i="2"/>
  <c r="E2321" i="2"/>
  <c r="E2322" i="2"/>
  <c r="E2323" i="2"/>
  <c r="E2324" i="2"/>
  <c r="E2325" i="2"/>
  <c r="E2326" i="2"/>
  <c r="E2327" i="2"/>
  <c r="E2328" i="2"/>
  <c r="E2329" i="2"/>
  <c r="E2330" i="2"/>
  <c r="E2331" i="2"/>
  <c r="E2332" i="2"/>
  <c r="E2333" i="2"/>
  <c r="E2334" i="2"/>
  <c r="E2335" i="2"/>
  <c r="E2336" i="2"/>
  <c r="E2337" i="2"/>
  <c r="E2338" i="2"/>
  <c r="E2339" i="2"/>
  <c r="E2340" i="2"/>
  <c r="E2341" i="2"/>
  <c r="E2342" i="2"/>
  <c r="E2343" i="2"/>
  <c r="E2344" i="2"/>
  <c r="E2345" i="2"/>
  <c r="E2346" i="2"/>
  <c r="E2347" i="2"/>
  <c r="E2348" i="2"/>
  <c r="E2349" i="2"/>
  <c r="E2350" i="2"/>
  <c r="E2351" i="2"/>
  <c r="E2352" i="2"/>
  <c r="E2353" i="2"/>
  <c r="E2354" i="2"/>
  <c r="E2355" i="2"/>
  <c r="E2356" i="2"/>
  <c r="E2357" i="2"/>
  <c r="E2358" i="2"/>
  <c r="E2359" i="2"/>
  <c r="E2360" i="2"/>
  <c r="E2361" i="2"/>
  <c r="E2362" i="2"/>
  <c r="E2363" i="2"/>
  <c r="E2364" i="2"/>
  <c r="E2365" i="2"/>
  <c r="E2366" i="2"/>
  <c r="E2367" i="2"/>
  <c r="E2368" i="2"/>
  <c r="E2369" i="2"/>
  <c r="E2370" i="2"/>
  <c r="E2371" i="2"/>
  <c r="E2372" i="2"/>
  <c r="E2373" i="2"/>
  <c r="E2374" i="2"/>
  <c r="E2375" i="2"/>
  <c r="E2376" i="2"/>
  <c r="E2377" i="2"/>
  <c r="E2378" i="2"/>
  <c r="E2379" i="2"/>
  <c r="E2380" i="2"/>
  <c r="E2381" i="2"/>
  <c r="E2382" i="2"/>
  <c r="E2383" i="2"/>
  <c r="E2384" i="2"/>
  <c r="E2385" i="2"/>
  <c r="E2386" i="2"/>
  <c r="E2387" i="2"/>
  <c r="E2388" i="2"/>
  <c r="E2389" i="2"/>
  <c r="E2390" i="2"/>
  <c r="E2391" i="2"/>
  <c r="E2392" i="2"/>
  <c r="E2393" i="2"/>
  <c r="E2394" i="2"/>
  <c r="E2395" i="2"/>
  <c r="E2396" i="2"/>
  <c r="E2397" i="2"/>
  <c r="E2398" i="2"/>
  <c r="E2399" i="2"/>
  <c r="E2400" i="2"/>
  <c r="E2401" i="2"/>
  <c r="E2402" i="2"/>
  <c r="E2403" i="2"/>
  <c r="E2404" i="2"/>
  <c r="E2405" i="2"/>
  <c r="E2406" i="2"/>
  <c r="E2407" i="2"/>
  <c r="E2408" i="2"/>
  <c r="E2409" i="2"/>
  <c r="E2410" i="2"/>
  <c r="E2411" i="2"/>
  <c r="E2412" i="2"/>
  <c r="E2413" i="2"/>
  <c r="E2414" i="2"/>
  <c r="E2415" i="2"/>
  <c r="E2416" i="2"/>
  <c r="E2417" i="2"/>
  <c r="E2418" i="2"/>
  <c r="E2419" i="2"/>
  <c r="E2420" i="2"/>
  <c r="E2421" i="2"/>
  <c r="E2422" i="2"/>
  <c r="E2423" i="2"/>
  <c r="E2424" i="2"/>
  <c r="E2425" i="2"/>
  <c r="E2426" i="2"/>
  <c r="E2427" i="2"/>
  <c r="E2428" i="2"/>
  <c r="E2429" i="2"/>
  <c r="E2430" i="2"/>
  <c r="E2431" i="2"/>
  <c r="E2432" i="2"/>
  <c r="E2433" i="2"/>
  <c r="E2434" i="2"/>
  <c r="E2435" i="2"/>
  <c r="E2436" i="2"/>
  <c r="E2437" i="2"/>
  <c r="E2438" i="2"/>
  <c r="E2439" i="2"/>
  <c r="E2440" i="2"/>
  <c r="E2441" i="2"/>
  <c r="E2442" i="2"/>
  <c r="E2443" i="2"/>
  <c r="E2444" i="2"/>
  <c r="E2445" i="2"/>
  <c r="E2446" i="2"/>
  <c r="E2447" i="2"/>
  <c r="E2448" i="2"/>
  <c r="E2449" i="2"/>
  <c r="E2450" i="2"/>
  <c r="E2451" i="2"/>
  <c r="E2452" i="2"/>
  <c r="E2453" i="2"/>
  <c r="E2454" i="2"/>
  <c r="E2455" i="2"/>
  <c r="E2456" i="2"/>
  <c r="E2457" i="2"/>
  <c r="E2458" i="2"/>
  <c r="E2459" i="2"/>
  <c r="E2460" i="2"/>
  <c r="E2461" i="2"/>
  <c r="E2462" i="2"/>
  <c r="E2463" i="2"/>
  <c r="E2464" i="2"/>
  <c r="E2465" i="2"/>
  <c r="E2466" i="2"/>
  <c r="E2467" i="2"/>
  <c r="E2468" i="2"/>
  <c r="E2469" i="2"/>
  <c r="E2470" i="2"/>
  <c r="E2471" i="2"/>
  <c r="E2472" i="2"/>
  <c r="E2473" i="2"/>
  <c r="E2474" i="2"/>
  <c r="E2475" i="2"/>
  <c r="E2476" i="2"/>
  <c r="E2477" i="2"/>
  <c r="E2478" i="2"/>
  <c r="E2479" i="2"/>
  <c r="E2480" i="2"/>
  <c r="E2481" i="2"/>
  <c r="E2482" i="2"/>
  <c r="E2483" i="2"/>
  <c r="E2484" i="2"/>
  <c r="E2485" i="2"/>
  <c r="E2486" i="2"/>
  <c r="E2487" i="2"/>
  <c r="E2488" i="2"/>
  <c r="E2489" i="2"/>
  <c r="E2490" i="2"/>
  <c r="E2491" i="2"/>
  <c r="E2492" i="2"/>
  <c r="E2493" i="2"/>
  <c r="E2494" i="2"/>
  <c r="E2495" i="2"/>
  <c r="E2496" i="2"/>
  <c r="E2497" i="2"/>
  <c r="E2498" i="2"/>
  <c r="E2499" i="2"/>
  <c r="E2500" i="2"/>
  <c r="E2501" i="2"/>
  <c r="E2502" i="2"/>
  <c r="E2503" i="2"/>
  <c r="E2504" i="2"/>
  <c r="E2505" i="2"/>
  <c r="E2506" i="2"/>
  <c r="E2507" i="2"/>
  <c r="E2508" i="2"/>
  <c r="E2509" i="2"/>
  <c r="E2510" i="2"/>
  <c r="E2511" i="2"/>
  <c r="E2512" i="2"/>
  <c r="E2513" i="2"/>
  <c r="E2514" i="2"/>
  <c r="E2515" i="2"/>
  <c r="E2516" i="2"/>
  <c r="E2517" i="2"/>
  <c r="E2518" i="2"/>
  <c r="E2519" i="2"/>
  <c r="E2520" i="2"/>
  <c r="E2521" i="2"/>
  <c r="E2522" i="2"/>
  <c r="E2523" i="2"/>
  <c r="E2524" i="2"/>
  <c r="E2525" i="2"/>
  <c r="E2526" i="2"/>
  <c r="E2527" i="2"/>
  <c r="E2528" i="2"/>
  <c r="E2529" i="2"/>
  <c r="E2530" i="2"/>
  <c r="E2531" i="2"/>
  <c r="E2532" i="2"/>
  <c r="E2533" i="2"/>
  <c r="E2534" i="2"/>
  <c r="E2535" i="2"/>
  <c r="E2536" i="2"/>
  <c r="E2537" i="2"/>
  <c r="E2538" i="2"/>
  <c r="E2539" i="2"/>
  <c r="E2540" i="2"/>
  <c r="E2541" i="2"/>
  <c r="E2542" i="2"/>
  <c r="E2543" i="2"/>
  <c r="E2544" i="2"/>
  <c r="E2545" i="2"/>
  <c r="E2546" i="2"/>
  <c r="E2547" i="2"/>
  <c r="E2548" i="2"/>
  <c r="E2549" i="2"/>
  <c r="E2550" i="2"/>
  <c r="E2551" i="2"/>
  <c r="E2552" i="2"/>
  <c r="E2553" i="2"/>
  <c r="E2554" i="2"/>
  <c r="E2555" i="2"/>
  <c r="E2556" i="2"/>
  <c r="E2557" i="2"/>
  <c r="E2558" i="2"/>
  <c r="E2559" i="2"/>
  <c r="E2560" i="2"/>
  <c r="E2561" i="2"/>
  <c r="E2562" i="2"/>
  <c r="E2563" i="2"/>
  <c r="E2564" i="2"/>
  <c r="E2565" i="2"/>
  <c r="E2566" i="2"/>
  <c r="E2567" i="2"/>
  <c r="E2568" i="2"/>
  <c r="E2569" i="2"/>
  <c r="E2570" i="2"/>
  <c r="E2571" i="2"/>
  <c r="E2572" i="2"/>
  <c r="E2573" i="2"/>
  <c r="E2574" i="2"/>
  <c r="E2575" i="2"/>
  <c r="E2576" i="2"/>
  <c r="E2577" i="2"/>
  <c r="E2578" i="2"/>
  <c r="E2579" i="2"/>
  <c r="E2580" i="2"/>
  <c r="E2581" i="2"/>
  <c r="E2582" i="2"/>
  <c r="E2583" i="2"/>
  <c r="E2584" i="2"/>
  <c r="E2585" i="2"/>
  <c r="E2586" i="2"/>
  <c r="E2587" i="2"/>
  <c r="E2588" i="2"/>
  <c r="E2589" i="2"/>
  <c r="E2590" i="2"/>
  <c r="E2591" i="2"/>
  <c r="E2592" i="2"/>
  <c r="E2593" i="2"/>
  <c r="E2594" i="2"/>
  <c r="E2595" i="2"/>
  <c r="E2596" i="2"/>
  <c r="E2597" i="2"/>
  <c r="E2598" i="2"/>
  <c r="E2599" i="2"/>
  <c r="E2600" i="2"/>
  <c r="E2601" i="2"/>
  <c r="E2602" i="2"/>
  <c r="E2603" i="2"/>
  <c r="E2604" i="2"/>
  <c r="E2605" i="2"/>
  <c r="E2606" i="2"/>
  <c r="E2607" i="2"/>
  <c r="E2608" i="2"/>
  <c r="E2609" i="2"/>
  <c r="E2610" i="2"/>
  <c r="E2611" i="2"/>
  <c r="E2612" i="2"/>
  <c r="E2613" i="2"/>
  <c r="E2614" i="2"/>
  <c r="E2615" i="2"/>
  <c r="E2616" i="2"/>
  <c r="E2617" i="2"/>
  <c r="E2618" i="2"/>
  <c r="E2619" i="2"/>
  <c r="E2620" i="2"/>
  <c r="E2621" i="2"/>
  <c r="E2622" i="2"/>
  <c r="E2623" i="2"/>
  <c r="E2624" i="2"/>
  <c r="E2625" i="2"/>
  <c r="E2626" i="2"/>
  <c r="E2627" i="2"/>
  <c r="E2628" i="2"/>
  <c r="E2629" i="2"/>
  <c r="E2630" i="2"/>
  <c r="E2631" i="2"/>
  <c r="E2632" i="2"/>
  <c r="E2633" i="2"/>
  <c r="E2634" i="2"/>
  <c r="E2635" i="2"/>
  <c r="E2636" i="2"/>
  <c r="E2637" i="2"/>
  <c r="E2638" i="2"/>
  <c r="E2639" i="2"/>
  <c r="E2640" i="2"/>
  <c r="E2641" i="2"/>
  <c r="E2642" i="2"/>
  <c r="E2643" i="2"/>
  <c r="E2644" i="2"/>
  <c r="E2645" i="2"/>
  <c r="E2646" i="2"/>
  <c r="E2647" i="2"/>
  <c r="E2648" i="2"/>
  <c r="E2649" i="2"/>
  <c r="E2650" i="2"/>
  <c r="E2651" i="2"/>
  <c r="E2652" i="2"/>
  <c r="E2653" i="2"/>
  <c r="E2654" i="2"/>
  <c r="E2655" i="2"/>
  <c r="E2656" i="2"/>
  <c r="E2657" i="2"/>
  <c r="E2658" i="2"/>
  <c r="E2659" i="2"/>
  <c r="E2660" i="2"/>
  <c r="E2661" i="2"/>
  <c r="E2662" i="2"/>
  <c r="E2663" i="2"/>
  <c r="E2664" i="2"/>
  <c r="E2665" i="2"/>
  <c r="E2666" i="2"/>
  <c r="E2667" i="2"/>
  <c r="E2668" i="2"/>
  <c r="E2669" i="2"/>
  <c r="E2670" i="2"/>
  <c r="E2671" i="2"/>
  <c r="E2672" i="2"/>
  <c r="E2673" i="2"/>
  <c r="E2674" i="2"/>
  <c r="E2675" i="2"/>
  <c r="E2676" i="2"/>
  <c r="E2677" i="2"/>
  <c r="E2678" i="2"/>
  <c r="E2679" i="2"/>
  <c r="E2680" i="2"/>
  <c r="E2681" i="2"/>
  <c r="E2682" i="2"/>
  <c r="E2683" i="2"/>
  <c r="E2684" i="2"/>
  <c r="E2685" i="2"/>
  <c r="E2686" i="2"/>
  <c r="E2687" i="2"/>
  <c r="E2688" i="2"/>
  <c r="E2689" i="2"/>
  <c r="E2690" i="2"/>
  <c r="E2691" i="2"/>
  <c r="E2692" i="2"/>
  <c r="E2693" i="2"/>
  <c r="E2694" i="2"/>
  <c r="E2695" i="2"/>
  <c r="E2696" i="2"/>
  <c r="E2697" i="2"/>
  <c r="E2698" i="2"/>
  <c r="E2699" i="2"/>
  <c r="E2700" i="2"/>
  <c r="E2701" i="2"/>
  <c r="E2702" i="2"/>
  <c r="E2703" i="2"/>
  <c r="E2704" i="2"/>
  <c r="E2705" i="2"/>
  <c r="E2706" i="2"/>
  <c r="E2707" i="2"/>
  <c r="E2708" i="2"/>
  <c r="E2709" i="2"/>
  <c r="E2710" i="2"/>
  <c r="E2711" i="2"/>
  <c r="E2712" i="2"/>
  <c r="E2713" i="2"/>
  <c r="E2714" i="2"/>
  <c r="E2715" i="2"/>
  <c r="E2716" i="2"/>
  <c r="E2717" i="2"/>
  <c r="E2718" i="2"/>
  <c r="E2719" i="2"/>
  <c r="E2720" i="2"/>
  <c r="E2721" i="2"/>
  <c r="E2722" i="2"/>
  <c r="E2723" i="2"/>
  <c r="E2724" i="2"/>
  <c r="E2725" i="2"/>
  <c r="E2726" i="2"/>
  <c r="E2727" i="2"/>
  <c r="E2728" i="2"/>
  <c r="E2729" i="2"/>
  <c r="E2730" i="2"/>
  <c r="E2731" i="2"/>
  <c r="E2732" i="2"/>
  <c r="E2733" i="2"/>
  <c r="E2734" i="2"/>
  <c r="E2735" i="2"/>
  <c r="E2736" i="2"/>
  <c r="E2737" i="2"/>
  <c r="E2738" i="2"/>
  <c r="E2739" i="2"/>
  <c r="E2740" i="2"/>
  <c r="E2741" i="2"/>
  <c r="E2742" i="2"/>
  <c r="E2743" i="2"/>
  <c r="E2744" i="2"/>
  <c r="E2745" i="2"/>
  <c r="E2746" i="2"/>
  <c r="E2747" i="2"/>
  <c r="E2748" i="2"/>
  <c r="E2749" i="2"/>
  <c r="E2750" i="2"/>
  <c r="E2751" i="2"/>
  <c r="E2752" i="2"/>
  <c r="E2753" i="2"/>
  <c r="E2754" i="2"/>
  <c r="E2755" i="2"/>
  <c r="E2756" i="2"/>
  <c r="E2757" i="2"/>
  <c r="E2758" i="2"/>
  <c r="E2759" i="2"/>
  <c r="E2760" i="2"/>
  <c r="E2761" i="2"/>
  <c r="E2762" i="2"/>
  <c r="E2763" i="2"/>
  <c r="E2764" i="2"/>
  <c r="E2765" i="2"/>
  <c r="E2766" i="2"/>
  <c r="E2767" i="2"/>
  <c r="E2768" i="2"/>
  <c r="E2769" i="2"/>
  <c r="E2770" i="2"/>
  <c r="E2771" i="2"/>
  <c r="E2772" i="2"/>
  <c r="E2773" i="2"/>
  <c r="E2774" i="2"/>
  <c r="E2775" i="2"/>
  <c r="E2776" i="2"/>
  <c r="E2777" i="2"/>
  <c r="E2778" i="2"/>
  <c r="E2779" i="2"/>
  <c r="E2780" i="2"/>
  <c r="E2781" i="2"/>
  <c r="E2782" i="2"/>
  <c r="E2783" i="2"/>
  <c r="E2784" i="2"/>
  <c r="E2785" i="2"/>
  <c r="E2786" i="2"/>
  <c r="E2787" i="2"/>
  <c r="E2788" i="2"/>
  <c r="E2789" i="2"/>
  <c r="E2790" i="2"/>
  <c r="E2791" i="2"/>
  <c r="E2792" i="2"/>
  <c r="E2793" i="2"/>
  <c r="E2794" i="2"/>
  <c r="E2795" i="2"/>
  <c r="E2796" i="2"/>
  <c r="E2797" i="2"/>
  <c r="E2798" i="2"/>
  <c r="E2799" i="2"/>
  <c r="E2800" i="2"/>
  <c r="E2801" i="2"/>
  <c r="E2802" i="2"/>
  <c r="E2803" i="2"/>
  <c r="E2804" i="2"/>
  <c r="E2805" i="2"/>
  <c r="E2806" i="2"/>
  <c r="E2807" i="2"/>
  <c r="E2808" i="2"/>
  <c r="E2809" i="2"/>
  <c r="E2810" i="2"/>
  <c r="E2811" i="2"/>
  <c r="E2812" i="2"/>
  <c r="E2813" i="2"/>
  <c r="E2814" i="2"/>
  <c r="E2815" i="2"/>
  <c r="E2816" i="2"/>
  <c r="E2817" i="2"/>
  <c r="E2818" i="2"/>
  <c r="E2819" i="2"/>
  <c r="E2820" i="2"/>
  <c r="E2821" i="2"/>
  <c r="E2822" i="2"/>
  <c r="E2823" i="2"/>
  <c r="E2824" i="2"/>
  <c r="E2825" i="2"/>
  <c r="E2826" i="2"/>
  <c r="E2827" i="2"/>
  <c r="E2828" i="2"/>
  <c r="E2829" i="2"/>
  <c r="E2830" i="2"/>
  <c r="E2831" i="2"/>
  <c r="E2832" i="2"/>
  <c r="E2833" i="2"/>
  <c r="E2834" i="2"/>
  <c r="E2835" i="2"/>
  <c r="E2836" i="2"/>
  <c r="E2837" i="2"/>
  <c r="E2838" i="2"/>
  <c r="E2839" i="2"/>
  <c r="E2840" i="2"/>
  <c r="E2841" i="2"/>
  <c r="E2842" i="2"/>
  <c r="E2843" i="2"/>
  <c r="E2844" i="2"/>
  <c r="E2845" i="2"/>
  <c r="E2846" i="2"/>
  <c r="E2847" i="2"/>
  <c r="E2848" i="2"/>
  <c r="E2849" i="2"/>
  <c r="E2850" i="2"/>
  <c r="E2851" i="2"/>
  <c r="E2852" i="2"/>
  <c r="E2853" i="2"/>
  <c r="E2854" i="2"/>
  <c r="E2855" i="2"/>
  <c r="E2856" i="2"/>
  <c r="E2857" i="2"/>
  <c r="E2858" i="2"/>
  <c r="E2859" i="2"/>
  <c r="E2860" i="2"/>
  <c r="E2861" i="2"/>
  <c r="E2862" i="2"/>
  <c r="E2863" i="2"/>
  <c r="E2864" i="2"/>
  <c r="E2865" i="2"/>
  <c r="E2866" i="2"/>
  <c r="E2867" i="2"/>
  <c r="E2868" i="2"/>
  <c r="E2869" i="2"/>
  <c r="E2870" i="2"/>
  <c r="E2871" i="2"/>
  <c r="E2872" i="2"/>
  <c r="E2873" i="2"/>
  <c r="E2874" i="2"/>
  <c r="E2875" i="2"/>
  <c r="E2876" i="2"/>
  <c r="E2877" i="2"/>
  <c r="E2878" i="2"/>
  <c r="E2879" i="2"/>
  <c r="E2880" i="2"/>
  <c r="E2881" i="2"/>
  <c r="E2882" i="2"/>
  <c r="E2883" i="2"/>
  <c r="E2884" i="2"/>
  <c r="E2885" i="2"/>
  <c r="E2886" i="2"/>
  <c r="E2887" i="2"/>
  <c r="E2888" i="2"/>
  <c r="E2889" i="2"/>
  <c r="E2890" i="2"/>
  <c r="E2891" i="2"/>
  <c r="E2892" i="2"/>
  <c r="E2893" i="2"/>
  <c r="E2894" i="2"/>
  <c r="E2895" i="2"/>
  <c r="E2896" i="2"/>
  <c r="E2897" i="2"/>
  <c r="E2898" i="2"/>
  <c r="E2899" i="2"/>
  <c r="E2900" i="2"/>
  <c r="E2901" i="2"/>
  <c r="E2902" i="2"/>
  <c r="E2903" i="2"/>
  <c r="E2904" i="2"/>
  <c r="E2905" i="2"/>
  <c r="E2906" i="2"/>
  <c r="E2907" i="2"/>
  <c r="E2908" i="2"/>
  <c r="E2909" i="2"/>
  <c r="E2910" i="2"/>
  <c r="E2911" i="2"/>
  <c r="E2912" i="2"/>
  <c r="E2913" i="2"/>
  <c r="E2914" i="2"/>
  <c r="E2915" i="2"/>
  <c r="E2916" i="2"/>
  <c r="E2917" i="2"/>
  <c r="E2918" i="2"/>
  <c r="E2919" i="2"/>
  <c r="E2920" i="2"/>
  <c r="E2921" i="2"/>
  <c r="E2922" i="2"/>
  <c r="E2923" i="2"/>
  <c r="E2924" i="2"/>
  <c r="E2925" i="2"/>
  <c r="E2926" i="2"/>
  <c r="E2927" i="2"/>
  <c r="E2928" i="2"/>
  <c r="E2929" i="2"/>
  <c r="E2930" i="2"/>
  <c r="E2931" i="2"/>
  <c r="E2932" i="2"/>
  <c r="E2933" i="2"/>
  <c r="E2934" i="2"/>
  <c r="E2935" i="2"/>
  <c r="E2936" i="2"/>
  <c r="E2937" i="2"/>
  <c r="E2938" i="2"/>
  <c r="E2939" i="2"/>
  <c r="E2940" i="2"/>
  <c r="E2941" i="2"/>
  <c r="E2942" i="2"/>
  <c r="E2943" i="2"/>
  <c r="E2944" i="2"/>
  <c r="E2945" i="2"/>
  <c r="E2946" i="2"/>
  <c r="E2947" i="2"/>
  <c r="E2948" i="2"/>
  <c r="E2949" i="2"/>
  <c r="E2950" i="2"/>
  <c r="E2951" i="2"/>
  <c r="E2952" i="2"/>
  <c r="E2953" i="2"/>
  <c r="E2954" i="2"/>
  <c r="E2955" i="2"/>
  <c r="E2956" i="2"/>
  <c r="E2957" i="2"/>
  <c r="E2958" i="2"/>
  <c r="E2959" i="2"/>
  <c r="E2960" i="2"/>
  <c r="E2961" i="2"/>
  <c r="E2962" i="2"/>
  <c r="E2963" i="2"/>
  <c r="E2964" i="2"/>
  <c r="E2965" i="2"/>
  <c r="E2966" i="2"/>
  <c r="E2967" i="2"/>
  <c r="E2968" i="2"/>
  <c r="E2969" i="2"/>
  <c r="E2970" i="2"/>
  <c r="E2971" i="2"/>
  <c r="E2972" i="2"/>
  <c r="E2973" i="2"/>
  <c r="E2974" i="2"/>
  <c r="E2975" i="2"/>
  <c r="E2976" i="2"/>
  <c r="E2977" i="2"/>
  <c r="E2978" i="2"/>
  <c r="E2979" i="2"/>
  <c r="E2980" i="2"/>
  <c r="E2981" i="2"/>
  <c r="E2982" i="2"/>
  <c r="E2983" i="2"/>
  <c r="E2984" i="2"/>
  <c r="E2985" i="2"/>
  <c r="E2986" i="2"/>
  <c r="E2987" i="2"/>
  <c r="E2988" i="2"/>
  <c r="E2989" i="2"/>
  <c r="E2990" i="2"/>
  <c r="E2991" i="2"/>
  <c r="E2992" i="2"/>
  <c r="E2993" i="2"/>
  <c r="E2994" i="2"/>
  <c r="E2995" i="2"/>
  <c r="E2996" i="2"/>
  <c r="E2997" i="2"/>
  <c r="E2998" i="2"/>
  <c r="E2999" i="2"/>
  <c r="E3000" i="2"/>
  <c r="E3001" i="2"/>
  <c r="E3002" i="2"/>
  <c r="E3003" i="2"/>
  <c r="E3004" i="2"/>
  <c r="E3005" i="2"/>
  <c r="E3006" i="2"/>
  <c r="E3007" i="2"/>
  <c r="E3008" i="2"/>
  <c r="E3009" i="2"/>
  <c r="E3010" i="2"/>
  <c r="E3011" i="2"/>
  <c r="E3012" i="2"/>
  <c r="E3013" i="2"/>
  <c r="E3014" i="2"/>
  <c r="E3015" i="2"/>
  <c r="E3016" i="2"/>
  <c r="E3017" i="2"/>
  <c r="E3018" i="2"/>
  <c r="E3019" i="2"/>
  <c r="E3020" i="2"/>
  <c r="E3021" i="2"/>
  <c r="E3022" i="2"/>
  <c r="E3023" i="2"/>
  <c r="E3024" i="2"/>
  <c r="E3025" i="2"/>
  <c r="E3026" i="2"/>
  <c r="E3027" i="2"/>
  <c r="E3028" i="2"/>
  <c r="E3029" i="2"/>
  <c r="E3030" i="2"/>
  <c r="E3031" i="2"/>
  <c r="E3032" i="2"/>
  <c r="E3033" i="2"/>
  <c r="E3034" i="2"/>
  <c r="E3035" i="2"/>
  <c r="E3036" i="2"/>
  <c r="E3037" i="2"/>
  <c r="E3038" i="2"/>
  <c r="E3039" i="2"/>
  <c r="E3040" i="2"/>
  <c r="E3041" i="2"/>
  <c r="E3042" i="2"/>
  <c r="E3043" i="2"/>
  <c r="E3044" i="2"/>
  <c r="E3045" i="2"/>
  <c r="E3046" i="2"/>
  <c r="E3047" i="2"/>
  <c r="E3048" i="2"/>
  <c r="E3049" i="2"/>
  <c r="E3050" i="2"/>
  <c r="E3051" i="2"/>
  <c r="E3052" i="2"/>
  <c r="E3053" i="2"/>
  <c r="E3054" i="2"/>
  <c r="E3055" i="2"/>
  <c r="E3056" i="2"/>
  <c r="E3057" i="2"/>
  <c r="E3058" i="2"/>
  <c r="E3059" i="2"/>
  <c r="E3060" i="2"/>
  <c r="E3061" i="2"/>
  <c r="E3062" i="2"/>
  <c r="E3063" i="2"/>
  <c r="E3064" i="2"/>
  <c r="E3065" i="2"/>
  <c r="E3066" i="2"/>
  <c r="E3067" i="2"/>
  <c r="E3068" i="2"/>
  <c r="E3069" i="2"/>
  <c r="E3070" i="2"/>
  <c r="E3071" i="2"/>
  <c r="E3072" i="2"/>
  <c r="E3073" i="2"/>
  <c r="E3074" i="2"/>
  <c r="E3075" i="2"/>
  <c r="E3076" i="2"/>
  <c r="E3077" i="2"/>
  <c r="E3078" i="2"/>
  <c r="E3079" i="2"/>
  <c r="E3080" i="2"/>
  <c r="E3081" i="2"/>
  <c r="E3082" i="2"/>
  <c r="E3083" i="2"/>
  <c r="E3084" i="2"/>
  <c r="E3085" i="2"/>
  <c r="E3086" i="2"/>
  <c r="E3087" i="2"/>
  <c r="E3088" i="2"/>
  <c r="E3089" i="2"/>
  <c r="E3090" i="2"/>
  <c r="E3091" i="2"/>
  <c r="E3092" i="2"/>
  <c r="E3093" i="2"/>
  <c r="E3094" i="2"/>
  <c r="E3095" i="2"/>
  <c r="E3096" i="2"/>
  <c r="E3097" i="2"/>
  <c r="E3098" i="2"/>
  <c r="E3099" i="2"/>
  <c r="E3100" i="2"/>
  <c r="E3101" i="2"/>
  <c r="E3102" i="2"/>
  <c r="E3103" i="2"/>
  <c r="E3104" i="2"/>
  <c r="E3105" i="2"/>
  <c r="E3106" i="2"/>
  <c r="E3107" i="2"/>
  <c r="E3108" i="2"/>
  <c r="E3109" i="2"/>
  <c r="E3110" i="2"/>
  <c r="E3111" i="2"/>
  <c r="E3112" i="2"/>
  <c r="E3113" i="2"/>
  <c r="E3114" i="2"/>
  <c r="E3115" i="2"/>
  <c r="E3116" i="2"/>
  <c r="E3117" i="2"/>
  <c r="E3118" i="2"/>
  <c r="E3119" i="2"/>
  <c r="E3120" i="2"/>
  <c r="E3121" i="2"/>
  <c r="E3122" i="2"/>
  <c r="E3123" i="2"/>
  <c r="E3124" i="2"/>
  <c r="E3125" i="2"/>
  <c r="E3126" i="2"/>
  <c r="E3127" i="2"/>
  <c r="E3128" i="2"/>
  <c r="E3129" i="2"/>
  <c r="E3130" i="2"/>
  <c r="E3131" i="2"/>
  <c r="E3132" i="2"/>
  <c r="E3133" i="2"/>
  <c r="E3134" i="2"/>
  <c r="E3135" i="2"/>
  <c r="E3136" i="2"/>
  <c r="E3137" i="2"/>
  <c r="E3138" i="2"/>
  <c r="E3139" i="2"/>
  <c r="E3140" i="2"/>
  <c r="E3141" i="2"/>
  <c r="E3142" i="2"/>
  <c r="E3143" i="2"/>
  <c r="E3144" i="2"/>
  <c r="E3145" i="2"/>
  <c r="E3146" i="2"/>
  <c r="E3147" i="2"/>
  <c r="E3148" i="2"/>
  <c r="E3149" i="2"/>
  <c r="E3150" i="2"/>
  <c r="E3151" i="2"/>
  <c r="E3152" i="2"/>
  <c r="E3153" i="2"/>
  <c r="E3154" i="2"/>
  <c r="E3155" i="2"/>
  <c r="E3156" i="2"/>
  <c r="E3157" i="2"/>
  <c r="E3158" i="2"/>
  <c r="E3159" i="2"/>
  <c r="E3160" i="2"/>
  <c r="E3161" i="2"/>
  <c r="E3162" i="2"/>
  <c r="E3163" i="2"/>
  <c r="E3164" i="2"/>
  <c r="E3165" i="2"/>
  <c r="E3166" i="2"/>
  <c r="E3167" i="2"/>
  <c r="E3168" i="2"/>
  <c r="E3169" i="2"/>
  <c r="E3170" i="2"/>
  <c r="E3171" i="2"/>
  <c r="E3172" i="2"/>
  <c r="E3173" i="2"/>
  <c r="E3174" i="2"/>
  <c r="E3175" i="2"/>
  <c r="E3176" i="2"/>
  <c r="E3177" i="2"/>
  <c r="E3178" i="2"/>
  <c r="E3179" i="2"/>
  <c r="E3180" i="2"/>
  <c r="E3181" i="2"/>
  <c r="E3182" i="2"/>
  <c r="E3183" i="2"/>
  <c r="E3184" i="2"/>
  <c r="E3185" i="2"/>
  <c r="E3186" i="2"/>
  <c r="E3187" i="2"/>
  <c r="E3188" i="2"/>
  <c r="E3189" i="2"/>
  <c r="E3190" i="2"/>
  <c r="E3191" i="2"/>
  <c r="E3192" i="2"/>
  <c r="E3193" i="2"/>
  <c r="E3194" i="2"/>
  <c r="E3195" i="2"/>
  <c r="E3196" i="2"/>
  <c r="E3197" i="2"/>
  <c r="E3198" i="2"/>
  <c r="E3199" i="2"/>
  <c r="E3200" i="2"/>
  <c r="E3201" i="2"/>
  <c r="E3202" i="2"/>
  <c r="E3203" i="2"/>
  <c r="E3204" i="2"/>
  <c r="E3205" i="2"/>
  <c r="E3206" i="2"/>
  <c r="E3207" i="2"/>
  <c r="E3208" i="2"/>
  <c r="E3209" i="2"/>
  <c r="E3210" i="2"/>
  <c r="E3211" i="2"/>
  <c r="E3212" i="2"/>
  <c r="E3213" i="2"/>
  <c r="E3214" i="2"/>
  <c r="E3215" i="2"/>
  <c r="E3216" i="2"/>
  <c r="E3217" i="2"/>
  <c r="E3218" i="2"/>
  <c r="E3219" i="2"/>
  <c r="E3220" i="2"/>
  <c r="E3221" i="2"/>
  <c r="E3222" i="2"/>
  <c r="E3223" i="2"/>
  <c r="E3224" i="2"/>
  <c r="E3225" i="2"/>
  <c r="E3226" i="2"/>
  <c r="E3227" i="2"/>
  <c r="E3228" i="2"/>
  <c r="E3229" i="2"/>
  <c r="E3230" i="2"/>
  <c r="E3231" i="2"/>
  <c r="E3232" i="2"/>
  <c r="E3233" i="2"/>
  <c r="E3234" i="2"/>
  <c r="E3235" i="2"/>
  <c r="E3236" i="2"/>
  <c r="E3237" i="2"/>
  <c r="E3238" i="2"/>
  <c r="E3239" i="2"/>
  <c r="E3240" i="2"/>
  <c r="E3241" i="2"/>
  <c r="E3242" i="2"/>
  <c r="E3243" i="2"/>
  <c r="E3244" i="2"/>
  <c r="E3245" i="2"/>
  <c r="E3246" i="2"/>
  <c r="E3247" i="2"/>
  <c r="E3248" i="2"/>
  <c r="E3249" i="2"/>
  <c r="E3250" i="2"/>
  <c r="E3251" i="2"/>
  <c r="E3252" i="2"/>
  <c r="E3253" i="2"/>
  <c r="E3254" i="2"/>
  <c r="E3255" i="2"/>
  <c r="E3256" i="2"/>
  <c r="E3257" i="2"/>
  <c r="E3258" i="2"/>
  <c r="E3259" i="2"/>
  <c r="E3260" i="2"/>
  <c r="E3261" i="2"/>
  <c r="E3262" i="2"/>
  <c r="E3263" i="2"/>
  <c r="E3264" i="2"/>
  <c r="E3265" i="2"/>
  <c r="E3266" i="2"/>
  <c r="E3267" i="2"/>
  <c r="E3268" i="2"/>
  <c r="E3269" i="2"/>
  <c r="E3270" i="2"/>
  <c r="E3271" i="2"/>
  <c r="E3272" i="2"/>
  <c r="E3273" i="2"/>
  <c r="E3274" i="2"/>
  <c r="E3275" i="2"/>
  <c r="E3276" i="2"/>
  <c r="E3277" i="2"/>
  <c r="E3278" i="2"/>
  <c r="E3279" i="2"/>
  <c r="E3280" i="2"/>
  <c r="E3281" i="2"/>
  <c r="E3282" i="2"/>
  <c r="E3283" i="2"/>
  <c r="E3284" i="2"/>
  <c r="E3285" i="2"/>
  <c r="E3286" i="2"/>
  <c r="E3287" i="2"/>
  <c r="E3288" i="2"/>
  <c r="E3289" i="2"/>
  <c r="E3290" i="2"/>
  <c r="E3291" i="2"/>
  <c r="E3292" i="2"/>
  <c r="E3293" i="2"/>
  <c r="E3294" i="2"/>
  <c r="E3295" i="2"/>
  <c r="E3296" i="2"/>
  <c r="E3297" i="2"/>
  <c r="E3298" i="2"/>
  <c r="E3299" i="2"/>
  <c r="E3300" i="2"/>
  <c r="E3301" i="2"/>
  <c r="E3302" i="2"/>
  <c r="E3303" i="2"/>
  <c r="E3304" i="2"/>
  <c r="E3305" i="2"/>
  <c r="E3306" i="2"/>
  <c r="E3307" i="2"/>
  <c r="E3308" i="2"/>
  <c r="E3309" i="2"/>
  <c r="E3310" i="2"/>
  <c r="E3311" i="2"/>
  <c r="E3312" i="2"/>
  <c r="E3313" i="2"/>
  <c r="E3314" i="2"/>
  <c r="E3315" i="2"/>
  <c r="E3316" i="2"/>
  <c r="E3317" i="2"/>
  <c r="E3318" i="2"/>
  <c r="E3319" i="2"/>
  <c r="E3320" i="2"/>
  <c r="E3321" i="2"/>
  <c r="E3322" i="2"/>
  <c r="E3323" i="2"/>
  <c r="E3324" i="2"/>
  <c r="E3325" i="2"/>
  <c r="E3326" i="2"/>
  <c r="E3327" i="2"/>
  <c r="E3328" i="2"/>
  <c r="E3329" i="2"/>
  <c r="E3330" i="2"/>
  <c r="E3331" i="2"/>
  <c r="E3332" i="2"/>
  <c r="E3333" i="2"/>
  <c r="E3334" i="2"/>
  <c r="E3335" i="2"/>
  <c r="E3336" i="2"/>
  <c r="E3337" i="2"/>
  <c r="E3338" i="2"/>
  <c r="E3339" i="2"/>
  <c r="E3340" i="2"/>
  <c r="E3341" i="2"/>
  <c r="E3342" i="2"/>
  <c r="E3343" i="2"/>
  <c r="E3344" i="2"/>
  <c r="E3345" i="2"/>
  <c r="E3346" i="2"/>
  <c r="E3347" i="2"/>
  <c r="E3348" i="2"/>
  <c r="E3349" i="2"/>
  <c r="E3350" i="2"/>
  <c r="E3351" i="2"/>
  <c r="E3352" i="2"/>
  <c r="E3353" i="2"/>
  <c r="E3354" i="2"/>
  <c r="E3355" i="2"/>
  <c r="E3356" i="2"/>
  <c r="E3357" i="2"/>
  <c r="E3358" i="2"/>
  <c r="E3359" i="2"/>
  <c r="E3360" i="2"/>
  <c r="E3361" i="2"/>
  <c r="E3362" i="2"/>
  <c r="E3363" i="2"/>
  <c r="E3364" i="2"/>
  <c r="E3365" i="2"/>
  <c r="E3366" i="2"/>
  <c r="E3367" i="2"/>
  <c r="E3368" i="2"/>
  <c r="E3369" i="2"/>
  <c r="E3370" i="2"/>
  <c r="E3371" i="2"/>
  <c r="E3372" i="2"/>
  <c r="E3373" i="2"/>
  <c r="E3374" i="2"/>
  <c r="E3375" i="2"/>
  <c r="E3376" i="2"/>
  <c r="E3377" i="2"/>
  <c r="E3378" i="2"/>
  <c r="E3379" i="2"/>
  <c r="E3380" i="2"/>
  <c r="E3381" i="2"/>
  <c r="E3382" i="2"/>
  <c r="E3383" i="2"/>
  <c r="E3384" i="2"/>
  <c r="E3385" i="2"/>
  <c r="E3386" i="2"/>
  <c r="E3387" i="2"/>
  <c r="E3388" i="2"/>
  <c r="E3389" i="2"/>
  <c r="E3390" i="2"/>
  <c r="E3391" i="2"/>
  <c r="E3392" i="2"/>
  <c r="E3393" i="2"/>
  <c r="E3394" i="2"/>
  <c r="E3395" i="2"/>
  <c r="E3396" i="2"/>
  <c r="E3397" i="2"/>
  <c r="E3398" i="2"/>
  <c r="E3399" i="2"/>
  <c r="E3400" i="2"/>
  <c r="E3401" i="2"/>
  <c r="E3402" i="2"/>
  <c r="E3403" i="2"/>
  <c r="E3404" i="2"/>
  <c r="E3405" i="2"/>
  <c r="E3406" i="2"/>
  <c r="E3407" i="2"/>
  <c r="E3408" i="2"/>
  <c r="E3409" i="2"/>
  <c r="E3410" i="2"/>
  <c r="E3411" i="2"/>
  <c r="E3412" i="2"/>
  <c r="E3413" i="2"/>
  <c r="E3414" i="2"/>
  <c r="E3415" i="2"/>
  <c r="E3416" i="2"/>
  <c r="E3417" i="2"/>
  <c r="E3418" i="2"/>
  <c r="E3419" i="2"/>
  <c r="E3420" i="2"/>
  <c r="E3421" i="2"/>
  <c r="E3422" i="2"/>
  <c r="E3423" i="2"/>
  <c r="E3424" i="2"/>
  <c r="E3425" i="2"/>
  <c r="E3426" i="2"/>
  <c r="E3427" i="2"/>
  <c r="E3428" i="2"/>
  <c r="E3429" i="2"/>
  <c r="E3430" i="2"/>
  <c r="E3431" i="2"/>
  <c r="E3432" i="2"/>
  <c r="E3433" i="2"/>
  <c r="E3434" i="2"/>
  <c r="E3435" i="2"/>
  <c r="E3436" i="2"/>
  <c r="E3437" i="2"/>
  <c r="E3438" i="2"/>
  <c r="E3439" i="2"/>
  <c r="E3440" i="2"/>
  <c r="E3441" i="2"/>
  <c r="E3442" i="2"/>
  <c r="E3443" i="2"/>
  <c r="E3444" i="2"/>
  <c r="E3445" i="2"/>
  <c r="E3446" i="2"/>
  <c r="E3447" i="2"/>
  <c r="E3448" i="2"/>
  <c r="E3449" i="2"/>
  <c r="E3450" i="2"/>
  <c r="E3451" i="2"/>
  <c r="E3452" i="2"/>
  <c r="E3453" i="2"/>
  <c r="E3454" i="2"/>
  <c r="E3455" i="2"/>
  <c r="E3456" i="2"/>
  <c r="E3457" i="2"/>
  <c r="E3458" i="2"/>
  <c r="E3459" i="2"/>
  <c r="E3460" i="2"/>
  <c r="E3461" i="2"/>
  <c r="E3462" i="2"/>
  <c r="E3463" i="2"/>
  <c r="E3464" i="2"/>
  <c r="E3465" i="2"/>
  <c r="E3466" i="2"/>
  <c r="E3467" i="2"/>
  <c r="E3468" i="2"/>
  <c r="E3469" i="2"/>
  <c r="E3470" i="2"/>
  <c r="E3471" i="2"/>
  <c r="E3472" i="2"/>
  <c r="E3473" i="2"/>
  <c r="E3474" i="2"/>
  <c r="E3475" i="2"/>
  <c r="E3476" i="2"/>
  <c r="E3477" i="2"/>
  <c r="E3478" i="2"/>
  <c r="E3479" i="2"/>
  <c r="E3480" i="2"/>
  <c r="E3481" i="2"/>
  <c r="E3482" i="2"/>
  <c r="E3483" i="2"/>
  <c r="E3484" i="2"/>
  <c r="E3485" i="2"/>
  <c r="E3486" i="2"/>
  <c r="E3487" i="2"/>
  <c r="E3488" i="2"/>
  <c r="E3489" i="2"/>
  <c r="E3490" i="2"/>
  <c r="E3491" i="2"/>
  <c r="E3492" i="2"/>
  <c r="E3493" i="2"/>
  <c r="E3494" i="2"/>
  <c r="E3495" i="2"/>
  <c r="E3496" i="2"/>
  <c r="E3497" i="2"/>
  <c r="E3498" i="2"/>
  <c r="E3499" i="2"/>
  <c r="E3500" i="2"/>
  <c r="E3501" i="2"/>
  <c r="E3502" i="2"/>
  <c r="E3503" i="2"/>
  <c r="E3504" i="2"/>
  <c r="E3505" i="2"/>
  <c r="E3506" i="2"/>
  <c r="E3507" i="2"/>
  <c r="E3508" i="2"/>
  <c r="E3509" i="2"/>
  <c r="E3510" i="2"/>
  <c r="E3511" i="2"/>
  <c r="E3512" i="2"/>
  <c r="E3513" i="2"/>
  <c r="E3514" i="2"/>
  <c r="E3515" i="2"/>
  <c r="E3516" i="2"/>
  <c r="E3517" i="2"/>
  <c r="E3518" i="2"/>
  <c r="E3519" i="2"/>
  <c r="E3520" i="2"/>
  <c r="E3521" i="2"/>
  <c r="E3522" i="2"/>
  <c r="E3523" i="2"/>
  <c r="E3524" i="2"/>
  <c r="E3525" i="2"/>
  <c r="E3526" i="2"/>
  <c r="E3527" i="2"/>
  <c r="E3528" i="2"/>
  <c r="E3529" i="2"/>
  <c r="E3530" i="2"/>
  <c r="E3531" i="2"/>
  <c r="E3532" i="2"/>
  <c r="E3533" i="2"/>
  <c r="E3534" i="2"/>
  <c r="E3535" i="2"/>
  <c r="E3536" i="2"/>
  <c r="E3537" i="2"/>
  <c r="E3538" i="2"/>
  <c r="E3539" i="2"/>
  <c r="E3540" i="2"/>
  <c r="E3541" i="2"/>
  <c r="E3542" i="2"/>
  <c r="E3543" i="2"/>
  <c r="E3544" i="2"/>
  <c r="E3545" i="2"/>
  <c r="E3546" i="2"/>
  <c r="E3547" i="2"/>
  <c r="E3548" i="2"/>
  <c r="E3549" i="2"/>
  <c r="E3550" i="2"/>
  <c r="E3551" i="2"/>
  <c r="E3552" i="2"/>
  <c r="E3553" i="2"/>
  <c r="E3554" i="2"/>
  <c r="E3555" i="2"/>
  <c r="E3556" i="2"/>
  <c r="E3557" i="2"/>
  <c r="E3558" i="2"/>
  <c r="E3559" i="2"/>
  <c r="E3560" i="2"/>
  <c r="E3561" i="2"/>
  <c r="E3562" i="2"/>
  <c r="E3563" i="2"/>
  <c r="E3564" i="2"/>
  <c r="E3565" i="2"/>
  <c r="E3566" i="2"/>
  <c r="E3567" i="2"/>
  <c r="E3568" i="2"/>
  <c r="E3569" i="2"/>
  <c r="E3570" i="2"/>
  <c r="E3571" i="2"/>
  <c r="E3572" i="2"/>
  <c r="E3573" i="2"/>
  <c r="E3574" i="2"/>
  <c r="E3575" i="2"/>
  <c r="E3576" i="2"/>
  <c r="E3577" i="2"/>
  <c r="E3578" i="2"/>
  <c r="E3579" i="2"/>
  <c r="E3580" i="2"/>
  <c r="E3581" i="2"/>
  <c r="E3582" i="2"/>
  <c r="E3583" i="2"/>
  <c r="E3584" i="2"/>
  <c r="E3585" i="2"/>
  <c r="E3586" i="2"/>
  <c r="E3587" i="2"/>
  <c r="E3588" i="2"/>
  <c r="E3589" i="2"/>
  <c r="E3590" i="2"/>
  <c r="E3591" i="2"/>
  <c r="E3592" i="2"/>
  <c r="E3593" i="2"/>
  <c r="E3594" i="2"/>
  <c r="E3595" i="2"/>
  <c r="E3596" i="2"/>
  <c r="E3597" i="2"/>
  <c r="E3598" i="2"/>
  <c r="E3599" i="2"/>
  <c r="E3600" i="2"/>
  <c r="E3601" i="2"/>
  <c r="E3602" i="2"/>
  <c r="E3603" i="2"/>
  <c r="E3604" i="2"/>
  <c r="E3605" i="2"/>
  <c r="E3606" i="2"/>
  <c r="E3607" i="2"/>
  <c r="E3608" i="2"/>
  <c r="E3609" i="2"/>
  <c r="E3610" i="2"/>
  <c r="E3611" i="2"/>
  <c r="E3612" i="2"/>
  <c r="E3613" i="2"/>
  <c r="E3614" i="2"/>
  <c r="E3615" i="2"/>
  <c r="E3616" i="2"/>
  <c r="E3617" i="2"/>
  <c r="E3618" i="2"/>
  <c r="E3619" i="2"/>
  <c r="E3620" i="2"/>
  <c r="E3621" i="2"/>
  <c r="E3622" i="2"/>
  <c r="E3623" i="2"/>
  <c r="E3624" i="2"/>
  <c r="E3625" i="2"/>
  <c r="E3626" i="2"/>
  <c r="E3627" i="2"/>
  <c r="E3628" i="2"/>
  <c r="E3629" i="2"/>
  <c r="E3630" i="2"/>
  <c r="E3631" i="2"/>
  <c r="E3632" i="2"/>
  <c r="E3633" i="2"/>
  <c r="E3634" i="2"/>
  <c r="E3635" i="2"/>
  <c r="E3636" i="2"/>
  <c r="E3637" i="2"/>
  <c r="E3638" i="2"/>
  <c r="E3639" i="2"/>
  <c r="E3640" i="2"/>
  <c r="E3641" i="2"/>
  <c r="E3642" i="2"/>
  <c r="E3643" i="2"/>
  <c r="E3644" i="2"/>
  <c r="E3645" i="2"/>
  <c r="E3646" i="2"/>
  <c r="E3647" i="2"/>
  <c r="E3648" i="2"/>
  <c r="E3649" i="2"/>
  <c r="E3650" i="2"/>
  <c r="E3651" i="2"/>
  <c r="E3652" i="2"/>
  <c r="E3653" i="2"/>
  <c r="E3654" i="2"/>
  <c r="E3655" i="2"/>
  <c r="E3656" i="2"/>
  <c r="E3657" i="2"/>
  <c r="E3658" i="2"/>
  <c r="E3659" i="2"/>
  <c r="E3660" i="2"/>
  <c r="E3661" i="2"/>
  <c r="E3662" i="2"/>
  <c r="E3663" i="2"/>
  <c r="E3664" i="2"/>
  <c r="E3665" i="2"/>
  <c r="E3666" i="2"/>
  <c r="E3667" i="2"/>
  <c r="E3668" i="2"/>
  <c r="E3669" i="2"/>
  <c r="E3670" i="2"/>
  <c r="E3671" i="2"/>
  <c r="E3672" i="2"/>
  <c r="E3673" i="2"/>
  <c r="E3674" i="2"/>
  <c r="E3675" i="2"/>
  <c r="E3676" i="2"/>
  <c r="E3677" i="2"/>
  <c r="E3678" i="2"/>
  <c r="E3679" i="2"/>
  <c r="E3680" i="2"/>
  <c r="E3681" i="2"/>
  <c r="E3682" i="2"/>
  <c r="E3683" i="2"/>
  <c r="E3684" i="2"/>
  <c r="E3685" i="2"/>
  <c r="E3686" i="2"/>
  <c r="E3687" i="2"/>
  <c r="E3688" i="2"/>
  <c r="E3689" i="2"/>
  <c r="E3690" i="2"/>
  <c r="E3691" i="2"/>
  <c r="E3692" i="2"/>
  <c r="E3693" i="2"/>
  <c r="E3694" i="2"/>
  <c r="E3695" i="2"/>
  <c r="E3696" i="2"/>
  <c r="E3697" i="2"/>
  <c r="E3698" i="2"/>
  <c r="E3699" i="2"/>
  <c r="E3700" i="2"/>
  <c r="E3701" i="2"/>
  <c r="E3702" i="2"/>
  <c r="E3703" i="2"/>
  <c r="E3704" i="2"/>
  <c r="E3705" i="2"/>
  <c r="E3706" i="2"/>
  <c r="E3707" i="2"/>
  <c r="E3708" i="2"/>
  <c r="E3709" i="2"/>
  <c r="E3710" i="2"/>
  <c r="E3711" i="2"/>
  <c r="E3712" i="2"/>
  <c r="E3713" i="2"/>
  <c r="E3714" i="2"/>
  <c r="E3715" i="2"/>
  <c r="E3716" i="2"/>
  <c r="E3717" i="2"/>
  <c r="E3718" i="2"/>
  <c r="E3719" i="2"/>
  <c r="E3720" i="2"/>
  <c r="E3721" i="2"/>
  <c r="E3722" i="2"/>
  <c r="E3723" i="2"/>
  <c r="E3724" i="2"/>
  <c r="E3725" i="2"/>
  <c r="E3726" i="2"/>
  <c r="E3727" i="2"/>
  <c r="E3728" i="2"/>
  <c r="E3729" i="2"/>
  <c r="E3730" i="2"/>
  <c r="E3731" i="2"/>
  <c r="E3732" i="2"/>
  <c r="E3733" i="2"/>
  <c r="E3734" i="2"/>
  <c r="E3735" i="2"/>
  <c r="E3736" i="2"/>
  <c r="E3737" i="2"/>
  <c r="E3738" i="2"/>
  <c r="E3739" i="2"/>
  <c r="E3740" i="2"/>
  <c r="E3741" i="2"/>
  <c r="E3742" i="2"/>
  <c r="E3743" i="2"/>
  <c r="E3744" i="2"/>
  <c r="E3745" i="2"/>
  <c r="E3746" i="2"/>
  <c r="E3747" i="2"/>
  <c r="E3748" i="2"/>
  <c r="E3749" i="2"/>
  <c r="E3750" i="2"/>
  <c r="E3751" i="2"/>
  <c r="E3752" i="2"/>
  <c r="E3753" i="2"/>
  <c r="E3754" i="2"/>
  <c r="E3755" i="2"/>
  <c r="E3756" i="2"/>
  <c r="E3757" i="2"/>
  <c r="E3758" i="2"/>
  <c r="E3759" i="2"/>
  <c r="E3760" i="2"/>
  <c r="E3761" i="2"/>
  <c r="E3762" i="2"/>
  <c r="E3763" i="2"/>
  <c r="E3764" i="2"/>
  <c r="E3765" i="2"/>
  <c r="E3766" i="2"/>
  <c r="E3767" i="2"/>
  <c r="E3768" i="2"/>
  <c r="E3769" i="2"/>
  <c r="E3770" i="2"/>
  <c r="E3771" i="2"/>
  <c r="E3772" i="2"/>
  <c r="E3773" i="2"/>
  <c r="E3774" i="2"/>
  <c r="E3775" i="2"/>
  <c r="E3776" i="2"/>
  <c r="E3777" i="2"/>
  <c r="E3778" i="2"/>
  <c r="E3779" i="2"/>
  <c r="E3780" i="2"/>
  <c r="E3781" i="2"/>
  <c r="E3782" i="2"/>
  <c r="E3783" i="2"/>
  <c r="E3784" i="2"/>
  <c r="E3785" i="2"/>
  <c r="E3786" i="2"/>
  <c r="E3787" i="2"/>
  <c r="E3788" i="2"/>
  <c r="E3789" i="2"/>
  <c r="E3790" i="2"/>
  <c r="E3791" i="2"/>
  <c r="E3792" i="2"/>
  <c r="E3793" i="2"/>
  <c r="E3794" i="2"/>
  <c r="E3795" i="2"/>
  <c r="E3796" i="2"/>
  <c r="E3797" i="2"/>
  <c r="E3798" i="2"/>
  <c r="E3799" i="2"/>
  <c r="E3800" i="2"/>
  <c r="E3801" i="2"/>
  <c r="E3802" i="2"/>
  <c r="E3803" i="2"/>
  <c r="E3804" i="2"/>
  <c r="E3805" i="2"/>
  <c r="E3806" i="2"/>
  <c r="E3807" i="2"/>
  <c r="E3808" i="2"/>
  <c r="E3809" i="2"/>
  <c r="E3810" i="2"/>
  <c r="E3811" i="2"/>
  <c r="E3812" i="2"/>
  <c r="E3813" i="2"/>
  <c r="E3814" i="2"/>
  <c r="E3815" i="2"/>
  <c r="E3816" i="2"/>
  <c r="E3817" i="2"/>
  <c r="E3818" i="2"/>
  <c r="E3819" i="2"/>
  <c r="E3820" i="2"/>
  <c r="E3821" i="2"/>
  <c r="E3822" i="2"/>
  <c r="E3823" i="2"/>
  <c r="E3824" i="2"/>
  <c r="E3825" i="2"/>
  <c r="E3826" i="2"/>
  <c r="E3827" i="2"/>
  <c r="E3828" i="2"/>
  <c r="E3829" i="2"/>
  <c r="E3830" i="2"/>
  <c r="E3831" i="2"/>
  <c r="E3832" i="2"/>
  <c r="E3833" i="2"/>
  <c r="E3834" i="2"/>
  <c r="E3835" i="2"/>
  <c r="E3836" i="2"/>
  <c r="E3837" i="2"/>
  <c r="E3838" i="2"/>
  <c r="E3839" i="2"/>
  <c r="E3840" i="2"/>
  <c r="E3841" i="2"/>
  <c r="E3842" i="2"/>
  <c r="E3843" i="2"/>
  <c r="E3844" i="2"/>
  <c r="E3845" i="2"/>
  <c r="E3846" i="2"/>
  <c r="E3847" i="2"/>
  <c r="E3848" i="2"/>
  <c r="E3849" i="2"/>
  <c r="E3850" i="2"/>
  <c r="E3851" i="2"/>
  <c r="E3852" i="2"/>
  <c r="E3853" i="2"/>
  <c r="E3854" i="2"/>
  <c r="E3855" i="2"/>
  <c r="E3856" i="2"/>
  <c r="E3857" i="2"/>
  <c r="E3858" i="2"/>
  <c r="E3859" i="2"/>
  <c r="E3860" i="2"/>
  <c r="E3861" i="2"/>
  <c r="E3862" i="2"/>
  <c r="E3863" i="2"/>
  <c r="E3864" i="2"/>
  <c r="E3865" i="2"/>
  <c r="E3866" i="2"/>
  <c r="E3867" i="2"/>
  <c r="E3868" i="2"/>
  <c r="E3869" i="2"/>
  <c r="E3870" i="2"/>
  <c r="E3871" i="2"/>
  <c r="E3872" i="2"/>
  <c r="E3873" i="2"/>
  <c r="E3874" i="2"/>
  <c r="E3875" i="2"/>
  <c r="E3876" i="2"/>
  <c r="E3877" i="2"/>
  <c r="E3878" i="2"/>
  <c r="E3879" i="2"/>
  <c r="E3880" i="2"/>
  <c r="E3881" i="2"/>
  <c r="E3882" i="2"/>
  <c r="E3883" i="2"/>
  <c r="E3884" i="2"/>
  <c r="E3885" i="2"/>
  <c r="E3886" i="2"/>
  <c r="E3887" i="2"/>
  <c r="E3888" i="2"/>
  <c r="E3889" i="2"/>
  <c r="E3890" i="2"/>
  <c r="E3891" i="2"/>
  <c r="E3892" i="2"/>
  <c r="E3893" i="2"/>
  <c r="E3894" i="2"/>
  <c r="E3895" i="2"/>
  <c r="E3896" i="2"/>
  <c r="E3897" i="2"/>
  <c r="E3898" i="2"/>
  <c r="E3899" i="2"/>
  <c r="E3900" i="2"/>
  <c r="E3901" i="2"/>
  <c r="E3902" i="2"/>
  <c r="E3903" i="2"/>
  <c r="E3904" i="2"/>
  <c r="E3905" i="2"/>
  <c r="E3906" i="2"/>
  <c r="E3907" i="2"/>
  <c r="E3908" i="2"/>
  <c r="E3909" i="2"/>
  <c r="E3910" i="2"/>
  <c r="E3911" i="2"/>
  <c r="E3912" i="2"/>
  <c r="E3913" i="2"/>
  <c r="E3914" i="2"/>
  <c r="E3915" i="2"/>
  <c r="E3916" i="2"/>
  <c r="E3917" i="2"/>
  <c r="E3918" i="2"/>
  <c r="E3919" i="2"/>
  <c r="E3920" i="2"/>
  <c r="E3921" i="2"/>
  <c r="E3922" i="2"/>
  <c r="E3923" i="2"/>
  <c r="E3924" i="2"/>
  <c r="E3925" i="2"/>
  <c r="E3926" i="2"/>
  <c r="E3927" i="2"/>
  <c r="E3928" i="2"/>
  <c r="E3929" i="2"/>
  <c r="E3930" i="2"/>
  <c r="E3931" i="2"/>
  <c r="E3932" i="2"/>
  <c r="E3933" i="2"/>
  <c r="E3934" i="2"/>
  <c r="E3935" i="2"/>
  <c r="E3936" i="2"/>
  <c r="E3937" i="2"/>
  <c r="E3938" i="2"/>
  <c r="E3939" i="2"/>
  <c r="E3940" i="2"/>
  <c r="E3941" i="2"/>
  <c r="E3942" i="2"/>
  <c r="E3943" i="2"/>
  <c r="E3944" i="2"/>
  <c r="E3945" i="2"/>
  <c r="E3946" i="2"/>
  <c r="E3947" i="2"/>
  <c r="E3948" i="2"/>
  <c r="E3949" i="2"/>
  <c r="E3950" i="2"/>
  <c r="E3951" i="2"/>
  <c r="E3952" i="2"/>
  <c r="E3953" i="2"/>
  <c r="E3954" i="2"/>
  <c r="E3955" i="2"/>
  <c r="E3956" i="2"/>
  <c r="E3957" i="2"/>
  <c r="E3958" i="2"/>
  <c r="E3959" i="2"/>
  <c r="E3960" i="2"/>
  <c r="E3961" i="2"/>
  <c r="E3962" i="2"/>
  <c r="E3963" i="2"/>
  <c r="E3964" i="2"/>
  <c r="E3965" i="2"/>
  <c r="E3966" i="2"/>
  <c r="E3967" i="2"/>
  <c r="E3968" i="2"/>
  <c r="E3969" i="2"/>
  <c r="E3970" i="2"/>
  <c r="E3971" i="2"/>
  <c r="E3972" i="2"/>
  <c r="E3973" i="2"/>
  <c r="E3974" i="2"/>
  <c r="E3975" i="2"/>
  <c r="E3976" i="2"/>
  <c r="E3977" i="2"/>
  <c r="E3978" i="2"/>
  <c r="E3979" i="2"/>
  <c r="E3980" i="2"/>
  <c r="E3981" i="2"/>
  <c r="E3982" i="2"/>
  <c r="E3983" i="2"/>
  <c r="E3984" i="2"/>
  <c r="E3985" i="2"/>
  <c r="E3986" i="2"/>
  <c r="E3987" i="2"/>
  <c r="E3988" i="2"/>
  <c r="E3989" i="2"/>
  <c r="E3990" i="2"/>
  <c r="E3991" i="2"/>
  <c r="E3992" i="2"/>
  <c r="E3993" i="2"/>
  <c r="E3994" i="2"/>
  <c r="E3995" i="2"/>
  <c r="E3996" i="2"/>
  <c r="E3997" i="2"/>
  <c r="E3998" i="2"/>
  <c r="E3999" i="2"/>
  <c r="E4000" i="2"/>
  <c r="E4001" i="2"/>
  <c r="E4002" i="2"/>
  <c r="E4003" i="2"/>
  <c r="E4004" i="2"/>
  <c r="E4005" i="2"/>
  <c r="E4006" i="2"/>
  <c r="E4007" i="2"/>
  <c r="E4008" i="2"/>
  <c r="E4009" i="2"/>
  <c r="E4010" i="2"/>
  <c r="E4011" i="2"/>
  <c r="E4012" i="2"/>
  <c r="E4013" i="2"/>
  <c r="E4014" i="2"/>
  <c r="E4015" i="2"/>
  <c r="E4016" i="2"/>
  <c r="E4017" i="2"/>
  <c r="E4018" i="2"/>
  <c r="E4019" i="2"/>
  <c r="E4020" i="2"/>
  <c r="E4021" i="2"/>
  <c r="E4022" i="2"/>
  <c r="E4023" i="2"/>
  <c r="E4024" i="2"/>
  <c r="E4025" i="2"/>
  <c r="E4026" i="2"/>
  <c r="E4027" i="2"/>
  <c r="E4028" i="2"/>
  <c r="E4029" i="2"/>
  <c r="E4030" i="2"/>
  <c r="E4031" i="2"/>
  <c r="E4032" i="2"/>
  <c r="E4033" i="2"/>
  <c r="E4034" i="2"/>
  <c r="E4035" i="2"/>
  <c r="E4036" i="2"/>
  <c r="E4037" i="2"/>
  <c r="E4038" i="2"/>
  <c r="E4039" i="2"/>
  <c r="E4040" i="2"/>
  <c r="E4041" i="2"/>
  <c r="E4042" i="2"/>
  <c r="E4043" i="2"/>
  <c r="E4044" i="2"/>
  <c r="E4045" i="2"/>
  <c r="E4046" i="2"/>
  <c r="E4047" i="2"/>
  <c r="E4048" i="2"/>
  <c r="E4049" i="2"/>
  <c r="E4050" i="2"/>
  <c r="E4051" i="2"/>
  <c r="E4052" i="2"/>
  <c r="E4053" i="2"/>
  <c r="E4054" i="2"/>
  <c r="E4055" i="2"/>
  <c r="E4056" i="2"/>
  <c r="E4057" i="2"/>
  <c r="E4058" i="2"/>
  <c r="E4059" i="2"/>
  <c r="E4060" i="2"/>
  <c r="E4061" i="2"/>
  <c r="E4062" i="2"/>
  <c r="E4063" i="2"/>
  <c r="E4064" i="2"/>
  <c r="E4065" i="2"/>
  <c r="E4066" i="2"/>
  <c r="E4067" i="2"/>
  <c r="E4068" i="2"/>
  <c r="E4069" i="2"/>
  <c r="E4070" i="2"/>
  <c r="E4071" i="2"/>
  <c r="E4072" i="2"/>
  <c r="E4073" i="2"/>
  <c r="E4074" i="2"/>
  <c r="E4075" i="2"/>
  <c r="E4076" i="2"/>
  <c r="E4077" i="2"/>
  <c r="E4078" i="2"/>
  <c r="E4079" i="2"/>
  <c r="E4080" i="2"/>
  <c r="E4081" i="2"/>
  <c r="E4082" i="2"/>
  <c r="E4083" i="2"/>
  <c r="E4084" i="2"/>
  <c r="E4085" i="2"/>
  <c r="E4086" i="2"/>
  <c r="E4087" i="2"/>
  <c r="E4088" i="2"/>
  <c r="E4089" i="2"/>
  <c r="E4090" i="2"/>
  <c r="E4091" i="2"/>
  <c r="E4092" i="2"/>
  <c r="E4093" i="2"/>
  <c r="E4094" i="2"/>
  <c r="E4095" i="2"/>
  <c r="E4096" i="2"/>
  <c r="E4097" i="2"/>
  <c r="E4098" i="2"/>
  <c r="E4099" i="2"/>
  <c r="E4100" i="2"/>
  <c r="E4101" i="2"/>
  <c r="E4102" i="2"/>
  <c r="E4103" i="2"/>
  <c r="E4104" i="2"/>
  <c r="E4105" i="2"/>
  <c r="E4106" i="2"/>
  <c r="E4107" i="2"/>
  <c r="E4108" i="2"/>
  <c r="E4109" i="2"/>
  <c r="E4110" i="2"/>
  <c r="E4111" i="2"/>
  <c r="E4112" i="2"/>
  <c r="E4113" i="2"/>
  <c r="E4114" i="2"/>
  <c r="E4115" i="2"/>
  <c r="E4116" i="2"/>
  <c r="E4117" i="2"/>
  <c r="E4118" i="2"/>
  <c r="E4119" i="2"/>
  <c r="E4120" i="2"/>
  <c r="E4121" i="2"/>
  <c r="E4122" i="2"/>
  <c r="E4123" i="2"/>
  <c r="E4124" i="2"/>
  <c r="E4125" i="2"/>
  <c r="E4126" i="2"/>
  <c r="E4127" i="2"/>
  <c r="E4128" i="2"/>
  <c r="E4129" i="2"/>
  <c r="E4130" i="2"/>
  <c r="E4131" i="2"/>
  <c r="E4132" i="2"/>
  <c r="E4133" i="2"/>
  <c r="E4134" i="2"/>
  <c r="E4135" i="2"/>
</calcChain>
</file>

<file path=xl/sharedStrings.xml><?xml version="1.0" encoding="utf-8"?>
<sst xmlns="http://schemas.openxmlformats.org/spreadsheetml/2006/main" count="16555" uniqueCount="11363">
  <si>
    <t>国名</t>
  </si>
  <si>
    <t>公告期</t>
  </si>
  <si>
    <t>発表日</t>
  </si>
  <si>
    <t>商標番号</t>
  </si>
  <si>
    <t>商標名称</t>
  </si>
  <si>
    <t>申請人</t>
  </si>
  <si>
    <t>商品</t>
  </si>
  <si>
    <t>中国</t>
  </si>
  <si>
    <t>葡萄酒</t>
  </si>
  <si>
    <t>皇樽</t>
  </si>
  <si>
    <t>ACT</t>
  </si>
  <si>
    <t>民族匠心品牌管理（北京）有限公司</t>
  </si>
  <si>
    <t>郝玉芝</t>
  </si>
  <si>
    <t>吴小平</t>
  </si>
  <si>
    <t>佛山市南海区珍趣多食品商行</t>
  </si>
  <si>
    <t>潘琪</t>
  </si>
  <si>
    <t>李沙</t>
  </si>
  <si>
    <t>刘杭丰</t>
  </si>
  <si>
    <t>百高石油有限公司</t>
  </si>
  <si>
    <t>刘秋梅</t>
  </si>
  <si>
    <t>魏瑜涛</t>
  </si>
  <si>
    <t>周旗</t>
  </si>
  <si>
    <t>李清波</t>
  </si>
  <si>
    <t>深圳无后科技有限公司</t>
  </si>
  <si>
    <t>刘明慧</t>
  </si>
  <si>
    <t>王法壮</t>
  </si>
  <si>
    <t>弭柯</t>
  </si>
  <si>
    <t>王悦</t>
  </si>
  <si>
    <t>上海玖和食品有限公司</t>
  </si>
  <si>
    <t>宁夏欣恒葡萄酒庄有限公司</t>
  </si>
  <si>
    <t>初台</t>
  </si>
  <si>
    <t>朱云来</t>
  </si>
  <si>
    <t>深圳宇禾健康科技有限公司</t>
  </si>
  <si>
    <t>吴桐</t>
  </si>
  <si>
    <t>何杰</t>
  </si>
  <si>
    <t>河南群英会酒店管理有限公司</t>
  </si>
  <si>
    <t>阳明来</t>
  </si>
  <si>
    <t>吉林立鹿生物科技有限公司</t>
  </si>
  <si>
    <t>索彼雅当斯酒庄</t>
  </si>
  <si>
    <t>缪进红</t>
  </si>
  <si>
    <t>刘勇</t>
  </si>
  <si>
    <t>代南</t>
  </si>
  <si>
    <t>李碧蓉</t>
  </si>
  <si>
    <t>何振禧</t>
  </si>
  <si>
    <t>周先雨</t>
  </si>
  <si>
    <t>李德洪</t>
  </si>
  <si>
    <t>幸国华</t>
  </si>
  <si>
    <t>老来醇</t>
  </si>
  <si>
    <t>⾼粱酒;蒸馏⽶酒（泡盛酒）;清酒;烈酒;⽩酒;⻩酒;烧酒;甜酒;含⽔果酒精饮料;果酒（含酒精）</t>
  </si>
  <si>
    <t>河北宫爵酒业有限公司</t>
  </si>
  <si>
    <t>威曼登</t>
  </si>
  <si>
    <t>果酒（含酒精）;烈酒（饮料）;汽酒;⽩兰地;清酒（⽇本⽶酒）;伏特加酒;⽩酒;酒精饮料（啤酒除外）;⻩酒;葡萄酒</t>
  </si>
  <si>
    <t>陈超</t>
  </si>
  <si>
    <t>玺粹</t>
  </si>
  <si>
    <t>烧酒;酒精饮料（啤酒除外）;⽩酒;⽩⼲酒（中国⽩酒）;果酒（含酒精）;葡萄酒;⽶酒;⾷⽤酒精;⽼酒（中国蒸馏烈酒）;鸡尾酒</t>
  </si>
  <si>
    <t>泉州市洛江区双阳火文如商贸行</t>
  </si>
  <si>
    <t>通达</t>
  </si>
  <si>
    <t>⽩葡萄酒;烧酒;鸡尾酒;⻩酒;含酒精的饮料（啤酒除外）;果酒（含酒精）;⽩酒;葡萄酒;⽶酒;清酒</t>
  </si>
  <si>
    <t>武夷山市超灵百货商行</t>
  </si>
  <si>
    <t>醇临门</t>
  </si>
  <si>
    <t>威士忌;米酒;烧酒;白酒;清酒（日本米酒）;果酒（含酒精）;烈酒（饮料）;鸡尾酒;葡萄酒;黄酒</t>
  </si>
  <si>
    <t>武夷山市游约茶叶商行</t>
  </si>
  <si>
    <t>稻典</t>
  </si>
  <si>
    <t>鸡尾酒;⻩酒;⽩酒;果酒（含酒精）;烧酒;烈酒（饮料）;威⼠忌;⽶酒;清酒（⽇本⽶酒）;葡萄酒</t>
  </si>
  <si>
    <t>武夷山市飞荣百货商行</t>
  </si>
  <si>
    <t>塞纳河</t>
  </si>
  <si>
    <t>果酒（含酒精）;烧酒;⻩酒;鸡尾酒;⽶酒;烈酒（饮料）;葡萄酒;威⼠忌;清酒（⽇本⽶酒）;⽩酒</t>
  </si>
  <si>
    <t>深圳市深源商业有限公司</t>
  </si>
  <si>
    <t>葡派</t>
  </si>
  <si>
    <t>果酒（含酒精）;以葡萄酒为主的饮料;朗姆酒（酒精饮料）;葡萄酒;起泡红葡萄酒;含酒精⽔果饮料;鸡尾酒;⽩葡萄酒;红葡萄酒;起泡⽩葡萄酒</t>
  </si>
  <si>
    <t>天香源(辽宁)生物科技有限责任公司</t>
  </si>
  <si>
    <t>金牡天香 GOLDEN PEONY TIAN XIANG</t>
  </si>
  <si>
    <t>果酒（含酒精）;鸡尾酒;葡萄酒;酒精饮料（啤酒除外）;⻩酒;烧酒;烈酒（饮料）;清酒（⽇本⽶酒）;⽩酒;⽶酒</t>
  </si>
  <si>
    <t>岳强</t>
  </si>
  <si>
    <t>态库</t>
  </si>
  <si>
    <t>⽩酒;果酒（含酒精）;鸡尾酒;⾕物制蒸馏酒精饮料;⾷⽤酒精;烧酒;葡萄酒;⻩酒;利⼝酒;酒精饮料（啤酒除外）</t>
  </si>
  <si>
    <t>川酒之家（北京）品牌营销策划有限公司</t>
  </si>
  <si>
    <t>新白小老窖</t>
  </si>
  <si>
    <t>葡萄酒;果酒;烧酒;⻩酒;烈酒（饮料）;果酒（含酒精）;酒精饮料（啤酒除外）;⽩酒;⽶酒;鸡尾酒</t>
  </si>
  <si>
    <t>新红大老窖</t>
  </si>
  <si>
    <t>烧酒;⻩酒;鸡尾酒;烈酒（饮料）;果酒（含酒精）;酒精饮料（啤酒除外）;⽩酒;葡萄酒;⽶酒;果酒</t>
  </si>
  <si>
    <t>妮萨古丽·尼亚孜</t>
  </si>
  <si>
    <t>TUMAN KUWWAT REYHAN 途曼酷瓦提叶依汗</t>
  </si>
  <si>
    <t>含⽔果酒精饮料;酒精饮料原汁;尼⽡（以⽢蔗为主的酒精饮料）;葡萄酒;烈酒;开胃酒;清酒（⽇本⽶酒）;汽酒;⽩酒;果酒</t>
  </si>
  <si>
    <t>山东华狮啤酒有限公司</t>
  </si>
  <si>
    <t>小火炉</t>
  </si>
  <si>
    <t>果酒（含酒精）;⽶酒;葡萄酒;酒精饮料原汁;⾷⽤酒精;⽩酒;酒精饮料（啤酒除外）;预先混合的酒精饮料（以啤酒为主的除外）;烈酒（饮料）;⻩酒</t>
  </si>
  <si>
    <t>曾雷</t>
  </si>
  <si>
    <t>热爱</t>
  </si>
  <si>
    <t>餐后酒（利⼝酒和烈酒）;烧酒;⽩⼲酒（中国⽩酒）;⽩兰地;酒精饮料（啤酒除外）;果酒（含酒精）;⽩酒;蒸馏饮料;葡萄酒;朗姆酒</t>
  </si>
  <si>
    <t>成都阳生商务咨询有限公司</t>
  </si>
  <si>
    <t>宝元</t>
  </si>
  <si>
    <t>烧酒;⻘稞酒;汽酒;⾷⽤酒精;果酒;⽶酒;⾼粱酒;⻩酒;⽩酒;⽩⼲酒（中国⽩酒）</t>
  </si>
  <si>
    <t>北京深势科技有限公司</t>
  </si>
  <si>
    <t>见微知著</t>
  </si>
  <si>
    <t>红葡萄酒;⽇本梅⼦酒;⻘梅酒;清酒;⽩酒;已调味的蒸馏酒;⽩⼲酒（中国⽩酒）;烈酒;威⼠忌;葡萄酒;烈性⼲酒;⽼酒（中国蒸馏烈酒）</t>
  </si>
  <si>
    <t>义乌市鹤楷电子商务商行</t>
  </si>
  <si>
    <t>滇龙</t>
  </si>
  <si>
    <t>果酒（含酒精）;⾷⽤酒精;葡萄酒;⽶酒;⽩⼲酒（中国⽩酒）;鸡尾酒;烧酒;⽩酒;⽼酒（中国蒸馏烈酒）;酒精饮料（啤酒除外）</t>
  </si>
  <si>
    <t>上海落蓝科技有限公司</t>
  </si>
  <si>
    <t>阿斯罗</t>
  </si>
  <si>
    <t>清酒（⽇本⽶酒）;伏特加酒;利⼝酒;⽩酒;鸡尾酒;威⼠忌;果酒;烈酒（饮料）;⽶酒;红葡萄酒</t>
  </si>
  <si>
    <t>石安平</t>
  </si>
  <si>
    <t>酒都裕</t>
  </si>
  <si>
    <t>烧酒;⾼粱酒;⽼酒（中国蒸馏烈酒）;⽩⼲酒（中国⽩酒）;露酒;含酒精⽔果饮料;烧酒（烈酒）;由⾕物蒸馏的⽩酒;烈酒;⽩酒</t>
  </si>
  <si>
    <t>吕宝得</t>
  </si>
  <si>
    <t>德源恒</t>
  </si>
  <si>
    <t>酒精饮料（啤酒除外）;蒸馏饮料;⽩酒;果酒（含酒精）;葡萄酒;鸡尾酒;烧酒;⽶酒;威⼠忌;烈酒（饮料）</t>
  </si>
  <si>
    <t>湖北武当仙尊酒业有限公司</t>
  </si>
  <si>
    <t>WUDANG</t>
  </si>
  <si>
    <t>含⽔果酒精饮料;酒精饮料（啤酒除外）;果酒;利⼝酒;⽶酒;葡萄酒;⽩酒;蒸馏饮料;烈酒;蜂蜜酒</t>
  </si>
  <si>
    <t>贞龙</t>
  </si>
  <si>
    <t>酒精饮料（啤酒除外）;⽩⼲酒（中国⽩酒）;果酒（含酒精）;⽼酒（中国蒸馏烈酒）;⾷⽤酒精;⽩酒;烈酒（饮料）;威⼠忌;烧酒;葡萄酒</t>
  </si>
  <si>
    <t>贵州唐忆酒业有限公司</t>
  </si>
  <si>
    <t>乡约九坝</t>
  </si>
  <si>
    <t>含酒精的充气饮料（啤酒除外）;蒸馏米酒（泡盛酒）;果酒;白酒;蜂蜜酒;鸡尾酒;葡萄酒;黄酒;烧酒;青稞酒</t>
  </si>
  <si>
    <t>河北白洋淀酒业集团有限公司</t>
  </si>
  <si>
    <t>白洋淀金雁翎</t>
  </si>
  <si>
    <t>⽩酒;酒精饮料（啤酒除外）;鸡尾酒;清酒（⽇本⽶酒）;⽶酒;果酒（含酒精）;葡萄酒;烈酒（饮料）;⻩酒;烧酒</t>
  </si>
  <si>
    <t>贵州情景最藏酒业有限公司</t>
  </si>
  <si>
    <t>年藏爱酿</t>
  </si>
  <si>
    <t>果酒（含酒精）;预先混合的酒精饮料（以啤酒为主的除外）;汽酒;酒精饮料（啤酒除外）;⽶酒;⽩酒;烧酒;蒸馏饮料;葡萄酒;⻩酒</t>
  </si>
  <si>
    <t>山东静藏时光文化传播有限公司</t>
  </si>
  <si>
    <t>秋月春风</t>
  </si>
  <si>
    <t>⽶酒;⻩酒;果酒（含酒精）;烧酒;清酒;鸡尾酒;葡萄酒;酒精饮料（啤酒除外）;⾷⽤酒精;⽩酒</t>
  </si>
  <si>
    <t>徐州维肯玻璃制品有限公司</t>
  </si>
  <si>
    <t>好球</t>
  </si>
  <si>
    <t>烈酒（饮料）;⽩兰地;鸡尾酒;伏特加酒;⽩酒;朗姆酒;果酒（含酒精）;⾕物制蒸馏酒精饮料;威⼠忌;葡萄酒</t>
  </si>
  <si>
    <t>贵州九品佳酒业有限公司</t>
  </si>
  <si>
    <t>JIUPINJIA</t>
  </si>
  <si>
    <t>烧酒;⻩酒;葡萄酒;⽩酒;⽼酒（中国蒸馏烈酒）;鸡尾酒;蜂蜜酒;威⼠忌;⽶酒;⾼粱酒</t>
  </si>
  <si>
    <t>阿查瓦尔菲勒有限公司</t>
  </si>
  <si>
    <t>菲卡</t>
  </si>
  <si>
    <t>葡萄酒;酒精饮料（啤酒除外）</t>
  </si>
  <si>
    <t>贝拉维萨</t>
  </si>
  <si>
    <t>酒精饮料（啤酒除外）;葡萄酒</t>
  </si>
  <si>
    <t>勿问（杭州）科技有限公司</t>
  </si>
  <si>
    <t>新思路</t>
  </si>
  <si>
    <t>⽩酒;⽶酒;伏特加酒;利⼝酒;⻩酒;⽔果汽酒;蜂蜜酒;果酒（含酒精）;葡萄酒;威⼠忌</t>
  </si>
  <si>
    <t>上海云胜投资管理有限公司</t>
  </si>
  <si>
    <t>十万亩</t>
  </si>
  <si>
    <t>果酒;威⼠忌;⾼粱酒;⻘稞酒;⽶酒;加烈葡萄酒;⻩酒;红葡萄酒;鸡尾酒;⽩酒</t>
  </si>
  <si>
    <t>未来之星控股(海南)集团有限公司</t>
  </si>
  <si>
    <t>京雅斋</t>
  </si>
  <si>
    <t>由⾕物蒸馏的⽩酒;⽩酒;果酒（含酒精）;⽶酒;⻩酒;伏特加酒;⻨芽威⼠忌;葡萄酒;威⼠忌;朗姆酒</t>
  </si>
  <si>
    <t>淮扬菜集团股份有限公司</t>
  </si>
  <si>
    <t>兰英酒</t>
  </si>
  <si>
    <t>含酒精的饮料（啤酒除外）;烧酒（烈酒）;⻘稞酒;⻩酒;⽶酒;⽩酒;烈酒;⾼粱酒;葡萄酒;烧酒</t>
  </si>
  <si>
    <t>浙江大好大食品有限公司</t>
  </si>
  <si>
    <t>大好大</t>
  </si>
  <si>
    <t>果酒（含酒精）;鸡尾酒;餐后酒（利⼝酒和烈酒）;葡萄酒;蒸馏饮料;汽酒;⻩酒;⽩酒;酒精饮料（啤酒除外）;⽶酒</t>
  </si>
  <si>
    <t>清流县龙津镇中水百货商行</t>
  </si>
  <si>
    <t>仙池</t>
  </si>
  <si>
    <t>鸡尾酒;⻩酒;酒精饮料（啤酒除外）;⽩酒;果酒（含酒精）;烧酒（烈酒）;朗姆酒（酒精饮料）;葡萄酒;清酒（⽇本⽶酒）;开胃酒</t>
  </si>
  <si>
    <t>贵州省仁怀市云汉春酒业有限公司</t>
  </si>
  <si>
    <t>盼春</t>
  </si>
  <si>
    <t>果酒（含酒精）;清酒（⽇本⽶酒）;酒精饮料（啤酒除外）;烈酒（饮料）;烧酒;葡萄酒;⻩酒;⽶酒;鸡尾酒;⽩酒</t>
  </si>
  <si>
    <t>济宁市尼山电子商务有限公司</t>
  </si>
  <si>
    <t>圣地尼山湖</t>
  </si>
  <si>
    <t>蒸煮提取物（利⼝酒和烈酒）;⽶酒;苹果酒;利⼝酒;⽩酒;葡萄酒;开胃酒;烈酒（饮料）;烧酒;酒精饮料（啤酒除外）</t>
  </si>
  <si>
    <t>安徽渡江酒业有限公司</t>
  </si>
  <si>
    <t>渡江</t>
  </si>
  <si>
    <t>烧酒;⻩酒;⽶酒;葡萄酒;除啤酒外的酒精饮料;果酒;⽩酒;烈酒（饮料）;⾼粱酒;甜酒</t>
  </si>
  <si>
    <t>宁夏小圃贸易有限公司</t>
  </si>
  <si>
    <t>PET-NAT</t>
  </si>
  <si>
    <t>果酒（含酒精）;烈酒（饮料）;酒精饮料浓缩汁;酒精饮料（啤酒除外）;蒸馏饮料;⾷⽤酒精;烧酒;葡萄酒;⽶酒;汽酒</t>
  </si>
  <si>
    <t>王国昌</t>
  </si>
  <si>
    <t>夫余</t>
  </si>
  <si>
    <t>⽩酒;甜果酒;果酒（含酒精）;⽶酒;烧酒;含⽔果酒精饮料;红葡萄酒;⻩酒;酒精饮料（啤酒除外）;鸡尾酒</t>
  </si>
  <si>
    <t>小圃</t>
  </si>
  <si>
    <t>烈酒（饮料）;酒精饮料（啤酒除外）;汽酒;果酒（含酒精）;酒精饮料浓缩汁;⽶酒;葡萄酒;⾷⽤酒精;烧酒;蒸馏饮料</t>
  </si>
  <si>
    <t>友佳怡酒业（天津）有限公司</t>
  </si>
  <si>
    <t>津道</t>
  </si>
  <si>
    <t>葡萄酒;烈酒（饮料）;果酒（含酒精）;酒精饮料（啤酒除外）;甜果酒;⾷⽤酒精;烧酒;鸡尾酒;⽩酒;⽶酒</t>
  </si>
  <si>
    <t>江苏洋河酒厂股份有限公司</t>
  </si>
  <si>
    <t>⾷⽤酒精;蒸煮提取物（利⼝酒和烈酒）;烈酒（饮料）;利⼝酒;葡萄酒;⽩酒;烧酒;预先混合的酒精饮料（以啤酒为主的除外）;酒精饮料（啤酒除外）;果酒（含酒精）</t>
  </si>
  <si>
    <t>广东花宴年华酒业有限责任公司</t>
  </si>
  <si>
    <t>久造</t>
  </si>
  <si>
    <t>鸡尾酒;清酒（⽇本⽶酒）;酒精饮料（啤酒除外）;⽩酒;葡萄酒;预先混合的酒精饮料（以啤酒为主的除外）;⽶酒;蒸煮提取物（利⼝酒和烈酒）;烈酒（饮料）;果酒（含酒精）</t>
  </si>
  <si>
    <t>马良教370502********6032</t>
  </si>
  <si>
    <t>孤马岛</t>
  </si>
  <si>
    <t>⽩⼲酒（中国⽩酒）;开胃酒;⽼酒（中国蒸馏烈酒）;葡萄酒;⽩酒;烧酒;酒精饮料（啤酒除外）;烈酒;含酒精⽔果饮料;⻩酒</t>
  </si>
  <si>
    <t>罗斯柴尔德男爵（山东）酒庄有限公司</t>
  </si>
  <si>
    <t>图形</t>
  </si>
  <si>
    <t>葡萄酒;⽩兰地;威⼠忌;⻩酒;朗姆酒;果酒（含酒精）;鸡尾酒;开胃酒;利⼝酒;⽩酒</t>
  </si>
  <si>
    <t>黄兴隆340824********4032</t>
  </si>
  <si>
    <t>观花</t>
  </si>
  <si>
    <t>⽩酒;含⽔果酒精饮料;⽶酒;酒精饮料（啤酒除外）;葡萄酒;开胃酒;烧酒;鸡尾酒;烈酒（饮料）;⻩酒</t>
  </si>
  <si>
    <t>江苏蔚蓝上饮餐饮管理有限公司</t>
  </si>
  <si>
    <t>蔚蓝上饮</t>
  </si>
  <si>
    <t>⾷⽤酒精;蒸煮提取物（利⼝酒和烈酒）;利⼝酒;预先混合的酒精饮料（以啤酒为主的除外）;酒精饮料（啤酒除外）;烈酒（饮料）;烧酒;果酒（含酒精）;⽩酒;葡萄酒</t>
  </si>
  <si>
    <t>麦卡伦酒厂</t>
  </si>
  <si>
    <t>麦卡伦</t>
  </si>
  <si>
    <t>利⼝酒;鸡尾酒;酒精饮料（啤酒除外）;葡萄酒;⽩兰地;苦味酒;⾕物制蒸馏酒精饮料;朗姆酒;果酒（含酒精）;威⼠忌</t>
  </si>
  <si>
    <t>亳州市世浩酒业有限责任公司</t>
  </si>
  <si>
    <t>开胃酒;⾼粱酒;威⼠忌;⾕物制蒸馏酒精饮料;⽶酒;果酒（含酒精）;⽩兰地;烧酒;⾷⽤酒精;⽩酒</t>
  </si>
  <si>
    <t>蔡美丽</t>
  </si>
  <si>
    <t>甜白唇</t>
  </si>
  <si>
    <t>葡萄酒;蒸馏饮料;烧酒;酒精饮料（啤酒除外）;烈酒（饮料）;酒精饮料原汁;⽩酒;⽶酒;果酒（含酒精）;⻩酒</t>
  </si>
  <si>
    <t>杭州千岛湖威士忌酒业有限公司</t>
  </si>
  <si>
    <t>淳峪</t>
  </si>
  <si>
    <t>果酒（含酒精）;烈酒（饮料）;清酒（⽇本⽶酒）;威⼠忌;汽酒;⽩兰地;⻩酒;酒精饮料（啤酒除外）;⽶酒;含⽔果酒精饮料</t>
  </si>
  <si>
    <t>甘肃中禾酿造食品有限公司</t>
  </si>
  <si>
    <t>地脉</t>
  </si>
  <si>
    <t>苹果酒;⽶酒;葡萄酒;⻩酒;梨酒;烈酒（饮料）;⽩酒;⻘稞酒;烧酒;果酒（含酒精）</t>
  </si>
  <si>
    <t>保定大相文化传播有限公司</t>
  </si>
  <si>
    <t>蓝采荷</t>
  </si>
  <si>
    <t>蒸馏饮料;鸡尾酒;烧酒;⾷⽤酒精;酒精饮料原汁;甜酒;开胃酒;⽩酒;果酒;葡萄酒</t>
  </si>
  <si>
    <t>⻘稞酒;⽩⼲酒（中国⽩酒）;⽶酒;⽩酒;⾼粱酒;⻩酒;烧酒;果酒;汽酒;⾷⽤酒精</t>
  </si>
  <si>
    <t>西安奋斗鸭食品有限公司</t>
  </si>
  <si>
    <t>奋斗鸭</t>
  </si>
  <si>
    <t>含⽜奶的鸡尾酒;含酒精的饮料（啤酒除外）;蜂蜜酒;⾷⽤酒精;烈酒（饮料）;⽩⼲酒（中国⽩酒）;⽶酒;含酒精的鸡尾酒混合饮品;果酒（含酒精）;以蒸馏酒为主的开胃酒</t>
  </si>
  <si>
    <t>中山市咀香园食品有限公司</t>
  </si>
  <si>
    <t>咀香园 始创1918年</t>
  </si>
  <si>
    <t>开胃酒;薄荷酒;⽶酒;鸡尾酒;果酒（含酒精）;葡萄酒;利⼝酒;清酒;⻩酒;酒精饮料（啤酒除外）</t>
  </si>
  <si>
    <t>利⼝酒;果酒（含酒精）;⽶酒;薄荷酒;⻩酒;清酒;酒精饮料（啤酒除外）;开胃酒;葡萄酒;鸡尾酒</t>
  </si>
  <si>
    <t>徐州好禾原生态农业有限公司</t>
  </si>
  <si>
    <t>卿为朝暮</t>
  </si>
  <si>
    <t>⽩⼲酒（中国⽩酒）;⽩酒;葡萄酒;烈性⼲酒;由⾕物蒸馏的⽩酒;⽼酒（中国蒸馏烈酒）;⻩酒;⻘稞酒;⽶酒;酒精饮料（啤酒除外）</t>
  </si>
  <si>
    <t>湖北李时珍中医药控股集团管理有限公司</t>
  </si>
  <si>
    <t>熄由</t>
  </si>
  <si>
    <t>烈酒（饮料）;酒精饮料（啤酒除外）;⻩酒;⾕物制蒸馏酒精饮料;⽶酒;葡萄酒;⽼酒（中国蒸馏烈酒）;由⾕物蒸馏的⽩酒;果酒（含酒精）;蒸馏饮料</t>
  </si>
  <si>
    <t>海之蓝</t>
  </si>
  <si>
    <t>蒸煮提取物（利⼝酒和烈酒）;⾷⽤酒精;果酒（含酒精）;⽩酒;酒精饮料（啤酒除外）;葡萄酒;烈酒（饮料）;烧酒;利⼝酒;预先混合的酒精饮料（以啤酒为主的除外）</t>
  </si>
  <si>
    <t>天之蓝 YANGHE SPIRIT CLASSIC</t>
  </si>
  <si>
    <t>烧酒;蒸煮提取物（利⼝酒和烈酒）;果酒（含酒精）;烈酒（饮料）;预先混合的酒精饮料（以啤酒为主的除外）;酒精饮料（啤酒除外）;⽩酒;利⼝酒;葡萄酒;⾷⽤酒精</t>
  </si>
  <si>
    <t>山东华信工程咨询有限公司</t>
  </si>
  <si>
    <t>⽶酒;⽩酒;⽩葡萄酒;鸡尾酒;清酒;草莓酒;甜果酒;苹果酒;烧酒（烈酒）;梅酒</t>
  </si>
  <si>
    <t>杨贵长</t>
  </si>
  <si>
    <t>器大师</t>
  </si>
  <si>
    <t>鸡尾酒;⽩兰地;⽩葡萄酒;红葡萄酒;预调甜酒;伏特加酒;葡萄酒;威⼠忌;朗姆酒;甜酒</t>
  </si>
  <si>
    <t>靖宇县满山野农业科技开发有限公司</t>
  </si>
  <si>
    <t>满山宝</t>
  </si>
  <si>
    <t>⽩兰地;威⼠忌;⽩酒;葡萄酒;烈酒（饮料）;鸡尾酒;清酒（⽇本⽶酒）;⻩酒;果酒（含酒精）;⽶酒</t>
  </si>
  <si>
    <t>厦门百城福人工智能科技有限公司</t>
  </si>
  <si>
    <t>ITG XXX</t>
  </si>
  <si>
    <t>烈酒（饮料）;⽩酒;烧酒;含⽔果酒精饮料;⽶酒;鸡尾酒;汽酒;果酒（含酒精）;葡萄酒;⻩酒</t>
  </si>
  <si>
    <t>徐凡非</t>
  </si>
  <si>
    <t>天香万斛</t>
  </si>
  <si>
    <t>蜂蜜酒;蒸馏饮料;葡萄酒;⽩酒;烧酒;开胃酒;酒精饮料（啤酒除外）;⽶酒;⻩酒;果酒（含酒精）</t>
  </si>
  <si>
    <t>宁波老板基电子商务有限公司</t>
  </si>
  <si>
    <t>FATAI</t>
  </si>
  <si>
    <t>烧酒;烈酒（饮料）;⽩酒;葡萄酒;⽶酒;⻩酒;鸡尾酒;以葡萄酒为主的开胃酒;果酒（含酒精）</t>
  </si>
  <si>
    <t>王冲</t>
  </si>
  <si>
    <t>莫柏溪</t>
  </si>
  <si>
    <t>果酒（含酒精）;葡萄酒;清酒;⽶酒;⻩酒;伏特加酒;⽩酒;鸡尾酒;威⼠忌;⾼粱酒</t>
  </si>
  <si>
    <t>饶扬民</t>
  </si>
  <si>
    <t>金窖安</t>
  </si>
  <si>
    <t>果酒（含酒精）;酒精饮料原汁;⽶酒;烧酒;烈酒（饮料）;酒精饮料（啤酒除外）;⻩酒;蒸煮提取物（利⼝酒和烈酒）;葡萄酒;⽩酒</t>
  </si>
  <si>
    <t>四川自定义商贸有限公司</t>
  </si>
  <si>
    <t>叙水醇</t>
  </si>
  <si>
    <t>⽩⼲酒（中国⽩酒）;⾼粱酒;露酒;⽩酒;果酒;⻘稞酒;⽼酒（中国蒸馏烈酒）;由⾕物蒸馏的⽩酒;已调味的蒸馏酒;果酒（含酒精）</t>
  </si>
  <si>
    <t>贵州帝茅贡酒酒业有限公司</t>
  </si>
  <si>
    <t>蔡添玉</t>
  </si>
  <si>
    <t>蜂蜜酒;鸡尾酒;果酒（含酒精）;含⽔果酒精饮料;⽶酒;葡萄酒;烈酒（饮料）;⽩酒;烧酒;⻩酒</t>
  </si>
  <si>
    <t>廖富林</t>
  </si>
  <si>
    <t>梅联</t>
  </si>
  <si>
    <t>葡萄酒;果酒（含酒精）;鸡尾酒;威⼠忌;⽩酒;烧酒;⻩酒;⽩兰地;蒸馏饮料;⽶酒</t>
  </si>
  <si>
    <t>蔡天玉</t>
  </si>
  <si>
    <t>烧酒;⽶酒;⽩酒;果酒（含酒精）;烈酒（饮料）;含⽔果酒精饮料;⻩酒;葡萄酒;鸡尾酒;蜂蜜酒</t>
  </si>
  <si>
    <t>赵德平</t>
  </si>
  <si>
    <t>涨义台</t>
  </si>
  <si>
    <t>鸡尾酒;清酒（⽇本⽶酒）;⽩酒;酒精饮料（啤酒除外）;开胃酒;烈酒;⻩酒;果酒（含酒精）;威⼠忌;葡萄酒</t>
  </si>
  <si>
    <t>潼尊</t>
  </si>
  <si>
    <t>鸡尾酒;酒精饮料（啤酒除外）;⻩酒;⽩酒;葡萄酒;威⼠忌;烈酒;清酒（⽇本⽶酒）;开胃酒;果酒（含酒精）</t>
  </si>
  <si>
    <t>沈阳旭佳商贸有限公司</t>
  </si>
  <si>
    <t>上九瑶</t>
  </si>
  <si>
    <t>蜂蜜酒;天然汽酒;⾷⽤酒精;开胃酒;以葡萄酒为主的饮料;果酒;葡萄酒;⽩酒;鸡尾酒;⻘梅酒</t>
  </si>
  <si>
    <t>张俊</t>
  </si>
  <si>
    <t>萄花坞</t>
  </si>
  <si>
    <t>鸡尾酒;葡萄酒;⽩酒;清酒（⽇本⽶酒）;酒精饮料（啤酒除外）;果酒（含酒精）;威⼠忌;⻩酒;开胃酒;烈酒</t>
  </si>
  <si>
    <t>刘艳玲</t>
  </si>
  <si>
    <t>四熟方</t>
  </si>
  <si>
    <t>蒸馏饮料;葡萄酒;果酒（含酒精）;梨酒;⽩酒;杨梅酒;蒸煮提取物（利⼝酒和烈酒）;蜂蜜酒;⾕物制蒸馏酒精饮料;⻩酒</t>
  </si>
  <si>
    <t>盼花</t>
  </si>
  <si>
    <t>酒精饮料（啤酒除外）;葡萄酒;⽶酒;果酒;⽩酒;⾼粱酒;清酒;⻩酒;烧酒;薄荷酒</t>
  </si>
  <si>
    <t>海南文渊科技有限公司</t>
  </si>
  <si>
    <t>智蹊</t>
  </si>
  <si>
    <t>果酒（含酒精）;开胃酒;蒸馏饮料;⽶酒;烈酒（饮料）;葡萄酒;⻩酒;酒精饮料（啤酒除外）;鸡尾酒;⽩酒</t>
  </si>
  <si>
    <t>新川蒲食品科技（南充）有限公司</t>
  </si>
  <si>
    <t>古食里</t>
  </si>
  <si>
    <t>葡萄酒;⽩酒;⽩兰地;威⼠忌;蒸馏饮料;⾷⽤酒精;已调味的⻨芽酿制的酒精饮料（啤酒除外）;果酒;甜酒;烈酒</t>
  </si>
  <si>
    <t>丁新新142321********0014</t>
  </si>
  <si>
    <t>恒泰悦澜湾</t>
  </si>
  <si>
    <t>⽶酒;汽酒;烧酒;烈酒（饮料）;果酒（含酒精）;⽩酒;开胃酒;利⼝酒;⻩酒;蒸馏饮料</t>
  </si>
  <si>
    <t>成都御厨子餐饮文化推广有限责任公司</t>
  </si>
  <si>
    <t>夫妻搭档</t>
  </si>
  <si>
    <t>⽩酒;预先混合的酒精饮料（以啤酒为主的除外）;茴⾹酒（利⼝酒）;鸡尾酒;葡萄酒;果酒（含酒精）;⽩兰地;茴芹酒（利⼝酒）;利⼝酒;⻩酒</t>
  </si>
  <si>
    <t>罗伯特威尔酒庄两合公司</t>
  </si>
  <si>
    <t>WEINGUT ROBERT WEIL</t>
  </si>
  <si>
    <t>袁州区易多氏百货商行</t>
  </si>
  <si>
    <t>酒</t>
  </si>
  <si>
    <t>烧酒;预先混合的酒精饮料（以啤酒为主的除外）;汽酒;⻩酒;⽶酒;葡萄酒;蒸馏饮料;果酒（含酒精）;酒精饮料（啤酒除外）;⽩酒</t>
  </si>
  <si>
    <t>邹湘波</t>
  </si>
  <si>
    <t>老湘村</t>
  </si>
  <si>
    <t>⽩酒;烈酒（饮料）;⽶酒;烧酒;鸡尾酒;开胃酒;酒精饮料（啤酒除外）;果酒（含酒精）;⻩酒;蒸煮提取物（利⼝酒和烈酒）</t>
  </si>
  <si>
    <t>石狮市国魔急便网络百货商行</t>
  </si>
  <si>
    <t>逢缘</t>
  </si>
  <si>
    <t>⻘稞酒;果酒（含酒精）;鸡尾酒;⽶酒;开胃酒;清酒;烧酒;⽩酒;红葡萄酒;烈酒（饮料）</t>
  </si>
  <si>
    <t>刘吉勇</t>
  </si>
  <si>
    <t>洞见荟</t>
  </si>
  <si>
    <t>⽩酒;葡萄酒;烈酒（饮料）;⻩酒;果酒（含酒精）;酒精饮料浓缩汁;⽶酒;伏特加酒;烧酒;利⼝酒</t>
  </si>
  <si>
    <t>平昌县瀚林酒业有限公司</t>
  </si>
  <si>
    <t>雅喀西</t>
  </si>
  <si>
    <t>烧酒;苹果酒;果酒（含酒精）;威⼠忌;葡萄酒;⽩兰地;烈酒（饮料）;鸡尾酒;开胃酒;⽩酒</t>
  </si>
  <si>
    <t>安徽焦陂酒业有限责任公司</t>
  </si>
  <si>
    <t>焦陂花香</t>
  </si>
  <si>
    <t>鸡尾酒;⻩酒;烧酒;酒精饮料浓缩汁;葡萄酒;酒精饮料（啤酒除外）;⽩酒;⽶酒;烈酒;果酒</t>
  </si>
  <si>
    <t>南京中正糖酒有限公司</t>
  </si>
  <si>
    <t>名饮天下</t>
  </si>
  <si>
    <t>葡萄酒;⽩酒;⽼酒（中国蒸馏烈酒）;蒸馏饮料;威⼠忌;⽶酒;⾷⽤酒精;果酒（含酒精）;⽩兰地;烧酒</t>
  </si>
  <si>
    <t>仁怀市仁赐坊酒类经营部</t>
  </si>
  <si>
    <t>醉汉美</t>
  </si>
  <si>
    <t>⽩酒;烧酒（烈酒）;烈性⼲酒;⽩⼲酒（中国⽩酒）;蒸煮提取物（利⼝酒和烈酒）;由⾕物蒸馏的⽩酒;烈酒;烧酒;⽼酒（中国蒸馏烈酒）;五加⽪酒（中国混合烈酒）</t>
  </si>
  <si>
    <t>杭州砚龙茶叶有限公司</t>
  </si>
  <si>
    <t>隆合</t>
  </si>
  <si>
    <t>烈酒;以葡萄酒为主的饮料;含酒精的饮料（啤酒除外）;甜酒;⽔果汽酒;⽩⼲酒（中国⽩酒）;含酒精⽔果饮料;咖啡利⼝酒;⻩酒;果酒</t>
  </si>
  <si>
    <t>阳洋</t>
  </si>
  <si>
    <t>通富祥 TFX</t>
  </si>
  <si>
    <t>果酒（含酒精）;烧酒;⻩酒;鸡尾酒;清酒（⽇本⽶酒）;酒精饮料（啤酒除外）;⽩酒;⽶酒;葡萄酒;烈酒（饮料）</t>
  </si>
  <si>
    <t>北京七玄科技有限公司</t>
  </si>
  <si>
    <t>柒玄</t>
  </si>
  <si>
    <t>蒸馏饮料;利⼝酒;以葡萄酒为主的饮料;⾷⽤酒精;酒精饮料原汁;⽩酒;预先混合的酒精饮料（以啤酒为主的除外）;果酒（含酒精）;烈酒（饮料）;烧酒</t>
  </si>
  <si>
    <t>王桂英</t>
  </si>
  <si>
    <t>欢尼西</t>
  </si>
  <si>
    <t>⾷⽤酒精;烧酒;⽩酒;⻩酒;烈酒;葡萄酒;清酒;鸡尾酒;酒精饮料（啤酒除外）;果酒</t>
  </si>
  <si>
    <t>中保泓安经贸发展有限公司</t>
  </si>
  <si>
    <t>东方彩陶韵</t>
  </si>
  <si>
    <t>⻘稞酒;苹果酒;葡萄酒;烈酒（饮料）;含⽔果酒精饮料;⽩酒;果酒（含酒精）;鸡尾酒;⽶酒;⻩酒</t>
  </si>
  <si>
    <t>安徽省大师堂酒业有限公司</t>
  </si>
  <si>
    <t>康桥</t>
  </si>
  <si>
    <t>清酒;⻘稞酒;酒精饮料（啤酒除外）;⾷⽤酒精;果酒（含酒精）;⽩酒;⻩酒;葡萄酒;⽶酒;⽼酒（中国蒸馏烈酒）</t>
  </si>
  <si>
    <t>郑州酒中粹酒业有限公司</t>
  </si>
  <si>
    <t>老家中原</t>
  </si>
  <si>
    <t>酒精饮料（啤酒除外）;酒精饮料原汁;果酒（含酒精）;葡萄酒;含⽔果酒精饮料;⻩酒;⾷⽤酒精;清酒;烧酒;烈酒（饮料）</t>
  </si>
  <si>
    <t>宿迁淮天下酒业有限公司</t>
  </si>
  <si>
    <t>重岗山</t>
  </si>
  <si>
    <t>开胃酒;利⼝酒;⻩酒;⽶酒;预先混合的酒精饮料（以啤酒为主的除外）;果酒（含酒精）;烧酒;酒精饮料（啤酒除外）;朗姆酒;葡萄酒</t>
  </si>
  <si>
    <t>邓秀连</t>
  </si>
  <si>
    <t>止戈</t>
  </si>
  <si>
    <t>威⼠忌;烧酒;葡萄酒;⽶酒;⽩酒;烈酒（饮料）;⽩兰地;⻩酒;鸡尾酒;开胃酒</t>
  </si>
  <si>
    <t>贵州仁怀养心殿酒业有限公司</t>
  </si>
  <si>
    <t>长命锁</t>
  </si>
  <si>
    <t>蒸馏饮料;烧酒;⻩酒;果酒（含酒精）;⽶酒;酒精饮料（啤酒除外）;预先混合的酒精饮料（以啤酒为主的除外）;汽酒;⽩酒;葡萄酒</t>
  </si>
  <si>
    <t>预先混合的酒精饮料（以啤酒为主的除外）;⽩酒;⾷⽤酒精;烧酒;烈酒（饮料）;果酒（含酒精）;酒精饮料（啤酒除外）;利⼝酒;葡萄酒;蒸煮提取物（利⼝酒和烈酒）</t>
  </si>
  <si>
    <t>梁崴强</t>
  </si>
  <si>
    <t>人生雨露</t>
  </si>
  <si>
    <t>酒精饮料（啤酒除外）;⽩酒;⽩兰地;清酒（⽇本⽶酒）;烈酒（饮料）;威⼠忌;伏特加酒;汽酒;果酒（含酒精）;葡萄酒</t>
  </si>
  <si>
    <t>利⼝酒;果酒（含酒精）;烈酒（饮料）;烧酒;⾷⽤酒精;蒸煮提取物（利⼝酒和烈酒）;预先混合的酒精饮料（以啤酒为主的除外）;葡萄酒;⽩酒;酒精饮料（啤酒除外）</t>
  </si>
  <si>
    <t>谢宝冬</t>
  </si>
  <si>
    <t>厚运</t>
  </si>
  <si>
    <t>烧酒;蒸煮提取物（利⼝酒和烈酒）;⻩酒;清酒;果酒;⽶酒;开胃酒;葡萄酒;⽩酒;酒精饮料（啤酒除外）</t>
  </si>
  <si>
    <t>张壹彪</t>
  </si>
  <si>
    <t>皇榜</t>
  </si>
  <si>
    <t>⽩酒(清⾹型);⽶酒;酱酒;葡萄酒;⽩酒(酱⾹型);⻩酒;果酒;清⾹型⽩酒;⽩酒;酱⾹型⽩酒</t>
  </si>
  <si>
    <t>吴江市北厍粮油有限公司</t>
  </si>
  <si>
    <t>元鹤</t>
  </si>
  <si>
    <t>烈酒;蜂蜜酒;⽶酒;⻘稞酒;葡萄酒;烧酒;果酒;清酒;⽩酒;⻩酒</t>
  </si>
  <si>
    <t>张龙</t>
  </si>
  <si>
    <t>麦香谷</t>
  </si>
  <si>
    <t>鸡尾酒;葡萄酒;清酒（⽇本⽶酒）;果酒（含酒精）;⽶酒;⽩酒;⻩酒;烧酒;烈酒（饮料）;酒精饮料（啤酒除外）</t>
  </si>
  <si>
    <t>张志强</t>
  </si>
  <si>
    <t>晋泱泉</t>
  </si>
  <si>
    <t>⽩酒;葡萄酒;酒精饮料原汁;烈酒（饮料）;⻘稞酒;蒸馏饮料;⾷⽤酒精;汽酒;酒精饮料浓缩汁;烧酒</t>
  </si>
  <si>
    <t>剑柄有限责任公司</t>
  </si>
  <si>
    <t>RADIAN</t>
  </si>
  <si>
    <t>酒精饮料浓缩汁;酒精饮料原汁;果酒（含酒精）;开胃酒;鸡尾酒;以葡萄酒为主的饮料;预先混合的酒精饮料（以啤酒为主的除外）;酒精饮料（啤酒除外）;葡萄酒;含⽔果酒精饮料</t>
  </si>
  <si>
    <t>呼和浩特市瀛禧酒业有限公司</t>
  </si>
  <si>
    <t>印象莫尼山</t>
  </si>
  <si>
    <t>烧酒;葡萄酒;鸡尾酒;利⼝酒;果酒;开胃酒;⾷⽤酒精;⻩酒;⽩酒;⽶酒</t>
  </si>
  <si>
    <t>北京盟富亿丰酒业有限公司</t>
  </si>
  <si>
    <t>卧巢</t>
  </si>
  <si>
    <t>含⽔果酒精饮料;鸡尾酒;⻘稞酒;⽩葡萄酒;⽩兰地;甜果酒;葡萄酒;含酒精⽔果饮料;⽩酒;果酒</t>
  </si>
  <si>
    <t>武汉市新洲区双柳蔬菜食品有限公司</t>
  </si>
  <si>
    <t>武汉市新洲区双柳蔬菜食品有限公司 WUHAN XINZHOU SHUANGLIU VEGETABLE FOOD CO.,LTD</t>
  </si>
  <si>
    <t>⻩酒;⾼粱酒;苦荞酒;⽩酒;苦艾酒;苦味酒;葡萄酒;烧酒;⻘稞酒;果酒（含酒精）</t>
  </si>
  <si>
    <t>泸州老窖股份有限公司</t>
  </si>
  <si>
    <t>泸州老窖 黑盖</t>
  </si>
  <si>
    <t>含⽔果酒精饮料;⽶酒;果酒（含酒精）;葡萄酒;烧酒;酒精饮料（啤酒除外）;⻩酒;烈酒（饮料）;⽩酒;酒精饮料浓缩汁</t>
  </si>
  <si>
    <t>台州市路桥奔富澳穆梵科技有限公司</t>
  </si>
  <si>
    <t>果酒（含酒精）;樱桃酒;薄荷酒;鸡尾酒;酒精饮料（啤酒除外）;开胃酒;葡萄酒;烈酒（饮料）;威⼠忌;伏特加酒</t>
  </si>
  <si>
    <t>孟友权</t>
  </si>
  <si>
    <t>遵诵</t>
  </si>
  <si>
    <t>果酒（含酒精）;烧酒;⻩酒;⽩酒;烈酒（饮料）;开胃酒;葡萄酒;⽶酒;鸡尾酒;威⼠忌</t>
  </si>
  <si>
    <t>戴林美</t>
  </si>
  <si>
    <t>古秀坊</t>
  </si>
  <si>
    <t>⽩酒;⽶酒;烧酒</t>
  </si>
  <si>
    <t>曲问</t>
  </si>
  <si>
    <t>⽶酒;烧酒;⽩酒;果酒（含酒精）;威⼠忌;⻩酒;开胃酒;鸡尾酒;烈酒（饮料）;葡萄酒</t>
  </si>
  <si>
    <t>上海一久酒业有限公司</t>
  </si>
  <si>
    <t>南方七宿</t>
  </si>
  <si>
    <t>⽩酒;葡萄酒;酒精饮料浓缩汁;果酒（含酒精）;⽩兰地;预先混合的酒精饮料（以啤酒为主的除外）;⻩酒;含酒精的⽔果鸡尾酒饮料;以葡萄酒为主的饮料;酒精饮料（啤酒除外）</t>
  </si>
  <si>
    <t>邓全刚</t>
  </si>
  <si>
    <t>临水超绵</t>
  </si>
  <si>
    <t>⽶酒;⽩酒;⻩酒;⾷⽤酒精;烧酒;蒸馏饮料;蒸煮提取物（利⼝酒和烈酒）;烈酒（饮料）;⽩兰地;酒精饮料（啤酒除外）</t>
  </si>
  <si>
    <t>笑对人生文化创意（北京）有限公司</t>
  </si>
  <si>
    <t>加上 KEEPUP</t>
  </si>
  <si>
    <t>葡萄酒;烈酒（饮料）;清酒（⽇本⽶酒）;酒精饮料（啤酒除外）;蒸馏饮料;烧酒;⻩酒;⽩酒;果酒（含酒精）;⽶酒</t>
  </si>
  <si>
    <t>亳州市十二坊酒业销售有限公司</t>
  </si>
  <si>
    <t>亳色添香</t>
  </si>
  <si>
    <t>烈酒（饮料）;⽶酒;烧酒;⽩酒;利⼝酒;⽩兰地;威⼠忌;酒精饮料（啤酒除外）;果酒（含酒精）;开胃酒</t>
  </si>
  <si>
    <t>花野国际贸易（上海）有限公司</t>
  </si>
  <si>
    <t>RED PUNCH</t>
  </si>
  <si>
    <t>威⼠忌;葡萄酒;⽩兰地;酒精饮料（啤酒除外）;果酒（含酒精）;⽩酒;⻩酒;苹果酒;梨酒;⽶酒</t>
  </si>
  <si>
    <t>亳州市原古酒业有限公司</t>
  </si>
  <si>
    <t>欲王子</t>
  </si>
  <si>
    <t>⻩酒;露酒;葡萄酒;⽩酒;酒精饮料（啤酒除外）;烧酒;开胃酒;蜂蜜酒;含酒精的⽔果鸡尾酒饮料;蒸馏饮料</t>
  </si>
  <si>
    <t>湖南浏阳河酒业发展有限公司</t>
  </si>
  <si>
    <t>浏阳河 酒</t>
  </si>
  <si>
    <t>⽩酒;⽶酒;威⼠忌;⻘稞酒;预先混合的酒精饮料（以啤酒为主的除外）;酒精饮料（啤酒除外）;⻩酒;果酒（含酒精）;烈酒（饮料）;葡萄酒</t>
  </si>
  <si>
    <t>扬子江药业集团有限公司</t>
  </si>
  <si>
    <t>护佑</t>
  </si>
  <si>
    <t>果酒（含酒精）;烧酒;蒸馏饮料;含⽔果酒精饮料;含酒精⽔果饮料;汽酒;⻩酒;含酒精的饮料（啤酒除外）;⽶酒</t>
  </si>
  <si>
    <t>佛山福阁福贸易有限公司</t>
  </si>
  <si>
    <t>福阁红钻</t>
  </si>
  <si>
    <t>果酒（含酒精）;蒸煮提取物（利⼝酒和烈酒）;葡萄酒;烈酒;伏特加酒;威⼠忌;酒精饮料原汁;酒精饮料（啤酒除外）;朗姆酒;⽩兰地</t>
  </si>
  <si>
    <t>外交人员服务集团海外股份有限公司</t>
  </si>
  <si>
    <t>邦焦</t>
  </si>
  <si>
    <t>烈酒（饮料）;酒精饮料（啤酒除外）;烧酒;⽶酒;葡萄酒;利⼝酒;⽩兰地;清酒;⻩酒</t>
  </si>
  <si>
    <t>四川星燚品牌管理有限公司</t>
  </si>
  <si>
    <t>彭祖醉不翁</t>
  </si>
  <si>
    <t>⽩酒;含酒精的饮料（啤酒除外）;梅酒;烈酒;清酒;鸡尾酒;含⽔果酒精饮料;威⼠忌;葡萄酒;甜酒</t>
  </si>
  <si>
    <t>张代琼</t>
  </si>
  <si>
    <t>宝食祥</t>
  </si>
  <si>
    <t>除啤酒外的酒精饮料;葡萄酒;⽶酒;⽩酒;烈酒（饮料）;清酒（⽇本⽶酒）;利⼝酒;⽩兰地;鸡尾酒;⻩酒</t>
  </si>
  <si>
    <t>甄长春</t>
  </si>
  <si>
    <t>祖献</t>
  </si>
  <si>
    <t>鸡尾酒;烧酒;开胃酒;果酒（含酒精）;⽩酒;威⼠忌;葡萄酒;⽶酒;⻩酒;烈酒（饮料）</t>
  </si>
  <si>
    <t>礼中江山</t>
  </si>
  <si>
    <t>烧酒;果酒（含酒精）;苹果酒;葡萄酒;⽩⼲酒（中国⽩酒）;梨酒;含⽔果酒精饮料;⽶酒;⽩酒;烈酒（饮料）</t>
  </si>
  <si>
    <t>河北燕之巢酒店管理有限公司</t>
  </si>
  <si>
    <t>金凤壹号</t>
  </si>
  <si>
    <t>预先混合的酒精饮料（以啤酒为主的除外）;蒸煮提取物（利口酒和烈酒）;黄酒;含水果酒精饮料;白酒;鸡尾酒;葡萄酒;酒精饮料浓缩汁;伏特加酒;米酒</t>
  </si>
  <si>
    <t>鹤壁同舟生态农业旅游开发有限公司</t>
  </si>
  <si>
    <t>王家辿</t>
  </si>
  <si>
    <t>⽩酒;⽶酒;苹果酒;鸡尾酒;⻘稞酒;烈酒（饮料）;⻩酒;威⼠忌;果酒（含酒精）;葡萄酒</t>
  </si>
  <si>
    <t>杨柳</t>
  </si>
  <si>
    <t>牛蜀道</t>
  </si>
  <si>
    <t>⽩酒;果酒;烧酒;⽩兰地;汽酒;梅酒;含酒精的饮料（啤酒除外）;鸡尾酒;葡萄酒;蒸馏饮料</t>
  </si>
  <si>
    <t>河南彬焕网络技术有限公司</t>
  </si>
  <si>
    <t>源开</t>
  </si>
  <si>
    <t>果酒（含酒精）;葡萄酒;烈酒（饮料）;威⼠忌;⽩酒;⽶酒;烧酒;汽酒;⻩酒;酒精饮料（啤酒除外）</t>
  </si>
  <si>
    <t>蠡县鸿宇商贸有限公司</t>
  </si>
  <si>
    <t>醉五米</t>
  </si>
  <si>
    <t>⽩酒;酒精饮料（啤酒除外）;果酒（含酒精）;蒸馏饮料;⾷⽤酒精;预先混合的酒精饮料（以啤酒为主的除外）;开胃酒;⻩酒;烈酒（饮料）;葡萄酒</t>
  </si>
  <si>
    <t>周恩军</t>
  </si>
  <si>
    <t>薄荷酒;果酒（含酒精）;开胃酒;利⼝酒;清酒（⽇本⽶酒）;梨酒;⽩酒;⻩酒;汽酒;蜂蜜酒</t>
  </si>
  <si>
    <t>四川八百寿酒业有限公司</t>
  </si>
  <si>
    <t>万贯 WG</t>
  </si>
  <si>
    <t>武汉欣泽盟贸易有限公司</t>
  </si>
  <si>
    <t>全食一族</t>
  </si>
  <si>
    <t>葡萄酒;清酒（⽇本⽶酒）;果酒（含酒精）;⽩酒;⽶酒;含酒精的⽓泡⽔;⻩酒;甜酒;⽩兰地;威⼠忌</t>
  </si>
  <si>
    <t>贵州醉窖酒业有限公司</t>
  </si>
  <si>
    <t>醉醉三十窖</t>
  </si>
  <si>
    <t>樱桃酒;甜果酒;⽩酒;含⽔果酒精饮料;酒精饮料（啤酒除外）;起泡红葡萄酒;⻘稞酒;烧酒;⽩⼲酒（中国⽩酒）;⽶酒</t>
  </si>
  <si>
    <t>醉窖醉三十</t>
  </si>
  <si>
    <t>酒精饮料（啤酒除外）;樱桃酒;甜果酒;⽩酒;⽩⼲酒（中国⽩酒）;⽶酒;起泡红葡萄酒;⻘稞酒;烧酒;含⽔果酒精饮料</t>
  </si>
  <si>
    <t>醉窖·醉三十</t>
  </si>
  <si>
    <t>李朋中</t>
  </si>
  <si>
    <t>凤稻翁 FENGDAOWEN</t>
  </si>
  <si>
    <t>果酒（含酒精）;⽩酒;烧酒;⾼粱酒;⻩酒;威⼠忌;⽶酒;葡萄酒;汽酒;⻘稞酒</t>
  </si>
  <si>
    <t>三渡出川</t>
  </si>
  <si>
    <t>果酒（含酒精）;蒸馏饮料;葡萄酒;烈酒（饮料）;⽩酒;烧酒;⾷⽤酒精;⽼酒（中国蒸馏烈酒）;⽩⼲酒（中国⽩酒）;⽶酒</t>
  </si>
  <si>
    <t>威海冰雪行体育文化有限公司</t>
  </si>
  <si>
    <t>冰雪行</t>
  </si>
  <si>
    <t>果酒（含酒精）;开胃酒;葡萄酒;⽶酒;⻘稞酒;⻩酒;⽩酒;⾼粱酒;⽩兰地;烧酒</t>
  </si>
  <si>
    <t>三渡出山</t>
  </si>
  <si>
    <t>果酒（含酒精）;蒸馏饮料;葡萄酒;烈酒（饮料）;⽩⼲酒（中国⽩酒）;烧酒;⾷⽤酒精;⽩酒;⽼酒（中国蒸馏烈酒）;⽶酒</t>
  </si>
  <si>
    <t>李磊</t>
  </si>
  <si>
    <t>鲁能双冠王</t>
  </si>
  <si>
    <t>⽩酒;烧酒;葡萄酒;鸡尾酒;果酒;⽶酒;酒精饮料（啤酒除外）;⽼酒（中国蒸馏烈酒）;威⼠忌;烈酒</t>
  </si>
  <si>
    <t>赵世彬</t>
  </si>
  <si>
    <t>分金沟</t>
  </si>
  <si>
    <t>⽩酒;⻩酒;⾼粱酒;酒精饮料（啤酒除外）;烈酒（饮料）;⽶酒;葡萄酒;伏特加酒;果酒（含酒精）;鸡尾酒</t>
  </si>
  <si>
    <t>海南无尽文化艺术发展有限公司</t>
  </si>
  <si>
    <t>菜市锦</t>
  </si>
  <si>
    <t>⽩⼲酒（中国⽩酒）;葡萄酒;梨酒;清酒（⽇本⽶酒）;果酒（含酒精）;⻩酒;⽩酒;⾼粱酒;⽼酒（中国蒸馏烈酒）;⻘稞酒</t>
  </si>
  <si>
    <t>钦州海奇峰酒业有限公司</t>
  </si>
  <si>
    <t>钦灵峰泉公文包</t>
  </si>
  <si>
    <t>烈酒（饮料）;⽩兰地;⽩酒;伏特加酒;果酒;葡萄酒;含⽔果酒精饮料;⻩酒;烧酒;⽶酒</t>
  </si>
  <si>
    <t>贵州珍沙窖酿酒有限公司</t>
  </si>
  <si>
    <t>紫陶福 彩陶福</t>
  </si>
  <si>
    <t>烧酒;⽩酒;果酒（含酒精）;开胃酒;⾷⽤酒精;烈酒（饮料）;清酒（⽇本⽶酒）;酒精饮料（啤酒除外）;⽶酒;葡萄酒</t>
  </si>
  <si>
    <t>张文静</t>
  </si>
  <si>
    <t>周贤庄</t>
  </si>
  <si>
    <t>⽩酒;⻩酒;葡萄酒;⽶酒;伏特加酒;⽩兰地;酒精饮料（啤酒除外）;威⼠忌;⾕物制蒸馏酒精饮料;⻘稞酒</t>
  </si>
  <si>
    <t>⽩兰地;威⼠忌;预先混合的酒精饮料（以啤酒为主的除外）;清酒（⽇本⽶酒）;果酒（含酒精）;以葡萄酒为主的饮料;烧酒;⾕物制蒸馏酒精饮料;⽩酒;伏特加酒</t>
  </si>
  <si>
    <t>河南皇沟酒业有限责任公司</t>
  </si>
  <si>
    <t>皇沟馥香</t>
  </si>
  <si>
    <t>利⼝酒;⽩酒;烧酒;酒精饮料原汁;果酒（含酒精）;酒精饮料浓缩汁;烈酒（饮料）;酒精饮料（啤酒除外）;蒸煮提取物（利⼝酒和烈酒）;⾷⽤酒精</t>
  </si>
  <si>
    <t>吉林省丰义健康科技集团有限公司</t>
  </si>
  <si>
    <t>草领庄</t>
  </si>
  <si>
    <t>果酒（含酒精）;苹果酒;葡萄酒;梨酒;蜂蜜酒;⽩酒;酒精饮料浓缩汁;烧酒;开胃酒;⽶酒</t>
  </si>
  <si>
    <t>骆华龙</t>
  </si>
  <si>
    <t>中龙</t>
  </si>
  <si>
    <t>果酒（含酒精）;蒸馏饮料;鸡尾酒;威⼠忌;汽酒;酒精饮料原汁;酒精饮料（啤酒除外）;⽩酒;烈酒（饮料）;葡萄酒</t>
  </si>
  <si>
    <t>南舫酿造（广州）电子商务有限公司</t>
  </si>
  <si>
    <t>NOBLE ROAD</t>
  </si>
  <si>
    <t>葡萄酒;酒精饮料原汁;含⽔果酒精饮料;酒精饮料浓缩汁;烈酒（饮料）;鸡尾酒;蒸煮提取物（利⼝酒和烈酒）;预先混合的酒精饮料（以啤酒为主的除外）;果酒（含酒精）;汽酒</t>
  </si>
  <si>
    <t>华新海纳(北京)投资管理有限公司</t>
  </si>
  <si>
    <t>管家老酒</t>
  </si>
  <si>
    <t>开胃酒;葡萄酒;酒精饮料（啤酒除外）;⽶酒;烧酒;⽩酒;果酒;⻩酒;⾷⽤酒精;预先混合的酒精饮料（以啤酒为主的除外）</t>
  </si>
  <si>
    <t>管家精酿</t>
  </si>
  <si>
    <t>管家 陈酿</t>
  </si>
  <si>
    <t>浙江炊大王炊具有限公司</t>
  </si>
  <si>
    <t>炊大皇  COOKER KING</t>
  </si>
  <si>
    <t>含⽔果酒精饮料;⻩酒;酒精饮料（啤酒除外）;⽶酒;甜酒;⻘稞酒;清酒（⽇本⽶酒）;烧酒;⾷⽤酒精;葡萄酒</t>
  </si>
  <si>
    <t>葫芦岛市万基山生态农业有限责任公司</t>
  </si>
  <si>
    <t>龙回头</t>
  </si>
  <si>
    <t>葡萄酒;⻩酒;⾷⽤酒精;烧酒;⾼粱酒;果酒;烈酒;甜酒;酒精饮料原汁;⽩酒</t>
  </si>
  <si>
    <t>阿卜杜拉·阿卜杜克热木</t>
  </si>
  <si>
    <t>艾慈乐</t>
  </si>
  <si>
    <t>北京奔富庄园电子商务有限公司</t>
  </si>
  <si>
    <t>REMOTE  POWER</t>
  </si>
  <si>
    <t>果酒（含酒精）;烧酒;清酒（⽇本⽶酒）;⽩酒;酒精饮料（啤酒除外）;葡萄酒;⽩兰地;伏特加酒;利⼝酒;鸡尾酒</t>
  </si>
  <si>
    <t>福建七匹狼集团有限公司</t>
  </si>
  <si>
    <t>七匹狼</t>
  </si>
  <si>
    <t>葡萄酒;果酒（含酒精）;鸡尾酒;烈酒（饮料）;⾷⽤酒精;⽶酒;⽩酒;酒精饮料（啤酒除外）;⻩酒;⽩兰地</t>
  </si>
  <si>
    <t>七匹狼 SEPTWOLVES</t>
  </si>
  <si>
    <t>郑小龙</t>
  </si>
  <si>
    <t>白玉老虎</t>
  </si>
  <si>
    <t>蒸馏饮料;蒸煮提取物（利⼝酒和烈酒）;酒精饮料原汁;含⽔果酒精饮料;葡萄酒;果酒（含酒精）;⻩酒;酒精饮料（啤酒除外）;鸡尾酒;⽩酒</t>
  </si>
  <si>
    <t>杭州恭善实业有限公司</t>
  </si>
  <si>
    <t>增酒 增增日上</t>
  </si>
  <si>
    <t>果酒（含酒精）;蒸馏饮料;葡萄酒;烈酒（饮料）;酒精饮料（啤酒除外）;⽩酒;预先混合的酒精饮料（以啤酒为主的除外）;汽酒;⻩酒;烧酒;⽶酒</t>
  </si>
  <si>
    <t>河北衡水老白干酒业股份有限公司</t>
  </si>
  <si>
    <t>印象衡水老白干</t>
  </si>
  <si>
    <t>酒精饮料原汁;⽩酒;⽶酒;烈酒;⽩⼲酒（中国⽩酒）;预先混合的酒精饮料（以啤酒为主的除外）;餐后酒（利⼝酒和烈酒）;含酒精的充⽓饮料（啤酒除外）;果酒（含酒精）;开胃酒</t>
  </si>
  <si>
    <t>中财招商投资集团有限公司</t>
  </si>
  <si>
    <t>中财</t>
  </si>
  <si>
    <t>烧酒;鸡尾酒;蜂蜜酒;⽩酒;烈酒（饮料）;⻩酒;葡萄酒;果酒（含酒精）;清酒（⽇本⽶酒）;酒精饮料（啤酒除外）</t>
  </si>
  <si>
    <t>北京宏观科技实业有限公司</t>
  </si>
  <si>
    <t>讲究</t>
  </si>
  <si>
    <t>⽩⼲酒（中国⽩酒）;清酒;烧酒;⾼粱酒;威⼠忌;红葡萄酒;烈酒;⽩酒;由⾕物蒸馏的⽩酒;果酒</t>
  </si>
  <si>
    <t>四川省绵阳市丰谷酒业有限责任公司</t>
  </si>
  <si>
    <t>丰冬</t>
  </si>
  <si>
    <t>果酒（含酒精）;葡萄酒;清酒（⽇本⽶酒）;⽶酒;烧酒;尼⽡（以⽢蔗为主的酒精饮料）;⽩酒;⻩酒;⾷⽤酒精;预先混合的酒精饮料（以啤酒为主的除外）</t>
  </si>
  <si>
    <t>四平金士百纯生啤酒有限公司</t>
  </si>
  <si>
    <t>金士百</t>
  </si>
  <si>
    <t>果酒（含酒精）;开胃酒;鸡尾酒;朗姆酒;含⽔果酒精饮料;⽩酒;威⼠忌;烈酒（饮料）;酒精饮料（啤酒除外）;葡萄酒</t>
  </si>
  <si>
    <t>白象食品股份有限公司</t>
  </si>
  <si>
    <t>白象</t>
  </si>
  <si>
    <t>含⽔果酒精饮料;清酒（⽇本⽶酒）;汽酒;⽩酒;⽶酒;果酒（含酒精）;酒精饮料（啤酒除外）;利⼝酒;葡萄酒;蒸馏饮料</t>
  </si>
  <si>
    <t>王雪伟</t>
  </si>
  <si>
    <t>白珀</t>
  </si>
  <si>
    <t>清酒（⽇本⽶酒）;蒸煮提取物（利⼝酒和烈酒）;⽶酒;开胃酒;⽩酒;果酒（含酒精）;梨酒;烧酒;葡萄酒;酒精饮料（啤酒除外）</t>
  </si>
  <si>
    <t>娶牌 喜藏原</t>
  </si>
  <si>
    <t>果酒（含酒精）;蒸馏饮料;葡萄酒;酒精饮料（啤酒除外）;⽩酒;预先混合的酒精饮料（以啤酒为主的除外）;汽酒;⻩酒;烧酒;⽶酒</t>
  </si>
  <si>
    <t>寅虎</t>
  </si>
  <si>
    <t>李瑞玲</t>
  </si>
  <si>
    <t>序章</t>
  </si>
  <si>
    <t>果酒（含酒精）;葡萄酒;威⼠忌;酒精饮料（啤酒除外）;⽼酒（中国蒸馏烈酒）;⻩酒;烧酒;⽩酒;⽩⼲酒（中国⽩酒）;⽶酒</t>
  </si>
  <si>
    <t>镇江丹和醋业有限公司</t>
  </si>
  <si>
    <t>丹和</t>
  </si>
  <si>
    <t>蜂蜜酒;⻩酒;⽩酒;酒精饮料（啤酒除外）;烧酒;黑醋栗酒;⽶酒;葡萄酒;清酒;开胃酒</t>
  </si>
  <si>
    <t>贵州美创金桥文化传播有限责任公司</t>
  </si>
  <si>
    <t>神州风火轮</t>
  </si>
  <si>
    <t>梅酒;⽩酒;含酒精的饮料（啤酒除外）;烈酒;⻩酒;烧酒;⽶酒;果酒（含酒精）;葡萄酒;清酒</t>
  </si>
  <si>
    <t>贵州席红酒业有限公司</t>
  </si>
  <si>
    <t>银席</t>
  </si>
  <si>
    <t>葡萄酒;烈酒（饮料）;含⽔果酒精饮料;蒸馏饮料;⾕物制蒸馏酒精饮料;朗姆酒;酒精饮料（啤酒除外）;⽩酒;⻘稞酒;⻩酒</t>
  </si>
  <si>
    <t>徽之蕴</t>
  </si>
  <si>
    <t>果酒（含酒精）;⾷⽤酒精;⽩兰地;⽩酒;⻘稞酒;葡萄酒;酒精饮料（啤酒除外）;⽶酒;清酒;⻩酒</t>
  </si>
  <si>
    <t>王毅</t>
  </si>
  <si>
    <t>金院子涧山</t>
  </si>
  <si>
    <t>葡萄酒;利⼝酒;烈酒（饮料）;威⼠忌;烧酒;⽩酒;柑⾹酒;⻘稞酒;⻩酒;酒精饮料原汁</t>
  </si>
  <si>
    <t>星艳敏</t>
  </si>
  <si>
    <t>果酒（含酒精）;苦味酒;开胃酒;葡萄酒;⽩酒;威⼠忌;酒精饮料（啤酒除外）;⻘稞酒;烧酒;⽩兰地</t>
  </si>
  <si>
    <t>张坤</t>
  </si>
  <si>
    <t>黄河美域</t>
  </si>
  <si>
    <t>果酒（含酒精）;葡萄酒;利⼝酒;含⽔果酒精饮料;⽶酒;酒精饮料（啤酒除外）;⽩兰地;苹果酒;威⼠忌;酒精饮料浓缩汁</t>
  </si>
  <si>
    <t>罗江</t>
  </si>
  <si>
    <t>果酒（含酒精）;蒸馏饮料;葡萄酒;⽩兰地;⽩酒;酒精饮料（啤酒除外）;⽶酒;⾕物制蒸馏酒精饮料;⻩酒;威⼠忌</t>
  </si>
  <si>
    <t>四川舒世集团有限公司</t>
  </si>
  <si>
    <t>舒香</t>
  </si>
  <si>
    <t>⽩酒;⽶酒;⾼粱酒;由⾕物蒸馏的⽩酒;威⼠忌;⽼酒（中国蒸馏烈酒）;烈酒;甜酒;葡萄酒;烧酒</t>
  </si>
  <si>
    <t>景天国际控股有限公司</t>
  </si>
  <si>
    <t>态 °C</t>
  </si>
  <si>
    <t>葡萄酒;蒸馏饮料;含⽔果酒精饮料;酒精饮料（啤酒除外）;⽩酒;清酒;威⼠忌;鸡尾酒;汽酒;⽶酒</t>
  </si>
  <si>
    <t>真年基</t>
  </si>
  <si>
    <t>情景国酱（北京）酒业有限公司</t>
  </si>
  <si>
    <t>授酒 师者，传道授业解惑也。SHIZHE CHUANDAO SHOUYE JIEHUO</t>
  </si>
  <si>
    <t>黄伟</t>
  </si>
  <si>
    <t>黄府家宴</t>
  </si>
  <si>
    <t>果酒（含酒精）;苹果酒;葡萄酒;蜂蜜酒;⽩酒;清酒（⽇本⽶酒）;⽶酒;烧酒;⻩酒;烈酒（饮料）</t>
  </si>
  <si>
    <t>内蒙古世纪呼白酒业有限责任公司</t>
  </si>
  <si>
    <t>酒爵</t>
  </si>
  <si>
    <t>果酒（含酒精）;开胃酒;烧酒;烈酒（饮料）;⽩酒;⻩酒;酒精饮料（啤酒除外）;⽶酒;⻘稞酒;蒸馏饮料</t>
  </si>
  <si>
    <t>师牌 恩师古</t>
  </si>
  <si>
    <t>果酒（含酒精）;蒸馏饮料;葡萄酒;酒精饮料（啤酒除外）;预先混合的酒精饮料（以啤酒为主的除外）;汽酒;⻩酒;烧酒;⽩酒;⽶酒</t>
  </si>
  <si>
    <t>闫昌理</t>
  </si>
  <si>
    <t>老渭曲</t>
  </si>
  <si>
    <t>⽩酒;⾼粱酒;果酒（含酒精）;⻩酒;蜂蜜酒;苦味酒;⽶酒;葡萄酒;烧酒;酒精饮料浓缩汁</t>
  </si>
  <si>
    <t>成都想当年酒业有限公司</t>
  </si>
  <si>
    <t>荣兴焼坊</t>
  </si>
  <si>
    <t>⽩酒;烧酒;鸡尾酒;葡萄酒;⽶酒;果酒（含酒精）;清酒（⽇本⽶酒）;酒精饮料（啤酒除外）;⻩酒;烈酒（饮料）</t>
  </si>
  <si>
    <t>豪运来有限公司</t>
  </si>
  <si>
    <t>德意</t>
  </si>
  <si>
    <t>⽩酒;酒精饮料（啤酒除外）;威⼠忌;鸡尾酒;⾷⽤酒精;利⼝酒;开胃酒;果酒（含酒精）;清酒（⽇本⽶酒）;⻩酒</t>
  </si>
  <si>
    <t>汾阳市晋义源酒业有限公司</t>
  </si>
  <si>
    <t>晋义源 小兰花</t>
  </si>
  <si>
    <t>⽩⼲酒（中国⽩酒）;由⾕物蒸馏的⽩酒;⽩酒;⾷⽤酒精;⾕物制蒸馏酒精饮料;酒精饮料浓缩汁;烈性⼲酒;烈酒;烧酒（烈酒）;酒精饮料原汁</t>
  </si>
  <si>
    <t>郭晓锦</t>
  </si>
  <si>
    <t>清花御</t>
  </si>
  <si>
    <t>⽩酒;烈酒（饮料）;由⾕物蒸馏的⽩酒;⾼粱酒;鸡尾酒;⽩⼲酒（中国⽩酒）;⽼酒（中国蒸馏烈酒）;烧酒;果酒（含酒精）;烧酒（烈酒）</t>
  </si>
  <si>
    <t>宜兰食品工业股份有限公司</t>
  </si>
  <si>
    <t>GOT RICE</t>
  </si>
  <si>
    <t>酒精饮料（啤酒除外）;葡萄酒;⽶酒;酒精饮料原汁;果酒（含酒精）;⻩酒;汽酒;含⽔果酒精饮料;烈酒（饮料）;⽩酒</t>
  </si>
  <si>
    <t>新国货优榜品牌管理（北京）有限公司</t>
  </si>
  <si>
    <t>特瑞纳酒厂有限责任公司</t>
  </si>
  <si>
    <t>HOPE FAMILY WINES</t>
  </si>
  <si>
    <t>⽩葡萄酒;酸酒（低等葡萄酒）;以葡萄酒为主的开胃酒;以葡萄酒为主的饮料;红葡萄酒;加烈葡萄酒;不起泡葡萄酒;葡萄酒;桃红葡萄酒</t>
  </si>
  <si>
    <t>四川寿康原生物科技有限公司</t>
  </si>
  <si>
    <t>寿康原</t>
  </si>
  <si>
    <t>开胃酒;蜂蜜酒;⽩酒;⻘稞酒;苹果酒;⽶酒;利⼝酒;梨酒;果酒（含酒精）;葡萄酒</t>
  </si>
  <si>
    <t>汾阳市臻酿酒业有限公司</t>
  </si>
  <si>
    <t>臻怡</t>
  </si>
  <si>
    <t>⽩酒;果酒;露酒;⾷⽤酒精;酒精饮料原汁;⽶酒;除啤酒外的酒精饮料;烧酒;葡萄酒;⻩酒</t>
  </si>
  <si>
    <t>钟亦发</t>
  </si>
  <si>
    <t>大黄蜂</t>
  </si>
  <si>
    <t>葡萄酒;蜂蜜酒;樱桃酒;⻩酒;⽶酒;果酒;梅酒;⻘梅酒;⽩酒;⾼粱酒</t>
  </si>
  <si>
    <t>汽酒;⻩酒;烧酒;⽩酒;预先混合的酒精饮料（以啤酒为主的除外）;蒸馏饮料;葡萄酒;酒精饮料（啤酒除外）;⽶酒;果酒（含酒精）</t>
  </si>
  <si>
    <t>张旭</t>
  </si>
  <si>
    <t>福月</t>
  </si>
  <si>
    <t>果酒（含酒精）;葡萄酒;酒精饮料（啤酒除外）;⽶酒;⾕物制蒸馏酒精饮料;⻘稞酒;⻩酒;⾷⽤酒精;⽩酒;烧酒</t>
  </si>
  <si>
    <t>绍兴长者醇酒业有限公司</t>
  </si>
  <si>
    <t>长者醇</t>
  </si>
  <si>
    <t>果酒（含酒精）;鸡尾酒;葡萄酒;清酒（⽇本⽶酒）;⽶酒;伏特加酒;烧酒;⻩酒;⽩酒;酒精饮料（啤酒除外）</t>
  </si>
  <si>
    <t>桂林市嵘润企业管理咨询有限公司</t>
  </si>
  <si>
    <t>润王爷</t>
  </si>
  <si>
    <t>⽩酒;酒精饮料（啤酒除外）;果酒（含酒精）;鸡尾酒;含⽔果酒精饮料;⽶酒;汽酒;⻩酒;⾷⽤酒精;葡萄酒</t>
  </si>
  <si>
    <t>至友酒业（上海）有限公司</t>
  </si>
  <si>
    <t>牛薯</t>
  </si>
  <si>
    <t>蒸馏饮料;烈酒（饮料）;清酒（⽇本⽶酒）;⽶酒;⽩酒;预先混合的酒精饮料（以啤酒为主的除外）;⾕物制蒸馏酒精饮料;⻩酒;烧酒;酒精饮料（啤酒除外）</t>
  </si>
  <si>
    <t>贵州贵酒集团有限公司</t>
  </si>
  <si>
    <t>贵酒匠</t>
  </si>
  <si>
    <t>预先混合的酒精饮料（以啤酒为主的除外）;⽩酒;果酒（含酒精）;葡萄酒;利⼝酒;酒精饮料（啤酒除外）;⾷⽤酒精;烧酒;蒸煮提取物（利⼝酒和烈酒）;烈酒（饮料）</t>
  </si>
  <si>
    <t>昆山市玉山镇森客来食品经营部(个体工商户)</t>
  </si>
  <si>
    <t>诞</t>
  </si>
  <si>
    <t>葡萄酒;烧酒;果酒（含酒精）;蒸馏饮料;汽酒;预先混合的酒精饮料（以啤酒为主的除外）;⽩酒;⻩酒;酒精饮料（啤酒除外）;⽶酒</t>
  </si>
  <si>
    <t>丹尼斯有限责任公司</t>
  </si>
  <si>
    <t>TOUCH PREMIUM</t>
  </si>
  <si>
    <t>贵州珍酒酿酒有限公司</t>
  </si>
  <si>
    <t>珍华酒</t>
  </si>
  <si>
    <t>⽩酒;烈酒（饮料）;利⼝酒;⽶酒;葡萄酒;酒精饮料（啤酒除外）;⻩酒;果酒（含酒精）;预先混合的酒精饮料（以啤酒为主的除外）;威⼠忌</t>
  </si>
  <si>
    <t>广州晶品信息科技有限公司</t>
  </si>
  <si>
    <t>RIVIERA</t>
  </si>
  <si>
    <t>葡萄酒;烈酒（饮料）;酒精饮料（啤酒除外）;⽩兰地;开胃酒;威⼠忌;清酒（⽇本⽶酒）;蒸煮提取物（利⼝酒和烈酒）;烧酒;⻩酒;鸡尾酒;伏特加酒;⽶酒;果酒（含酒精）;⽩酒;朗姆酒</t>
  </si>
  <si>
    <t>中唐京韵(北京)国际贸易有限公司</t>
  </si>
  <si>
    <t>奋斗者</t>
  </si>
  <si>
    <t>果酒（含酒精）;葡萄酒;⽩兰地;威⼠忌;烈酒;伏特加酒;⻩酒;⾷⽤酒精;⽩酒;朗姆酒</t>
  </si>
  <si>
    <t>武夷山市进广茶叶商行</t>
  </si>
  <si>
    <t>柴府</t>
  </si>
  <si>
    <t>果酒（含酒精）;鸡尾酒;葡萄酒;烈酒（饮料）;⻩酒;清酒（⽇本⽶酒）;⽶酒;烧酒;⽩酒;威⼠忌</t>
  </si>
  <si>
    <t>上海贵酒股份有限公司</t>
  </si>
  <si>
    <t>碧玉青</t>
  </si>
  <si>
    <t>烧酒;⽩酒;⻘稞酒;⻩酒;酒精饮料（啤酒除外）;鸡尾酒;葡萄酒;烈酒（饮料）;清酒（⽇本⽶酒）;果酒（含酒精）</t>
  </si>
  <si>
    <t>秦皇岛市金代烧锅酒业有限公司</t>
  </si>
  <si>
    <t>金代烧锅</t>
  </si>
  <si>
    <t>果酒;⾼粱酒;苦荞酒;露酒;鸡尾酒;蜂蜜酒;葡萄酒;樱桃酒;利⼝酒;⽩酒</t>
  </si>
  <si>
    <t>王美玲</t>
  </si>
  <si>
    <t>太平庄</t>
  </si>
  <si>
    <t>果酒（含酒精）;开胃酒;鸡尾酒;蒸煮提取物（利⼝酒和烈酒）;葡萄酒;⽶酒;含⽔果酒精饮料;酒精饮料原汁;⽩酒;除啤酒外的酒精饮料</t>
  </si>
  <si>
    <t>河南省宋河酒业股份有限公司</t>
  </si>
  <si>
    <t>宋河粮液 宋6</t>
  </si>
  <si>
    <t>果酒（含酒精）;鸡尾酒;葡萄酒;蒸馏饮料;⽩酒;酒精饮料（啤酒除外）;烧酒;⻩酒;烈酒（饮料）;⽶酒</t>
  </si>
  <si>
    <t>湖南省春兰雪影生物科技有限公司</t>
  </si>
  <si>
    <t>春兰雪影</t>
  </si>
  <si>
    <t>⽩酒;葡萄酒;⾼粱酒;⻘稞酒;⽶酒;甜酒;烧酒;清酒;果酒;由⾕物蒸馏的⽩酒</t>
  </si>
  <si>
    <t>宋河 宋6</t>
  </si>
  <si>
    <t>酒精饮料（啤酒除外）;烈酒（饮料）;果酒（含酒精）;⻩酒;葡萄酒;⽶酒;烧酒;蒸馏饮料;⽩酒;鸡尾酒</t>
  </si>
  <si>
    <t>瑞高儿（厦门）贸易有限公司</t>
  </si>
  <si>
    <t>闽书</t>
  </si>
  <si>
    <t>⽩酒;葡萄酒;烧酒;含酒精的饮料（啤酒除外）;鸡尾酒;朗姆酒;烈酒（饮料）;⽩⼲酒（中国⽩酒）;清酒;伏特加酒</t>
  </si>
  <si>
    <t>潮州市腾远贸易有限公司</t>
  </si>
  <si>
    <t>耕读积庆</t>
  </si>
  <si>
    <t>⻩酒;酒精饮料（啤酒除外）;蒸煮提取物（利⼝酒和烈酒）;果酒（含酒精）;⽩兰地;⽶酒;葡萄酒;⽩酒;威⼠忌;鸡尾酒</t>
  </si>
  <si>
    <t>广西田东县壮乡嫂山茶油开发有限公司</t>
  </si>
  <si>
    <t>壮乡嫂</t>
  </si>
  <si>
    <t>苹果酒;红葡萄酒;⽩酒;果酒（含酒精）;苦味酒;蜂蜜酒;樱桃酒;⻘稞酒;杜松⼦酒;利⼝酒</t>
  </si>
  <si>
    <t>宋河粮液 宋3</t>
  </si>
  <si>
    <t>⽩酒;果酒（含酒精）;⽶酒;⻩酒;酒精饮料（啤酒除外）;烧酒;鸡尾酒;蒸馏饮料;烈酒（饮料）;葡萄酒</t>
  </si>
  <si>
    <t>贵州伊珂文化传媒有限公司</t>
  </si>
  <si>
    <t>琅台</t>
  </si>
  <si>
    <t>烧酒（烈酒）;⾼粱酒;果酒（含酒精）;⾷⽤酒精;由⾕物蒸馏的⽩酒;烧酒;⽩⼲酒（中国⽩酒）;⽩酒;⽼酒（中国蒸馏烈酒）;⽶酒</t>
  </si>
  <si>
    <t>绽每珠宝（上海）有限公司</t>
  </si>
  <si>
    <t>绽每</t>
  </si>
  <si>
    <t>果酒;⽩酒;苹果酒;利⼝酒;威⼠忌;甜酒;⽶酒;⽩兰地;酒精饮料（啤酒除外）;葡萄酒</t>
  </si>
  <si>
    <t>向雄</t>
  </si>
  <si>
    <t>向秦鑫娅</t>
  </si>
  <si>
    <t>开胃酒;鸡尾酒;⽶酒;⻩酒;⽩酒;含酒精⽔果饮料;果酒（含酒精）;葡萄酒;苹果酒;⾷⽤酒精</t>
  </si>
  <si>
    <t>贵州省仁怀市茅台镇台郎酒厂</t>
  </si>
  <si>
    <t>怀廊</t>
  </si>
  <si>
    <t>威⼠忌;⽶酒;预先混合的酒精饮料（以啤酒为主的除外）;葡萄酒;⽩酒;酒精饮料（啤酒除外）;⻩酒;鸡尾酒;含⽔果酒精饮料;⽩兰地</t>
  </si>
  <si>
    <t>张欣</t>
  </si>
  <si>
    <t>醉屺亭</t>
  </si>
  <si>
    <t>开胃酒;⽩酒;酒精饮料（啤酒除外）;果酒（含酒精）;⻩酒;果酒;清酒（⽇本⽶酒）;⽶酒;葡萄酒;威⼠忌</t>
  </si>
  <si>
    <t>河北欧吉士达国际贸易有限公司</t>
  </si>
  <si>
    <t>EUKEZATR 欧基事达</t>
  </si>
  <si>
    <t>含⽔果酒精饮料;酸酒（低等葡萄酒）;威⼠忌;烈酒（饮料）;⽩兰地;酒精饮料原汁;酒精饮料（啤酒除外）;果酒（含酒精）;葡萄酒;⽩酒</t>
  </si>
  <si>
    <t>日春股份公司</t>
  </si>
  <si>
    <t>日香</t>
  </si>
  <si>
    <t>果酒（含酒精）;苹果酒;鸡尾酒;烈酒（饮料）;白酒;梨酒;威士忌;薄荷酒;伏特加酒;葡萄酒</t>
  </si>
  <si>
    <t>欧魁贸易有限公司</t>
  </si>
  <si>
    <t>PLAC</t>
  </si>
  <si>
    <t>烧酒;鸡尾酒;烈酒(饮料);果酒(含酒精);⽩兰地;⽶酒;葡萄酒;酒精饮料(啤酒除外);威⼠忌;⽩酒</t>
  </si>
  <si>
    <t>明台登月</t>
  </si>
  <si>
    <t>鸡尾酒;⾼粱酒;红葡萄酒;烈酒;⽩葡萄酒;⽩酒;含酒精的饮料（啤酒除外）;⽶酒;烧酒;⻩酒</t>
  </si>
  <si>
    <t>天津红光啤酒厂</t>
  </si>
  <si>
    <t>引滦</t>
  </si>
  <si>
    <t>⽼酒（中国蒸馏烈酒）;朗姆潘趣酒;⾼粱酒;⽩酒;⾷⽤酒精;⽶酒;⻩酒;葡萄酒;烧酒;果酒（含酒精）</t>
  </si>
  <si>
    <t>陈莲英</t>
  </si>
  <si>
    <t>威伯世</t>
  </si>
  <si>
    <t>⻩酒;⽩酒;鸡尾酒;⽩兰地;威⼠忌;果酒（含酒精）;葡萄酒;酒精饮料原汁;酒精饮料（啤酒除外）;蒸煮提取物（利⼝酒和烈酒）</t>
  </si>
  <si>
    <t>不言企业管理（山东）有限公司</t>
  </si>
  <si>
    <t>中原凤酒</t>
  </si>
  <si>
    <t>葡萄酒;⽩兰地;烧酒;⻩酒;⾷⽤酒精;蒸馏饮料;⽶酒;汽酒;⻘稞酒;⽩酒</t>
  </si>
  <si>
    <t>黑龙江鹿酒酒业有限公司</t>
  </si>
  <si>
    <t>鑫玖鹿</t>
  </si>
  <si>
    <t>鸡尾酒;⽶酒;⾷⽤酒精;⽩酒;清酒（⽇本⽶酒）;酒精饮料（啤酒除外）;开胃酒;预先混合的酒精饮料（以啤酒为主的除外）;果酒（含酒精）;烧酒</t>
  </si>
  <si>
    <t>尊贵酒业（深圳）集团有限公司</t>
  </si>
  <si>
    <t>京安美人鱼 GIANT MERMAID</t>
  </si>
  <si>
    <t>⽩兰地;⽩酒;威⼠忌;烈酒（饮料）;葡萄酒;伏特加酒;⻩酒;含⽔果酒精饮料;果酒（含酒精）;酒精饮料（啤酒除外）</t>
  </si>
  <si>
    <t>张烟聪</t>
  </si>
  <si>
    <t>沪谷丰登</t>
  </si>
  <si>
    <t>⽩酒;鸡尾酒;葡萄酒;清酒（⽇本⽶酒）;⽼酒（中国蒸馏烈酒）;⻩酒;⽶酒;⽩⼲酒（中国⽩酒）;果酒（含酒精）;草莓酒</t>
  </si>
  <si>
    <t>青岛高品益聚酒业有限公司</t>
  </si>
  <si>
    <t>冀品欢</t>
  </si>
  <si>
    <t>含⽔果酒精饮料;⽼酒（中国蒸馏烈酒）;⻩酒;蒸馏饮料;⽩酒;鸡尾酒;酒精饮料（啤酒除外）;⽶酒;⽩⼲酒（中国⽩酒）;由⾕物蒸馏的⽩酒</t>
  </si>
  <si>
    <t>苏州瑞欧建筑装饰工程有限公司</t>
  </si>
  <si>
    <t>古邳情</t>
  </si>
  <si>
    <t>果酒（含酒精）;⽩酒;开胃酒;烧酒;⻩酒;⾼粱酒;葡萄酒;梨酒;酒精饮料（啤酒除外）;苹果酒</t>
  </si>
  <si>
    <t>江苏五琼浆酒业有限公司</t>
  </si>
  <si>
    <t>老榔头</t>
  </si>
  <si>
    <t>五加⽪酒（中国混合烈酒）;以蒸馏酒为主的开胃酒;⽩⼲酒（中国⽩酒）;⽩酒;⻩酒;⽼酒（中国蒸馏烈酒）;葡萄酒;⾼粱酒;⽶酒;⽩兰地</t>
  </si>
  <si>
    <t>贵州尚土农业有限公司</t>
  </si>
  <si>
    <t>千鼓韵</t>
  </si>
  <si>
    <t>葡萄酒;果酒;梨酒;威⼠忌;鸡尾酒;利⼝酒;汽酒;⽩酒;烧酒;⽩兰地</t>
  </si>
  <si>
    <t>郑州红花园酒业有限公司</t>
  </si>
  <si>
    <t>ELIO PERRONE</t>
  </si>
  <si>
    <t>葡萄酒;伏特加酒;烧酒;⽩酒;⻩酒;鸡尾酒;酒精饮料原汁;酒精饮料（啤酒除外）;烈酒;果酒（含酒精）</t>
  </si>
  <si>
    <t>王学祥</t>
  </si>
  <si>
    <t>品四香</t>
  </si>
  <si>
    <t>苦味酒;烧酒;⻘稞酒;⻩酒;⽩酒;开胃酒;葡萄酒;⽩兰地;威⼠忌;果酒（含酒精）</t>
  </si>
  <si>
    <t>天台聚缘坊酒业有限公司</t>
  </si>
  <si>
    <t>ZHENG XING FU</t>
  </si>
  <si>
    <t>⻩酒;⽩酒;烈酒;葡萄酒;清酒;⾼粱酒;烧酒;果酒（含酒精）;甜酒;⽶酒</t>
  </si>
  <si>
    <t>十八甫（广州）文化产业发展有限公司</t>
  </si>
  <si>
    <t>十八甫当下 十八甫</t>
  </si>
  <si>
    <t>含⽔果酒精饮料;⻩酒;伏特加酒;鸡尾酒;清酒（⽇本⽶酒）;⽩兰地;⽩酒;烧酒;⽶酒;葡萄酒</t>
  </si>
  <si>
    <t>陈志刚</t>
  </si>
  <si>
    <t>杞猩球</t>
  </si>
  <si>
    <t>⽩酒;酒精饮料（啤酒除外）;果酒;⽩兰地;酒精饮料原汁;清酒;酒精饮料浓缩汁;⽩⼲酒（中国⽩酒）;果酒（含酒精）;甜酒</t>
  </si>
  <si>
    <t>尚道先生（北京）科技有限公司</t>
  </si>
  <si>
    <t>三度修炼</t>
  </si>
  <si>
    <t/>
  </si>
  <si>
    <t>贵州乡国酒业有限公司</t>
  </si>
  <si>
    <t>远祖</t>
  </si>
  <si>
    <t>⽶酒;烈酒;果酒（含酒精）;酒精饮料（啤酒除外）;⽩酒;含酒精的饮料（啤酒除外）;⽼酒（中国蒸馏烈酒）;由⾕物蒸馏的⽩酒;果酒;烧酒（烈酒）</t>
  </si>
  <si>
    <t>上海鋆骊贸易有限公司</t>
  </si>
  <si>
    <t>炁康元</t>
  </si>
  <si>
    <t>威⼠忌;⾼粱酒;⽶酒;葡萄酒;烧酒（烈酒）;⽼酒（中国蒸馏烈酒）;⽩酒;烧酒;⻩酒;果酒</t>
  </si>
  <si>
    <t>李鹏</t>
  </si>
  <si>
    <t>青玉弘</t>
  </si>
  <si>
    <t>葡萄酒;酒精饮料浓缩汁;鸡尾酒;⽶酒;果酒;含⽔果酒精饮料;蒸馏饮料;蒸煮提取物（利⼝酒和烈酒）;⽩酒;⾷⽤酒精</t>
  </si>
  <si>
    <t>邢台市升鑫酒业有限公司</t>
  </si>
  <si>
    <t>耀升鑫</t>
  </si>
  <si>
    <t>鸡尾酒;果酒;烈酒（饮料）;⽶酒;威⼠忌;蒸煮提取物（利⼝酒和烈酒）;酒精饮料（啤酒除外）;⻩酒;⽩酒;葡萄酒</t>
  </si>
  <si>
    <t>田志敏</t>
  </si>
  <si>
    <t>母辛妇好</t>
  </si>
  <si>
    <t>含⽔果酒精饮料;酒精饮料（啤酒除外）;烧酒;⽶酒;蒸馏饮料;烈酒（饮料）;葡萄酒;酒精饮料浓缩汁;果酒（含酒精）;⽩酒</t>
  </si>
  <si>
    <t>戚立军</t>
  </si>
  <si>
    <t>浣江西子</t>
  </si>
  <si>
    <t>⽶酒;薄荷酒;蒸馏饮料;果酒（含酒精）;蜂蜜酒;⽩酒;鸡尾酒;汽酒;⻩酒;烧酒</t>
  </si>
  <si>
    <t>泉州市洛江区双阳尚呈百货商行</t>
  </si>
  <si>
    <t>宋九洲</t>
  </si>
  <si>
    <t>⽼酒（中国蒸馏烈酒）;清酒;烈酒;⽩⼲酒（中国⽩酒）;⽶酒;⽩酒;果酒;烧酒;⻩酒;酒精饮料原汁</t>
  </si>
  <si>
    <t>雷克弗有限公司</t>
  </si>
  <si>
    <t>GG</t>
  </si>
  <si>
    <t>葡萄酒;果酒（含酒精）;利⼝酒;清酒（⽇本⽶酒）;鸡尾酒;⽶酒;⻩酒;⽩酒;⻘稞酒;烈酒（饮料）</t>
  </si>
  <si>
    <t>楚云强</t>
  </si>
  <si>
    <t>贵圆天下</t>
  </si>
  <si>
    <t>⻘稞酒;⽩酒;⽼酒（中国蒸馏烈酒）;⽶酒;⽩⼲酒（中国⽩酒）;⾷⽤酒精;清酒;薄荷酒;⻩酒;烧酒</t>
  </si>
  <si>
    <t>亳州市金沙酒类销售有限公司</t>
  </si>
  <si>
    <t>印象武功</t>
  </si>
  <si>
    <t>烈酒（饮料）;⽶酒;烧酒;⽩酒;蒸馏饮料;清酒（⽇本⽶酒）;⻩酒;果酒（含酒精）</t>
  </si>
  <si>
    <t>青岛贞醴态度文创有限公司</t>
  </si>
  <si>
    <t>雪中山海</t>
  </si>
  <si>
    <t>⽩酒;果酒（含酒精）;鸡尾酒;葡萄酒;⻩酒;烈酒（饮料）;酒精饮料（啤酒除外）;⽶酒;烧酒;蜂蜜酒</t>
  </si>
  <si>
    <t>沁年</t>
  </si>
  <si>
    <t>清酒（⽇本⽶酒）;酒精饮料（啤酒除外）;果酒（含酒精）;鸡尾酒;葡萄酒;开胃酒;烈酒;⽩酒;⻩酒;威⼠忌</t>
  </si>
  <si>
    <t>王家云</t>
  </si>
  <si>
    <t>上宾潭</t>
  </si>
  <si>
    <t>烈酒;鸡尾酒;烧酒;烈酒（饮料）;⽩酒;⻩酒;清酒（⽇本⽶酒）;⻘稞酒;⽶酒;葡萄酒</t>
  </si>
  <si>
    <t>陈英芝</t>
  </si>
  <si>
    <t>海纳山河</t>
  </si>
  <si>
    <t>果酒（含酒精）;⽶酒;开胃酒;⾼粱酒;⻩酒;苦荞酒;⽩酒;烧酒;烈酒;⽩⼲酒（中国⽩酒）</t>
  </si>
  <si>
    <t>王燕</t>
  </si>
  <si>
    <t>富优藏沙</t>
  </si>
  <si>
    <t>酒精饮料原汁;葡萄酒;酒精饮料（啤酒除外）;烧酒;含⽔果酒精饮料;鸡尾酒;威⼠忌;⻩酒;⽶酒;果酒（含酒精）</t>
  </si>
  <si>
    <t>轻沙丰韵</t>
  </si>
  <si>
    <t>烧酒;含⽔果酒精饮料;鸡尾酒;酒精饮料（啤酒除外）;⽶酒;⻩酒;酒精饮料原汁;果酒（含酒精）;葡萄酒;威⼠忌</t>
  </si>
  <si>
    <t>李金勇</t>
  </si>
  <si>
    <t>庆九方</t>
  </si>
  <si>
    <t>开胃酒;葡萄酒;威士忌;果酒（含酒精）;白酒;清酒（日本米酒）;酒精饮料（啤酒除外）;黄酒;烈酒;鸡尾酒</t>
  </si>
  <si>
    <t>深圳美鹰科技集团有限公司</t>
  </si>
  <si>
    <t>太极梵</t>
  </si>
  <si>
    <t>白酒;日本梅子酒;果酒;食用酒精;老酒（中国蒸馏烈酒）;高粱酒;含酒精的水果鸡尾酒饮料;杨梅酒;以葡萄酒为主的饮料;蒸馏米酒（泡盛酒）</t>
  </si>
  <si>
    <t>广东好猪多食品科技有限公司</t>
  </si>
  <si>
    <t>泱年</t>
  </si>
  <si>
    <t>⻩酒;烈酒;鸡尾酒;威⼠忌;酒精饮料（啤酒除外）;葡萄酒;果酒（含酒精）;⽩酒;开胃酒;清酒（⽇本⽶酒）</t>
  </si>
  <si>
    <t>贵州绿黔节能技术有限公司</t>
  </si>
  <si>
    <t>渼影逍遥</t>
  </si>
  <si>
    <t>露酒;⾼粱酒;⽩酒;酒精饮料原汁;果酒;⻩酒;烈酒;葡萄酒;⾷⽤酒精;烧酒</t>
  </si>
  <si>
    <t>北京还原堂生物科技有限责任公司</t>
  </si>
  <si>
    <t>唐韦八</t>
  </si>
  <si>
    <t>贵州赐坤酒业有限公司</t>
  </si>
  <si>
    <t>程道坤</t>
  </si>
  <si>
    <t>⽶酒;果酒（含酒精）;⽩酒;酒精饮料（啤酒除外）;⻩酒;开胃酒;葡萄酒;烧酒;⽩兰地;烈酒（饮料）</t>
  </si>
  <si>
    <t>贺军</t>
  </si>
  <si>
    <t>庆歌</t>
  </si>
  <si>
    <t>果酒（含酒精）;烈酒（饮料）;酒精饮料（啤酒除外）;汽酒;葡萄酒;⽩酒;⾕物制蒸馏酒精饮料;⻩酒;烧酒;⽶酒</t>
  </si>
  <si>
    <t>重庆巨康电子技术有限公司</t>
  </si>
  <si>
    <t>天之密</t>
  </si>
  <si>
    <t>葡萄汽酒; 亚力酒; 白葡萄酒; 米酒; 露酒; 白酒; 威士忌; 甜酒; 烈酒; 黄酒</t>
  </si>
  <si>
    <t>山西清香之樽酒业有限公司</t>
  </si>
  <si>
    <t>清筏</t>
  </si>
  <si>
    <t>烈酒（饮料）;梨酒;利⼝酒;⽩酒;⻩酒;烧酒（烈酒）;薄荷酒;⽶酒;烧酒;⽩⼲酒（中国⽩酒）</t>
  </si>
  <si>
    <t>四川江口醇隆鼎酒业有限公司</t>
  </si>
  <si>
    <t>江口醇红灯笼</t>
  </si>
  <si>
    <t>⽩酒;酒精饮料（啤酒除外）;开胃酒;烈酒（饮料）;果酒（含酒精）;烧酒;葡萄酒;利⼝酒;清酒（⽇本⽶酒）;⽶酒</t>
  </si>
  <si>
    <t>新疆尉臻华品科技有限公司</t>
  </si>
  <si>
    <t>尉臻</t>
  </si>
  <si>
    <t>果酒;⽩酒;威⼠忌;以葡萄酒为主的饮料;梅酒;葡萄酒;⻩酒;含⽔果酒精饮料;烧酒;红葡萄酒</t>
  </si>
  <si>
    <t>林金华</t>
  </si>
  <si>
    <t>钱坑林记</t>
  </si>
  <si>
    <t>葡萄酒;酒精饮料（啤酒除外）;烧酒;⻩酒;⽶酒;鸡尾酒;烈酒（饮料）;⽩酒;开胃酒;果酒（含酒精）</t>
  </si>
  <si>
    <t>宜宾九酝酒业有限公司</t>
  </si>
  <si>
    <t>自倾</t>
  </si>
  <si>
    <t>蒸煮提取物（利⼝酒和烈酒）;烈酒（饮料）;⽩酒;葡萄酒;果酒（含酒精）;预先混合的酒精饮料（以啤酒为主的除外）;⻩酒;烧酒;酒精饮料（啤酒除外）;⽶酒</t>
  </si>
  <si>
    <t>珠海市天雅商贸有限公司</t>
  </si>
  <si>
    <t>葡萄酒;开胃酒;⽩兰地;⽶酒;蒸馏饮料;清酒（⽇本⽶酒）;⽩酒;果酒（含酒精）;酒精饮料（啤酒除外）;⻩酒</t>
  </si>
  <si>
    <t>山东邦邦和小言科技发展有限公司</t>
  </si>
  <si>
    <t>四向兽</t>
  </si>
  <si>
    <t>威⼠忌;⽩酒;酒精饮料原汁;⾷⽤酒精;蒸馏饮料;果酒（含酒精）;开胃酒;葡萄酒;烧酒;汽酒</t>
  </si>
  <si>
    <t>丰桦桃里（宁波）文化发展有限公司</t>
  </si>
  <si>
    <t>丰椛桃里</t>
  </si>
  <si>
    <t>果酒（含酒精）;烈酒（饮料）;含⽔果酒精饮料;⽩酒;清酒（⽇本⽶酒）;⾕物制蒸馏酒精饮料;酒精饮料（啤酒除外）;烧酒;⻩酒;⽶酒</t>
  </si>
  <si>
    <t>邱红伟</t>
  </si>
  <si>
    <t>缘源郦水</t>
  </si>
  <si>
    <t>⽶酒;清酒（⽇本⽶酒）;鸡尾酒;伏特加酒;酒精饮料（啤酒除外）;葡萄酒;威⼠忌;酒精饮料原汁;⾕物制蒸馏酒精饮料;烈酒（饮料）</t>
  </si>
  <si>
    <t>五华区疆旭百货店</t>
  </si>
  <si>
    <t>美名骄子</t>
  </si>
  <si>
    <t>烧酒;⽶酒;⽩酒;开胃酒;葡萄酒;酒精饮料（啤酒除外）;鸡尾酒;果酒（含酒精）;⽩兰地;清酒（⽇本⽶酒）</t>
  </si>
  <si>
    <t>德安县熙铭电子商务有限公司</t>
  </si>
  <si>
    <t>沣满仓</t>
  </si>
  <si>
    <t>⽶酒;⻩酒;果酒（含酒精）;蒸馏饮料;威⼠忌;⽩酒;酒精饮料浓缩汁;蜂蜜酒;⽩兰地;葡萄酒</t>
  </si>
  <si>
    <t>肖毅</t>
  </si>
  <si>
    <t>铭诚秀</t>
  </si>
  <si>
    <t>果酒（含酒精）;含⽔果酒精饮料;蒸馏饮料;葡萄酒;酒精饮料（啤酒除外）;⽩酒;汽酒;酒精饮料原汁;⽶酒;酒精饮料浓缩汁</t>
  </si>
  <si>
    <t>京漷（北京）酒业有限公司</t>
  </si>
  <si>
    <t>锦绣遗荣</t>
  </si>
  <si>
    <t>果酒（含酒精）;烧酒;⽩酒;酒精饮料（啤酒除外）;蜂蜜酒;⻩酒;酒精饮料浓缩汁;威⼠忌;葡萄酒;⽶酒</t>
  </si>
  <si>
    <t>绍兴酉香见酒业有限公司</t>
  </si>
  <si>
    <t>牧隐</t>
  </si>
  <si>
    <t>鸡尾酒;清酒（⽇本⽶酒）;酒精饮料（啤酒除外）;葡萄酒;烧酒;⻩酒;⽩兰地;⽩酒;开胃酒;⽶酒</t>
  </si>
  <si>
    <t>田华</t>
  </si>
  <si>
    <t>贺楠海岸</t>
  </si>
  <si>
    <t>葡萄酒;由⾕物蒸馏的⽩酒;烈酒;葡萄汽酒;红葡萄酒;含酒精⽔果饮料;果酒（含酒精）;⽶酒;⽩酒;含酒精的饮料（啤酒除外）</t>
  </si>
  <si>
    <t>河南俪赢商贸有限公司</t>
  </si>
  <si>
    <t>散花坤酒</t>
  </si>
  <si>
    <t>⽩酒;⽼酒（中国蒸馏烈酒）;⻩酒;烈酒（饮料）;⽩兰地;酒精饮料（啤酒除外）;果酒（含酒精）;烧酒;⽶酒;葡萄酒</t>
  </si>
  <si>
    <t>宋派文化发展（深圳）有限公司</t>
  </si>
  <si>
    <t>宋派中原黄</t>
  </si>
  <si>
    <t>⽩酒;红葡萄酒;⾼粱酒;⻩酒;果酒（含酒精）;烈酒;薄荷酒;蒸馏⽶酒（泡盛酒）;烧酒;⽶酒</t>
  </si>
  <si>
    <t>葛玉磊</t>
  </si>
  <si>
    <t>宇耀</t>
  </si>
  <si>
    <t>果酒（含酒精）;开胃酒;葡萄酒;烈酒（饮料）;⻩酒;烧酒;鸡尾酒;酒精饮料（啤酒除外）;⽩酒;⽶酒</t>
  </si>
  <si>
    <t>王新华</t>
  </si>
  <si>
    <t>恰西河谷</t>
  </si>
  <si>
    <t>⽩酒;含⽔果酒精饮料;烧酒;⻩酒;⽶酒;⾷⽤酒精;烈酒（饮料）;酸酒（低等葡萄酒）;酒精饮料（啤酒除外）;果酒（含酒精）</t>
  </si>
  <si>
    <t>杨云铄</t>
  </si>
  <si>
    <t>滔怀</t>
  </si>
  <si>
    <t>清酒（⽇本⽶酒）;酒精饮料（啤酒除外）;⽩酒;果酒（含酒精）;鸡尾酒;葡萄酒;⻩酒;威⼠忌;烈酒;开胃酒</t>
  </si>
  <si>
    <t>苏州金源野生物医药科技有限公司</t>
  </si>
  <si>
    <t>德劲靓的泉源</t>
  </si>
  <si>
    <t>葡萄酒;果酒（含酒精）;⾕物制蒸馏酒精饮料;烧酒;⻩酒;甜酒;⽩酒;烈酒（饮料）;酒精饮料（啤酒除外）;⽶酒</t>
  </si>
  <si>
    <t>南宁市西乡塘区颂夫人服装商行</t>
  </si>
  <si>
    <t>尚芒</t>
  </si>
  <si>
    <t>烈酒（饮料）;⽶酒;烧酒;甜酒;预先混合的酒精饮料（以啤酒为主的除外）;鸡尾酒;⽩酒;果酒（含酒精）;葡萄酒;以葡萄酒为主的饮料</t>
  </si>
  <si>
    <t>深圳市德萨克商贸有限公司</t>
  </si>
  <si>
    <t>莫里袋鼠</t>
  </si>
  <si>
    <t>葡萄酒;鸡尾酒;伏特加酒;含⽔果酒精饮料;苹果酒;⽩酒;朗姆酒;威⼠忌;⽩兰地;果酒（含酒精）</t>
  </si>
  <si>
    <t>泉州飞洋酒业有限公司</t>
  </si>
  <si>
    <t>彩霸</t>
  </si>
  <si>
    <t>威⼠忌;酒精饮料（啤酒除外）;⽶酒;果酒（含酒精）;⻩酒;⽩酒;⽩兰地;伏特加酒;鸡尾酒;葡萄酒</t>
  </si>
  <si>
    <t>陕西金泉酒有限公司</t>
  </si>
  <si>
    <t>卿政</t>
  </si>
  <si>
    <t>烧酒;汽酒;烈酒（饮料）;清酒（⽇本⽶酒）;果酒（含酒精）;⻩酒;葡萄酒;⽩酒;⽶酒;⾕物制蒸馏酒精饮料</t>
  </si>
  <si>
    <t>贵州省仁怀市南将酒业有限公司</t>
  </si>
  <si>
    <t>南将正脉</t>
  </si>
  <si>
    <t>果酒（含酒精）;威⼠忌;⽩兰地;⽼酒（中国蒸馏烈酒）;烧酒;⾷⽤酒精;⻩酒;葡萄酒;⽩酒;鸡尾酒</t>
  </si>
  <si>
    <t>贵州缜密酒业有限公司</t>
  </si>
  <si>
    <t>缜</t>
  </si>
  <si>
    <t>含⽔果酒精饮料;烧酒;酒精饮料（啤酒除外）;葡萄酒;开胃酒;烈酒（饮料）;⽩酒;⽶酒;⻩酒;鸡尾酒</t>
  </si>
  <si>
    <t>骆利琴</t>
  </si>
  <si>
    <t>罗宗师</t>
  </si>
  <si>
    <t>烈酒（饮料）;⽩酒;蒸馏饮料;鸡尾酒;果酒（含酒精）;⽩⼲酒（中国⽩酒）;果酒;酒精饮料（啤酒除外）;⻩酒;清酒（⽇本⽶酒）</t>
  </si>
  <si>
    <t>深圳市吉夫实业发展有限公司</t>
  </si>
  <si>
    <t>吉夫堡</t>
  </si>
  <si>
    <t>⽩兰地;果酒（含酒精）;伏特加酒;清酒（⽇本⽶酒）;威⼠忌;烈酒（饮料）;⽩酒;⽶酒;葡萄酒;⻩酒</t>
  </si>
  <si>
    <t>北京臻乐网络科技有限公司</t>
  </si>
  <si>
    <t>皈丽</t>
  </si>
  <si>
    <t>葡萄酒;酒精饮料（啤酒除外）;⽶酒;清酒（⽇本⽶酒）;利⼝酒;⽩酒;果酒（含酒精）;⽩兰地;⻩酒;威⼠忌</t>
  </si>
  <si>
    <t>上海金易久大品牌管理有限公司</t>
  </si>
  <si>
    <t>黄龙越</t>
  </si>
  <si>
    <t>⻩酒;混合威⼠忌酒;蒸馏饮料;葡萄酒;烈酒（饮料）;果酒（含酒精）;餐后酒（利⼝酒和烈酒）;酒精饮料（啤酒除外）;含⽔果酒精饮料;⾷⽤酒精</t>
  </si>
  <si>
    <t>山西宇文老酒酒业有限公司</t>
  </si>
  <si>
    <t>愣猫</t>
  </si>
  <si>
    <t>鸡尾酒;蒸馏饮料;威⼠忌;果酒（含酒精）;⽩酒;⻩酒;葡萄酒;⽶酒;烧酒;⽩兰地</t>
  </si>
  <si>
    <t>康派缇（厦门）进出口贸易有限公司</t>
  </si>
  <si>
    <t>花珀</t>
  </si>
  <si>
    <t>⽩酒;酒精饮料浓缩汁;烈酒;⽩兰地;果酒（含酒精）;清酒（⽇本⽶酒）;朗姆酒;含⽔果酒精饮料;葡萄酒;利⼝酒</t>
  </si>
  <si>
    <t>贵州金质古酒酒业有限公司</t>
  </si>
  <si>
    <t>银质古</t>
  </si>
  <si>
    <t>开胃酒;⽩酒;⻩酒;⾷⽤酒精;葡萄酒;鸡尾酒;⽩⼲酒（中国⽩酒）;果酒（含酒精）;烧酒;⾼粱酒</t>
  </si>
  <si>
    <t>王宇煊</t>
  </si>
  <si>
    <t>丛中笑</t>
  </si>
  <si>
    <t>白兰地;白酒;威士忌;烈酒（饮料）;果酒（含酒精）;烧酒;米酒;鸡尾酒;开胃酒;食用酒精</t>
  </si>
  <si>
    <t>醉沙丰塍</t>
  </si>
  <si>
    <t>酒精饮料原汁;含水果酒精饮料;葡萄酒;酒精饮料（啤酒除外）;黄酒;鸡尾酒;米酒;烧酒;威士忌;果酒（含酒精）</t>
  </si>
  <si>
    <t>易县宏盛源商贸有限公司</t>
  </si>
  <si>
    <t>易水之州</t>
  </si>
  <si>
    <t>⽩兰地;⽩酒;清酒（⽇本⽶酒）;酒精饮料（啤酒除外）;果酒;⻩酒;烧酒;⻘稞酒;烈酒（饮料）;⽶酒</t>
  </si>
  <si>
    <t>付东</t>
  </si>
  <si>
    <t>寂小寞</t>
  </si>
  <si>
    <t>黄酒;白酒;葡萄酒;酒精饮料（啤酒除外）;高粱酒;烧酒;米酒;食用酒精;果酒;青稞酒</t>
  </si>
  <si>
    <t>山东百脉泉酒业股份有限公司</t>
  </si>
  <si>
    <t>清照宋词</t>
  </si>
  <si>
    <t>白酒;蜂蜜酒;果酒（含酒精）;葡萄酒;开胃酒;酒精饮料（啤酒除外）;黄酒;苹果酒;汽酒;酸酒（低等葡萄酒）</t>
  </si>
  <si>
    <t>海南云升行贸易有限公司</t>
  </si>
  <si>
    <t>高闲</t>
  </si>
  <si>
    <t>果酒;烧酒;酒精饮料浓缩汁;甜酒;威⼠忌;含酒精的⽔果鸡尾酒饮料;酒精饮料原汁;含酒精的饮料（啤酒除外）;⽩酒;⽶酒</t>
  </si>
  <si>
    <t>陈杰</t>
  </si>
  <si>
    <t>盅君子</t>
  </si>
  <si>
    <t>威⼠忌;果酒（含酒精）;清酒（⽇本⽶酒）;⽩酒;葡萄酒;烈酒;开胃酒;酒精饮料（啤酒除外）;鸡尾酒;⻩酒</t>
  </si>
  <si>
    <t>杭州富阳泗州酒坊</t>
  </si>
  <si>
    <t>秦望沁</t>
  </si>
  <si>
    <t>清酒;⽩酒;⽶酒;烧酒（烈酒）;蒸馏饮料;葡萄酒;果酒;含酒精的饮料（啤酒除外）;⻩酒;⾷⽤酒精</t>
  </si>
  <si>
    <t>资阳市雁江区丰裕趣放飞商贸部（个体工商户）</t>
  </si>
  <si>
    <t>沙拉西</t>
  </si>
  <si>
    <t>葡萄酒;⽶酒;烈酒（饮料）;⽩酒;酒精饮料（啤酒除外）;利⼝酒;开胃酒;果酒（含酒精）;鸡尾酒;烧酒</t>
  </si>
  <si>
    <t>中瑞三焱（北京）科技发展有限公司</t>
  </si>
  <si>
    <t>御坑</t>
  </si>
  <si>
    <t>烧酒;葡萄酒;烈酒（饮料）;酒精饮料（啤酒除外）;⽶酒;⻩酒;⽩酒;⾷⽤酒精;酒精饮料浓缩汁;果酒（含酒精）</t>
  </si>
  <si>
    <t>御酭</t>
  </si>
  <si>
    <t>葡萄酒;烈酒（饮料）;酒精饮料（啤酒除外）;果酒（含酒精）;⽶酒;⻩酒;⽩酒;⾷⽤酒精;酒精饮料浓缩汁;烧酒</t>
  </si>
  <si>
    <t>慧智国际有限公司</t>
  </si>
  <si>
    <t>DAGGAGE 达恭吉</t>
  </si>
  <si>
    <t>威⼠忌;酒精饮料（啤酒除外）;含⽔果酒精饮料;伏特加酒;⽶酒;朗姆酒;⾷⽤酒精;⽩兰地;葡萄酒;⽩酒</t>
  </si>
  <si>
    <t>张潘</t>
  </si>
  <si>
    <t>街特十八</t>
  </si>
  <si>
    <t>⽩兰地;葡萄酒;果酒;伏特加酒;烈酒;已调味的蒸馏酒;威⼠忌;朗姆酒;鸡尾酒;烧酒</t>
  </si>
  <si>
    <t>李春领</t>
  </si>
  <si>
    <t>歪瑞嗨皮 VERY HAPPY</t>
  </si>
  <si>
    <t>果酒（含酒精）;鸡尾酒;⻘稞酒;烧酒;⽩酒;葡萄酒;⻩酒;⽶酒;开胃酒;酒精饮料（啤酒除外）</t>
  </si>
  <si>
    <t>赵莎</t>
  </si>
  <si>
    <t>福贰拾</t>
  </si>
  <si>
    <t>苹果酒;利⼝酒;樱桃酒;烧酒;⽩酒;鸡尾酒;葡萄酒;⽶酒;酒精饮料原汁;果酒（含酒精）</t>
  </si>
  <si>
    <t>宁波市镇海维梦思贸易有限公司</t>
  </si>
  <si>
    <t>饱伴</t>
  </si>
  <si>
    <t>果酒（含酒精）;含酒精的饮料（啤酒除外）;果酒;⽼酒（中国蒸馏烈酒）;烧酒（烈酒）;葡萄酒;⽶酒;清酒;⽩酒;蒸馏饮料;⻩酒;⾷⽤酒精;烈酒（饮料）;⽩⼲酒（中国⽩酒）;已调味的蒸馏酒;由⾕物蒸馏的⽩酒;汽酒;烧酒;甜酒;威⼠忌</t>
  </si>
  <si>
    <t>周口格领商贸有限公司</t>
  </si>
  <si>
    <t>致途</t>
  </si>
  <si>
    <t>⽶酒;果酒（含酒精）;鸡尾酒;苹果酒;⾷⽤酒精;含⽔果酒精饮料;开胃酒;⽩酒;葡萄酒;酒精饮料（啤酒除外）</t>
  </si>
  <si>
    <t>谭竞霄</t>
  </si>
  <si>
    <t>儒基</t>
  </si>
  <si>
    <t>⻩酒;茴⾹酒;⽶酒;烈酒;清酒（⽇本⽶酒）;葡萄酒;果酒（含酒精）;鸡尾酒;⽩酒;威⼠忌</t>
  </si>
  <si>
    <t>儒贵人</t>
  </si>
  <si>
    <t>⻩酒;⽶酒;清酒（⽇本⽶酒）;果酒（含酒精）;烈酒;威⼠忌;鸡尾酒;葡萄酒;茴⾹酒;⽩酒</t>
  </si>
  <si>
    <t>广西罗城金秋农业有限公司</t>
  </si>
  <si>
    <t>善乡红</t>
  </si>
  <si>
    <t>⻩酒;⽩酒;果酒（含酒精）;酒精饮料原汁;开胃酒;含酒精⽔果饮料;利⼝酒;预先混合的酒精饮料（以啤酒为主的除外）;葡萄酒;⽶酒</t>
  </si>
  <si>
    <t>广东仙津保健饮料食品有限公司</t>
  </si>
  <si>
    <t>生命之手</t>
  </si>
  <si>
    <t>果酒（含酒精）;酒精饮料（啤酒除外）;预先混合的酒精饮料（以啤酒为主的除外）;含⽔果酒精饮料;烈酒（饮料）;开胃酒;鸡尾酒;利⼝酒;酒精饮料原汁;餐后酒（利⼝酒和烈酒）</t>
  </si>
  <si>
    <t>四川策朗数字科技有限公司</t>
  </si>
  <si>
    <t>芮希甄选</t>
  </si>
  <si>
    <t>⽩酒;⽶酒;果酒（含酒精）;⻩酒;鸡尾酒;葡萄酒;以葡萄酒为主的饮料;伏特加酒;餐后酒（利⼝酒和烈酒）;烧酒</t>
  </si>
  <si>
    <t>田超</t>
  </si>
  <si>
    <t>洞庭杨林寨</t>
  </si>
  <si>
    <t>⽩酒;⻩酒;鸡尾酒;葡萄酒;烈酒（饮料）;含酒精的饮料（啤酒除外）;甜酒;烧酒;威⼠忌;⽶酒</t>
  </si>
  <si>
    <t>河南禾千子食品有限公司</t>
  </si>
  <si>
    <t>珍集佰草</t>
  </si>
  <si>
    <t>蒸馏饮料;苹果酒;果酒（含酒精）;开胃酒;利⼝酒;梨酒;酒精饮料原汁;⻩酒;烧酒;⽩酒</t>
  </si>
  <si>
    <t>歌逸（上海）国际贸易有限公司</t>
  </si>
  <si>
    <t>歌逸国际</t>
  </si>
  <si>
    <t>酒精饮料原汁;⽩兰地;酒精饮料（啤酒除外）;含⽔果酒精饮料;葡萄酒;威⼠忌;烈酒（饮料）;果酒（含酒精）;蒸馏饮料;预先混合的酒精饮料（以啤酒为主的除外）</t>
  </si>
  <si>
    <t>许智勇</t>
  </si>
  <si>
    <t>宾福</t>
  </si>
  <si>
    <t>果酒（含酒精）;清酒;酒精饮料（啤酒除外）;⻩酒;⽩酒;⽶酒;鸡尾酒;威⼠忌;烧酒;葡萄酒</t>
  </si>
  <si>
    <t>源开 3451</t>
  </si>
  <si>
    <t>果酒（含酒精）;含⽔果酒精饮料;以葡萄酒为主的饮料;葡萄酒;烧酒;威⼠忌;汽酒;⽩酒;⽶酒;烈酒（饮料）</t>
  </si>
  <si>
    <t>秦皇岛琳海生态农业有限公司</t>
  </si>
  <si>
    <t>关予樱桃</t>
  </si>
  <si>
    <t>樱桃酒;甜酒;除啤酒外的酒精饮料;樱桃⽩兰地;⽩酒;酒精饮料浓缩汁;含⽔果酒精饮料;⽩葡萄酒;鸡尾酒;果酒</t>
  </si>
  <si>
    <t>宜宾子均邓公液酒业有限公司</t>
  </si>
  <si>
    <t>邓珑光</t>
  </si>
  <si>
    <t>蒸馏饮料;开胃酒;酒精饮料原汁;酒精饮料（啤酒除外）;蜂蜜酒;⽩酒;烧酒;烈酒;果酒（含酒精）;⽶酒</t>
  </si>
  <si>
    <t>蒋奇娟232324********4860</t>
  </si>
  <si>
    <t>笑一生白酒</t>
  </si>
  <si>
    <t>威⼠忌;⽶酒;⽩酒;果酒（含酒精）;烧酒;伏特加酒;烈酒（饮料）;⽩兰地;鸡尾酒;葡萄酒</t>
  </si>
  <si>
    <t>陈寿能</t>
  </si>
  <si>
    <t>普仙</t>
  </si>
  <si>
    <t>烧酒;开胃酒;葡萄酒;酒精饮料（啤酒除外）;⽩兰地;⽩酒;清酒;⻩酒;果酒;⽶酒</t>
  </si>
  <si>
    <t>北京隆兴号方庄酒厂有限公司</t>
  </si>
  <si>
    <t>南裕烧高粱酒</t>
  </si>
  <si>
    <t>⽩酒;⾼粱酒</t>
  </si>
  <si>
    <t>上海涔云公共租赁住房运营有限公司</t>
  </si>
  <si>
    <t>泖田酿</t>
  </si>
  <si>
    <t>⽶酒;⽩酒;⻩酒</t>
  </si>
  <si>
    <t>秦皇岛市广联商贸有限公司</t>
  </si>
  <si>
    <t>海浪花</t>
  </si>
  <si>
    <t>⽩兰地;⽶酒;酒精饮料（啤酒除外）;烧酒;葡萄酒;蒸煮提取物（利⼝酒和烈酒）;⻩酒;由⾕物蒸馏的⽩酒;果酒（含酒精）;⽩酒</t>
  </si>
  <si>
    <t>范鹏辉</t>
  </si>
  <si>
    <t>初暑</t>
  </si>
  <si>
    <t>烈酒（饮料）;清酒（⽇本⽶酒）;⽶酒;酒精饮料（啤酒除外）;果酒（含酒精）;⽩酒;开胃酒;葡萄酒;威⼠忌;⻩酒</t>
  </si>
  <si>
    <t>上海酉米酒业有限公司</t>
  </si>
  <si>
    <t>1号美露</t>
  </si>
  <si>
    <t>威⼠忌;烈酒（饮料）;葡萄酒;朗姆酒;⽩兰地;⽩酒;⾷⽤酒精;伏特加酒;果酒（含酒精）;⻩酒</t>
  </si>
  <si>
    <t>长沙市花喵喵科技有限公司</t>
  </si>
  <si>
    <t>浮岸</t>
  </si>
  <si>
    <t>餐后酒（利⼝酒和烈酒）;以葡萄酒为主的饮料;开胃酒;苹果酒;葡萄酒;薄荷酒;果酒（含酒精）;预先混合的酒精饮料（以啤酒为主的除外）;⾕物制蒸馏酒精饮料;⽶酒</t>
  </si>
  <si>
    <t>上海张园建设投资有限公司</t>
  </si>
  <si>
    <t>丰盛里</t>
  </si>
  <si>
    <t>⽶酒;酒精饮料（啤酒除外）;威⼠忌;烧酒;清酒（⽇本⽶酒）;⻘稞酒;⾷⽤酒精;⽩酒;葡萄酒;汽酒</t>
  </si>
  <si>
    <t>烟台高升酒业有限公司</t>
  </si>
  <si>
    <t>雾苏冰白</t>
  </si>
  <si>
    <t>⽩兰地;⻩酒;酒精饮料（啤酒除外）;果酒（含酒精）;⽩酒;葡萄酒;威⼠忌;利⼝酒;伏特加酒;含⽔果酒精饮料</t>
  </si>
  <si>
    <t>舍得酒业股份有限公司</t>
  </si>
  <si>
    <t>舍得五行</t>
  </si>
  <si>
    <t>果酒（含酒精）;⾷⽤酒精;酒精饮料（啤酒除外）;酒精饮料原汁;烧酒;开胃酒;蒸煮提取物（利⼝酒和烈酒）;⽩酒;葡萄酒;利⼝酒</t>
  </si>
  <si>
    <t>安比可思国际商贸（上海）有限公司</t>
  </si>
  <si>
    <t>安比可思</t>
  </si>
  <si>
    <t>鸡尾酒;利⼝酒;杜松⼦酒;葡萄酒;朗姆酒;威⼠忌;酒精饮料（啤酒除外）;伏特加酒;果酒（含酒精）;⽩兰地</t>
  </si>
  <si>
    <t>四川鸿鑫隆供应链管理有限责任公司</t>
  </si>
  <si>
    <t>美年华</t>
  </si>
  <si>
    <t>果酒（含酒精）;葡萄酒;⽩酒;⾼粱酒;酒精饮料（啤酒除外）;⻘稞酒;⻩酒;⽩兰地;烧酒;威⼠忌</t>
  </si>
  <si>
    <t>海南粤之星国际贸易有限公司</t>
  </si>
  <si>
    <t>健俊洒</t>
  </si>
  <si>
    <t>汽酒;朗姆酒;⽶酒;葡萄酒;⽩酒;鸡尾酒;含⽔果酒精饮料;烧酒;果酒（含酒精）;开胃酒</t>
  </si>
  <si>
    <t>贵州郑记茅酒酒业有限公司</t>
  </si>
  <si>
    <t>郑祖</t>
  </si>
  <si>
    <t>果酒（含酒精）;⽼酒（中国蒸馏烈酒）;葡萄酒;⻩酒;蒸馏饮料;⽩酒;酒精饮料（啤酒除外）;烧酒;鸡尾酒;汽酒</t>
  </si>
  <si>
    <t>山东中艺九通文化发展有限公司</t>
  </si>
  <si>
    <t>中九造&amp;化人心</t>
  </si>
  <si>
    <t>果酒（含酒精）;⽶酒;烧酒;⾷⽤酒精;⽩酒;威⼠忌;鸡尾酒;酒精饮料（啤酒除外）;⾕物制蒸馏酒精饮料;葡萄酒</t>
  </si>
  <si>
    <t>洋河玫花</t>
  </si>
  <si>
    <t>果酒（含酒精）;烈酒（饮料）;⾷⽤酒精;预先混合的酒精饮料（以啤酒为主的除外）;烧酒;⽩酒;葡萄酒;蒸煮提取物（利⼝酒和烈酒）;利⼝酒;酒精饮料（啤酒除外）</t>
  </si>
  <si>
    <t>陈胜庭</t>
  </si>
  <si>
    <t>香泉巴</t>
  </si>
  <si>
    <t>⽩酒;利⼝酒;⻩酒;⽶酒;⻘稞酒;开胃酒;烧酒;葡萄酒;含酒精⽔果饮料;⽩兰地</t>
  </si>
  <si>
    <t>韩金朋</t>
  </si>
  <si>
    <t>有雅园</t>
  </si>
  <si>
    <t>⽩酒;⻩酒</t>
  </si>
  <si>
    <t>拓延忠</t>
  </si>
  <si>
    <t>HAO DIAN NI</t>
  </si>
  <si>
    <t>汽酒;甜酒;⻩酒;鸡尾酒;含⽔果酒精饮料;果酒（含酒精）;⽶酒;葡萄酒;⽩酒;含酒精的⽔果鸡尾酒饮料</t>
  </si>
  <si>
    <t>深圳市国茅酒窖有限公司</t>
  </si>
  <si>
    <t>三云山人</t>
  </si>
  <si>
    <t>⽶酒;鸡尾酒;含⽔果酒精饮料;果酒（含酒精）;酒精饮料（啤酒除外）;开胃酒;酒精饮料原汁;⽩酒;⻩酒;烈酒（饮料）</t>
  </si>
  <si>
    <t>香格里拉市藏鲜商贸有限公司</t>
  </si>
  <si>
    <t>藏鲜扎西</t>
  </si>
  <si>
    <t>苦荞酒;⽼酒（中国蒸馏烈酒）;⻘稞酒;⽶酒;清酒;露酒;烧酒;杜松⼦酒;威末酒;红葡萄酒</t>
  </si>
  <si>
    <t>北京君冠祝成国际贸易有限公司</t>
  </si>
  <si>
    <t>京肆伍</t>
  </si>
  <si>
    <t>烈酒（饮料）;⽶酒;清酒（⽇本⽶酒）;烧酒;鸡尾酒;⽩酒;含⽔果酒精饮料;朗姆酒;⽩兰地;威⼠忌</t>
  </si>
  <si>
    <t>国勤资本有限公司</t>
  </si>
  <si>
    <t>SKY SABRE</t>
  </si>
  <si>
    <t>⻩酒;威⼠忌;葡萄酒;烈酒（饮料）;开胃酒;果酒;⽩酒;烧酒;露酒;⽶酒</t>
  </si>
  <si>
    <t>刘文杰</t>
  </si>
  <si>
    <t>广姥姥</t>
  </si>
  <si>
    <t>烧酒;酒精饮料原汁;⻩酒;⽩酒;甜酒;果酒;清酒;⽶酒;葡萄酒;⾷⽤酒精</t>
  </si>
  <si>
    <t>罗思柏丽葡萄酒私人有限公司</t>
  </si>
  <si>
    <t>LIVING LABELS DOWNLOAD SCAN EXPERIENCE</t>
  </si>
  <si>
    <t>烈酒（饮料）;餐后酒（利⼝酒和烈酒）;加烈葡萄酒;⽩兰地;起泡红葡萄酒;葡萄酒;⽩酒;葡萄汽酒;酒精饮料（啤酒除外）;起泡⽩葡萄酒</t>
  </si>
  <si>
    <t>湖北自然兼香酒业有限责任公司</t>
  </si>
  <si>
    <t>楼膳楼</t>
  </si>
  <si>
    <t>果酒（含酒精）;含酒精的⽓泡⽔;⻩酒;⽩酒;以葡萄酒为主的饮料;烧酒;酒精饮料（啤酒除外）;含⽔果酒精饮料;预先混合的酒精饮料（以啤酒为主的除外）;酒精饮料原汁</t>
  </si>
  <si>
    <t>贵州润亿新能源科技有限公司</t>
  </si>
  <si>
    <t>润懿氿</t>
  </si>
  <si>
    <t>果酒（含酒精）;烈酒（饮料）;酒精饮料（啤酒除外）;蒸馏饮料;葡萄酒;烧酒;鸡尾酒;⽶酒;⽩酒;威⼠忌</t>
  </si>
  <si>
    <t>旌德县参意鑫杂货店</t>
  </si>
  <si>
    <t>利⼝酒;⾕物制蒸馏酒精饮料;⽩酒;开胃酒;⻘稞酒;⻩酒;烈酒（饮料）;葡萄酒;烧酒;茴⾹酒（利⼝酒）</t>
  </si>
  <si>
    <t>霸小白</t>
  </si>
  <si>
    <t>⻩酒;威⼠忌;酒精饮料（啤酒除外）;葡萄酒;烈酒;⽩酒;鸡尾酒;开胃酒;清酒（⽇本⽶酒）;果酒（含酒精）</t>
  </si>
  <si>
    <t>六盘水星河烧锅酒业有限公司</t>
  </si>
  <si>
    <t>听会宫</t>
  </si>
  <si>
    <t>苦味酒;露酒;⽶酒;烧酒;⾼粱酒;果酒;苦荞酒;⽼酒（中国蒸馏烈酒）;⽩⼲酒（中国⽩酒）;⽩酒</t>
  </si>
  <si>
    <t>上海富优乾进出口贸易有限公司</t>
  </si>
  <si>
    <t>BINLAYFOLD</t>
  </si>
  <si>
    <t>烧酒;⻩酒;烈酒（饮料）;果酒（含酒精）;酒精饮料（啤酒除外）;以葡萄酒为主的开胃酒;⽩酒;⽶酒;葡萄酒;鸡尾酒</t>
  </si>
  <si>
    <t>郭清才</t>
  </si>
  <si>
    <t>蒋郭黄酒</t>
  </si>
  <si>
    <t>⻩酒</t>
  </si>
  <si>
    <t>开封天来商贸有限公司</t>
  </si>
  <si>
    <t>汴龙泉</t>
  </si>
  <si>
    <t>果酒（含酒精）;葡萄酒;烈酒（饮料）;⻩酒;甜果酒;⽩酒;⽩葡萄酒;⻘稞酒;朗姆酒（酒精饮料）;鸡尾酒</t>
  </si>
  <si>
    <t>润懿朤朤氿</t>
  </si>
  <si>
    <t>果酒（含酒精）;葡萄酒;蒸馏饮料;酒精饮料（啤酒除外）;烈酒（饮料）;烧酒;鸡尾酒;威⼠忌;⽩酒;⽶酒</t>
  </si>
  <si>
    <t>肇庆市乐图诗国际贸易有限公司</t>
  </si>
  <si>
    <t>EHO KING</t>
  </si>
  <si>
    <t>威⼠忌;酒精饮料（啤酒除外）;鸡尾酒;⽩兰地;⽶酒;利⼝酒;烧酒;葡萄酒;开胃酒;⽩酒</t>
  </si>
  <si>
    <t>肖彦姣</t>
  </si>
  <si>
    <t>啵啵姬</t>
  </si>
  <si>
    <t>清酒;烧酒;⾼粱酒;⽶酒;酒精饮料（啤酒除外）;⽩酒;⻩酒;红葡萄酒;果酒;汽酒</t>
  </si>
  <si>
    <t>格乌兹精品葡萄酒（深圳）有限公司</t>
  </si>
  <si>
    <t>GWZFINEWINE</t>
  </si>
  <si>
    <t>江西众成农业发展有限公司</t>
  </si>
  <si>
    <t>美猪猪</t>
  </si>
  <si>
    <t>果酒（含酒精）;蒸馏饮料;烈酒（饮料）;酒精饮料（啤酒除外）;葡萄酒;鸡尾酒;威⼠忌;⽩酒;⽶酒;烧酒</t>
  </si>
  <si>
    <t>POSITIVE HAPPINESS</t>
  </si>
  <si>
    <t>⽶酒;⻩酒;⽩酒;葡萄酒;烧酒;果酒（含酒精）;鸡尾酒;烈酒</t>
  </si>
  <si>
    <t>正幸福</t>
  </si>
  <si>
    <t>烧酒;汽酒;⽩酒;果酒（含酒精）;烈酒;⽶酒;⻩酒;清酒;苹果酒;鸡尾酒</t>
  </si>
  <si>
    <t>金克胜522123********0018</t>
  </si>
  <si>
    <t>弘氿瑶</t>
  </si>
  <si>
    <t>烧酒;果酒;⽶酒;烈酒;⽩酒;酒精饮料（啤酒除外）;预先混合的酒精饮料（以啤酒为主的除外）;葡萄酒;威⼠忌;开胃酒</t>
  </si>
  <si>
    <t>江苏海州湾酒业集团股份有限公司</t>
  </si>
  <si>
    <t>汤优</t>
  </si>
  <si>
    <t>⽶酒;酒精饮料原汁;果酒（含酒精）;⽩酒;烧酒;蜂蜜酒;烈酒（饮料）;含⽔果酒精饮料;⻩酒;葡萄酒</t>
  </si>
  <si>
    <t>莫松华</t>
  </si>
  <si>
    <t>茗好</t>
  </si>
  <si>
    <t>⾼粱酒;烈酒（饮料）;甜果酒;红葡萄酒;酒精饮料浓缩汁;含⽔果酒精饮料;⽩酒;⽩⼲酒（中国⽩酒）;葡萄酒;⽶酒</t>
  </si>
  <si>
    <t>固阳县金山镇昔连脑包村民委员会</t>
  </si>
  <si>
    <t>惜连脑包</t>
  </si>
  <si>
    <t>以葡萄酒为主的饮料;烧酒;烈酒;⾕物制蒸馏酒精饮料;⽩⼲酒（中国⽩酒）;开胃酒;⽶酒;⽩酒;天然汽酒;⼲型苹果酒</t>
  </si>
  <si>
    <t>卢全庆</t>
  </si>
  <si>
    <t>东房夕酿</t>
  </si>
  <si>
    <t>葡萄酒;开胃酒;伏特加酒;蜂蜜酒;⻩酒;⽩酒;果酒（含酒精）;⽩⼲酒（中国⽩酒）;⽶酒;烧酒</t>
  </si>
  <si>
    <t>陈林艳</t>
  </si>
  <si>
    <t>唐书宋弦</t>
  </si>
  <si>
    <t>葡萄酒;⻩酒;鸡尾酒;果酒（含酒精）;⽶酒;杨梅酒;露酒;烧酒;⽩酒;⻘梅酒</t>
  </si>
  <si>
    <t>伍俊松（V***（7））</t>
  </si>
  <si>
    <t>龙誉</t>
  </si>
  <si>
    <t>果酒（含酒精）;⽩酒;⽩兰地;葡萄酒;⾕物制蒸馏酒精饮料;⻘稞酒;含⽔果酒精饮料;清酒（⽇本⽶酒）;开胃酒;威⼠忌</t>
  </si>
  <si>
    <t>赵卫国</t>
  </si>
  <si>
    <t>宋赵皇族</t>
  </si>
  <si>
    <t>含⽔果酒精饮料;⻩酒;柑⾹酒;蒸馏饮料;葡萄酒;烈酒（饮料）;⽶酒;果酒（含酒精）;利⼝酒;酒精饮料（啤酒除外）</t>
  </si>
  <si>
    <t>广州五头羊贸易有限公司</t>
  </si>
  <si>
    <t>振功熊猫</t>
  </si>
  <si>
    <t>果酒（含酒精）;⽩酒;⽶酒;葡萄酒;鸡尾酒;酒精饮料（啤酒除外）;威⼠忌;⻩酒;⽩兰地;蜂蜜酒</t>
  </si>
  <si>
    <t>贵州恒坤酒业有限公司</t>
  </si>
  <si>
    <t>水月泉</t>
  </si>
  <si>
    <t>⾼粱酒;⻩酒;酒精饮料（啤酒除外）;果酒;烈酒;⽶酒;⽩酒;⽼酒（中国蒸馏烈酒）;烧酒;葡萄酒</t>
  </si>
  <si>
    <t>重庆牛鼎胜生态农业有限公司</t>
  </si>
  <si>
    <t>牛鼎胜</t>
  </si>
  <si>
    <t>果酒（含酒精）;葡萄酒;⻩酒;鸡尾酒;烧酒;⽶酒;⻘稞酒;酒精饮料（啤酒除外）;⽩酒;烈酒（饮料）</t>
  </si>
  <si>
    <t>郑桂芳</t>
  </si>
  <si>
    <t>雨婷约氿</t>
  </si>
  <si>
    <t>开胃酒;果酒;清酒;⽶酒;⽩酒;伏特加酒;烈酒;酒精饮料（啤酒除外）;酒精饮料浓缩汁;⻘稞酒</t>
  </si>
  <si>
    <t>焦慧芳</t>
  </si>
  <si>
    <t>序智</t>
  </si>
  <si>
    <t>⽼酒（中国蒸馏烈酒）;果酒（含酒精）;⻩酒;⽩酒;蒸煮提取物（利⼝酒和烈酒）;葡萄酒;酒精饮料（啤酒除外）;含酒精的⽓泡⽔;⾕物制蒸馏酒精饮料;⽩⼲酒（中国⽩酒）</t>
  </si>
  <si>
    <t>湖南陈庄酒业有限公司</t>
  </si>
  <si>
    <t>舜德陈庄</t>
  </si>
  <si>
    <t>鸡尾酒;开胃酒;葡萄酒;威⼠忌;⾼粱酒;⽩酒;果酒（含酒精）;⽩兰地;烧酒</t>
  </si>
  <si>
    <t>开胃酒;⻘稞酒;⾕物制蒸馏酒精饮料;含⽔果酒精饮料;威⼠忌;清酒（⽇本⽶酒）;⽩酒;⽩兰地;果酒（含酒精）;葡萄酒</t>
  </si>
  <si>
    <t>兰兰</t>
  </si>
  <si>
    <t>伊菲兰雅</t>
  </si>
  <si>
    <t>果酒（含酒精）;含⽔果酒精饮料;蒸馏饮料;⽩酒;烧酒;⻩酒;⽶酒;蜂蜜酒;汽酒;葡萄酒</t>
  </si>
  <si>
    <t>银陵酒业（衡水）有限公司</t>
  </si>
  <si>
    <t>银岭特酿</t>
  </si>
  <si>
    <t>⽶酒;酒精饮料（啤酒除外）;威⼠忌;⽩酒;蒸煮提取物（利⼝酒和烈酒）;⽩兰地;蒸馏饮料;葡萄酒;酒精饮料原汁;烈酒（饮料）</t>
  </si>
  <si>
    <t>水富青云发展有限公司</t>
  </si>
  <si>
    <t>SNP TOWN</t>
  </si>
  <si>
    <t>⽶酒;烧酒;清酒;开胃酒;⽩酒;烈酒（饮料）;⽼酒（中国蒸馏烈酒）;果酒;⻩酒;葡萄酒</t>
  </si>
  <si>
    <t>陈秋林</t>
  </si>
  <si>
    <t>柏翠德芙酒庄</t>
  </si>
  <si>
    <t>葡萄酒;烧酒;伏特加酒;威⼠忌;⽩酒;果酒（含酒精）;含⽔果酒精饮料;⽩兰地;鸡尾酒;利⼝酒</t>
  </si>
  <si>
    <t>贵州有一家品牌设计有限公司</t>
  </si>
  <si>
    <t>山的诚意</t>
  </si>
  <si>
    <t>威⼠忌;⽶酒;朗姆酒;甜果酒;葡萄酒;⻩酒;⽩酒;⽩兰地;⻘稞酒;清酒（⽇本⽶酒）</t>
  </si>
  <si>
    <t>中国华商集团控股有限公司</t>
  </si>
  <si>
    <t>北金央酎 北贵金酒 北金央</t>
  </si>
  <si>
    <t>⽶酒;烈酒;葡萄酒;烧酒;⻩酒;⽼酒（中国蒸馏烈酒）;清酒;酒精饮料（啤酒除外）;果酒;⽩酒</t>
  </si>
  <si>
    <t>立能（河南）供应链有限公司</t>
  </si>
  <si>
    <t>将水井</t>
  </si>
  <si>
    <t>⽶酒;⽩酒;果酒;鸡尾酒;⾼粱酒;酒精饮料（啤酒除外）;烧酒（烈酒）;露酒;烈酒（饮料）;葡萄酒</t>
  </si>
  <si>
    <t>语荣烧坊</t>
  </si>
  <si>
    <t>⾼粱酒;清酒;⽩酒;⽶酒;葡萄酒;⻘稞酒;烧酒;朗姆酒;果酒;⻩酒</t>
  </si>
  <si>
    <t>河南仰韶酒业有限公司</t>
  </si>
  <si>
    <t>仰韶韶光</t>
  </si>
  <si>
    <t>⽶酒;⾷⽤酒精;果酒（含酒精）;葡萄酒;⻩酒;酒精饮料（啤酒除外）;含⽔果酒精饮料;蒸馏饮料;⽩酒;酒精饮料原汁</t>
  </si>
  <si>
    <t>泸州云锦酒庄酒业有限公司</t>
  </si>
  <si>
    <t>潘东家</t>
  </si>
  <si>
    <t>开胃酒;朗姆酒;⽇本波布蛇酒;葡萄酒;⽩酒;桑格利亚汽酒;⾼粱酒;含酒精蛋奶酒;⽇本梅⼦酒;朝鲜烧酒</t>
  </si>
  <si>
    <t>白虎洞</t>
  </si>
  <si>
    <t>⾷⽤酒精;清酒（⽇本⽶酒）;⽩酒;⻘稞酒;⻩酒;果酒（含酒精）;烧酒;⽶酒;葡萄酒;含⽔果酒精饮料</t>
  </si>
  <si>
    <t>任启来</t>
  </si>
  <si>
    <t>果酒（含酒精）;⽩酒;由⾕物蒸馏的⽩酒;⽼酒（中国蒸馏烈酒）;甜果酒;⻩酒;五加⽪酒（中国混合烈酒）;葡萄酒;清酒;⽶酒</t>
  </si>
  <si>
    <t>葡萄酒;烈酒（饮料）;⽶酒;⽼酒（中国蒸馏烈酒）;开胃酒;⻩酒;⽩酒;清酒;果酒;烧酒</t>
  </si>
  <si>
    <t>吉安鑫亮粮油有限责任公司</t>
  </si>
  <si>
    <t>徐佰善</t>
  </si>
  <si>
    <t>威⼠忌;⽶酒;酒精饮料（啤酒除外）;葡萄酒;烧酒;果酒（含酒精）;鸡尾酒;含⽔果酒精饮料;⾕物制蒸馏酒精饮料;⾷⽤酒精</t>
  </si>
  <si>
    <t>郑浩斌</t>
  </si>
  <si>
    <t>伏士忌 FOSHG</t>
  </si>
  <si>
    <t>⻩酒;⽩酒;开胃酒;威⼠忌;酒精饮料（啤酒除外）;鸡尾酒;葡萄酒;果酒（含酒精）;清酒（⽇本⽶酒）;烈酒</t>
  </si>
  <si>
    <t>秦皇岛万村千镇投资有限公司</t>
  </si>
  <si>
    <t>壮业首阳山下</t>
  </si>
  <si>
    <t>烧酒;烈酒（饮料）;酒精饮料（啤酒除外）;⽢蔗制烈酒;⻩酒;果酒（含酒精）;⽶酒;鸡尾酒;葡萄酒;⽩酒</t>
  </si>
  <si>
    <t>洞酿大沙</t>
  </si>
  <si>
    <t>清酒;利⼝酒;⻩酒;果酒（含酒精）;⽩酒;⾕物制蒸馏酒精饮料;开胃酒;烈酒（饮料）;⽶酒;烧酒</t>
  </si>
  <si>
    <t>王康锦</t>
  </si>
  <si>
    <t>醉枕边</t>
  </si>
  <si>
    <t>酒精饮料原汁;果酒;烈酒;烧酒;预先混合的酒精饮料（以啤酒为主的除外）;⽶酒;含⽔果酒精饮料;⽩酒;⻩酒;⾷⽤酒精</t>
  </si>
  <si>
    <t>云锦朝来</t>
  </si>
  <si>
    <t>开胃酒;鸡尾酒;⽩酒;⻩酒;伏特加酒;果酒（含酒精）;烈酒;葡萄酒</t>
  </si>
  <si>
    <t>朱雀洞</t>
  </si>
  <si>
    <t>含⽔果酒精饮料;清酒（⽇本⽶酒）;⽩酒;⻩酒;⻘稞酒;⾷⽤酒精;⽶酒;烧酒;葡萄酒;果酒（含酒精）</t>
  </si>
  <si>
    <t>云南先施健康产业集团有限责任公司</t>
  </si>
  <si>
    <t>为君香</t>
  </si>
  <si>
    <t>⻩酒;葡萄酒;含酒精的鸡尾酒混合饮品;预先混合的酒精饮料（以啤酒为主的除外）;⽶酒;果酒（含酒精）;⽩酒;蒸煮提取物（利⼝酒和烈酒）;含⽔果酒精饮料;酒精饮料（啤酒除外）</t>
  </si>
  <si>
    <t>潘大师</t>
  </si>
  <si>
    <t>⻘稞酒;⻩酒;清酒（⽇本⽶酒）;含⽔果酒精饮料;⾷⽤酒精;⽩酒;葡萄酒;烧酒;⽶酒;果酒（含酒精）</t>
  </si>
  <si>
    <t>泸州市善义商贸有限公司</t>
  </si>
  <si>
    <t>说相</t>
  </si>
  <si>
    <t>福二十</t>
  </si>
  <si>
    <t>樱桃酒;苹果酒;葡萄酒;⽶酒;⽩酒;利⼝酒;酒精饮料原汁;果酒（含酒精）;烧酒;鸡尾酒</t>
  </si>
  <si>
    <t>上海翔剑实业有限公司</t>
  </si>
  <si>
    <t>陈剑雄 秋楼之家</t>
  </si>
  <si>
    <t>酸酒（低等葡萄酒）;杨梅酒;⽼酒（中国蒸馏烈酒）;五加⽪酒（中国混合烈酒）;起泡⽩葡萄酒;葡萄酒;⻩酒;⽶酒;红葡萄酒;⽩⼲酒（中国⽩酒）</t>
  </si>
  <si>
    <t>苏晓涛</t>
  </si>
  <si>
    <t>问勇</t>
  </si>
  <si>
    <t>果酒（含酒精）;烈酒（饮料）;⽶酒;烧酒;⻩酒;鸡尾酒;酒精饮料（啤酒除外）;开胃酒;葡萄酒;⽩酒</t>
  </si>
  <si>
    <t>重庆苏宇轩商贸有限公司</t>
  </si>
  <si>
    <t>小锅哥</t>
  </si>
  <si>
    <t>果酒（含酒精）;鸡尾酒;预先混合的酒精饮料（以啤酒为主的除外）;⽩酒;⽶酒;葡萄酒;酒精饮料原汁;含酒精的⽓泡⽔;酒精饮料（啤酒除外）;清酒（⽇本⽶酒）</t>
  </si>
  <si>
    <t>北京三快科技有限公司</t>
  </si>
  <si>
    <t>美团黑珍珠</t>
  </si>
  <si>
    <t>蒸馏饮料;⽩酒;威⼠忌;⽶酒;烈酒（饮料）;⽩兰地;果酒（含酒精）;葡萄酒;清酒（⽇本⽶酒）;鸡尾酒</t>
  </si>
  <si>
    <t>山稻田国际控股（深圳）有限公司</t>
  </si>
  <si>
    <t>魏小花</t>
  </si>
  <si>
    <t>鸡尾酒;葡萄酒;威⼠忌;烈酒（饮料）;烧酒;含⽔果酒精饮料;⽩酒;⽶酒;伏特加酒;⽩兰地</t>
  </si>
  <si>
    <t>宜宾翎翔科技有限公司</t>
  </si>
  <si>
    <t>翎翔酒业</t>
  </si>
  <si>
    <t>⽩酒;⽩葡萄酒;烧酒（烈酒）;⾼粱酒;红葡萄酒;⽩兰地;由⾕物蒸馏的⽩酒;烧酒;⻘梅酒;⻩酒</t>
  </si>
  <si>
    <t>苏州悦福祥商贸有限公司</t>
  </si>
  <si>
    <t>江南记忆</t>
  </si>
  <si>
    <t>⽩酒;葡萄酒;⻩酒;果酒;蒸馏饮料;五加⽪酒（中国混合烈酒）;⽼酒（中国蒸馏烈酒）;酒精饮料（啤酒除外）;烧酒;⽶酒</t>
  </si>
  <si>
    <t>贺州酿造梦境酒业有限公司</t>
  </si>
  <si>
    <t>BREW A DREAMLAND</t>
  </si>
  <si>
    <t>⽩酒;烈酒（饮料）;⽩兰地;威⼠忌;利⼝酒;清酒（⽇本⽶酒）;烈酒;葡萄酒;加烈葡萄酒</t>
  </si>
  <si>
    <t>葛贵英</t>
  </si>
  <si>
    <t>唐公府</t>
  </si>
  <si>
    <t>清酒（⽇本⽶酒）;⻩酒;⽶酒;果酒（含酒精）;⽩酒;威⼠忌;汽酒;烈酒（饮料）;酒精饮料（啤酒除外）;葡萄酒</t>
  </si>
  <si>
    <t>上海文圆质方科技有限公司</t>
  </si>
  <si>
    <t>乃仔</t>
  </si>
  <si>
    <t>⾷⽤酒精;⽩酒;葡萄酒;烧酒;⻩酒;⽢蔗制烈酒;果酒（含酒精）;蜂蜜酒;⽶酒;⾼粱酒</t>
  </si>
  <si>
    <t>上海垦道实业有限公司</t>
  </si>
  <si>
    <t>垦道健康</t>
  </si>
  <si>
    <t>烈酒（饮料）;⽩酒;烧酒;酒精饮料（啤酒除外）;⽶酒;果酒（含酒精）;鸡尾酒;葡萄酒;含⽔果酒精饮料;预先混合的酒精饮料（以啤酒为主的除外）</t>
  </si>
  <si>
    <t>刘兵</t>
  </si>
  <si>
    <t>锦百缘</t>
  </si>
  <si>
    <t>烈酒;已调味的蒸馏酒;果酒（含酒精）;⽩兰地;⽩酒;⾼粱酒;⽶酒;⽩⼲酒（中国⽩酒）;烧酒（烈酒）;清酒</t>
  </si>
  <si>
    <t>九九酒类连锁有限公司</t>
  </si>
  <si>
    <t>臻和容</t>
  </si>
  <si>
    <t>烧酒;清酒（⽇本⽶酒）;⽩酒;威⼠忌;⻩酒;葡萄酒;酒精饮料（啤酒除外）;⽩兰地;⽶酒;果酒（含酒精）</t>
  </si>
  <si>
    <t>王家成</t>
  </si>
  <si>
    <t>云集杰</t>
  </si>
  <si>
    <t>葡萄酒;⽩酒;薄荷酒;⽶酒;清酒;果酒（含酒精）</t>
  </si>
  <si>
    <t>苏州甪瑞酒业有限公司</t>
  </si>
  <si>
    <t>甪直有礼</t>
  </si>
  <si>
    <t>⽩酒;⻩酒;烈酒（饮料）;烧酒;汽酒;⽶酒;酒精饮料（啤酒除外）;葡萄酒;果酒（含酒精）;鸡尾酒</t>
  </si>
  <si>
    <t>中奥渔樵（北京）体育文化有限公司</t>
  </si>
  <si>
    <t>中奥秒音</t>
  </si>
  <si>
    <t>⽩酒;葡萄酒;汽酒;烧酒;鸡尾酒;⽶酒;含⽔果酒精饮料;酒精饮料（啤酒除外）;果酒（含酒精）;蒸馏饮料</t>
  </si>
  <si>
    <t>冯团静</t>
  </si>
  <si>
    <t>滇之毕朗</t>
  </si>
  <si>
    <t>葡萄酒;汽酒;清酒;烧酒;⻘稞酒;烈酒;果酒;⽶酒;⽩酒;⻩酒</t>
  </si>
  <si>
    <t>西安长味坊农业科技有限公司</t>
  </si>
  <si>
    <t>陈九未</t>
  </si>
  <si>
    <t>⽶酒;佐餐酒;含酒精的⽓泡⽔;葡萄酒;⽩酒;除啤酒外的酒精饮料;⻩酒;果酒;清酒;甜酒</t>
  </si>
  <si>
    <t>郑州味鲜农业科技有限公司</t>
  </si>
  <si>
    <t>爆栗熊</t>
  </si>
  <si>
    <t>果酒（含酒精）;葡萄酒;酒精饮料原汁;酒精饮料（啤酒除外）;⽩酒;⻩酒;酒精饮料浓缩汁;含⽔果酒精饮料;蒸馏饮料;⽶酒</t>
  </si>
  <si>
    <t>陈杰雄</t>
  </si>
  <si>
    <t>至樽美</t>
  </si>
  <si>
    <t>⽩酒;烧酒;烈酒（饮料）;酒精饮料（啤酒除外）;鸡尾酒;果酒（含酒精）;清酒;⻩酒;⽶酒;葡萄酒</t>
  </si>
  <si>
    <t>顾建</t>
  </si>
  <si>
    <t>粗工</t>
  </si>
  <si>
    <t>烈酒（饮料）;酒精饮料（啤酒除外）;⻩酒;⽩酒;果酒;⽶酒;蒸馏饮料;甜酒;酒精饮料原汁;烧酒</t>
  </si>
  <si>
    <t>德州荣安广告装饰工程有限公司</t>
  </si>
  <si>
    <t>沿河廿坊</t>
  </si>
  <si>
    <t>果酒（含酒精）;威⼠忌;鸡尾酒;酒精饮料（啤酒除外）;⻩酒;⽩酒;葡萄酒;烈酒（饮料）;⽶酒;烧酒</t>
  </si>
  <si>
    <t>套马公主</t>
  </si>
  <si>
    <t>开胃酒;已调味的蒸馏酒;果酒;烈酒;⾷⽤酒精;⽩酒;除啤酒外的酒精饮料;酒精饮料原汁;⾼粱酒;烧酒</t>
  </si>
  <si>
    <t>绵阳市千家循环农业科技有限责任公司</t>
  </si>
  <si>
    <t>开胃酒;果酒（含酒精）;⽶酒;⽩酒;烧酒;⻩酒;甜酒;烈酒;蒸煮提取物（利⼝酒和烈酒）;清酒（⽇本⽶酒）</t>
  </si>
  <si>
    <t>罗君川</t>
  </si>
  <si>
    <t>猫场</t>
  </si>
  <si>
    <t>⽩酒;⽶酒;烈酒;烧酒（烈酒）;⽩⼲酒（中国⽩酒）;果酒;⽼酒（中国蒸馏烈酒）;⾼粱酒;蒸馏⽶酒（泡盛酒）;含酒精的饮料（啤酒除外）</t>
  </si>
  <si>
    <t>宁帅营</t>
  </si>
  <si>
    <t>酣适 九号酒库</t>
  </si>
  <si>
    <t>含⽔果酒精饮料;⻩酒;烧酒;烈酒（饮料）;⽼酒（中国蒸馏烈酒）;鸡尾酒;酒精饮料（啤酒除外）;葡萄酒;⽩酒;果酒（含酒精）</t>
  </si>
  <si>
    <t>北京五洲星辉贸易有限公司</t>
  </si>
  <si>
    <t>贺福星</t>
  </si>
  <si>
    <t>葡萄酒;威⼠忌;烧酒;清酒;酒精饮料（啤酒除外）;⾼粱酒;⽩兰地;朗姆酒;伏特加酒;⻘稞酒;⻩酒;⽩酒</t>
  </si>
  <si>
    <t>恩德实业(深圳)集团有限公司</t>
  </si>
  <si>
    <t>敬贵人</t>
  </si>
  <si>
    <t>⽼酒（中国蒸馏烈酒）;蒸煮提取物（利⼝酒和烈酒）;开胃酒;酒精饮料（啤酒除外）;烧酒;⽶酒;烈酒;红葡萄酒;鸡尾酒;⽩酒</t>
  </si>
  <si>
    <t>喜果文化（大连）有限公司</t>
  </si>
  <si>
    <t>甲库造物</t>
  </si>
  <si>
    <t>果酒（含酒精）;⽶酒;⻩酒;⾼粱酒;⻨芽威⼠忌;威⼠忌;甜果酒;⽩酒;露酒;葡萄酒</t>
  </si>
  <si>
    <t>李传增</t>
  </si>
  <si>
    <t>汉档</t>
  </si>
  <si>
    <t>葡萄酒;烈酒;⻩酒;清酒;⾷⽤酒精;烧酒;⽩酒;果酒;⽶酒;鸡尾酒</t>
  </si>
  <si>
    <t>东莞市莞聚黔庄管理有限公司</t>
  </si>
  <si>
    <t>莞聚黔庄</t>
  </si>
  <si>
    <t>蒸煮提取物（利⼝酒和烈酒）;薄荷酒;酒精饮料（啤酒除外）;⾷⽤酒精;葡萄酒;烈酒（饮料）;烧酒;清酒（⽇本⽶酒）;⽩酒;果酒（含酒精）</t>
  </si>
  <si>
    <t>广州日新包装制品有限公司</t>
  </si>
  <si>
    <t>鑫健强</t>
  </si>
  <si>
    <t>⽩酒;⾷⽤酒精;果酒（含酒精）;蜂蜜酒;酒精饮料浓缩汁;薄荷酒;葡萄酒;威⼠忌;蒸馏饮料;清酒</t>
  </si>
  <si>
    <t>汉吉福文化产业（湖北）有限公司</t>
  </si>
  <si>
    <t>果酒;⽩酒;蜂蜜酒;除啤酒外的酒精饮料;葡萄酒;烧酒;开胃酒;甜酒;含⽔果酒精饮料;⻩酒</t>
  </si>
  <si>
    <t>合肥五谷酒仓电子商务有限公司</t>
  </si>
  <si>
    <t>拿菲尔路易</t>
  </si>
  <si>
    <t>朗姆酒;威⼠忌;鸡尾酒;红葡萄酒;⽩葡萄酒;威末酒;伏特加酒;葡萄酒;⽩兰地;起泡红葡萄酒</t>
  </si>
  <si>
    <t>贵州省仁怀市茅台镇衡昌烧坊酿酒有限公司</t>
  </si>
  <si>
    <t>衡昌金</t>
  </si>
  <si>
    <t>葡萄酒;含⽔果酒精饮料;⽩酒;⽩⼲酒（中国⽩酒）;开胃酒;⽶酒;⻩酒;⻘稞酒;烧酒;⾼粱酒</t>
  </si>
  <si>
    <t>张晓杰</t>
  </si>
  <si>
    <t>醉心尚</t>
  </si>
  <si>
    <t>酒精饮料（啤酒除外）;鸡尾酒;⻩酒;清酒（⽇本⽶酒）;葡萄酒;⽩酒;开胃酒;威⼠忌;烈酒;果酒（含酒精）</t>
  </si>
  <si>
    <t>南京金丝鸟粮油食品有限公司</t>
  </si>
  <si>
    <t>沪之香</t>
  </si>
  <si>
    <t>⽶酒;烧酒;⽩酒;清酒;果酒;⻩酒;葡萄酒;樱桃酒;酒精饮料（啤酒除外）;鸡尾酒</t>
  </si>
  <si>
    <t>林叶会</t>
  </si>
  <si>
    <t>香</t>
  </si>
  <si>
    <t>烧酒;⽶酒;葡萄酒;⻘稞酒;⽩兰地;清酒（⽇本⽶酒）;⻩酒;⽩酒;鸡尾酒;果酒（含酒精）</t>
  </si>
  <si>
    <t>辽阳福泽商贸有限公司</t>
  </si>
  <si>
    <t>蓝典娜</t>
  </si>
  <si>
    <t>含酒精的⽔果鸡尾酒饮料;马格利酒（朝鲜传统⽶酒）;葡萄汽酒;⽩酒;⽇本松针酒;威⼠忌;红葡萄酒;朗姆酒（酒精饮料）;冷冻凝胶状的鸡尾酒;鸡尾酒;酒精饮料原汁;伏特加酒;⾼粱酒;刺五加酒;桑格利亚汽酒</t>
  </si>
  <si>
    <t>巽风科技（贵州）有限公司</t>
  </si>
  <si>
    <t>秋阡陌熟</t>
  </si>
  <si>
    <t>酒精饮料（啤酒除外）;蒸馏饮料;⾕物制蒸馏酒精饮料;烧酒;果酒（含酒精）;烈酒（饮料）;酒精饮料原汁;⾷⽤酒精;餐后酒（利⼝酒和烈酒）;⽩酒</t>
  </si>
  <si>
    <t>贵州酒霄云阅文化发展有限公司</t>
  </si>
  <si>
    <t>酒·霄·云·阅 WINE CLOUDS READ</t>
  </si>
  <si>
    <t>⽩酒;葡萄酒;清酒;露酒;甜酒;⻩酒;汽酒;⽶酒;⽩兰地;威⼠忌;利⼝酒;鸡尾酒;朗姆酒;伏特加酒;蒸馏饮料;含酒精⽔果饮料;除啤酒外的酒精饮料;果酒;烧酒（烈酒）</t>
  </si>
  <si>
    <t>翡马优品（国际）有限公司</t>
  </si>
  <si>
    <t>太阳伞</t>
  </si>
  <si>
    <t>⽩酒;清酒;葡萄酒;开胃酒;果酒（含酒精）;蜂蜜酒;⽶酒;鸡尾酒;威⼠忌;酒精饮料（啤酒除外）</t>
  </si>
  <si>
    <t>南京天诗意文化传媒有限公司</t>
  </si>
  <si>
    <t>寮烧</t>
  </si>
  <si>
    <t>烧酒;⽶酒;烈酒（饮料）;⽩酒;酒精饮料（啤酒除外）;开胃酒;⻩酒;蒸馏⽶酒（泡盛酒）;葡萄酒;果酒（含酒精）</t>
  </si>
  <si>
    <t>贵州中鉴酒业集团有限公司</t>
  </si>
  <si>
    <t>中鉴家</t>
  </si>
  <si>
    <t>烧酒;⽶酒;⻩酒;⽩酒;果酒;酒精饮料（啤酒除外）;烈酒;⽼酒（中国蒸馏烈酒）;⾼粱酒;葡萄酒</t>
  </si>
  <si>
    <t>浙江帅康电气股份有限公司</t>
  </si>
  <si>
    <t>帅康SACON</t>
  </si>
  <si>
    <t>⽶酒;果酒;汽酒;葡萄酒;酒精饮料（啤酒除外）;⽩兰地;蒸馏饮料;⽩酒;⻩酒;含酒精的充⽓饮料（啤酒除外）</t>
  </si>
  <si>
    <t>帅康</t>
  </si>
  <si>
    <t>⽩酒;⽶酒;汽酒;含酒精的充⽓饮料（啤酒除外）;酒精饮料（啤酒除外）;果酒;⻩酒;⽩兰地;蒸馏饮料;葡萄酒</t>
  </si>
  <si>
    <t>李龙</t>
  </si>
  <si>
    <t>酒田翁</t>
  </si>
  <si>
    <t>果酒（含酒精）;朗姆酒;⽩酒;葡萄酒;酒精饮料（啤酒除外）;烧酒;威⼠忌;鸡尾酒;烈酒（饮料）;伏特加酒</t>
  </si>
  <si>
    <t>调兵山市晓南镇望山村股份经济合作社</t>
  </si>
  <si>
    <t>兀术郎君</t>
  </si>
  <si>
    <t>⽩酒;开胃酒;鸡尾酒;⻘稞酒;含⽔果酒精饮料;酒精饮料（啤酒除外）;朝鲜族⽶酒;⾼粱酒;果酒（含酒精）;葡萄酒</t>
  </si>
  <si>
    <t>夏热扎提·吾斯曼</t>
  </si>
  <si>
    <t>情醉刀郎</t>
  </si>
  <si>
    <t>果酒（含酒精）;酒精饮料（啤酒除外）;⻘稞酒;葡萄酒;⽩酒;以葡萄酒为主的饮料;威⼠忌;含⽔果酒精饮料;蒸馏饮料;酒精饮料原汁</t>
  </si>
  <si>
    <t>刀郎珍珠 DAN LANG ZHEN ZHU</t>
  </si>
  <si>
    <t>蒸馏饮料;葡萄酒;⽩酒;威⼠忌;含⽔果酒精饮料;以葡萄酒为主的饮料;⻘稞酒;果酒（含酒精）;酒精饮料原汁;酒精饮料（啤酒除外）</t>
  </si>
  <si>
    <t>龟兹之音</t>
  </si>
  <si>
    <t>果酒（含酒精）;威⼠忌;酒精饮料（啤酒除外）;以葡萄酒为主的饮料;⽩酒;酒精饮料原汁;蒸馏饮料;葡萄酒;⻘稞酒;含⽔果酒精饮料</t>
  </si>
  <si>
    <t>亳州中支酒业有限公司</t>
  </si>
  <si>
    <t>华商报</t>
  </si>
  <si>
    <t>苹果酒;果酒（含酒精）;开胃酒;梨酒;⻩酒;烧酒;⽩酒;蜂蜜酒;葡萄酒;樱桃酒</t>
  </si>
  <si>
    <t>锋锥</t>
  </si>
  <si>
    <t>酒精饮料原汁;威⼠忌;酒精饮料（啤酒除外）;含⽔果酒精饮料;蒸馏饮料;葡萄酒;⻘稞酒;⽩酒;果酒（含酒精）;以葡萄酒为主的饮料</t>
  </si>
  <si>
    <t>华商特</t>
  </si>
  <si>
    <t>蜂蜜酒;开胃酒;果酒（含酒精）;梨酒;⻩酒;⽩酒;苹果酒;樱桃酒;葡萄酒;烧酒</t>
  </si>
  <si>
    <t>陈菊如</t>
  </si>
  <si>
    <t>侯</t>
  </si>
  <si>
    <t>⽩酒;烧酒;⻩酒;⾷⽤酒精;葡萄酒;清酒;烈酒（饮料）;⽶酒;烈酒;酒精饮料（啤酒除外）</t>
  </si>
  <si>
    <t>霍山仙斛出山生态农业有限公司</t>
  </si>
  <si>
    <t>酙斛润醴</t>
  </si>
  <si>
    <t>果酒（含酒精）;烧酒;烈酒（饮料）;⽶酒;⽩酒;蜂蜜酒;含⽔果酒精饮料;葡萄酒;开胃酒;鸡尾酒</t>
  </si>
  <si>
    <t>许孝林</t>
  </si>
  <si>
    <t>龙袖台</t>
  </si>
  <si>
    <t>葡萄酒;果酒;酒精饮料（啤酒除外）;梅酒;烧酒;⽩酒;⾼粱酒;甜酒;果酒（含酒精）;烈酒（饮料）</t>
  </si>
  <si>
    <t>李俊梅</t>
  </si>
  <si>
    <t>富贵钱隆</t>
  </si>
  <si>
    <t>⽩酒;⽶酒;汽酒;⻘梅酒;⽩⼲酒（中国⽩酒）;烧酒;⻩酒;含酒精的饮料（啤酒除外）;以葡萄酒为主的饮料;⽩兰地</t>
  </si>
  <si>
    <t>广东省和的慈善基金会</t>
  </si>
  <si>
    <t>⽶酒;威⼠忌;果酒（含酒精）;清酒（⽇本⽶酒）;烧酒;⻩酒;葡萄酒;烈酒（饮料）;⽩酒;伏特加酒</t>
  </si>
  <si>
    <t>姜治能</t>
  </si>
  <si>
    <t>代市</t>
  </si>
  <si>
    <t>⽩酒;果酒;甜酒;含⽔果酒精饮料;汽酒;烧酒;酒精饮料（啤酒除外）;清酒;葡萄酒;⾷⽤酒精</t>
  </si>
  <si>
    <t>中国红双喜集团股份有限公司</t>
  </si>
  <si>
    <t>牌宾礼金 酒宾礼金</t>
  </si>
  <si>
    <t>⻩酒;⽩酒;果酒;含⽔果酒精饮料;清酒;烈酒;葡萄酒;烧酒;⽼酒（中国蒸馏烈酒）;⽶酒</t>
  </si>
  <si>
    <t>北京金晟润商贸有限公司</t>
  </si>
  <si>
    <t>京都朝风</t>
  </si>
  <si>
    <t>烧酒;⽩酒;威⼠忌;汽酒;⻩酒;清酒（⽇本⽶酒）;烈酒（饮料）;朗姆酒;含⽔果酒精饮料;伏特加酒</t>
  </si>
  <si>
    <t>慕森酒店管理邯郸有限公司</t>
  </si>
  <si>
    <t>七国争霸秦王酒</t>
  </si>
  <si>
    <t>以葡萄酒为主的饮料;酸酒（低等葡萄酒）;含⽔果酒精饮料;⾷⽤酒精;葡萄酒;酒精饮料原汁;预先混合的酒精饮料（以啤酒为主的除外）;果酒（含酒精）;⻘稞酒;⽩酒</t>
  </si>
  <si>
    <t>好时健康科学（广州）有限公司</t>
  </si>
  <si>
    <t>美淽泉</t>
  </si>
  <si>
    <t>预先混合的酒精饮料（以啤酒为主的除外）;⽩酒;清酒（⽇本⽶酒）;鸡尾酒;烈酒（饮料）;开胃酒;汽酒;果酒;⽇本梅⼦酒;⻘梅酒</t>
  </si>
  <si>
    <t>贵州董彧酒业有限公司</t>
  </si>
  <si>
    <t>淇彧雅酒</t>
  </si>
  <si>
    <t>葡萄酒;威⼠忌;酒精饮料原汁;⽶酒;酒精饮料（啤酒除外）;⽩酒;开胃酒;果酒（含酒精）;酒精饮料浓缩汁;利⼝酒</t>
  </si>
  <si>
    <t>陷鸿旺</t>
  </si>
  <si>
    <t>清骄香子</t>
  </si>
  <si>
    <t>杜松⼦酒;利⼝酒;烧酒;开胃酒;烈酒（饮料）;⻘稞酒;⾷⽤酒精;⽩酒;蒸煮提取物（利⼝酒和烈酒）;⻩酒</t>
  </si>
  <si>
    <t>刘玉霞</t>
  </si>
  <si>
    <t>中喜天下</t>
  </si>
  <si>
    <t>⻘稞酒;⻩酒;⽼酒（中国蒸馏烈酒）;清酒;⾷⽤酒精;葡萄酒;⽶酒;汽酒;⽩⼲酒（中国⽩酒）</t>
  </si>
  <si>
    <t>李斌</t>
  </si>
  <si>
    <t>秦酓酒</t>
  </si>
  <si>
    <t>烧酒;酒精饮料（啤酒除外）;开胃酒;烈酒（饮料）;⽶酒;葡萄酒;酒精饮料浓缩汁;⽩酒;⾷⽤酒精;汽酒</t>
  </si>
  <si>
    <t>翟汉普</t>
  </si>
  <si>
    <t>杜彩</t>
  </si>
  <si>
    <t>汽酒;⽩酒;⽩⼲酒（中国⽩酒）;⾕物制蒸馏酒精饮料;⽼酒（中国蒸馏烈酒）;烧酒;⽶酒;由⾕物蒸馏的⽩酒;⾼粱酒;烈酒（饮料）</t>
  </si>
  <si>
    <t>广州泉氢科技有限公司</t>
  </si>
  <si>
    <t>小轻吸</t>
  </si>
  <si>
    <t>果酒（含酒精）;⽩兰地;威⼠忌;⽩酒;清酒（⽇本⽶酒）;⽶酒;⻩酒;葡萄酒;酒精饮料（啤酒除外）;烈酒（饮料）</t>
  </si>
  <si>
    <t>胡者者</t>
  </si>
  <si>
    <t>煜翔梦三关</t>
  </si>
  <si>
    <t>酒精饮料（啤酒除外）;蒸煮提取物（利⼝酒和烈酒）;⻩酒;果酒（含酒精）;⽩酒;鸡尾酒;葡萄酒;烈酒（饮料）;烧酒;⾷⽤酒精</t>
  </si>
  <si>
    <t>遵义市卓君酒业有限公司</t>
  </si>
  <si>
    <t>吟远台</t>
  </si>
  <si>
    <t>酒精饮料（啤酒除外）;⽼酒（中国蒸馏烈酒）;⾼粱酒;⽩酒;葡萄酒;果酒;烈酒（饮料）;烈酒;鸡尾酒;⽩⼲酒（中国⽩酒）</t>
  </si>
  <si>
    <t>恩德福贸易（苏州）有限公司</t>
  </si>
  <si>
    <t>飞驰烈马</t>
  </si>
  <si>
    <t>⻩酒;葡萄酒;烈酒（饮料）;鸡尾酒;红葡萄酒;⽩酒;烧酒;以葡萄酒为主的开胃酒;调制好的葡萄酒鸡尾酒;威⼠忌</t>
  </si>
  <si>
    <t>贵州省仁怀市天邦酿酒有限公司</t>
  </si>
  <si>
    <t>天邦贡</t>
  </si>
  <si>
    <t>葡萄酒;酒精饮料原汁;⽼酒（中国蒸馏烈酒）;⾼粱酒;预先混合的酒精饮料（以啤酒为主的除外）;⾕物制蒸馏酒精饮料;⽩⼲酒（中国⽩酒）;酒精饮料浓缩汁;酒精饮料（啤酒除外）;⽩酒</t>
  </si>
  <si>
    <t>绥芬河市信鸿国际贸易有限公司</t>
  </si>
  <si>
    <t>⽶酒;果酒（含酒精）;⽩兰地;朗姆酒;鸡尾酒;烈酒（饮料）;烧酒;威⼠忌;伏特加酒;⽩酒</t>
  </si>
  <si>
    <t>湘潭兴农湘莲种植专业合作社</t>
  </si>
  <si>
    <t>酉三姐</t>
  </si>
  <si>
    <t>果酒;⾼粱酒;烈酒;烧酒;⽩酒;清酒;⽶酒;甜酒;⻩酒;预调甜酒</t>
  </si>
  <si>
    <t>张子权</t>
  </si>
  <si>
    <t>德品朝门</t>
  </si>
  <si>
    <t>葡萄酒;鸡尾酒;酒精饮料原汁;酒精饮料（啤酒除外）;开胃酒;烧酒;⻩酒;⽩酒;果酒（含酒精）;⽶酒</t>
  </si>
  <si>
    <t>郭光毅</t>
  </si>
  <si>
    <t>龙之水滴</t>
  </si>
  <si>
    <t>梅酒;清酒;葡萄酒;⽩酒;朗姆酒;烈酒;威⼠忌;⻩酒;⾼粱酒;烧酒</t>
  </si>
  <si>
    <t>亳州市酒巷酒业有限责任公司</t>
  </si>
  <si>
    <t>哲学之河</t>
  </si>
  <si>
    <t>葡萄酒;烈酒（饮料）;⽩兰地;果酒（含酒精）;⽩酒;酒精饮料（啤酒除外）;⽶酒;烧酒;⻩酒;蒸馏饮料</t>
  </si>
  <si>
    <t>杨春</t>
  </si>
  <si>
    <t>含酒精的饮料（啤酒除外）;烈酒;⾼粱酒;果酒;烧酒（烈酒）;⽩⼲酒（中国⽩酒）;葡萄酒;⽶酒;⽩酒;⾕物制蒸馏酒精饮料</t>
  </si>
  <si>
    <t>刘青月</t>
  </si>
  <si>
    <t>聚庆和</t>
  </si>
  <si>
    <t>含⽔果酒精饮料;烈酒;鸡尾酒;葡萄酒;⽶酒;⽩酒;烧酒;果酒（含酒精）;⻩酒;酒精饮料（啤酒除外）</t>
  </si>
  <si>
    <t>上梅多克法布尔家族产业</t>
  </si>
  <si>
    <t>LE CLAN FABRE</t>
  </si>
  <si>
    <t>开胃酒;葡萄酒;果酒（含酒精）;⾷⽤酒精;⽩酒;威⼠忌;烧酒;酒精饮料（啤酒除外）;⽶酒;鸡尾酒</t>
  </si>
  <si>
    <t>湖北徐桥酒业有限公司</t>
  </si>
  <si>
    <t>雷家岗</t>
  </si>
  <si>
    <t>果酒（含酒精）;烧酒;⾷⽤酒精;⽶酒;烈酒（饮料）;⽩酒;开胃酒;鸡尾酒;威⼠忌;含⽔果酒精饮料</t>
  </si>
  <si>
    <t>蒋梦娇</t>
  </si>
  <si>
    <t>华禧邦</t>
  </si>
  <si>
    <t>烧酒;葡萄酒;⽶酒;⽩酒;威⼠忌;果酒;⽩兰地;⻩酒;汽酒;清酒</t>
  </si>
  <si>
    <t>盛晓雄</t>
  </si>
  <si>
    <t>仰东方</t>
  </si>
  <si>
    <t>朗姆酒;⽩酒;⾷⽤酒精;伏特加酒;⻩酒;威⼠忌;果酒（含酒精）;⽩兰地;葡萄酒;烈酒（饮料）</t>
  </si>
  <si>
    <t>珠海市香洲区御香农贸易商行(个体工商户)</t>
  </si>
  <si>
    <t>御香农</t>
  </si>
  <si>
    <t>⽶酒;甜酒;开胃酒;清酒;⻩酒;⽩酒;酒精饮料（啤酒除外）;⽼酒（中国蒸馏烈酒）;含酒精的⽓泡⽔;果酒（含酒精）</t>
  </si>
  <si>
    <t>安徽小老斛生物科技有限公司</t>
  </si>
  <si>
    <t>仙枝蝉</t>
  </si>
  <si>
    <t>果酒（含酒精）;葡萄酒;烈酒（饮料）;⽩酒;⽶酒;烧酒;开胃酒;鸡尾酒;⻩酒;威⼠忌</t>
  </si>
  <si>
    <t>威尔士食品公司</t>
  </si>
  <si>
    <t>WELCH'S</t>
  </si>
  <si>
    <t>⽔果汽酒;含果汁的酒精饮料;含酒精⽔果饮料;含酒精的⽔果鸡尾酒饮料;预先混合的酒精饮料（以啤酒为主的除外）;含⽔果酒精饮料;含酒精和果汁的鸡尾酒;酒精饮料（啤酒除外）</t>
  </si>
  <si>
    <t>⽔果汽酒;含⽔果酒精饮料;含酒精的⽔果鸡尾酒饮料;预先混合的酒精饮料（以啤酒为主的除外）;含酒精和果汁的鸡尾酒;含酒精⽔果饮料;酒精饮料（啤酒除外）;含果汁的酒精饮料</t>
  </si>
  <si>
    <t>五华区首叶百货店</t>
  </si>
  <si>
    <t>朕骄子</t>
  </si>
  <si>
    <t>果酒（含酒精）;清酒（⽇本⽶酒）;开胃酒;烈酒;威⼠忌;酒精饮料（啤酒除外）;⽩酒;鸡尾酒;⻩酒;葡萄酒</t>
  </si>
  <si>
    <t>祖吉伍</t>
  </si>
  <si>
    <t>赤云潭</t>
  </si>
  <si>
    <t>⻩酒;酒精饮料原汁;⾕物制蒸馏酒精饮料;⽶酒;餐后酒（利⼝酒和烈酒）;葡萄酒;⽩酒;汽酒;烧酒;果酒</t>
  </si>
  <si>
    <t>爱瑞美（北京）健康科技有限公司</t>
  </si>
  <si>
    <t>爱瑞美福酒</t>
  </si>
  <si>
    <t>酒精饮料（啤酒除外）;果酒（含酒精）;烈酒（饮料）;烧酒;鸡尾酒;⽩酒;⽶酒;酒精饮料原汁;酸酒（低等葡萄酒）;蒸馏饮料</t>
  </si>
  <si>
    <t>山东益都状元生态农业发展有限公司</t>
  </si>
  <si>
    <t>易硕</t>
  </si>
  <si>
    <t>葡萄酒;汽酒;烈酒（饮料）;蒸煮提取物（利⼝酒和烈酒）;果酒（含酒精）;⽩酒;酒精饮料浓缩汁;鸡尾酒;苦味酒;含⽔果酒精饮料</t>
  </si>
  <si>
    <t>协同（广州）科技创新有限公司</t>
  </si>
  <si>
    <t>宇荐</t>
  </si>
  <si>
    <t>⽩酒;清酒（⽇本⽶酒）;烧酒;葡萄酒;蒸煮提取物（利⼝酒和烈酒）;烈酒（饮料）;⻘稞酒;果酒（含酒精）;⽶酒;⻩酒</t>
  </si>
  <si>
    <t>江晓杰</t>
  </si>
  <si>
    <t>玉露潭</t>
  </si>
  <si>
    <t>开胃酒;葡萄酒;利⼝酒;果酒（含酒精）;⽩酒;餐后酒（利⼝酒和烈酒）;威⼠忌;烈酒（饮料）;酒精饮料原汁;鸡尾酒</t>
  </si>
  <si>
    <t>范晓亮</t>
  </si>
  <si>
    <t>凌真</t>
  </si>
  <si>
    <t>烈酒（饮料）;蒸馏饮料;⽩酒;鸡尾酒;烧酒;威⼠忌;酒精饮料原汁;含⽔果酒精饮料;清酒;果酒（含酒精）</t>
  </si>
  <si>
    <t>李鹏生622421********1315</t>
  </si>
  <si>
    <t>腾企家的小铺</t>
  </si>
  <si>
    <t>果酒（含酒精）;鸡尾酒;⽩酒;烈酒（饮料）;⽶酒;葡萄酒;酒精饮料（啤酒除外）;蒸馏饮料;开胃酒;⽩兰地</t>
  </si>
  <si>
    <t>贵州千城汇酒业股份有限公司</t>
  </si>
  <si>
    <t>微微百花香</t>
  </si>
  <si>
    <t>葡萄酒;酒精饮料（啤酒除外）;汽酒;蜂蜜酒;⾷⽤酒精;鸡尾酒;利⼝酒;烈酒（饮料）;⽩酒;露酒</t>
  </si>
  <si>
    <t>刘昭希</t>
  </si>
  <si>
    <t>上江隆</t>
  </si>
  <si>
    <t>蒸馏饮料;烈酒（饮料）;⽶酒;烧酒;⽩酒;酒精饮料（啤酒除外）;果酒（含酒精）;葡萄酒;威⼠忌;鸡尾酒</t>
  </si>
  <si>
    <t>深圳蒸年轻健康科技有限公司</t>
  </si>
  <si>
    <t>年轻来神</t>
  </si>
  <si>
    <t>果酒（含酒精）;蒸馏饮料;葡萄酒;⽶酒;烈酒（饮料）;烧酒;鸡尾酒;威⼠忌;⽩酒;⻩酒</t>
  </si>
  <si>
    <t>河南江帆冷链物流有限公司</t>
  </si>
  <si>
    <t>樊阿妍</t>
  </si>
  <si>
    <t>⽩酒;⻩酒;葡萄酒;含酒精的饮料（啤酒除外）;⽩⼲酒（中国⽩酒）;果酒;红葡萄酒;威⼠忌;烧酒;⽶酒</t>
  </si>
  <si>
    <t>杭州金上金餐饮管理有限公司</t>
  </si>
  <si>
    <t>泉火火</t>
  </si>
  <si>
    <t>⽩酒;果酒（含酒精）;⽩兰地;威⼠忌;⾷⽤酒精;鸡尾酒;烈酒（饮料）;⽶酒;⻩酒;酒精饮料（啤酒除外）</t>
  </si>
  <si>
    <t>汪乐梅</t>
  </si>
  <si>
    <t>⽶酒;⽩酒;果酒（含酒精）;鸡尾酒;酒精饮料原汁;清酒（⽇本⽶酒）;威⼠忌;汽酒;葡萄酒;利⼝酒</t>
  </si>
  <si>
    <t>固康中泰</t>
  </si>
  <si>
    <t>果酒（含酒精）;⽩酒;开胃酒;烈酒（饮料）;⻩酒;苦味酒;蜂蜜酒;⽶酒;烧酒;⻘稞酒</t>
  </si>
  <si>
    <t>向春林</t>
  </si>
  <si>
    <t>夜伴湾</t>
  </si>
  <si>
    <t>果酒（含酒精）;⽩酒;⽶酒;烧酒;威⼠忌;⾷⽤酒精;⻩酒;酒精饮料（啤酒除外）;葡萄酒;蒸馏饮料</t>
  </si>
  <si>
    <t>申广宁</t>
  </si>
  <si>
    <t>萃力冠</t>
  </si>
  <si>
    <t>⽶酒;汽酒;⽩酒;葡萄酒;甜酒;果酒;⾷⽤酒精;⻩酒;清酒;开胃酒</t>
  </si>
  <si>
    <t>廖祖福</t>
  </si>
  <si>
    <t>青梦川</t>
  </si>
  <si>
    <t>⽶酒;果酒（含酒精）;⽩酒;烈酒（饮料）;鸡尾酒;威⼠忌;⻩酒;葡萄酒;开胃酒;清酒（⽇本⽶酒）</t>
  </si>
  <si>
    <t>贵州茅台镇汉圣酒业有限公司</t>
  </si>
  <si>
    <t>记汉圣得</t>
  </si>
  <si>
    <t>蒸馏饮料;⽶酒;预先混合的酒精饮料（以啤酒为主的除外）;烧酒;⽩酒;烈酒;酒精饮料原汁;⽼酒（中国蒸馏烈酒）;酒精饮料（啤酒除外）;⾼粱酒</t>
  </si>
  <si>
    <t>上海镜美贸易有限公司</t>
  </si>
  <si>
    <t>威沃眼科</t>
  </si>
  <si>
    <t>果酒;以葡萄酒为主的饮料;葡萄汽酒;酒精饮料（啤酒除外）;⽩葡萄酒;含酒精⽔果饮料;红葡萄酒;⽩酒;果酒（含酒精）;汽酒</t>
  </si>
  <si>
    <t>四川税米财务咨询有限公司</t>
  </si>
  <si>
    <t>税米</t>
  </si>
  <si>
    <t>⽩酒;威⼠忌;⽶酒;鸡尾酒;葡萄酒;⻩酒;果酒;含⽜奶的鸡尾酒;含酒精的鸡尾酒混合饮品;酒精饮料（啤酒除外）</t>
  </si>
  <si>
    <t>仰侍酒业（深圳）有限公司</t>
  </si>
  <si>
    <t>YANG'S WHISKY</t>
  </si>
  <si>
    <t>红葡萄酒;⻩酒;⽩葡萄酒;⽩兰地;葡萄酒;威⼠忌;由⾕物蒸馏的⽩酒;⽩酒;混合威⼠忌酒;⻨芽威⼠忌</t>
  </si>
  <si>
    <t>贵州领君天下酒业有限公司</t>
  </si>
  <si>
    <t>领君上品</t>
  </si>
  <si>
    <t>餐后酒（利⼝酒和烈酒）;葡萄酒;⽩酒;⽼酒（中国蒸馏烈酒）;五加⽪酒（中国混合烈酒）;酒精饮料（啤酒除外）;⻩酒;薄荷酒;烧酒;蒸馏⽶酒（泡盛酒）</t>
  </si>
  <si>
    <t>汪特勇</t>
  </si>
  <si>
    <t>ZOSTN 佐斯图</t>
  </si>
  <si>
    <t>果酒;葡萄酒;果酒（含酒精）;蒸馏饮料;⽩酒;烈酒（饮料）;⽩兰地;烧酒;⽶酒;鸡尾酒</t>
  </si>
  <si>
    <t>湖北聚米电子商务有限公司</t>
  </si>
  <si>
    <t>和茶悦果</t>
  </si>
  <si>
    <t>梅酒;草莓酒;果酒;⻩酒;⽶酒;柑⾹酒;⽩兰地;薄荷酒;葡萄酒;⽩酒</t>
  </si>
  <si>
    <t>齐海峰</t>
  </si>
  <si>
    <t>缇爱丝</t>
  </si>
  <si>
    <t>利⼝酒;威⼠忌;⽩兰地;鸡尾酒;⽩酒;伏特加酒;果酒（含酒精）;葡萄酒;蒸馏饮料;酒精饮料（啤酒除外）</t>
  </si>
  <si>
    <t>孙小凌</t>
  </si>
  <si>
    <t>鼎盛西夏</t>
  </si>
  <si>
    <t>⽩酒;蒸馏饮料;含⽔果酒精饮料;葡萄酒;清酒;酒精饮料（啤酒除外）;果酒（含酒精）;蜂蜜酒;开胃酒;⽶酒</t>
  </si>
  <si>
    <t>厦门欣鹭康贸易有限公司</t>
  </si>
  <si>
    <t>蓝妃媚</t>
  </si>
  <si>
    <t>葡萄酒;威⼠忌;⾕物制蒸馏酒精饮料;鸡尾酒;⽩酒;⽶酒;⻩酒;果酒（含酒精）;以葡萄酒为主的饮料;清酒（⽇本⽶酒）</t>
  </si>
  <si>
    <t>周口市淮阳区德润百货商行</t>
  </si>
  <si>
    <t>CHATEAU CANPERY</t>
  </si>
  <si>
    <t>⽩兰地;调制好的葡萄酒鸡尾酒;⽩葡萄酒;预先混合的酒精饮料（以啤酒为主的除外）;除啤酒外的酒精饮料;⽶酒;红葡萄酒;威⼠忌;葡萄酒;清酒</t>
  </si>
  <si>
    <t>叶萌萌</t>
  </si>
  <si>
    <t>丰收潭</t>
  </si>
  <si>
    <t>⽩⼲酒（中国⽩酒）;果酒;烧酒;⽩酒;⻩酒;⽶酒;葡萄酒;佐餐酒;含酒精的饮料（啤酒除外）;汽酒</t>
  </si>
  <si>
    <t>重庆盛泽塬供应链有限公司</t>
  </si>
  <si>
    <t>仁福通圆</t>
  </si>
  <si>
    <t>烧酒;白酒;威士忌;清酒（日本米酒）;白兰地;米酒;黄酒;酒精饮料原汁;果酒（含酒精）;烈酒（饮料）</t>
  </si>
  <si>
    <t>稻功夫</t>
  </si>
  <si>
    <t>蒸馏饮料;葡萄酒;⽩酒;果酒（含酒精）;烈酒（饮料）;⽶酒;⽩兰地;烧酒;果酒;鸡尾酒</t>
  </si>
  <si>
    <t>佛山市赤沁商贸有限公司</t>
  </si>
  <si>
    <t>益洲小镇</t>
  </si>
  <si>
    <t>酒精饮料（啤酒除外）;⽩⼲酒（中国⽩酒）;烧酒;⽶酒;⾼粱酒;果酒（含酒精）;⽩酒;⽼酒（中国蒸馏烈酒）;葡萄酒;⾷⽤酒精</t>
  </si>
  <si>
    <t>再见酒业（深圳）有限公司</t>
  </si>
  <si>
    <t>夏成功</t>
  </si>
  <si>
    <t>开胃酒;⻩酒;⽩酒;果酒（含酒精）;烈酒（饮料）;蒸煮提取物（利⼝酒和烈酒）;预先混合的酒精饮料（以啤酒为主的除外）;酒精饮料（啤酒除外）;蒸馏饮料;烧酒</t>
  </si>
  <si>
    <t>李景筹</t>
  </si>
  <si>
    <t>FIMOM</t>
  </si>
  <si>
    <t>葡萄酒;威⼠忌;伏特加酒;酒精饮料（啤酒除外）;⽩兰地;⽩酒;烈酒;⻩酒;鸡尾酒;果酒（含酒精）</t>
  </si>
  <si>
    <t>福州侨旺进出口贸易有限公司</t>
  </si>
  <si>
    <t>通福贵</t>
  </si>
  <si>
    <t>⽩酒;果酒;⽼酒（中国蒸馏烈酒）;葡萄酒;⻩酒;威⼠忌;酒精饮料（啤酒除外）;⻘稞酒;⼲型苹果酒;烧酒</t>
  </si>
  <si>
    <t>王锡萍</t>
  </si>
  <si>
    <t>东寻西访</t>
  </si>
  <si>
    <t>清酒（⽇本⽶酒）;酒精饮料（啤酒除外）;⽩酒;⻩酒;烧酒;果酒;葡萄酒;烈酒（饮料）;⽩兰地;利⼝酒</t>
  </si>
  <si>
    <t>北京西林盛世广告设计有限公司</t>
  </si>
  <si>
    <t>利⼝酒;⻩酒;⽶酒;果酒（含酒精）;⾕物制蒸馏酒精饮料;含⽔果酒精饮料;⽩酒;烈酒（饮料）;烧酒;葡萄酒</t>
  </si>
  <si>
    <t>河南榆美山医疗科技有限公司</t>
  </si>
  <si>
    <t>榆美山</t>
  </si>
  <si>
    <t>⾷⽤酒精;果酒（含酒精）;葡萄酒;酒精饮料（啤酒除外）;⽩酒;⻩酒;烧酒;蒸馏饮料;餐后酒（利⼝酒和烈酒）;⽶酒</t>
  </si>
  <si>
    <t>云南高原葡萄酒有限公司</t>
  </si>
  <si>
    <t>云中武</t>
  </si>
  <si>
    <t>鸡尾酒;葡萄酒;⽩兰地;果酒;汽酒;露酒;威⼠忌;酒精饮料（啤酒除外）;含⽔果酒精饮料;⽩酒;烈酒;蒸煮提取物（利⼝酒和烈酒）</t>
  </si>
  <si>
    <t>洪亮</t>
  </si>
  <si>
    <t>纳富富</t>
  </si>
  <si>
    <t>开胃酒;鸡尾酒;汽酒;葡萄酒;果酒;白酒;酒精饮料原汁;烧酒;黄酒;烈酒（饮料）</t>
  </si>
  <si>
    <t>关健</t>
  </si>
  <si>
    <t>庄思良</t>
  </si>
  <si>
    <t>果酒;⾼粱酒;⾕物制蒸馏酒精饮料;⽩酒;⽶酒;⽩⼲酒（中国⽩酒）;⽼酒（中国蒸馏烈酒）;烧酒;⾷⽤酒精;酒精饮料（啤酒除外）</t>
  </si>
  <si>
    <t>深圳市星火云商贸企业</t>
  </si>
  <si>
    <t>露莉莎</t>
  </si>
  <si>
    <t>烈酒（饮料）;鸡尾酒;酒精饮料（啤酒除外）;果酒;烧酒;⻩酒;⽶酒;葡萄酒;清酒;⽩酒</t>
  </si>
  <si>
    <t>陈江130102********1856</t>
  </si>
  <si>
    <t>MR. MAIWEI</t>
  </si>
  <si>
    <t>起泡白葡萄酒;蒸煮提取物（利口酒和烈酒）;混合威士忌酒;谷物制蒸馏酒精饮料;开胃酒;白酒;白兰地;果酒（含酒精）;鸡尾酒;葡萄酒</t>
  </si>
  <si>
    <t>李扬彬</t>
  </si>
  <si>
    <t>厘梦</t>
  </si>
  <si>
    <t>烧酒;威⼠忌;蒸馏饮料;酒精饮料（啤酒除外）;⻩酒;⽩酒;利⼝酒;烈酒（饮料）;葡萄酒;果酒（含酒精）</t>
  </si>
  <si>
    <t>佛山市金天名荟贸易有限公司</t>
  </si>
  <si>
    <t>金夕来康</t>
  </si>
  <si>
    <t>露酒;白酒;薄荷酒;老酒（中国蒸馏烈酒）;苦荞酒;果酒;鸡尾酒;由谷物蒸馏的白酒;青稞酒;米酒</t>
  </si>
  <si>
    <t>广西平果药王山投资开发有限公司</t>
  </si>
  <si>
    <t>狼晶</t>
  </si>
  <si>
    <t>葡萄酒;预先混合的酒精饮料（以啤酒为主的除外）;茴香酒（利口酒）;烧酒;烈酒（饮料）;白酒;露酒;米酒;果酒（含酒精）;蜂蜜酒</t>
  </si>
  <si>
    <t>CLAN MILEER</t>
  </si>
  <si>
    <t>葡萄酒;白兰地;预先混合的酒精饮料（以啤酒为主的除外）;除啤酒外的酒精饮料;白葡萄酒;威士忌;米酒;红葡萄酒;调制好的葡萄酒鸡尾酒;清酒</t>
  </si>
  <si>
    <t>贝罗克</t>
  </si>
  <si>
    <t>调制好的葡萄酒鸡尾酒;清酒;⽩葡萄酒;红葡萄酒;预先混合的酒精饮料（以啤酒为主的除外）;⽶酒;除啤酒外的酒精饮料;葡萄酒;威⼠忌;⽩兰地</t>
  </si>
  <si>
    <t>杜比安</t>
  </si>
  <si>
    <t>葡萄酒;⽩兰地;威⼠忌;⽩葡萄酒;除啤酒外的酒精饮料;清酒;调制好的葡萄酒鸡尾酒;⽶酒;预先混合的酒精饮料（以啤酒为主的除外）;红葡萄酒</t>
  </si>
  <si>
    <t>陕西优酒汇酒业有限公司</t>
  </si>
  <si>
    <t>唯炫长安三万里</t>
  </si>
  <si>
    <t>⽶酒;果酒（含酒精）;⽩兰地;葡萄酒;烧酒;⻩酒;⽩酒;蒸煮提取物（利⼝酒和烈酒）;威⼠忌;利⼝酒</t>
  </si>
  <si>
    <t>润懿玉冠氿</t>
  </si>
  <si>
    <t>果酒（含酒精）;烧酒;葡萄酒;威⼠忌;鸡尾酒;酒精饮料（啤酒除外）;⽩酒;蒸馏饮料;烈酒（饮料）;⽶酒</t>
  </si>
  <si>
    <t>北京酒追誉贸易有限公司</t>
  </si>
  <si>
    <t>筼京台</t>
  </si>
  <si>
    <t>⽩⼲酒（中国⽩酒）;⽩酒;⻩酒;鸡尾酒;⾕物制蒸馏酒精饮料;葡萄酒;由⾕物蒸馏的⽩酒;含酒精的饮料（啤酒除外）;果酒（含酒精）;酒精饮料（啤酒除外）</t>
  </si>
  <si>
    <t>贵州观游五大娘食品有限责任公司</t>
  </si>
  <si>
    <t>观游情</t>
  </si>
  <si>
    <t>葡萄酒;⻩酒;⽩兰地;果酒（含酒精）;⽩酒;⽶酒;鸡尾酒;酒精饮料（啤酒除外）;预先混合的酒精饮料（以啤酒为主的除外）;威⼠忌</t>
  </si>
  <si>
    <t>罗晓辉</t>
  </si>
  <si>
    <t>龙爪松</t>
  </si>
  <si>
    <t>利⼝酒;酒精饮料（啤酒除外）;汽酒;果酒;⽩酒;含酒精的⽓泡⽔;⽶酒;甜酒;葡萄酒;烧酒</t>
  </si>
  <si>
    <t>东莞市豁达商贸有限公司</t>
  </si>
  <si>
    <t>满坣江</t>
  </si>
  <si>
    <t>⽶酒;已调味的蒸馏酒;葡萄酒;烧酒;⾼粱酒;⽩酒;⽼酒（中国蒸馏烈酒）;由⾕物蒸馏的⽩酒;⽩⼲酒（中国⽩酒）;⻩酒</t>
  </si>
  <si>
    <t>张国瑞</t>
  </si>
  <si>
    <t>利养</t>
  </si>
  <si>
    <t>烧酒;⾷⽤酒精;威⼠忌;果酒（含酒精）;酒精饮料（啤酒除外）;⽩酒;葡萄酒;⻘稞酒;⻩酒;清酒（⽇本⽶酒）</t>
  </si>
  <si>
    <t>上海福满家便利有限公司</t>
  </si>
  <si>
    <t>一刻食光</t>
  </si>
  <si>
    <t>⻘梅酒;⽩兰地;甜果酒;⽩⼲酒(中国⽩酒);⽩葡萄酒;威⼠忌;利⼝酒;烧酒;果酒;伏特加酒;⽶酒;含⽔果酒精饮料;⽩酒;红葡萄酒;朗姆酒;清酒;鸡尾酒;⻩酒;葡萄酒;开胃酒</t>
  </si>
  <si>
    <t>上海九域天宸企业发展有限公司</t>
  </si>
  <si>
    <t>九域天宸</t>
  </si>
  <si>
    <t>⽶酒;含⽔果酒精饮料;果酒（含酒精）;⻘稞酒;酒精饮料（啤酒除外）;鸡尾酒;开胃酒;葡萄酒;酒精饮料原汁;⽩酒</t>
  </si>
  <si>
    <t>瑞丽彩云南集团药业有限公司</t>
  </si>
  <si>
    <t>藏力</t>
  </si>
  <si>
    <t>烧酒;⽩酒;蒸馏饮料;开胃酒;含酒精⽔果饮料;⻩酒;烈酒（饮料）;⾕物制蒸馏酒精饮料;果酒;⽶酒</t>
  </si>
  <si>
    <t>寻燊</t>
  </si>
  <si>
    <t>贵交</t>
  </si>
  <si>
    <t>烧酒;⾷⽤酒精;⾼粱酒;葡萄酒;⽶酒;⻩酒;⽩酒;烈酒;果酒（含酒精）;清酒</t>
  </si>
  <si>
    <t>新疆一通全兑连锁超市有限公司</t>
  </si>
  <si>
    <t>光引疆来</t>
  </si>
  <si>
    <t>梅酒;⽩葡萄酒;烈酒（饮料）;烧酒;果酒;⻩酒;⽶酒;红葡萄酒;酒精饮料（啤酒除外）;⽩酒</t>
  </si>
  <si>
    <t>王白乙拉</t>
  </si>
  <si>
    <t>今义</t>
  </si>
  <si>
    <t>葡萄酒;鸡尾酒;烈酒（饮料）;⽩酒;⽶酒;⻩酒;果酒;伏特加酒;酒精饮料（啤酒除外）;⾼粱酒</t>
  </si>
  <si>
    <t>深圳嘉域旅游文化发展有限公司</t>
  </si>
  <si>
    <t>水月沙</t>
  </si>
  <si>
    <t>含酒精的⽓泡⽔;以葡萄酒为主的饮料;含⽔果酒精饮料;已调味的⻨芽酿制的酒精饮料（啤酒除外）;开胃酒;葡萄酒;鸡尾酒;⽩酒;烈酒（饮料）;⽶酒</t>
  </si>
  <si>
    <t>王琮凯</t>
  </si>
  <si>
    <t>开青元花</t>
  </si>
  <si>
    <t>烧酒;威⼠忌;⽶酒;鸡尾酒;⽩酒;⽩兰地;葡萄酒;酒精饮料（啤酒除外）;清酒（⽇本⽶酒）;果酒（含酒精）</t>
  </si>
  <si>
    <t>泉州观山海文化传播有限公司</t>
  </si>
  <si>
    <t>闽礼集</t>
  </si>
  <si>
    <t>果酒;开胃酒;蒸馏饮料;酒精饮料原汁;清酒;⽩酒;葡萄酒;⽩兰地;烈酒（饮料）;鸡尾酒</t>
  </si>
  <si>
    <t>山西润青酒业有限公司</t>
  </si>
  <si>
    <t>杏泳泉義</t>
  </si>
  <si>
    <t>⽶酒;鸡尾酒;烈酒（饮料）;威⼠忌;露酒;葡萄酒;⽩酒;蒸煮提取物（利⼝酒和烈酒）;酒精饮料（啤酒除外）;果酒（含酒精）</t>
  </si>
  <si>
    <t>陕西禧佰福商贸有限公司</t>
  </si>
  <si>
    <t>秦虫福</t>
  </si>
  <si>
    <t>开胃酒;鸡尾酒;蜂蜜酒;以葡萄酒为主的饮料;⽶酒;葡萄酒;汽酒;烧酒;⽩酒;⻩酒</t>
  </si>
  <si>
    <t>贵州习酒股份有限公司</t>
  </si>
  <si>
    <t>一抹山色</t>
  </si>
  <si>
    <t>蒸煮提取物（利⼝酒和烈酒）;酒精饮料（啤酒除外）;烧酒;葡萄酒;⽶酒;⽩⼲酒（中国⽩酒）;⽩酒;由⾕物蒸馏的⽩酒;⽼酒（中国蒸馏烈酒）;果酒（含酒精）</t>
  </si>
  <si>
    <t>贵州醉黔古酒业有限公司</t>
  </si>
  <si>
    <t>醉黔古 金龙献瑞</t>
  </si>
  <si>
    <t>⽩⼲酒（中国⽩酒）;⾼粱酒;烧酒（烈酒）;烈酒;⽩酒;果酒;⽼酒（中国蒸馏烈酒）;⻩酒;⾷⽤酒精</t>
  </si>
  <si>
    <t>古意</t>
  </si>
  <si>
    <t>龙凤双宴酒</t>
  </si>
  <si>
    <t>由⾕物蒸馏的⽩酒;⽩酒;⽩⼲酒（中国⽩酒）</t>
  </si>
  <si>
    <t>北京周林频谱科技有限公司</t>
  </si>
  <si>
    <t>艾周林</t>
  </si>
  <si>
    <t>果酒;白干酒（中国白酒）;葡萄酒;含水果酒精饮料;白葡萄酒;水果汽酒;老酒（中国蒸馏烈酒）;红葡萄酒;高粱酒;烧酒（烈酒）</t>
  </si>
  <si>
    <t>贵州竑晖贸易有限公司</t>
  </si>
  <si>
    <t>竑晖</t>
  </si>
  <si>
    <t>含⽔果酒精饮料;烧酒;烈酒（饮料）;葡萄酒;⾕物制蒸馏酒精饮料;⾷⽤酒精;果酒（含酒精）;⽶酒;酒精饮料（啤酒除外）;⻩酒;⽩酒</t>
  </si>
  <si>
    <t>张本志</t>
  </si>
  <si>
    <t>久李</t>
  </si>
  <si>
    <t>酒精饮料原汁;鸡尾酒;⽩兰地;⽶酒;梨酒;果酒（含酒精）;烈酒（饮料）;⽩酒;葡萄酒;⻩酒</t>
  </si>
  <si>
    <t>贵州一品樽商贸有限公司</t>
  </si>
  <si>
    <t>樽行径 ZUN JOURNEY</t>
  </si>
  <si>
    <t>⽩⼲酒（中国⽩酒）;由⾕物蒸馏的⽩酒;⽩酒</t>
  </si>
  <si>
    <t>贵州省仁怀市国鼎酱酒业有限公司</t>
  </si>
  <si>
    <t>瑞草芝</t>
  </si>
  <si>
    <t>开胃酒;烈酒（饮料）;⽶酒;⽩酒;鸡尾酒;⻩酒;⽩兰地;威⼠忌;果酒（含酒精）;薄荷酒</t>
  </si>
  <si>
    <t>浙江古越龙山绍兴酒股份有限公司</t>
  </si>
  <si>
    <t>状元红平步青云</t>
  </si>
  <si>
    <t>⻩酒;蒸煮提取物（利⼝酒和烈酒）;甜酒;果酒（含酒精）;烧酒;⽩酒;⽶酒;清酒（⽇本⽶酒）;葡萄酒;烈酒（饮料）</t>
  </si>
  <si>
    <t>深圳市亿采酒业有限公司</t>
  </si>
  <si>
    <t>⽩酒;葡萄酒;果酒（含酒精）;鸡尾酒;⽶酒;⽩兰地;含酒精的充⽓饮料（啤酒除外）;开胃酒;清酒（⽇本⽶酒）;烈酒（饮料）</t>
  </si>
  <si>
    <t>拉缇姆公司</t>
  </si>
  <si>
    <t>VIVIENNE WESTWOOD</t>
  </si>
  <si>
    <t>烈酒;酒精饮料（啤酒除外）;利⼝酒;葡萄酒</t>
  </si>
  <si>
    <t>沧州羿兆商贸有限公司</t>
  </si>
  <si>
    <t>羿娆</t>
  </si>
  <si>
    <t>烧酒;果酒（含酒精）;⽩酒;樱桃酒;含酒精⽔果饮料;⽶酒;苹果酒;鸡尾酒;葡萄酒;含⽔果酒精饮料</t>
  </si>
  <si>
    <t>焦龙伦</t>
  </si>
  <si>
    <t>隆宇台酒</t>
  </si>
  <si>
    <t>果酒（含酒精）;葡萄酒;烈酒（饮料）;⾕物制蒸馏酒精饮料;伏特加酒;⽶酒;⽩酒;鸡尾酒;威⼠忌;⻩酒</t>
  </si>
  <si>
    <t>宁夏恒一通文化科技有限公司</t>
  </si>
  <si>
    <t>恒一通书院红酒</t>
  </si>
  <si>
    <t>以葡萄酒为主的开胃酒;红葡萄酒;起泡⽩葡萄酒;葡萄汽酒;酸酒（低等葡萄酒）;桃红葡萄酒;酒精饮料浓缩汁;加烈葡萄酒;加⾹料的热葡萄酒;葡萄酒</t>
  </si>
  <si>
    <t>梦之蓝乐享版</t>
  </si>
  <si>
    <t>果酒（含酒精）;蒸煮提取物（利⼝酒和烈酒）;⾷⽤酒精;⽩酒;酒精饮料（啤酒除外）;烧酒;葡萄酒;利⼝酒;烈酒（饮料）;预先混合的酒精饮料（以啤酒为主的除外）</t>
  </si>
  <si>
    <t>腾讯科技（深圳）有限公司</t>
  </si>
  <si>
    <t>⽩兰地;清酒（⽇本⽶酒）;开胃酒;鸡尾酒;⻩酒;含⽔果酒精饮料;⻘稞酒;果酒（含酒精）;朗姆酒;酒精饮料（啤酒除外）</t>
  </si>
  <si>
    <t>梦之蓝 乐享版</t>
  </si>
  <si>
    <t>烧酒;葡萄酒;利⼝酒;⾷⽤酒精;酒精饮料（啤酒除外）;预先混合的酒精饮料（以啤酒为主的除外）;果酒（含酒精）;蒸煮提取物（利⼝酒和烈酒）;烈酒（饮料）;⽩酒</t>
  </si>
  <si>
    <t>贵州岁月年华酒业有限公司</t>
  </si>
  <si>
    <t>御建长安</t>
  </si>
  <si>
    <t>汽酒;⻩酒;烈酒（饮料）;⽼酒（中国蒸馏烈酒）;⽶酒;果酒（含酒精）;预先混合的酒精饮料（以啤酒为主的除外）;鸡尾酒;葡萄酒;⽩酒</t>
  </si>
  <si>
    <t>佛山市新豪轩智能家居科技有限公司</t>
  </si>
  <si>
    <t>新豪轩门窗</t>
  </si>
  <si>
    <t>苹果酒;葡萄酒;果酒（含酒精）;开胃酒;⽩酒;⾷⽤酒精;薄荷酒;鸡尾酒;⽶酒;樱桃酒</t>
  </si>
  <si>
    <t>多特瑞控股有限责任公司</t>
  </si>
  <si>
    <t>CPTG</t>
  </si>
  <si>
    <t>含⽔果酒精饮料;酒精饮料（啤酒除外）;以葡萄酒为主的饮料;含酒精⽔果饮料;以葡萄酒为主的开胃酒;鸡尾酒;葡萄酒;朗姆酒;伏特加酒;果酒（含酒精）</t>
  </si>
  <si>
    <t>北京禹凰文化传媒有限公司</t>
  </si>
  <si>
    <t>宝住世界</t>
  </si>
  <si>
    <t>苦味酒;葡萄酒;薄荷酒;⽶酒;开胃酒;⻩酒;果酒（含酒精）;利⼝酒;⽩酒;⻘稞酒</t>
  </si>
  <si>
    <t>陕西西凤酒股份有限公司</t>
  </si>
  <si>
    <t>酒海元气</t>
  </si>
  <si>
    <t>酒精饮料原汁;烧酒;果酒（含酒精）;葡萄酒;含酒精的充⽓饮料（啤酒除外）;蒸馏饮料;⻩酒;⽩酒;含⽔果酒精饮料;烈酒（饮料）</t>
  </si>
  <si>
    <t>果酒;甜酒;酒精饮料（啤酒除外）;烧酒;⻩酒;⽩酒;烈酒;葡萄酒;蒸煮提取物（利⼝酒和烈酒）;鸡尾酒</t>
  </si>
  <si>
    <t>开平市碉游文化发展有限公司</t>
  </si>
  <si>
    <t>碉城</t>
  </si>
  <si>
    <t>果酒;含酒精⽔果饮料;烧酒;五加⽪酒（中国混合烈酒）;⽼酒（中国蒸馏烈酒）;⽩⼲酒（中国⽩酒）;⻩酒;含酒精的饮料（啤酒除外）;⽩酒;⾼粱酒</t>
  </si>
  <si>
    <t>山东景阳门酒业有限公司</t>
  </si>
  <si>
    <t>京午门二锅头</t>
  </si>
  <si>
    <t>⻩酒;⽩兰地;烧酒;⽶酒;果酒（含酒精）;烈酒（饮料）;⽩酒;预先混合的酒精饮料（以啤酒为主的除外）;餐后酒（利⼝酒和烈酒）;酒精饮料原汁</t>
  </si>
  <si>
    <t>舞阳长青园林有限公司</t>
  </si>
  <si>
    <t>恩澧</t>
  </si>
  <si>
    <t>果酒（含酒精）;⽩兰地;⾕物制蒸馏酒精饮料;⽩酒;⽶酒;开胃酒;烧酒;烈酒（饮料）;蜂蜜酒;⻩酒</t>
  </si>
  <si>
    <t>洋河梦想文化</t>
  </si>
  <si>
    <t>蒸煮提取物（利⼝酒和烈酒）;果酒（含酒精）;葡萄酒;烧酒;烈酒（饮料）;酒精饮料（啤酒除外）;⾷⽤酒精;⽩酒;预先混合的酒精饮料（以啤酒为主的除外）;利⼝酒</t>
  </si>
  <si>
    <t>吉林省快马人力资源有限责任公司</t>
  </si>
  <si>
    <t>开卉</t>
  </si>
  <si>
    <t>红葡萄酒;果酒（含酒精）;烈酒;烈酒（饮料）;酒精饮料（啤酒除外）;⽩酒;⽼酒（中国蒸馏烈酒）;⻩酒;⾼粱酒;烧酒</t>
  </si>
  <si>
    <t>乌鲁木齐市大公元广告有限公司</t>
  </si>
  <si>
    <t>普全</t>
  </si>
  <si>
    <t>梅酒;⻩酒;⽩酒;⽩⼲酒（中国⽩酒）;威⼠忌;⾼粱酒;果酒;葡萄酒;⽩兰地;烈酒</t>
  </si>
  <si>
    <t>久鲤餐饮（天津）有限公司</t>
  </si>
  <si>
    <t>JOLLY FOOD</t>
  </si>
  <si>
    <t>烈酒（饮料）;鸡尾酒;酒精饮料（啤酒除外）;⽇本梅⼦酒</t>
  </si>
  <si>
    <t>百年基酒酒业（北京）有限公司</t>
  </si>
  <si>
    <t>古龙水西</t>
  </si>
  <si>
    <t>⻩酒;苹果酒;伏特加酒;⻘稞酒;⽩酒;鸡尾酒;葡萄酒;威⼠忌;酒精饮料（啤酒除外）;果酒（含酒精）</t>
  </si>
  <si>
    <t>青海互助县威达青稞酒有限责任公司</t>
  </si>
  <si>
    <t>五彩</t>
  </si>
  <si>
    <t>蒸馏饮料;葡萄酒;烈酒（饮料）;酒精饮料（啤酒除外）;⻩酒;清酒;烧酒;利⼝酒;⻘稞酒;⾷⽤酒精</t>
  </si>
  <si>
    <t>QQ</t>
  </si>
  <si>
    <t>清酒（⽇本⽶酒）;酒精饮料（啤酒除外）;鸡尾酒;果酒（含酒精）;预先混合的酒精饮料（以啤酒为主的除外）;⽩酒;含⽔果酒精饮料;⻩酒;葡萄酒;威⼠忌</t>
  </si>
  <si>
    <t>潘神（上海）应用科技有限公司</t>
  </si>
  <si>
    <t>拜索</t>
  </si>
  <si>
    <t>果酒（含酒精）</t>
  </si>
  <si>
    <t>果酒（含酒精）;朗姆酒;开胃酒;鸡尾酒;⻩酒;酒精饮料（啤酒除外）;⻘稞酒;⽩兰地;含⽔果酒精饮料;清酒（⽇本⽶酒）</t>
  </si>
  <si>
    <t>杭州徕恩科技发展有限公司</t>
  </si>
  <si>
    <t>美时 MEISHI WHISKEY</t>
  </si>
  <si>
    <t>⽶酒;葡萄酒;⽩兰地;鸡尾酒;威⼠忌;⻘稞酒;⻩酒;⽩酒;果酒;烧酒</t>
  </si>
  <si>
    <t>美时 MEISHI RUM WINE</t>
  </si>
  <si>
    <t>⽩兰地;威⼠忌;烧酒;果酒;葡萄酒;⽶酒;鸡尾酒;⻘稞酒;⽩酒;⻩酒</t>
  </si>
  <si>
    <t>杭州市拱墅区公喜生活服务部</t>
  </si>
  <si>
    <t>自作煮庄</t>
  </si>
  <si>
    <t>含酒精⽔果饮料;⽩酒;⻩酒;五加⽪酒（中国混合烈酒）;⽶酒;除啤酒外的酒精饮料;果酒（含酒精）;酒精饮料（啤酒除外）;⽩葡萄酒;果酒</t>
  </si>
  <si>
    <t>深圳市鲜语餐饮管理有限公司</t>
  </si>
  <si>
    <t>GAGAISM</t>
  </si>
  <si>
    <t>⽶酒;汽酒;清酒;果酒（含酒精）;开胃酒;鸡尾酒;含⽔果酒精饮料;葡萄酒;⾷⽤酒精;蒸煮提取物（利⼝酒和烈酒）;蒸馏饮料</t>
  </si>
  <si>
    <t>贵州玺彩文化传媒有限公司</t>
  </si>
  <si>
    <t>焦陈风格</t>
  </si>
  <si>
    <t>葡萄酒;酒精饮料原汁;开胃酒;樱桃酒;蜂蜜酒;果酒（含酒精）;酒精饮料浓缩汁;⽶酒;酒精饮料（啤酒除外）;⽩酒</t>
  </si>
  <si>
    <t>仰韶老家</t>
  </si>
  <si>
    <t>蒸馏饮料;⽩酒;含⽔果酒精饮料;⾷⽤酒精;酒精饮料原汁;果酒（含酒精）;⽶酒;葡萄酒;⻩酒;酒精饮料（啤酒除外）</t>
  </si>
  <si>
    <t>琳琅天上</t>
  </si>
  <si>
    <t>葡萄酒;酒精饮料（啤酒除外）;⽶酒;威⼠忌;清酒（⽇本⽶酒）;烧酒;鸡尾酒;⽩酒;含⽔果酒精饮料;预先混合的酒精饮料（以啤酒为主的除外）</t>
  </si>
  <si>
    <t>来此购（武汉）品牌管理中心</t>
  </si>
  <si>
    <t>鸡尾酒;威⼠忌;果酒（含酒精）;葡萄酒;酒精饮料（啤酒除外）;含酒精的充⽓饮料（啤酒除外）;含⽔果酒精饮料;开胃酒;烧酒;蒸馏饮料</t>
  </si>
  <si>
    <t>钱永红</t>
  </si>
  <si>
    <t>香安妮</t>
  </si>
  <si>
    <t>薄荷酒;⽩酒;苹果酒;葡萄酒;烧酒;果酒（含酒精）</t>
  </si>
  <si>
    <t>四川省宜宾五粮液集团有限公司</t>
  </si>
  <si>
    <t>五粮旺</t>
  </si>
  <si>
    <t>蒸馏饮料;烧酒;⽩酒;汽酒;含⽔果酒精饮料;威⼠忌;果酒（含酒精）;葡萄酒;酒精饮料（啤酒除外）;鸡尾酒</t>
  </si>
  <si>
    <t>福思乐国际酒业（北京）有限公司</t>
  </si>
  <si>
    <t>PLACE MATTERS</t>
  </si>
  <si>
    <t>烈酒（饮料）;鸡尾酒;⽩兰地;烧酒;果酒（含酒精）;酒精饮料浓缩汁;葡萄酒;开胃酒;威⼠忌;⽩酒</t>
  </si>
  <si>
    <t>河南盛付通网络科技有限公司</t>
  </si>
  <si>
    <t>西村龙谷</t>
  </si>
  <si>
    <t>清酒（⽇本⽶酒）;⽩葡萄酒;⽩酒;⾼粱酒;⽶酒</t>
  </si>
  <si>
    <t>郑良玉</t>
  </si>
  <si>
    <t>麦香小语</t>
  </si>
  <si>
    <t>威⼠忌;葡萄酒;烧酒;含⽔果酒精饮料;⽩酒;⽩兰地;⽶酒;烈酒（饮料）;⻩酒;酒精饮料（啤酒除外）</t>
  </si>
  <si>
    <t>温州尤收贸易有限公司</t>
  </si>
  <si>
    <t>尤收</t>
  </si>
  <si>
    <t>⽩酒;⻘稞酒;蜂蜜酒;⻩酒;⽶酒;⽩⼲酒（中国⽩酒）;葡萄酒;⽩兰地;清酒</t>
  </si>
  <si>
    <t>汤全福</t>
  </si>
  <si>
    <t>淑德</t>
  </si>
  <si>
    <t>清酒;⻩酒;⾼粱酒;⽶酒;烧酒;葡萄酒;⽩酒;果酒（含酒精）;烈酒;露酒</t>
  </si>
  <si>
    <t>泉州江小帅贸易有限公司</t>
  </si>
  <si>
    <t>辅佐壹品</t>
  </si>
  <si>
    <t>鸡尾酒;⽶酒;烧酒;⻩酒;威⼠忌;⽩酒;薄荷酒;葡萄酒;⽩兰地;清酒（⽇本⽶酒）</t>
  </si>
  <si>
    <t>风行商业管理（北京）合伙企业（有限合伙）</t>
  </si>
  <si>
    <t>金</t>
  </si>
  <si>
    <t>薄荷酒;⽩兰地;⽩酒;烧酒;葡萄酒;果酒（含酒精）;⽶酒;⻩酒;鸡尾酒;开胃酒</t>
  </si>
  <si>
    <t>贵州省仁怀市致玖酒业有限公司</t>
  </si>
  <si>
    <t>醉响令</t>
  </si>
  <si>
    <t>葡萄酒;⽩酒;烧酒;鸡尾酒;⻩酒;烈酒（饮料）;酒精饮料（啤酒除外）;果酒（含酒精）;汽酒;蒸馏饮料</t>
  </si>
  <si>
    <t>洪梓灿</t>
  </si>
  <si>
    <t>宾利之星酒园</t>
  </si>
  <si>
    <t>葡萄酒;蒸煮提取物（利⼝酒和烈酒）;烈酒（饮料）;鸡尾酒;果酒（含酒精）;威⼠忌;⽩兰地;⽶酒;⽩酒;伏特加酒</t>
  </si>
  <si>
    <t>内蒙古云上草原科技发展有限公司</t>
  </si>
  <si>
    <t>暖城金府</t>
  </si>
  <si>
    <t>酒精饮料（啤酒除外）;蒸馏饮料;⽶酒;果酒（含酒精）;葡萄酒;鸡尾酒;烈酒（饮料）;⽩酒;烧酒;⻩酒</t>
  </si>
  <si>
    <t>冉明</t>
  </si>
  <si>
    <t>见东方</t>
  </si>
  <si>
    <t>果酒（含酒精）;葡萄酒;烈酒（饮料）;⽩酒;⽶酒;⻩酒;酒精饮料原汁;烧酒;酒精饮料（啤酒除外）;餐后酒（利⼝酒和烈酒）</t>
  </si>
  <si>
    <t>黑河蛾神生物科技有限公司</t>
  </si>
  <si>
    <t>东方神蛾</t>
  </si>
  <si>
    <t>葡萄酒;果酒（含酒精）;开胃酒;烧酒;酒精饮料（啤酒除外）;蜂蜜酒;⽶酒;⽩酒;预先混合的酒精饮料（以啤酒为主的除外）;伏特加酒</t>
  </si>
  <si>
    <t>石家庄飒润商贸有限公司</t>
  </si>
  <si>
    <t>祎皇</t>
  </si>
  <si>
    <t>⽩酒;含⽔果酒精饮料;酒精饮料（啤酒除外）;⾷⽤酒精;酒精饮料原汁;鸡尾酒;葡萄酒;⻩酒;烈酒（饮料）;果酒（含酒精）</t>
  </si>
  <si>
    <t>张丽522424********1425</t>
  </si>
  <si>
    <t>多彩黄小西</t>
  </si>
  <si>
    <t>⽶酒;酒精饮料（啤酒除外）;烈酒（饮料）;⽩酒;果酒（含酒精）;鸡尾酒;葡萄酒;⻩酒;⽢蔗制烈酒;烧酒</t>
  </si>
  <si>
    <t>成都翌霖电子商务有限公司</t>
  </si>
  <si>
    <t>艾菲尼</t>
  </si>
  <si>
    <t>⻘稞酒;果酒（含酒精）;苦味酒;⽩兰地;⽶酒;薄荷酒;伏特加酒;烧酒;⻩酒;⽩酒</t>
  </si>
  <si>
    <t>花彤木（北京）管理有限公司</t>
  </si>
  <si>
    <t>京龙尊</t>
  </si>
  <si>
    <t>利⼝酒;果酒;酒精饮料（啤酒除外）;⽩酒;蒸煮提取物（利⼝酒和烈酒）;⻩酒;开胃酒;烈酒;⻘稞酒;葡萄酒</t>
  </si>
  <si>
    <t>陶同敏</t>
  </si>
  <si>
    <t>欧桐</t>
  </si>
  <si>
    <t>⽩酒;⽩兰地;酒精饮料（啤酒除外）;烧酒;伏特加酒;⽶酒;清酒;果酒（含酒精）;鸡尾酒;葡萄酒</t>
  </si>
  <si>
    <t>石家庄典旭酒业有限公司</t>
  </si>
  <si>
    <t>纪实佳酝</t>
  </si>
  <si>
    <t>烧酒;⾼粱酒;⽼酒（中国蒸馏烈酒）;⻩酒;酒精饮料（啤酒除外）;⽩酒;烧酒（烈酒）;杨梅酒;⽩葡萄酒;⽶酒</t>
  </si>
  <si>
    <t>王军兴</t>
  </si>
  <si>
    <t>袁升泰</t>
  </si>
  <si>
    <t>⽩酒;⾷⽤酒精;葡萄酒;⻩酒;鸡尾酒;⾕物制蒸馏酒精饮料;烧酒;酒精饮料（啤酒除外）;⽶酒;果酒（含酒精）</t>
  </si>
  <si>
    <t>黄智</t>
  </si>
  <si>
    <t>廊桥村野</t>
  </si>
  <si>
    <t>蜂蜜酒;葡萄酒;⻩酒;烧酒;⾕物制蒸馏酒精饮料;樱桃酒;烈酒（饮料）;⾷⽤酒精;⽩酒;⽶酒</t>
  </si>
  <si>
    <t>陈发根</t>
  </si>
  <si>
    <t>逆瑞坊</t>
  </si>
  <si>
    <t>葡萄酒;利⼝酒;酒精饮料（啤酒除外）;果酒（含酒精）;含酒精的饮料（啤酒除外）;烧酒;⽩酒;⽶酒;⾕物制蒸馏酒精饮料;⻩酒</t>
  </si>
  <si>
    <t>路新兰</t>
  </si>
  <si>
    <t>汉贡村</t>
  </si>
  <si>
    <t>威⼠忌;烧酒;⽩酒;⻩酒;⽶酒;清酒;汽酒;果酒;⽩兰地;葡萄酒</t>
  </si>
  <si>
    <t>杨优壮</t>
  </si>
  <si>
    <t>华要基酒</t>
  </si>
  <si>
    <t>果酒（含酒精）;葡萄酒;酒精饮料（啤酒除外）;⻩酒;烧酒;鸡尾酒;⽶酒;烈酒（饮料）;清酒（⽇本⽶酒）;⽩酒</t>
  </si>
  <si>
    <t>冯尧</t>
  </si>
  <si>
    <t>朱涎</t>
  </si>
  <si>
    <t>葡萄酒;开胃酒;⽩酒;酒精饮料（啤酒除外）;鸡尾酒;⻩酒;威⼠忌;清酒（⽇本⽶酒）;烈酒;果酒（含酒精）</t>
  </si>
  <si>
    <t>山西华壹阳建筑工程有限公司</t>
  </si>
  <si>
    <t>华壹阳</t>
  </si>
  <si>
    <t>薄荷酒;⽩酒;⾼粱酒;葡萄酒;⻩酒;烈酒;含⽔果酒精饮料;苦味酒;烧酒;烧酒（烈酒）</t>
  </si>
  <si>
    <t>优品（烟台）供应链服务有限公司</t>
  </si>
  <si>
    <t>SALOON CASTLE</t>
  </si>
  <si>
    <t>酒精饮料(啤酒除外);葡萄酒;⽩兰地;利⼝酒;烈酒;鸡尾酒;汽酒;威⼠忌;⽩酒;伏特加酒</t>
  </si>
  <si>
    <t>过得好（山东）商业管理有限公司</t>
  </si>
  <si>
    <t>明方式</t>
  </si>
  <si>
    <t>果酒（含酒精）;葡萄酒;⻩酒;⽩酒;⽶酒;酒精饮料（啤酒除外）;汽酒;烈酒（饮料）;蜂蜜酒;清酒</t>
  </si>
  <si>
    <t>贵州正观文化传播有限公司</t>
  </si>
  <si>
    <t>吾乡美</t>
  </si>
  <si>
    <t>葡萄酒;含⽔果酒精饮料;威⼠忌;⽩酒;蒸馏饮料;酒精饮料（啤酒除外）;⻩酒;开胃酒;果酒（含酒精）;薄荷酒</t>
  </si>
  <si>
    <t>贵州名公酒业有限公司</t>
  </si>
  <si>
    <t>名公</t>
  </si>
  <si>
    <t>⻩酒;葡萄酒;清酒;酒精饮料（啤酒除外）;⽩酒;果酒（含酒精）;烈酒（饮料）;⽶酒;⻘稞酒;烧酒</t>
  </si>
  <si>
    <t>天津襄润企业管理咨询有限公司</t>
  </si>
  <si>
    <t>博守</t>
  </si>
  <si>
    <t>酒精饮料（啤酒除外）;⻩酒;烈酒（饮料）;含⽔果酒精饮料;⽩酒;烧酒;伏特加酒;葡萄酒;⽶酒;清酒</t>
  </si>
  <si>
    <t>曾昭骏</t>
  </si>
  <si>
    <t>友浔</t>
  </si>
  <si>
    <t>⽩酒;开胃酒;果酒（含酒精）;葡萄酒;烈酒;除啤酒外的酒精饮料;鸡尾酒;威⼠忌;清酒（⽇本⽶酒）;⻩酒</t>
  </si>
  <si>
    <t>问渠（天津）管理咨询有限公司</t>
  </si>
  <si>
    <t>农情轻礼</t>
  </si>
  <si>
    <t>⾷⽤酒精;⽩酒;烧酒;威⼠忌;⻩酒;葡萄酒;⽶酒;酒精饮料（啤酒除外）;开胃酒;果酒（含酒精）</t>
  </si>
  <si>
    <t>武义熟溪酒厂</t>
  </si>
  <si>
    <t>龙水里</t>
  </si>
  <si>
    <t>⾷⽤酒精;⽩酒;黑覆盆⼦酒;⻩酒;威⼠忌;果酒;葡萄酒;⽩兰地;烧酒;汽酒</t>
  </si>
  <si>
    <t>深圳市胶已人餐饮管理有限公司</t>
  </si>
  <si>
    <t>HFUNJJ</t>
  </si>
  <si>
    <t>⽩兰地;⽶酒;葡萄酒;烧酒;果酒;清酒;威⼠忌;⽩酒;梅酒;朗姆酒</t>
  </si>
  <si>
    <t>宜宾五粮液仙林生态酒业有限公司</t>
  </si>
  <si>
    <t>鸡尾酒;烈酒（饮料）;蒸馏饮料;含⽔果酒精饮料;苹果酒;葡萄酒;酒精饮料（啤酒除外）;烧酒;果酒（含酒精）;⽩酒</t>
  </si>
  <si>
    <t>惠东县政购实业有限公司</t>
  </si>
  <si>
    <t>禾益梦</t>
  </si>
  <si>
    <t>⻩酒;烧酒;葡萄酒;⽩酒;甜酒;烈酒;⽶酒;露酒;梅酒;果酒</t>
  </si>
  <si>
    <t>山西汾州古韵酒业有限公司</t>
  </si>
  <si>
    <t>缘聚清花</t>
  </si>
  <si>
    <t>⾷⽤酒精;开胃酒;酒精饮料（啤酒除外）;⻘稞酒;含酒精⽔果饮料;果酒（含酒精）;葡萄酒;清酒（⽇本⽶酒）;利⼝酒;烧酒</t>
  </si>
  <si>
    <t>江苏博领科技集团股份有限公司</t>
  </si>
  <si>
    <t>开胃酒;烈酒（饮料）;烧酒;果酒;⽩酒;汽酒;⻩酒;⽶酒;含⽔果酒精饮料;甜果酒</t>
  </si>
  <si>
    <t>刘霞</t>
  </si>
  <si>
    <t>詹太</t>
  </si>
  <si>
    <t>烧酒;甜酒;⻩酒;⽩酒;清酒（⽇本⽶酒）;烈酒;⽶酒;葡萄酒;酒精饮料（啤酒除外）;果酒（含酒精）</t>
  </si>
  <si>
    <t>福建医联生物工程有限公司</t>
  </si>
  <si>
    <t>百岁能</t>
  </si>
  <si>
    <t>果酒（含酒精）;⽶酒;⻩酒;伏特加酒;酒精饮料（啤酒除外）;葡萄酒;威⼠忌;烧酒;鸡尾酒;⽩酒</t>
  </si>
  <si>
    <t>李建伟</t>
  </si>
  <si>
    <t>红狮头</t>
  </si>
  <si>
    <t>果酒（含酒精）;汽酒;葡萄酒;烧酒;露酒;蒸馏饮料;⽶酒;⻩酒;⽩酒;开胃酒</t>
  </si>
  <si>
    <t>北京娜明城商业管理有限公司</t>
  </si>
  <si>
    <t>明城明寓</t>
  </si>
  <si>
    <t>烧酒;鸡尾酒;威⼠忌;⻩酒;⽩酒;利⼝酒;⽩兰地;⽶酒;果酒;伏特加酒</t>
  </si>
  <si>
    <t>浙江自贸区希诺赛生物科技有限公司</t>
  </si>
  <si>
    <t>普济缘泉</t>
  </si>
  <si>
    <t>以葡萄酒为主的饮料;果酒（含酒精）;葡萄酒;⻩酒;⽶酒;清酒（⽇本⽶酒）;⽩酒;含⽔果酒精饮料;⾕物制蒸馏酒精饮料;鸡尾酒</t>
  </si>
  <si>
    <t>杭州傲坤网络科技有限公司</t>
  </si>
  <si>
    <t>侠盟</t>
  </si>
  <si>
    <t>⽶酒;⻩酒;清酒;含酒精的⽓泡⽔;⽩酒;葡萄酒;酒精饮料（啤酒除外）;果酒;蒸馏饮料;汽酒</t>
  </si>
  <si>
    <t>问谷道</t>
  </si>
  <si>
    <t>威⼠忌;⽶酒;⽩兰地;葡萄酒;⽩酒;果酒（含酒精）;⻩酒;鸡尾酒;甜酒;烧酒</t>
  </si>
  <si>
    <t>霍牡丽</t>
  </si>
  <si>
    <t>义泉清花</t>
  </si>
  <si>
    <t>⾷⽤酒精;烈酒;露酒;由⾕物蒸馏的⽩酒;烧酒;⾼粱酒;果酒;⽼酒（中国蒸馏烈酒）;烧酒（烈酒）;⽩酒</t>
  </si>
  <si>
    <t>胶州市中云街道办事处经管审计统计服务中心</t>
  </si>
  <si>
    <t>中云桥头</t>
  </si>
  <si>
    <t>酒精饮料（啤酒除外）;含酒精⽔果饮料;含酒精的⽓泡⽔;酒精饮料原汁;⽩酒;果酒（含酒精）;⻘梅酒;蒸馏饮料;⽶酒;⽢蔗制酒精饮料</t>
  </si>
  <si>
    <t>深圳市野妹投资发展有限公司</t>
  </si>
  <si>
    <t>千千餮</t>
  </si>
  <si>
    <t>薄荷酒;开胃酒;鸡尾酒;茴⾹酒（利⼝酒）;⽩酒;⻩酒;果酒（含酒精）;苦味酒;茴芹酒（利⼝酒）;蒸馏饮料</t>
  </si>
  <si>
    <t>宜宾古粮洞酒业有限公司</t>
  </si>
  <si>
    <t>⽶酒;烧酒;⾼粱酒;清酒;⽩酒;果酒;露酒;由⾕物蒸馏的⽩酒;⻘稞酒;葡萄酒</t>
  </si>
  <si>
    <t>醉江福酒业有限公司</t>
  </si>
  <si>
    <t>礼小辰</t>
  </si>
  <si>
    <t>⾼粱酒;果酒;⽩酒;含酒精的⽔果鸡尾酒饮料;⻩酒;⽩兰地;烧酒;⽶酒;烈酒（饮料）;葡萄酒</t>
  </si>
  <si>
    <t>稻金凰</t>
  </si>
  <si>
    <t>烧酒;⾼粱酒;果酒;⽩兰地;⻩酒;含酒精的⽔果鸡尾酒饮料;⽶酒;葡萄酒;烈酒（饮料）;⽩酒</t>
  </si>
  <si>
    <t>成都市九百村奇石根雕博物馆</t>
  </si>
  <si>
    <t>九百邨</t>
  </si>
  <si>
    <t>⾷⽤酒精;⻩酒;蜂蜜酒;⽩酒;烧酒;清酒（⽇本⽶酒）;酒精饮料（啤酒除外）;⽶酒;⻘稞酒;烈酒（饮料）</t>
  </si>
  <si>
    <t>贵州古镇恒昌烧坊酒业有限责任公司</t>
  </si>
  <si>
    <t>古镇恒泰</t>
  </si>
  <si>
    <t>烧酒;鸡尾酒;烈酒（饮料）;⽩酒;酒精饮料（啤酒除外）;⽶酒;果酒（含酒精）;⻩酒;葡萄酒;清酒（⽇本⽶酒）</t>
  </si>
  <si>
    <t>衡昌至尊</t>
  </si>
  <si>
    <t>葡萄酒;⻩酒;⾼粱酒;含⽔果酒精饮料;⽩⼲酒（中国⽩酒）;烧酒;⽩酒;开胃酒;⽶酒;⻘稞酒</t>
  </si>
  <si>
    <t>黑龙江省北安农垦天运山产品有限公司</t>
  </si>
  <si>
    <t>山品多</t>
  </si>
  <si>
    <t>伏特加酒;⽩酒;烧酒;不起泡葡萄酒;鸡尾酒;酒精饮料（啤酒除外）;威⼠忌;⽶酒;烈酒（饮料）;果酒（含酒精）</t>
  </si>
  <si>
    <t>北京瑞源峰商贸有限公司</t>
  </si>
  <si>
    <t>意合圆</t>
  </si>
  <si>
    <t>伏特加酒;梨酒;⻩酒;⽶酒;清酒（⽇本⽶酒）;樱桃酒;⻘稞酒;朗姆酒;⽩酒;汽酒</t>
  </si>
  <si>
    <t>四川康本道健康科技有限公司</t>
  </si>
  <si>
    <t>口森宝</t>
  </si>
  <si>
    <t>伏特加酒;开胃酒;葡萄酒;果酒（含酒精）;酒精饮料浓缩汁;烈酒（饮料）;⾕物制蒸馏酒精饮料;⽩酒;蒸馏饮料;鸡尾酒</t>
  </si>
  <si>
    <t>同城酒库电子商务有限公司</t>
  </si>
  <si>
    <t>狮园华丽堡</t>
  </si>
  <si>
    <t>葡萄酒;以葡萄酒为主的开胃酒;⽩葡萄酒;红葡萄酒;加烈葡萄酒;起泡红葡萄酒;以葡萄酒为主的饮料;桃红葡萄酒;调制好的葡萄酒鸡尾酒;起泡⽩葡萄酒</t>
  </si>
  <si>
    <t>保罗·西奥多·吉莱纳斯</t>
  </si>
  <si>
    <t>利口酒;薄荷酒;白酒;蒸馏饮料;果酒;开胃酒;黄酒;食用酒精;米酒;清酒</t>
  </si>
  <si>
    <t>杨元香</t>
  </si>
  <si>
    <t>找北</t>
  </si>
  <si>
    <t>⾼粱酒;杨梅酒;⻘稞酒;汽酒;烧酒;⻩酒;⽩酒;葡萄酒;⽶酒;果酒</t>
  </si>
  <si>
    <t>BAROWHITE</t>
  </si>
  <si>
    <t>红葡萄酒;葡萄酒;威士忌;调制好的葡萄酒鸡尾酒;白葡萄酒;预先混合的酒精饮料（以啤酒为主的除外）;白兰地;米酒;除啤酒外的酒精饮料;清酒</t>
  </si>
  <si>
    <t>任增战</t>
  </si>
  <si>
    <t>济效堂</t>
  </si>
  <si>
    <t>⽶酒;葡萄酒;⻩酒;开胃酒;甜酒;⾷⽤酒精;清酒;⽩酒;果酒;汽酒</t>
  </si>
  <si>
    <t>深圳市君永安科技有限公司</t>
  </si>
  <si>
    <t>必舍夫酒</t>
  </si>
  <si>
    <t>今马叮当国际医药有限公司</t>
  </si>
  <si>
    <t>顾夕</t>
  </si>
  <si>
    <t>烧酒;米酒;白酒;鸡尾酒;烈酒（饮料）;开胃酒;葡萄酒;酸酒（低等葡萄酒）;酒精饮料（啤酒除外）;果酒（含酒精）</t>
  </si>
  <si>
    <t>天津速越科技有限公司</t>
  </si>
  <si>
    <t>越驰祥瑞</t>
  </si>
  <si>
    <t>酒精饮料（啤酒除外）;米酒;鸡尾酒;含水果酒精饮料;食用酒精;蒸馏饮料;果酒（含酒精）;白酒;葡萄酒;开胃酒</t>
  </si>
  <si>
    <t>河南瀚之玺商贸有限公司</t>
  </si>
  <si>
    <t>词海小帽台</t>
  </si>
  <si>
    <t>含⽔果酒精饮料;⻘稞酒;⻩酒;葡萄酒;⽶酒;⽩酒;果酒（含酒精）;汽酒;烈酒;鸡尾酒</t>
  </si>
  <si>
    <t>果酒（含酒精）;葡萄酒;烈酒;⻘稞酒;⽶酒;含⽔果酒精饮料;⽩酒;鸡尾酒;汽酒;⻩酒</t>
  </si>
  <si>
    <t>广东省开元龙参酒业有限公司</t>
  </si>
  <si>
    <t>北神乾坤酒</t>
  </si>
  <si>
    <t>威士忌;烧酒;食用酒精;露酒;葡萄酒;开胃酒;酒精饮料（啤酒除外）;白酒;黄酒;果酒（含酒精）</t>
  </si>
  <si>
    <t>龙海慧谷创业空间有限公司</t>
  </si>
  <si>
    <t>岩仔坑</t>
  </si>
  <si>
    <t>含⽔果酒精饮料;⽶酒;梅酒;烈酒;⽼酒（中国蒸馏烈酒）;葡萄酒;⻩酒;⽩酒;果酒;鸡尾酒</t>
  </si>
  <si>
    <t>锃天下</t>
  </si>
  <si>
    <t>⽩酒;烧酒;⽶酒;果酒（含酒精）;开胃酒;酸酒（低等葡萄酒）;酒精饮料（啤酒除外）;烈酒（饮料）;葡萄酒;鸡尾酒</t>
  </si>
  <si>
    <t>河北仕诚网络科技有限公司</t>
  </si>
  <si>
    <t>阮澳</t>
  </si>
  <si>
    <t>⽶酒;果酒（含酒精）;⾷⽤酒精;酒精饮料（啤酒除外）;⻩酒;鸡尾酒;葡萄酒;威⼠忌;烧酒;⽩酒</t>
  </si>
  <si>
    <t>张家口晟瑞机械制造有限公司</t>
  </si>
  <si>
    <t>耀盟</t>
  </si>
  <si>
    <t>烈酒（饮料）;⽶酒;果酒（含酒精）;葡萄酒;⻩酒;酒精饮料原汁;烧酒;汽酒;⽩酒;利⼝酒</t>
  </si>
  <si>
    <t>北京君佑福缘商贸有限公司</t>
  </si>
  <si>
    <t>持信</t>
  </si>
  <si>
    <t>烈酒;甜酒;⾼粱酒;果酒;清酒;朗姆酒;葡萄酒;⽩酒;⽔果汽酒;⽶酒</t>
  </si>
  <si>
    <t>大理诗远酒业有限责任公司</t>
  </si>
  <si>
    <t>樱花在</t>
  </si>
  <si>
    <t>威⼠忌;果酒（含酒精）;清酒（⽇本⽶酒）;鸡尾酒;酒精饮料（啤酒除外）;烈酒;⽩酒;开胃酒;葡萄酒;⻩酒</t>
  </si>
  <si>
    <t>河南伏羲山康养产业发展中心（个人独资）</t>
  </si>
  <si>
    <t>伏羲瑞</t>
  </si>
  <si>
    <t>⽶酒;鸡尾酒;⽩兰地;烧酒;⽩酒;樱桃酒;开胃酒;梨酒;⻩酒;葡萄酒</t>
  </si>
  <si>
    <t>上海淘兔兔文化娱乐有限公司</t>
  </si>
  <si>
    <t>秦古京</t>
  </si>
  <si>
    <t>⽶酒;⽩兰地;葡萄酒;清酒（⽇本⽶酒）;威⼠忌;烈酒（饮料）;⽩酒;⻩酒;果酒;烧酒</t>
  </si>
  <si>
    <t>张向礼</t>
  </si>
  <si>
    <t>楚之翔</t>
  </si>
  <si>
    <t>蜂蜜酒;果酒（含酒精）;⻩酒;⽩酒;葡萄酒;以葡萄酒为主的饮料;烧酒;预先混合的酒精饮料（以啤酒为主的除外）;开胃酒;⽶酒</t>
  </si>
  <si>
    <t>毅虎</t>
  </si>
  <si>
    <t>果酒（含酒精）;酒精饮料原汁;烧酒;葡萄酒;烈酒（饮料）;⽩酒;清酒;汽酒;⻩酒;⽶酒</t>
  </si>
  <si>
    <t>湖南瑞祥供应链有限公司</t>
  </si>
  <si>
    <t>至同全</t>
  </si>
  <si>
    <t>含酒精的鸡尾酒混合饮品;鸡尾酒;⽩酒;酒精饮料（啤酒除外）;清酒（⽇本⽶酒）;威⼠忌;甜果酒;开胃酒;葡萄酒;⽩兰地</t>
  </si>
  <si>
    <t>赣州四坊农业发展有限公司</t>
  </si>
  <si>
    <t>四坊鸿伯</t>
  </si>
  <si>
    <t>⾕物制蒸馏酒精饮料;⽩兰地;以葡萄酒为主的饮料;含酒精的⽓泡⽔;酒精饮料原汁;柑⾹酒;伏特加酒;酒精饮料浓缩汁;预先混合的酒精饮料（以啤酒为主的除外）;⽩酒</t>
  </si>
  <si>
    <t>杭州廿巡生物科技有限公司</t>
  </si>
  <si>
    <t>廿巡</t>
  </si>
  <si>
    <t>葡萄酒;果酒（含酒精）;朗姆酒;烈酒（饮料）;杨梅酒;⽩酒;含酒精⽔果饮料;含酒精的饮料（啤酒除外）;⾷⽤酒精;⻩酒</t>
  </si>
  <si>
    <t>上海郡阁能源有限公司</t>
  </si>
  <si>
    <t>郡涌醇</t>
  </si>
  <si>
    <t>⽩兰地;⽶酒;⻩酒;含⽔果酒精饮料;烈酒（饮料）;樱桃酒;烧酒;葡萄酒;伏特加酒;⽩酒</t>
  </si>
  <si>
    <t>殷湶</t>
  </si>
  <si>
    <t>葡萄酒;⽩酒;⽶酒;⻩酒;烈酒（饮料）;⽩兰地;伏特加酒;烧酒;含⽔果酒精饮料;樱桃酒</t>
  </si>
  <si>
    <t>郡云丰</t>
  </si>
  <si>
    <t>烧酒;⻩酒;⽩酒;烈酒（饮料）;伏特加酒;含⽔果酒精饮料;樱桃酒;⽩兰地;葡萄酒;⽶酒</t>
  </si>
  <si>
    <t>蒋大昶</t>
  </si>
  <si>
    <t>龘客</t>
  </si>
  <si>
    <t>伏特加酒;威⼠忌;⽶酒;烧酒;葡萄酒;⻩酒;含⽔果酒精饮料;⽩兰地;⽩酒;果酒（含酒精）</t>
  </si>
  <si>
    <t>程美霞</t>
  </si>
  <si>
    <t>乡愁格格</t>
  </si>
  <si>
    <t>⽶酒;烈酒;葡萄酒;⽼酒（中国蒸馏烈酒）;⽩酒;果酒;烧酒;⻩酒;杨梅酒;甜酒</t>
  </si>
  <si>
    <t>杭州顺合德文化传播有限公司</t>
  </si>
  <si>
    <t>顺合道</t>
  </si>
  <si>
    <t>果酒（含酒精）;鸡尾酒;⽶酒;含⽔果酒精饮料;蒸煮提取物（利⼝酒和烈酒）;酒精饮料原汁;酒精饮料（啤酒除外）;威⼠忌;⽩酒;⽩兰地</t>
  </si>
  <si>
    <t>贵州酱酒集团有限公司</t>
  </si>
  <si>
    <t>鼎治</t>
  </si>
  <si>
    <t>果酒（含酒精）;烈酒（饮料）;威⼠忌;⽶酒;烧酒;含酒精的饮料（啤酒除外）;葡萄酒;鸡尾酒;⽩酒;开胃酒</t>
  </si>
  <si>
    <t>云南禾闲农业发展有限公司</t>
  </si>
  <si>
    <t>禾闲 RICE FALLOW</t>
  </si>
  <si>
    <t>⽶酒;⻘稞酒;开胃酒;葡萄酒;果酒;⽩酒;甜酒;甜果酒;汽酒;果酒（含酒精）</t>
  </si>
  <si>
    <t>唯乐烈酒有限公司</t>
  </si>
  <si>
    <t>致赫</t>
  </si>
  <si>
    <t>烈酒;威⼠忌</t>
  </si>
  <si>
    <t>张敏</t>
  </si>
  <si>
    <t>福名堂</t>
  </si>
  <si>
    <t>⽶酒;威⼠忌;⻩酒;蒸馏饮料;⽩兰地;烧酒;⽩酒;果酒（含酒精）;鸡尾酒;葡萄酒</t>
  </si>
  <si>
    <t>贵州晟顺酒业有限公司</t>
  </si>
  <si>
    <t>焱璋</t>
  </si>
  <si>
    <t>威⼠忌;清酒（⽇本⽶酒）;酒精饮料（啤酒除外）;⽩兰地;朗姆酒;果酒（含酒精）;预先混合的酒精饮料（以啤酒为主的除外）;⽩酒;⻩酒;伏特加酒</t>
  </si>
  <si>
    <t>浙江省稽山王阳明研究院</t>
  </si>
  <si>
    <t>浮峰探幽</t>
  </si>
  <si>
    <t>烧酒;蒸馏饮料;果酒;⽼酒（中国蒸馏烈酒）;⽶酒;含酒精⽔果饮料;⽔果汽酒;⻩酒;⽩酒;⾼粱酒</t>
  </si>
  <si>
    <t>云门静定</t>
  </si>
  <si>
    <t>含酒精⽔果饮料;⽔果汽酒;⽶酒;果酒;⽼酒（中国蒸馏烈酒）;烧酒;⾼粱酒;蒸馏饮料;⻩酒;⽩酒</t>
  </si>
  <si>
    <t>兰亭仰圣</t>
  </si>
  <si>
    <t>⽼酒（中国蒸馏烈酒）;含酒精⽔果饮料;⽔果汽酒;果酒;蒸馏饮料;⽶酒;⽩酒;烧酒;⾼粱酒;⻩酒</t>
  </si>
  <si>
    <t>青海慕容古寨文化发展有限公司</t>
  </si>
  <si>
    <t>金仓岭</t>
  </si>
  <si>
    <t>果酒（含酒精）;葡萄酒;⻘稞酒;⽩酒;利⼝酒;烈酒;⽩⼲酒（中国⽩酒）;⾼粱酒;烈性⼲酒;⻩酒</t>
  </si>
  <si>
    <t>中民康悦养老服务有限公司</t>
  </si>
  <si>
    <t>甜酒;梅酒;⽩⼲酒（中国⽩酒）;烈性⼲酒;果酒（含酒精）;蒸馏饮料;杜松⼦酒;梨酒;酒精饮料原汁;烧酒;朝鲜族⽶酒;汽酒;清酒;⽼酒（中国蒸馏烈酒）;蒸馏⽶酒（泡盛酒）;朗姆酒（酒精饮料）;⾼粱酒;茴⾹酒;露酒;⻘梅酒;樱桃⽩兰地;黑醋栗酒;预调甜酒;葡萄酒;蜂蜜酒;樱桃酒;烈酒（饮料）;⽩兰地;朗姆酒...</t>
  </si>
  <si>
    <t>姚玉东</t>
  </si>
  <si>
    <t>东娃</t>
  </si>
  <si>
    <t>烈酒浓缩汁;薄荷酒;蒸馏饮料;蜂蜜酒;⾕物制蒸馏酒精饮料;酸酒（低等葡萄酒）;以葡萄酒为主的饮料;天然汽酒;开胃酒;⽢蔗制烈酒</t>
  </si>
  <si>
    <t>稽山论道</t>
  </si>
  <si>
    <t>⻩酒;⾼粱酒;果酒;⽩酒;⽶酒;烧酒;⽼酒（中国蒸馏烈酒）;含酒精⽔果饮料;⽔果汽酒;蒸馏饮料</t>
  </si>
  <si>
    <t>中粤荟产业服务（广东）有限公司</t>
  </si>
  <si>
    <t>高夏</t>
  </si>
  <si>
    <t>⽩兰地;威⼠忌;预先混合的酒精饮料（以啤酒为主的除外）;⻩酒;⽩酒;烧酒;鸡尾酒;朗姆酒;烈酒（饮料）;伏特加酒</t>
  </si>
  <si>
    <t>林恩营销公司</t>
  </si>
  <si>
    <t>LOCKWOOD</t>
  </si>
  <si>
    <t>开胃酒;餐后酒（利⼝酒和烈酒）;⾕物制蒸馏酒精饮料;烈酒（饮料）;⽩兰地;含酒精的饮料（啤酒除外）;伏特加酒;葡萄酒;杜松⼦酒;蒸馏饮料;威⼠忌</t>
  </si>
  <si>
    <t>长沙江如蓝饮用水经营有限公司</t>
  </si>
  <si>
    <t>冾米</t>
  </si>
  <si>
    <t>汽酒;苦味酒;⽶酒;烧酒;蒸煮提取物（利⼝酒和烈酒）;烧酒（烈酒）;⻩酒;⾷⽤酒精;甜酒;⽩酒;蒸馏⽶酒（泡盛酒）;果酒;⻘稞酒</t>
  </si>
  <si>
    <t>北京中天神韵影视文化传媒有限公司</t>
  </si>
  <si>
    <t>法视网</t>
  </si>
  <si>
    <t>⽩酒;烈酒;烧酒;葡萄酒;⽶酒;⻩酒</t>
  </si>
  <si>
    <t>深圳市锦程百味食品有限公司</t>
  </si>
  <si>
    <t>锦程百味</t>
  </si>
  <si>
    <t>餐后酒（利⼝酒和烈酒）;⾕物制蒸馏酒精饮料;⾷⽤酒精;酒精饮料（啤酒除外）;果酒（含酒精）;预先混合的酒精饮料（以啤酒为主的除外）;汽酒;⽩酒;酒精饮料浓缩汁;葡萄酒</t>
  </si>
  <si>
    <t>深圳市旭景晟贸易有限公司</t>
  </si>
  <si>
    <t>榀至</t>
  </si>
  <si>
    <t>清酒（⽇本⽶酒）;果酒（含酒精）;威⼠忌;含⽔果酒精饮料;⾕物制蒸馏酒精饮料;蒸馏饮料;鸡尾酒;⽶酒;烈酒（饮料）;葡萄酒</t>
  </si>
  <si>
    <t>徐坚</t>
  </si>
  <si>
    <t>徐同记</t>
  </si>
  <si>
    <t>杨梅酒;甜酒;苹果酒;⽶酒;⽩酒;⽩⼲酒（中国⽩酒）;⽇本梅⼦酒;果酒（含酒精）;⻩酒;烧酒</t>
  </si>
  <si>
    <t>星巴克公司</t>
  </si>
  <si>
    <t>意榄朵</t>
  </si>
  <si>
    <t>酒精饮料（啤酒除外）</t>
  </si>
  <si>
    <t>杭州中沅科技有限公司</t>
  </si>
  <si>
    <t>屠田酒</t>
  </si>
  <si>
    <t>鸡尾酒;威⼠忌;含⽔果酒精饮料;⽶酒;⻩酒;清酒;薄荷酒;烧酒;葡萄酒;⽩酒</t>
  </si>
  <si>
    <t>杏蘭玉</t>
  </si>
  <si>
    <t>⽩酒;酒精饮料浓缩汁;含⽔果酒精饮料;⽶酒;蒸煮提取物（利⼝酒和烈酒）;果酒;鸡尾酒;葡萄酒;蒸馏饮料;⾷⽤酒精</t>
  </si>
  <si>
    <t>河南恒米广告有限公司</t>
  </si>
  <si>
    <t>盘古谭</t>
  </si>
  <si>
    <t>清酒;⽶酒;葡萄酒;烈酒;果酒;⻩酒;鸡尾酒;威⼠忌;⾼粱酒;⽩酒</t>
  </si>
  <si>
    <t>安徽矾山文旅投资运营有限公司</t>
  </si>
  <si>
    <t>乔冲</t>
  </si>
  <si>
    <t>果酒（含酒精）;鸡尾酒;葡萄酒;酒精饮料（啤酒除外）;薄荷酒;苹果酒;柑香酒;酒精饮料原汁;含水果酒精饮料;开胃酒</t>
  </si>
  <si>
    <t>敬启松</t>
  </si>
  <si>
    <t>启松酒坊</t>
  </si>
  <si>
    <t>米酒;白酒;烈酒（饮料）;威士忌;含酒精的饮料（啤酒除外）;甜酒;鸡尾酒;葡萄酒;果酒;酒精饮料（啤酒除外）</t>
  </si>
  <si>
    <t>山东舒墨文化投资有限公司</t>
  </si>
  <si>
    <t>时光塔</t>
  </si>
  <si>
    <t>⽩酒;果酒（含酒精）;酒精饮料（啤酒除外）;鸡尾酒;朗姆酒;葡萄酒;清酒（⽇本⽶酒）;⽩兰地;伏特加酒;威⼠忌</t>
  </si>
  <si>
    <t>省利哆（厦门）进出口贸易有限公司</t>
  </si>
  <si>
    <t>CHATEAU DE CROIGNON 格蓝龙堡</t>
  </si>
  <si>
    <t>⽩兰地;⽩酒;酒精饮料（啤酒除外）;⽶酒;威⼠忌;开胃酒;葡萄酒;烈酒（饮料）;餐后酒（利⼝酒和烈酒）;果酒（含酒精）</t>
  </si>
  <si>
    <t>罗放平</t>
  </si>
  <si>
    <t>舍之恩</t>
  </si>
  <si>
    <t>烈酒（饮料）;烧酒;⽩酒;含⽔果酒精饮料;⽶酒;鸡尾酒;利⼝酒;开胃酒;⻩酒;葡萄酒</t>
  </si>
  <si>
    <t>ICEXOTIC 缤享激情</t>
  </si>
  <si>
    <t>葡萄酒;烈酒（饮料）;餐后酒（利⼝酒和烈酒）;汽酒;预先混合的酒精饮料（以啤酒为主的除外）;开胃酒;清酒（⽇本⽶酒）;酒精饮料（啤酒除外）;含⽔果酒精饮料;果酒（含酒精）</t>
  </si>
  <si>
    <t>⽩⼲酒（中国⽩酒）;甜酒;⽩酒;果酒（含酒精）;⽩兰地;清酒;酒精饮料（啤酒除外）;酒精饮料原汁;果酒;酒精饮料浓缩汁</t>
  </si>
  <si>
    <t>山西杏花青花酒家酒业股份有限公司</t>
  </si>
  <si>
    <t>杏行天下</t>
  </si>
  <si>
    <t>⽩酒;露酒;含酒精⽔果饮料;以葡萄酒为主的饮料;⾷⽤酒精;以葡萄酒为主的开胃酒;⾼粱酒;⽶酒;⻩酒;苦荞酒</t>
  </si>
  <si>
    <t>陕西汇君融创文化生态旅游有限公司</t>
  </si>
  <si>
    <t>无定有稻</t>
  </si>
  <si>
    <t>果酒（含酒精）;茴芹酒（利⼝酒）;茴⾹酒（利⼝酒）;蒸馏饮料;鸡尾酒;开胃酒;亚⼒酒;薄荷酒;苹果酒;苦味酒</t>
  </si>
  <si>
    <t>山西义健缘生物科技有限公司</t>
  </si>
  <si>
    <t>义健缘</t>
  </si>
  <si>
    <t>清酒（⽇本⽶酒）;酒精饮料（啤酒除外）;烧酒;⽶酒;⻩酒;果酒（含酒精）;烈酒（饮料）;⽩酒;葡萄酒;鸡尾酒</t>
  </si>
  <si>
    <t>烟台市仁心仁术中医药健康产业发展有限公司</t>
  </si>
  <si>
    <t>汉艳钦淑</t>
  </si>
  <si>
    <t>酒精饮料（啤酒除外）;⻩酒;预先混合的酒精饮料（以啤酒为主的除外）;烧酒;含⽔果酒精饮料;果酒（含酒精）;⽶酒;⽩酒;葡萄酒;已调味的⻨芽酿制的酒精饮料（啤酒除外）</t>
  </si>
  <si>
    <t>金华市中鼎网络科技有限公司</t>
  </si>
  <si>
    <t>构素</t>
  </si>
  <si>
    <t>酒精饮料（啤酒除外）;烧酒（烈酒）;烧酒;蒸煮提取物（利⼝酒和烈酒）;果酒（含酒精）;⽩酒;烈酒;以蒸馏酒为主的开胃酒;除啤酒外的酒精饮料;⾼粱酒</t>
  </si>
  <si>
    <t>江西五更天商贸有限公司</t>
  </si>
  <si>
    <t>拟岘台</t>
  </si>
  <si>
    <t xml:space="preserve">	米酒; 葡萄酒; 谷物制蒸馏酒精饮料; 鸡尾酒; 预先混合的酒精饮料（以啤酒为主的除外）; 黄酒; 烈酒（饮料）; 老酒（中国蒸馏烈酒）; 白酒; 以葡萄酒为主的饮料</t>
  </si>
  <si>
    <t>林口县聚久商贸有限公司</t>
  </si>
  <si>
    <t>杠梁金樽</t>
  </si>
  <si>
    <t>⽩酒;鸡尾酒;蒸馏饮料;烈酒（饮料）;葡萄酒;⾕物制蒸馏酒精饮料;果酒（含酒精）;⽶酒;烧酒;⻩酒</t>
  </si>
  <si>
    <t>黑龙江龙之徽农业科技有限公司</t>
  </si>
  <si>
    <t>果酒（含酒精）;烈酒;⽶酒;五加⽪酒（中国混合烈酒）;鸡尾酒;含⽔果酒精饮料;烧酒;⻩酒;⽩酒;⽩⼲酒（中国⽩酒）</t>
  </si>
  <si>
    <t>深圳市邦德康投资发展有限公司</t>
  </si>
  <si>
    <t>优仙尚酒</t>
  </si>
  <si>
    <t>利⼝酒;⽩兰地;⽩酒;⽶酒;烧酒;⻩酒;酒精饮料（啤酒除外）;开胃酒;果酒（含酒精）;葡萄酒</t>
  </si>
  <si>
    <t>周利新</t>
  </si>
  <si>
    <t>两相忘</t>
  </si>
  <si>
    <t>果酒（含酒精）;⽩兰地;开胃酒;⽶酒;⻩酒;⽩酒;烈酒（饮料）;威⼠忌;葡萄酒;鸡尾酒</t>
  </si>
  <si>
    <t>广西怡茗贸易有限公司</t>
  </si>
  <si>
    <t>怡茗源</t>
  </si>
  <si>
    <t>烈酒（饮料）;酒精饮料（啤酒除外）;⾕物制蒸馏酒精饮料;伏特加酒;⽶酒;烧酒;⽩酒;葡萄酒;果酒（含酒精）;⻩酒</t>
  </si>
  <si>
    <t>河北东辉广告有限公司</t>
  </si>
  <si>
    <t>西建功</t>
  </si>
  <si>
    <t>⽩酒;烧酒;葡萄酒;烈酒（饮料）;果酒（含酒精）;⽶酒;鸡尾酒;清酒（⽇本⽶酒）;酒精饮料（啤酒除外）;⻩酒</t>
  </si>
  <si>
    <t>开平市冠兴化妆品包装厂</t>
  </si>
  <si>
    <t>翠湖鹿鸣</t>
  </si>
  <si>
    <t>果酒（含酒精）;伏特加酒;威⼠忌;酒精饮料（啤酒除外）;朗姆酒;鸡尾酒;⽶酒;⽩酒;葡萄酒;⽩兰地</t>
  </si>
  <si>
    <t>山西国杏玢青酒文化有限公司</t>
  </si>
  <si>
    <t>兴杰珑凤</t>
  </si>
  <si>
    <t>清酒（⽇本⽶酒）;⽩酒;鸡尾酒;葡萄酒;汽酒;烧酒;⾷⽤酒精;⾕物制蒸馏酒精饮料;餐后酒（利⼝酒和烈酒）;含⽔果酒精饮料</t>
  </si>
  <si>
    <t>舒兴林</t>
  </si>
  <si>
    <t>岩桨粮液</t>
  </si>
  <si>
    <t>酒精饮料原汁;含⽔果酒精饮料;⾕物制蒸馏酒精饮料;⻩酒;⽩酒;果酒（含酒精）;烧酒</t>
  </si>
  <si>
    <t>贵州省农动堡体旅文化产业发展有限公司</t>
  </si>
  <si>
    <t>鸡尾酒;果酒（含酒精）;利⼝酒;酒精饮料（啤酒除外）;含⽔果酒精饮料;酒精饮料原汁;⽶酒;烧酒;开胃酒;⽩酒</t>
  </si>
  <si>
    <t>苏尼特右旗伟乐思农牧业技术咨询专业合作社</t>
  </si>
  <si>
    <t>德德书己</t>
  </si>
  <si>
    <t>⾼粱酒;烧酒;开胃酒;鸡尾酒;⽶酒;⽩酒;奶油利⼝酒;苹果酒;⻩酒;葡萄酒</t>
  </si>
  <si>
    <t>瓜棚柳巷</t>
  </si>
  <si>
    <t>威⼠忌;酒精饮料（啤酒除外）;⻩酒;烧酒;蜂蜜酒;⽩酒;葡萄酒;酒精饮料浓缩汁;果酒（含酒精）;⽶酒</t>
  </si>
  <si>
    <t>吴邦琴</t>
  </si>
  <si>
    <t>瀚年</t>
  </si>
  <si>
    <t>鸡尾酒;葡萄酒;⻩酒;清酒（⽇本⽶酒）;开胃酒;⽩酒;烈酒;果酒（含酒精）;威⼠忌;酒精饮料（啤酒除外）</t>
  </si>
  <si>
    <t>西昌市世嵘芮商贸有限公司</t>
  </si>
  <si>
    <t>螺髻烧坊</t>
  </si>
  <si>
    <t>葡萄酒;⽩酒;烧酒（烈酒）;果酒;⽶酒;五加⽪酒（中国混合烈酒）;清酒;⽼酒（中国蒸馏烈酒）;含⽔果酒精饮料;⻘稞酒</t>
  </si>
  <si>
    <t>传籍</t>
  </si>
  <si>
    <t>⽩兰地;⽩酒;葡萄酒;⻩酒;烈酒（饮料）;威⼠忌;⾷⽤酒精;朗姆酒;果酒（含酒精）;伏特加酒</t>
  </si>
  <si>
    <t>朱运清</t>
  </si>
  <si>
    <t>大江颂</t>
  </si>
  <si>
    <t>葡萄酒;鸡尾酒;烈酒;⻩酒;果酒（含酒精）;开胃酒;酒精饮料（啤酒除外）;清酒（⽇本⽶酒）;⽩酒;威⼠忌</t>
  </si>
  <si>
    <t>张永容</t>
  </si>
  <si>
    <t>普皇源</t>
  </si>
  <si>
    <t>葡萄酒;⽩酒;果酒;⻘稞酒;威⼠忌;⽶酒;⻩酒;梅酒;鸡尾酒;⽩兰地</t>
  </si>
  <si>
    <t>潞城市亚红鑫商贸有限公司</t>
  </si>
  <si>
    <t>晋鸣厡清花</t>
  </si>
  <si>
    <t>⽩酒;烧酒（烈酒）;烈酒（饮料）;酒精饮料（啤酒除外）;⽩⼲酒（中国⽩酒）;烈酒;⽶酒;⾼粱酒;⽼酒（中国蒸馏烈酒）;⻩酒</t>
  </si>
  <si>
    <t>江苏正辰恒电子商务有限公司</t>
  </si>
  <si>
    <t>兄谊情</t>
  </si>
  <si>
    <t>⽶酒;⻩酒;⽩酒;葡萄酒;威⼠忌;酒精饮料（啤酒除外）;烧酒;果酒（含酒精）;樱桃酒;鸡尾酒</t>
  </si>
  <si>
    <t>五华区淘契百货店</t>
  </si>
  <si>
    <t>魁骄子</t>
  </si>
  <si>
    <t>威⼠忌;开胃酒;清酒（⽇本⽶酒）;⻩酒;烈酒;⽩酒;葡萄酒;酒精饮料（啤酒除外）;鸡尾酒;果酒（含酒精）</t>
  </si>
  <si>
    <t>北京小佳装饰工程有限公司</t>
  </si>
  <si>
    <t>小佳定制</t>
  </si>
  <si>
    <t>⽩酒;⻩酒;鸡尾酒;葡萄酒;酒精饮料（啤酒除外）;开胃酒;烈酒（饮料）;⽶酒;清酒（⽇本⽶酒）;⽩兰地</t>
  </si>
  <si>
    <t>季祥东</t>
  </si>
  <si>
    <t>固承康</t>
  </si>
  <si>
    <t>开胃酒;酒精饮料（啤酒除外）;⽶酒;果酒（含酒精）;蜂蜜酒;烈酒（饮料）;梨酒;⻩酒;⽩酒;烧酒</t>
  </si>
  <si>
    <t>北京明拓恒炘科技发展有限公司</t>
  </si>
  <si>
    <t>愈境</t>
  </si>
  <si>
    <t>⽶酒;葡萄酒;酒精饮料（啤酒除外）;⽩酒;烈酒（饮料）;清酒（⽇本⽶酒）;⻩酒;果酒（含酒精）;鸡尾酒;烧酒</t>
  </si>
  <si>
    <t>黎文琼</t>
  </si>
  <si>
    <t>古暖寨</t>
  </si>
  <si>
    <t>柑⾹酒;葡萄酒;烧酒;⽶酒;果酒（含酒精）;⻩酒;⽩酒;酒精饮料浓缩汁;酒精饮料（啤酒除外）;含⽔果酒精饮料</t>
  </si>
  <si>
    <t>山东龙淇文化传媒有限公司</t>
  </si>
  <si>
    <t>果虫虫</t>
  </si>
  <si>
    <t>⻩酒;烈酒;含酒精的饮料（啤酒除外）;甜酒;咖啡利⼝酒;含酒精⽔果饮料;⽔果汽酒;果酒;葡萄酒;⽩酒</t>
  </si>
  <si>
    <t>保山振宁商贸有限公司</t>
  </si>
  <si>
    <t>振洪佳酿</t>
  </si>
  <si>
    <t>⽩酒;⻘稞酒;⽶酒;葡萄酒;⾷⽤酒精;苦荞酒;烧酒;果酒（含酒精）;⻩酒;蜂蜜酒</t>
  </si>
  <si>
    <t>黄山程灵洗文旅发展有限公司</t>
  </si>
  <si>
    <t>程灵洗</t>
  </si>
  <si>
    <t>⻩酒;蝮蛇酒;葡萄酒;⾼粱酒;松叶酒;⽩酒;⻘稞酒;⽶酒;清酒（⽇本⽶酒）;草莓酒</t>
  </si>
  <si>
    <t>安徽欣浩翔食品有限公司</t>
  </si>
  <si>
    <t>欣翔牛</t>
  </si>
  <si>
    <t>烈酒（饮料）;烧酒;⽩酒;⽩⼲酒（中国⽩酒）;⽼酒（中国蒸馏烈酒）;⽶酒;⻩酒;⾷⽤酒精;果酒;红葡萄酒</t>
  </si>
  <si>
    <t>孙森炜</t>
  </si>
  <si>
    <t>名登</t>
  </si>
  <si>
    <t>⽩酒;烈酒;烧酒;葡萄酒;含酒精的饮料（啤酒除外）;威⼠忌;⻩酒;⽶酒;⽩兰地</t>
  </si>
  <si>
    <t>唐古京</t>
  </si>
  <si>
    <t>⽩酒;烧酒;⻩酒;⽶酒;⽩兰地;葡萄酒;威⼠忌;果酒;烈酒（饮料）;清酒（⽇本⽶酒）</t>
  </si>
  <si>
    <t>绍兴市上虞区青泉岭高山冷泉水厂</t>
  </si>
  <si>
    <t>淣溪</t>
  </si>
  <si>
    <t>烧酒;⽩酒;烈酒（饮料）;利⼝酒;葡萄酒;⻩酒;⽶酒;预先混合的酒精饮料（以啤酒为主的除外）;果酒（含酒精）;威⼠忌</t>
  </si>
  <si>
    <t>雷斌</t>
  </si>
  <si>
    <t>葡萄酒;⽶酒;⽩酒;甜酒;梅酒;烈酒（饮料）;威⼠忌;烧酒;⻩酒;果酒（含酒精）</t>
  </si>
  <si>
    <t>牛国娥</t>
  </si>
  <si>
    <t>纷之晏</t>
  </si>
  <si>
    <t>开胃酒;葡萄酒;利⼝酒;汽酒;由⾕物蒸馏的⽩酒;烈酒;⾼粱酒;果酒;⽩酒;⽼酒（中国蒸馏烈酒）</t>
  </si>
  <si>
    <t>张永松</t>
  </si>
  <si>
    <t>蝉唱</t>
  </si>
  <si>
    <t>⽩兰地;⻩酒;烧酒;果酒（含酒精）;清酒（⽇本⽶酒）;烈酒（饮料）;⽶酒;⽩酒;开胃酒;葡萄酒</t>
  </si>
  <si>
    <t>张运富</t>
  </si>
  <si>
    <t>华肆</t>
  </si>
  <si>
    <t>烈酒（饮料）;清酒（⽇本⽶酒）;⽩酒;果酒（含酒精）;⻩酒;酒精饮料（啤酒除外）;烧酒;葡萄酒;⽶酒;鸡尾酒</t>
  </si>
  <si>
    <t>巴中市巴食巴适农业开发有限公司</t>
  </si>
  <si>
    <t>喜食川</t>
  </si>
  <si>
    <t>开胃酒;⽶酒;⻩酒;烧酒;酒精饮料（啤酒除外）;鸡尾酒;⽩酒;葡萄酒;烈酒（饮料）;果酒（含酒精）</t>
  </si>
  <si>
    <t>李锐锐</t>
  </si>
  <si>
    <t>原龄</t>
  </si>
  <si>
    <t>汽酒;⻩酒;果酒;⽶酒;葡萄酒;开胃酒;清酒;甜酒;⽩酒;⾷⽤酒精</t>
  </si>
  <si>
    <t>贵州省仁怀市英雄渡酒业有限公司</t>
  </si>
  <si>
    <t>七英</t>
  </si>
  <si>
    <t>葡萄酒;烈酒（饮料）;⽩酒;鸡尾酒;含酒精的饮料（啤酒除外）;梅酒;烧酒;⾼粱酒;果酒;酒精饮料原汁</t>
  </si>
  <si>
    <t>陈鹏</t>
  </si>
  <si>
    <t>牛兄</t>
  </si>
  <si>
    <t>果酒;⻩酒;酒精饮料（啤酒除外）;⾷⽤酒精;葡萄酒;⽶酒;烧酒;⽩酒;鸡尾酒;含⽔果酒精饮料</t>
  </si>
  <si>
    <t>浙江岛上文化传媒有限公司</t>
  </si>
  <si>
    <t>稽之南</t>
  </si>
  <si>
    <t>⽶酒;烧酒;⻘稞酒;⾷⽤酒精;樱桃酒;⽩酒;⻩酒;果酒（含酒精）;葡萄酒;含⽔果酒精饮料</t>
  </si>
  <si>
    <t>欣爱牛</t>
  </si>
  <si>
    <t>⽩酒;⽩⼲酒（中国⽩酒）;⻩酒;⾷⽤酒精;果酒;⽶酒;红葡萄酒;烧酒;⽼酒（中国蒸馏烈酒）;烈酒（饮料）</t>
  </si>
  <si>
    <t>宋开营</t>
  </si>
  <si>
    <t>薯见</t>
  </si>
  <si>
    <t>果酒;⽩兰地;⽩酒;⽶酒;⻩酒;葡萄酒;酒精饮料原汁;酒精饮料（啤酒除外）;⾷⽤酒精</t>
  </si>
  <si>
    <t>沛县盈礼酒水经营部（个体工商户）</t>
  </si>
  <si>
    <t>传承樽</t>
  </si>
  <si>
    <t>利⼝酒;⽶酒;开胃酒;葡萄酒;⽩酒;清酒（⽇本⽶酒）;⻩酒;⻘稞酒;烧酒;梨酒</t>
  </si>
  <si>
    <t>成都自省网络科技有限公司</t>
  </si>
  <si>
    <t>自省</t>
  </si>
  <si>
    <t>⽩酒;葡萄酒;⻩酒;清酒（⽇本⽶酒）;烧酒;⽶酒;蒸馏饮料;酒精饮料（啤酒除外）;果酒（含酒精）;烈酒（饮料）</t>
  </si>
  <si>
    <t>什邡市新绿邡酒业有限责任公司</t>
  </si>
  <si>
    <t>DAOZHONGDAO</t>
  </si>
  <si>
    <t>开胃酒;鸡尾酒;⽩酒;葡萄酒;⻩酒;烧酒;⾼粱酒;⽼酒（中国蒸馏烈酒）;⻘稞酒;烈酒（饮料）</t>
  </si>
  <si>
    <t>王梦杰</t>
  </si>
  <si>
    <t>芒虞果</t>
  </si>
  <si>
    <t>⾷⽤酒精;果酒（含酒精）;葡萄酒;⽩酒;开胃酒;⻩酒;酒精饮料浓缩汁;酒精饮料原汁;⽶酒;汽酒</t>
  </si>
  <si>
    <t>傅伦城</t>
  </si>
  <si>
    <t>远红甄选</t>
  </si>
  <si>
    <t>⾷⽤酒精;⽩酒;果酒（含酒精）;葡萄酒;⻩酒;⽩兰地;威⼠忌;酒精饮料（啤酒除外）;伏特加酒;烈酒（饮料）</t>
  </si>
  <si>
    <t>交个酒友酒业（深圳）有限公司</t>
  </si>
  <si>
    <t>秉乾黔台</t>
  </si>
  <si>
    <t>葡萄酒;开胃酒;果酒（含酒精）;⻩酒;威⼠忌;酒精饮料（啤酒除外）;清酒;烈酒;鸡尾酒;⽩酒</t>
  </si>
  <si>
    <t>辽宁省皓成进出口贸易有限公司</t>
  </si>
  <si>
    <t>XIN HAO HAI</t>
  </si>
  <si>
    <t>⽩酒;果酒;⽩葡萄酒;不起泡葡萄酒;烧酒（烈酒）;混合威⼠忌酒;⽔果汽酒;朝鲜族⽶酒;马格利酒（朝鲜传统⽶酒）;红葡萄酒</t>
  </si>
  <si>
    <t>JIUSHIBAYUAN</t>
  </si>
  <si>
    <t>鸡尾酒;葡萄酒;烈酒（饮料）;烧酒;开胃酒;⽼酒（中国蒸馏烈酒）;⻘稞酒;⻩酒;⽩酒;⾼粱酒</t>
  </si>
  <si>
    <t>KAIMENDAJI</t>
  </si>
  <si>
    <t>开胃酒;鸡尾酒;葡萄酒;烈酒（饮料）;⽩酒;⾼粱酒;⽼酒（中国蒸馏烈酒）;⻘稞酒;⻩酒;烧酒</t>
  </si>
  <si>
    <t>北京平日商贸有限公司</t>
  </si>
  <si>
    <t>中耕作平</t>
  </si>
  <si>
    <t>果酒（含酒精）;开胃酒;苹果酒;⽩兰地;⽩酒;烧酒;汽酒;⻘稞酒;⻩酒;⽶酒</t>
  </si>
  <si>
    <t>广西壮先生酒业有限公司</t>
  </si>
  <si>
    <t>狼女人</t>
  </si>
  <si>
    <t>白干酒（中国白酒）;清酒;已调味的蒸馏酒;烈性干酒;烧酒;高粱酒;烈酒;白酒;黄酒;烧酒（烈酒）</t>
  </si>
  <si>
    <t>BAIRIXIYANJIU</t>
  </si>
  <si>
    <t>鸡尾酒;葡萄酒;烈酒（饮料）;烧酒;⽩酒;⽼酒（中国蒸馏烈酒）;⻘稞酒;⻩酒;开胃酒;⾼粱酒</t>
  </si>
  <si>
    <t>胡德</t>
  </si>
  <si>
    <t>龙呈福宝</t>
  </si>
  <si>
    <t>果酒（含酒精）;烈酒（饮料）;⽶酒;苹果酒;⽩酒;蒸馏饮料;⾕物制蒸馏酒精饮料;露酒;餐后酒（利⼝酒和烈酒）;葡萄酒</t>
  </si>
  <si>
    <t>新巴尔虎左旗恒通科技发展有限公司</t>
  </si>
  <si>
    <t>巴音巴尔虎</t>
  </si>
  <si>
    <t>⽩酒;烧酒;⽶酒;葡萄酒;朗姆酒;含⽔果酒精饮料;⻘稞酒;开胃酒;清酒（⽇本⽶酒）;果酒（含酒精）</t>
  </si>
  <si>
    <t>李金成</t>
  </si>
  <si>
    <t>帝就</t>
  </si>
  <si>
    <t>威⼠忌;⽶酒;⻩酒;⽩兰地;果酒;⽩酒;汽酒;葡萄酒;清酒;烧酒</t>
  </si>
  <si>
    <t>什邡市三木农业科技有限公司</t>
  </si>
  <si>
    <t>SHIFANGHONG</t>
  </si>
  <si>
    <t>德州德公酒业有限公司</t>
  </si>
  <si>
    <t>徽艺 徽艺牡丹</t>
  </si>
  <si>
    <t>果酒（含酒精）;葡萄酒;烈酒（饮料）;⽩兰地;酒精饮料（啤酒除外）;威⼠忌;烧酒;⾷⽤酒精;⽩酒;清酒（⽇本⽶酒）</t>
  </si>
  <si>
    <t>张健业</t>
  </si>
  <si>
    <t>福真来</t>
  </si>
  <si>
    <t>⽼酒（中国蒸馏烈酒）;鸡尾酒;伏特加酒;⽩酒;果酒;梅酒;⽩兰地;威⼠忌;葡萄酒;蜂蜜酒</t>
  </si>
  <si>
    <t>广东长乐烧酒业股份有限公司</t>
  </si>
  <si>
    <t>长乐烧君品</t>
  </si>
  <si>
    <t>开胃酒;⽶酒;⻩酒;果酒（含酒精）;蜂蜜酒;烧酒;蒸煮提取物（利⼝酒和烈酒）;⾷⽤酒精;葡萄酒;⽩酒</t>
  </si>
  <si>
    <t>长乐烧御品</t>
  </si>
  <si>
    <t>烧酒;蜂蜜酒;开胃酒;葡萄酒;果酒（含酒精）;⻩酒;蒸煮提取物（利⼝酒和烈酒）;⽩酒;⾷⽤酒精;⽶酒</t>
  </si>
  <si>
    <t>周玉晴</t>
  </si>
  <si>
    <t>美日方程</t>
  </si>
  <si>
    <t>开胃酒;果酒;⽶酒;葡萄酒;⾷⽤酒精;清酒;⻩酒;甜酒;⽩酒;汽酒</t>
  </si>
  <si>
    <t>长乐烧尊品</t>
  </si>
  <si>
    <t>开胃酒;烧酒;⽩酒;蒸煮提取物（利⼝酒和烈酒）;⾷⽤酒精;葡萄酒;⽶酒;蜂蜜酒;⻩酒;果酒（含酒精）</t>
  </si>
  <si>
    <t>长乐烧尚品</t>
  </si>
  <si>
    <t>烧酒;⻩酒;⽩酒;⾷⽤酒精;蜂蜜酒;开胃酒;葡萄酒;⽶酒;蒸煮提取物（利⼝酒和烈酒）;果酒（含酒精）</t>
  </si>
  <si>
    <t>飞来钱</t>
  </si>
  <si>
    <t>梅酒;老酒（中国蒸馏烈酒）;葡萄酒;威士忌;果酒;白酒;鸡尾酒;伏特加酒;白兰地;蜂蜜酒</t>
  </si>
  <si>
    <t>长沙盛捷酒业有限公司</t>
  </si>
  <si>
    <t>百皇乐禧X</t>
  </si>
  <si>
    <t>朗姆酒;⽩酒;酒精饮料（啤酒除外）;⾷⽤酒精;威⼠忌;伏特加酒;烧酒;果酒（含酒精）;⽩兰地;葡萄酒</t>
  </si>
  <si>
    <t>百慕保罗</t>
  </si>
  <si>
    <t>⽩兰地;烧酒;伏特加酒;朗姆酒;利⼝酒;威⼠忌;酒精饮料（啤酒除外）;⾷⽤酒精;果酒（含酒精）;葡萄酒</t>
  </si>
  <si>
    <t>圣利龙</t>
  </si>
  <si>
    <t>⽩兰地;烧酒;酒精饮料（啤酒除外）;⾷⽤酒精;果酒（含酒精）;朗姆酒;葡萄酒;伏特加酒;威⼠忌;⽩酒</t>
  </si>
  <si>
    <t>莱格赛</t>
  </si>
  <si>
    <t>酒精饮料（啤酒除外）;果酒（含酒精）;⾷⽤酒精;⽩兰地;葡萄酒;烧酒;伏特加酒;烈酒（饮料）;含⽔果酒精饮料;威⼠忌</t>
  </si>
  <si>
    <t>卢甫</t>
  </si>
  <si>
    <t>百里杜鹃佬</t>
  </si>
  <si>
    <t>蒸煮提取物（利⼝酒和烈酒）;开胃酒;含⽔果酒精饮料;烧酒;含酒精的充⽓饮料（啤酒除外）;果酒（含酒精）;蜂蜜酒;酒精饮料（啤酒除外）;⽶酒;烈酒（饮料）</t>
  </si>
  <si>
    <t>CHLAE</t>
  </si>
  <si>
    <t>果酒（含酒精）;含⽔果酒精饮料;⻩酒;⽩兰地;葡萄酒;酒精饮料（啤酒除外）;朗姆酒;烧酒;⽩酒;威⼠忌</t>
  </si>
  <si>
    <t>沱</t>
  </si>
  <si>
    <t>葡萄酒;开胃酒;果酒（含酒精）;酒精饮料原汁;⾷⽤酒精;烧酒;利⼝酒;蒸煮提取物（利⼝酒和烈酒）;酒精饮料（啤酒除外）;⽩酒</t>
  </si>
  <si>
    <t>尚禧畅邑.X</t>
  </si>
  <si>
    <t>⽩兰地;伏特加酒;葡萄酒;酒精饮料（啤酒除外）;朗姆酒;威⼠忌;⽶酒;烧酒;果酒（含酒精）;⽩酒</t>
  </si>
  <si>
    <t>格尔士单一</t>
  </si>
  <si>
    <t>葡萄酒;含⽔果酒精饮料;⽩兰地;威⼠忌;伏特加酒;酒精饮料（啤酒除外）;果酒（含酒精）;⾷⽤酒精;⽩酒;烧酒</t>
  </si>
  <si>
    <t>卡佩龙</t>
  </si>
  <si>
    <t>威⼠忌;葡萄酒;⽩兰地;烧酒;朗姆酒;伏特加酒;⾷⽤酒精;⽩酒;酒精饮料（啤酒除外）;果酒（含酒精）</t>
  </si>
  <si>
    <t>沱 TUOPAI</t>
  </si>
  <si>
    <t>酒精饮料原汁;烧酒;利⼝酒;⾷⽤酒精;酒精饮料（啤酒除外）;葡萄酒;开胃酒;蒸煮提取物（利⼝酒和烈酒）;果酒（含酒精）;⽩酒</t>
  </si>
  <si>
    <t>欧阳帆</t>
  </si>
  <si>
    <t>宝藏</t>
  </si>
  <si>
    <t>鸡尾酒;葡萄酒;烈酒（饮料）;烧酒;⽩酒;⻩酒;果酒（含酒精）;含⽔果酒精饮料;酒精饮料（啤酒除外）;⽶酒</t>
  </si>
  <si>
    <t>尚禧·世耀X</t>
  </si>
  <si>
    <t>⽩酒;酒精饮料（啤酒除外）;烧酒;葡萄酒;朗姆酒;⾷⽤酒精;果酒（含酒精）;⽩兰地;伏特加酒;威⼠忌</t>
  </si>
  <si>
    <t>路易悦威·尚品</t>
  </si>
  <si>
    <t>威⼠忌;烧酒;酒精饮料（啤酒除外）;葡萄酒;利⼝酒;⾷⽤酒精;⽩兰地;伏特加酒;果酒（含酒精）;朗姆酒</t>
  </si>
  <si>
    <t>冯朝</t>
  </si>
  <si>
    <t>爱美好</t>
  </si>
  <si>
    <t>威⼠忌;果酒（含酒精）;含酒精⽔果饮料;⽶酒;清酒;含酒精的饮料（啤酒除外）;⾷⽤酒精;⽩兰地;鸡尾酒;烈酒</t>
  </si>
  <si>
    <t>史丽娜</t>
  </si>
  <si>
    <t>辽府北味儿</t>
  </si>
  <si>
    <t>葡萄酒;⽩酒;果酒（含酒精）</t>
  </si>
  <si>
    <t>厦门财运库财务管理有限公司</t>
  </si>
  <si>
    <t>财运库</t>
  </si>
  <si>
    <t>含酒精的鸡尾酒混合饮品;烈酒（饮料）;⽶酒;⾷⽤酒精;⽩酒;已调味的⻨芽酿制的酒精饮料（啤酒除外）;⾼粱酒;葡萄酒;果酒（含酒精）;已调味的蒸馏酒</t>
  </si>
  <si>
    <t>河南省蜜予酒业有限公司</t>
  </si>
  <si>
    <t>蜜予</t>
  </si>
  <si>
    <t>蜂蜜酒;酸酒（低等葡萄酒）;酒精饮料原汁;果酒;⽩酒;汽酒;酒精饮料浓缩汁;露酒;含酒精的饮料（啤酒除外）;甜酒</t>
  </si>
  <si>
    <t>周乔秀</t>
  </si>
  <si>
    <t>根宫云端</t>
  </si>
  <si>
    <t>清酒;⽶酒;⾼粱酒;开胃酒;红葡萄酒;⽩⼲酒（中国⽩酒）;果酒（含酒精）;烈酒;⽩酒;鸡尾酒</t>
  </si>
  <si>
    <t>贵州飞香液酒业有限公司</t>
  </si>
  <si>
    <t>飞香龙台</t>
  </si>
  <si>
    <t>以蒸馏酒为主的开胃酒;甜酒;⾼粱酒;⽩酒;⽼酒（中国蒸馏烈酒）;鸡尾酒;汽酒;⽩⼲酒（中国⽩酒）;⽢蔗制烈酒;烈酒</t>
  </si>
  <si>
    <t>马劲松</t>
  </si>
  <si>
    <t>江南名著</t>
  </si>
  <si>
    <t>⻩酒;清酒;樱桃酒;含⽔果酒精饮料;烧酒;⽩酒;苹果酒;蜂蜜酒;烈酒;开胃酒</t>
  </si>
  <si>
    <t>徐超</t>
  </si>
  <si>
    <t>塞里雅兰</t>
  </si>
  <si>
    <t>鸡尾酒;餐后酒（利⼝酒和烈酒）;葡萄酒;伏特加酒;威⼠忌;朗姆酒;⻘稞酒;⽩酒;果酒（含酒精）;⽩兰地</t>
  </si>
  <si>
    <t>王正武</t>
  </si>
  <si>
    <t>绕香坊</t>
  </si>
  <si>
    <t>烧酒;除啤酒外的酒精饮料;蜂蜜酒;开胃酒;含酒精的鸡尾酒混合饮品;葡萄酒;⽩酒;利⼝酒;酒精饮料浓缩汁;⾷⽤酒精</t>
  </si>
  <si>
    <t>刘志伟</t>
  </si>
  <si>
    <t>自留地</t>
  </si>
  <si>
    <t>蜂蜜酒;果酒;⽼酒（中国蒸馏烈酒）;⽩酒;威⼠忌;烧酒;葡萄酒;⽶酒;⽩兰地;清酒</t>
  </si>
  <si>
    <t>黑龙江省宝云龙商贸有限公司</t>
  </si>
  <si>
    <t>罗浮海花</t>
  </si>
  <si>
    <t>⽶酒;烧酒;鸡尾酒;葡萄酒;⽩酒;果酒（含酒精）;利⼝酒;酒精饮料（啤酒除外）;清酒（⽇本⽶酒）;威⼠忌</t>
  </si>
  <si>
    <t>浙江酒道云仓品牌管理有限公司</t>
  </si>
  <si>
    <t>凤舞江南特二号</t>
  </si>
  <si>
    <t>⽩兰地;威⼠忌;⻩酒;果酒（含酒精）;烧酒;蒸馏饮料;鸡尾酒;葡萄酒;⽶酒;⽩酒</t>
  </si>
  <si>
    <t>⽩兰地;⽩酒;烧酒;蜂蜜酒;威⼠忌;葡萄酒;清酒;⽼酒（中国蒸馏烈酒）;果酒;⽶酒</t>
  </si>
  <si>
    <t>浙江百家居信息技术有限公司</t>
  </si>
  <si>
    <t>乐</t>
  </si>
  <si>
    <t>烧酒;烈酒（饮料）;鸡尾酒;⽩酒;果酒;葡萄酒;威⼠忌;含⽔果酒精饮料;⻩酒;⽼酒（中国蒸馏烈酒）</t>
  </si>
  <si>
    <t>崇义熊之缘电子商务有限公司</t>
  </si>
  <si>
    <t>熊宝缘</t>
  </si>
  <si>
    <t>酒精饮料（啤酒除外）;⾕物制蒸馏酒精饮料;葡萄酒;烈酒（饮料）;⻩酒;酒精饮料原汁;餐后酒（利⼝酒和烈酒）;烧酒;果酒（含酒精）;⾷⽤酒精</t>
  </si>
  <si>
    <t>贵州宛若从前文化有限责任公司</t>
  </si>
  <si>
    <t>成长步道</t>
  </si>
  <si>
    <t>烈酒（饮料）;⻘稞酒;⽩酒;⾼粱酒;⽼酒（中国蒸馏烈酒）;烧酒;⽩⼲酒（中国⽩酒）;烧酒（烈酒）;烈酒;⽶酒</t>
  </si>
  <si>
    <t>百载钓台酒业有限公司</t>
  </si>
  <si>
    <t>凤禧御酒</t>
  </si>
  <si>
    <t>烈酒（饮料）;葡萄酒;⻩酒;⽩酒;烧酒;⽩兰地;烈酒;⽶酒;鸡尾酒;⽼酒（中国蒸馏烈酒）</t>
  </si>
  <si>
    <t>邯郸市北朝贸易有限公司</t>
  </si>
  <si>
    <t>御道桑树</t>
  </si>
  <si>
    <t>⻩酒;果酒;⽩葡萄酒;⽩酒;⽼酒（中国蒸馏烈酒）;红葡萄酒;酒精饮料（啤酒除外）;⽶酒;⽩⼲酒（中国⽩酒）;烧酒</t>
  </si>
  <si>
    <t>龙粮央</t>
  </si>
  <si>
    <t>⽼酒（中国蒸馏烈酒）;葡萄酒;⽩酒;烈酒;⻩酒;果酒;烧酒;酒精饮料（啤酒除外）;⽶酒;清酒</t>
  </si>
  <si>
    <t>孙小雪</t>
  </si>
  <si>
    <t>鲁大福</t>
  </si>
  <si>
    <t>果酒（含酒精）;鸡尾酒;葡萄酒;烈酒（饮料）;⻩酒;酒精饮料（啤酒除外）;⽩酒;威⼠忌;烧酒;⽶酒</t>
  </si>
  <si>
    <t>余华</t>
  </si>
  <si>
    <t>伙解</t>
  </si>
  <si>
    <t>⾷⽤酒精;⽶酒;⻩酒;⽩酒;威⼠忌;酒精饮料（啤酒除外）;清酒（⽇本⽶酒）;果酒（含酒精）;鸡尾酒;⽩兰地</t>
  </si>
  <si>
    <t>七国争霸齐王酒</t>
  </si>
  <si>
    <t>酸酒（低等葡萄酒）;含⽔果酒精饮料;预先混合的酒精饮料（以啤酒为主的除外）;⾷⽤酒精;⽩酒;果酒（含酒精）;酒精饮料原汁;以葡萄酒为主的饮料;⻘稞酒;葡萄酒</t>
  </si>
  <si>
    <t>博宴</t>
  </si>
  <si>
    <t>⻩酒;烧酒;汽酒;⻘梅酒;⽶酒;以葡萄酒为主的饮料;⽩⼲酒（中国⽩酒）;含酒精的饮料（啤酒除外）;⽩兰地;⽩酒</t>
  </si>
  <si>
    <t>七国争霸燕王酒</t>
  </si>
  <si>
    <t>预先混合的酒精饮料（以啤酒为主的除外）;⻘稞酒;酒精饮料原汁;含⽔果酒精饮料;葡萄酒;酸酒（低等葡萄酒）;以葡萄酒为主的饮料;果酒（含酒精）;⾷⽤酒精;⽩酒</t>
  </si>
  <si>
    <t>七国争霸楚王酒</t>
  </si>
  <si>
    <t>果酒（含酒精）;酒精饮料原汁;预先混合的酒精饮料（以啤酒为主的除外）;⻘稞酒;以葡萄酒为主的饮料;酸酒（低等葡萄酒）;⽩酒;葡萄酒;含⽔果酒精饮料;⾷⽤酒精</t>
  </si>
  <si>
    <t>屈勇</t>
  </si>
  <si>
    <t>煞雷罡</t>
  </si>
  <si>
    <t>⾼粱酒;⽩酒;⽼酒（中国蒸馏烈酒）;⽶酒;开胃酒;烈酒（饮料）;酒精饮料（啤酒除外）;烧酒;⽩⼲酒（中国⽩酒）;⻩酒</t>
  </si>
  <si>
    <t>温岭市晶王文化传媒有限公司</t>
  </si>
  <si>
    <t>啚王</t>
  </si>
  <si>
    <t>⽶酒;含酒精⽔果饮料;葡萄酒;鸡尾酒;酒精饮料（啤酒除外）;由⾕物蒸馏的⽩酒;⽩酒;果酒;⻩酒;威⼠忌</t>
  </si>
  <si>
    <t>迅腾科技（香港）有限公司</t>
  </si>
  <si>
    <t>葳蕤繁祉源与流</t>
  </si>
  <si>
    <t>酒精饮料（啤酒除外）;⽩酒;威⼠忌;利⼝酒;⽩兰地;鸡尾酒;酒精饮料原汁;含⽔果酒精饮料;伏特加酒;葡萄酒</t>
  </si>
  <si>
    <t>七国争霸韩王酒</t>
  </si>
  <si>
    <t>酒精饮料原汁;以葡萄酒为主的饮料;⻘稞酒;⾷⽤酒精;葡萄酒;含⽔果酒精饮料;果酒（含酒精）;预先混合的酒精饮料（以啤酒为主的除外）;⽩酒;酸酒（低等葡萄酒）</t>
  </si>
  <si>
    <t>黄强</t>
  </si>
  <si>
    <t>崮顶红</t>
  </si>
  <si>
    <t>⽼酒（中国蒸馏烈酒）;⽩酒;已调味的蒸馏酒;由⾕物蒸馏的⽩酒;烧酒;⽶酒;葡萄酒;露酒;果酒;⻩酒</t>
  </si>
  <si>
    <t>高程林</t>
  </si>
  <si>
    <t>MAODASHI</t>
  </si>
  <si>
    <t>蒸馏饮料;⽩酒;⽩兰地;烧酒;⽶酒;露酒;果酒（含酒精）;酒精饮料（啤酒除外）;利⼝酒;⻩酒</t>
  </si>
  <si>
    <t>贵州国酿酒厂（集团）有限公司</t>
  </si>
  <si>
    <t>薏梁</t>
  </si>
  <si>
    <t>⽩酒;果酒;开胃酒;⾕物制蒸馏酒精饮料;烧酒;⽶酒;烈酒;⾼粱酒;葡萄酒;⽼酒（中国蒸馏烈酒）</t>
  </si>
  <si>
    <t>白极州（上海）贸易有限公司</t>
  </si>
  <si>
    <t>比金城堡</t>
  </si>
  <si>
    <t>果酒;以葡萄酒为主的饮料;葡萄酒;开胃酒;⽩酒;含酒精的饮料（啤酒除外）;清酒;烈酒;佐餐酒;鸡尾酒</t>
  </si>
  <si>
    <t>廉艳丽</t>
  </si>
  <si>
    <t>雄踞五洲</t>
  </si>
  <si>
    <t>⾼粱酒;⽩⼲酒（中国⽩酒）;汽酒;⻩酒;餐后酒（利⼝酒和烈酒）;⽼酒（中国蒸馏烈酒）;⽩酒;烈酒（饮料）;含⽔果酒精饮料;果酒（含酒精）</t>
  </si>
  <si>
    <t>张掖市维力商贸有限责任公司</t>
  </si>
  <si>
    <t>大美张液</t>
  </si>
  <si>
    <t>烧酒;⽩⼲酒（中国⽩酒）;⽶酒;果酒（含酒精）;⻩酒;⽩酒;葡萄酒;预先混合的酒精饮料（以啤酒为主的除外）;⾷⽤酒精;烈酒</t>
  </si>
  <si>
    <t>深圳市微镇信用支付科技有限公司</t>
  </si>
  <si>
    <t>微镇增仁</t>
  </si>
  <si>
    <t>⽩兰地;威⼠忌;⽩酒;清酒;预先混合的酒精饮料（以啤酒为主的除外）;朗姆酒;葡萄酒;果酒（含酒精）;伏特加酒;含⽔果酒精饮料</t>
  </si>
  <si>
    <t>周春慧</t>
  </si>
  <si>
    <t>贵崟</t>
  </si>
  <si>
    <t>鸡尾酒;⻘稞酒;⽩酒;葡萄酒;⻩酒;⽶酒;烈酒;威⼠忌;⽩兰地;烧酒</t>
  </si>
  <si>
    <t>宿迁市蓝色元素酒业有限公司</t>
  </si>
  <si>
    <t>母仪天下</t>
  </si>
  <si>
    <t>⻩酒;⽩酒;酒精饮料（啤酒除外）;利⼝酒;露酒;薄荷酒;汽酒;开胃酒;烈酒;果酒</t>
  </si>
  <si>
    <t>贵州怀玺供应链管理股份有限公司</t>
  </si>
  <si>
    <t>天窖银泉</t>
  </si>
  <si>
    <t>蒸馏饮料;餐后酒（利⼝酒和烈酒）;露酒;⾕物制蒸馏酒精饮料;苹果酒;果酒（含酒精）;葡萄酒;烈酒（饮料）;⽶酒;⽩酒</t>
  </si>
  <si>
    <t>万春华</t>
  </si>
  <si>
    <t>⾕物制蒸馏酒精饮料;⽩酒;清酒;葡萄酒;⾷⽤酒精;由⾕物蒸馏的⽩酒;⽶酒;烧酒;⻘稞酒;⻩酒</t>
  </si>
  <si>
    <t>微镇增德</t>
  </si>
  <si>
    <t>威⼠忌;预先混合的酒精饮料（以啤酒为主的除外）;果酒（含酒精）;葡萄酒;含⽔果酒精饮料;朗姆酒;伏特加酒;清酒;⽩兰地;⽩酒</t>
  </si>
  <si>
    <t>崟藏</t>
  </si>
  <si>
    <t>鸡尾酒;烈酒;威⼠忌;⽩酒;葡萄酒;烧酒;⽶酒;⽩兰地;⻩酒;⻘稞酒</t>
  </si>
  <si>
    <t>上海山青韦耀商贸有限公司</t>
  </si>
  <si>
    <t>CHATEAU HAUT MOULEYRES</t>
  </si>
  <si>
    <t>葡萄酒;烈酒（饮料）;⽩酒;鸡尾酒;含酒精的饮料（啤酒除外）;酒精饮料（啤酒除外）;甜酒;果酒;⽶酒;威⼠忌</t>
  </si>
  <si>
    <t>刘玉金</t>
  </si>
  <si>
    <t>蕥泥窖</t>
  </si>
  <si>
    <t>果酒;⻘梅酒;⾼粱酒;⽶酒;果酒（含酒精）;烧酒;葡萄酒;⽼酒（中国蒸馏烈酒）;杨梅酒;⽩酒</t>
  </si>
  <si>
    <t>福州普翔供应链管理有限公司</t>
  </si>
  <si>
    <t>⾷⽤酒精;蒸馏饮料;⻩酒;果酒（含酒精）;烈酒（饮料）;汽酒;葡萄酒;鸡尾酒;酒精饮料（啤酒除外）;⽩酒</t>
  </si>
  <si>
    <t>湖北果昌绿色农业有限公司</t>
  </si>
  <si>
    <t>榴一口</t>
  </si>
  <si>
    <t>烧酒;葡萄酒;佐餐酒;果酒;开胃酒;⽶酒;⽩酒;⻩酒;⽩兰地;甜酒</t>
  </si>
  <si>
    <t>旭地泥窖</t>
  </si>
  <si>
    <t>杨梅酒;⽩酒;⽶酒;⽼酒（中国蒸馏烈酒）;果酒（含酒精）;烧酒;果酒;⾼粱酒;葡萄酒;⻘梅酒</t>
  </si>
  <si>
    <t>福建省醉鹰副食品贸易有限公司</t>
  </si>
  <si>
    <t>⽩兰地;威⼠忌;⾷⽤酒精;葡萄酒;果酒;⾕物制蒸馏酒精饮料;鸡尾酒;⻩酒;⽶酒;⽩酒</t>
  </si>
  <si>
    <t>安宁玉川副食品经营部</t>
  </si>
  <si>
    <t>寂寞小乔酒</t>
  </si>
  <si>
    <t>利⼝酒;烧酒;⽩酒;杜松⼦酒;含⽔果酒精饮料;果酒;开胃酒;酒精饮料（啤酒除外）;预先混合的酒精饮料（以啤酒为主的除外）;蒸馏饮料</t>
  </si>
  <si>
    <t>黄宇锋</t>
  </si>
  <si>
    <t>南洋锋味</t>
  </si>
  <si>
    <t>鸡尾酒;⽶酒;⽩酒;烈酒;果酒;蒸馏饮料;蜂蜜酒;酒精饮料（啤酒除外）;甜酒;葡萄酒</t>
  </si>
  <si>
    <t>田留学</t>
  </si>
  <si>
    <t>标备</t>
  </si>
  <si>
    <t>果酒（含酒精）;烧酒（烈酒）;⾼粱酒;餐后酒（利⼝酒和烈酒）;葡萄酒;⽼酒（中国蒸馏酒）;利⼝酒;⽩⼲酒（中国⽩酒）;苹果酒;⽩酒</t>
  </si>
  <si>
    <t>吴荣卫</t>
  </si>
  <si>
    <t>观茗猕液</t>
  </si>
  <si>
    <t>葡萄酒;清酒;烈酒（饮料）;⽩酒;利⼝酒;威⼠忌;烧酒;⾼粱酒;酒精饮料（啤酒除外）;⽶酒</t>
  </si>
  <si>
    <t>西班牙北部葡萄酒公司</t>
  </si>
  <si>
    <t>C. V. N. E. COMPANIA VINICOLA IMPERIAL</t>
  </si>
  <si>
    <t>果酒;红葡萄酒;酒精饮料（啤酒除外）;开胃酒;起泡⽩葡萄酒;佐餐酒;汽酒;⽶酒;甜酒;桃红葡萄酒;葡萄汽酒;以葡萄酒为主的开胃酒;加烈葡萄酒;天然汽酒;葡萄酒;预调甜酒;起泡红葡萄酒;葡萄潘趣酒;⽔果汽酒;草莓酒</t>
  </si>
  <si>
    <t>天下第一庄食品科技（枣庄）有限公司</t>
  </si>
  <si>
    <t>枣榴宏步青云</t>
  </si>
  <si>
    <t>鸡尾酒;葡萄酒;⽩兰地;⽶酒;果酒（含酒精）;烧酒;酒精饮料（啤酒除外）;清酒;⽩酒;含⽔果酒精饮料</t>
  </si>
  <si>
    <t>成都君丹酒业有限公司</t>
  </si>
  <si>
    <t>渔月坊</t>
  </si>
  <si>
    <t>蜂蜜酒;⽶酒;烈酒（饮料）;⻘稞酒;⽩酒;烧酒;酒精饮料（啤酒除外）;⾕物制蒸馏酒精饮料;⻩酒;⾷⽤酒精</t>
  </si>
  <si>
    <t>湘潭县杨嘉桥镇真升纯酿酒业坊</t>
  </si>
  <si>
    <t>ZS 真升</t>
  </si>
  <si>
    <t>红葡萄酒;混合威⼠忌酒;烈酒浓缩汁;天然汽酒;利⼝酒;烧酒;⽩酒;烈酒;⽇本松针酒;烈性⼲酒</t>
  </si>
  <si>
    <t>罗莱生活科技股份有限公司</t>
  </si>
  <si>
    <t>LUOLAI</t>
  </si>
  <si>
    <t>⽩兰地;含⽔果酒精饮料;⽩酒;⻩酒;果酒（含酒精）;⽶酒;鸡尾酒;葡萄酒;清酒（⽇本⽶酒）;酒精饮料（啤酒除外）;烈酒（饮料）</t>
  </si>
  <si>
    <t>河南省博潭酒业有限公司</t>
  </si>
  <si>
    <t>豫濮春</t>
  </si>
  <si>
    <t>⽩酒;含酒精的饮料（啤酒除外）;⾷⽤酒精</t>
  </si>
  <si>
    <t>贵州金泰来建筑劳务有限公司</t>
  </si>
  <si>
    <t>碧荷醉</t>
  </si>
  <si>
    <t>鸡尾酒;以葡萄酒为主的饮料;酒精饮料（啤酒除外）;烧酒;⽩酒;葡萄酒;烈酒（饮料）;含⽔果酒精饮料;⽶酒;果酒（含酒精）</t>
  </si>
  <si>
    <t>张文彬</t>
  </si>
  <si>
    <t>亿江裕</t>
  </si>
  <si>
    <t>杨梅酒;⻩酒;⽩葡萄酒;⽶酒;⾼粱酒;烧酒;⽩酒;烧酒（烈酒）;⽼酒（中国蒸馏烈酒）;酒精饮料（啤酒除外）</t>
  </si>
  <si>
    <t>王江艳</t>
  </si>
  <si>
    <t>唯我无双</t>
  </si>
  <si>
    <t>果酒（含酒精）;⽩酒;朗姆酒;鸡尾酒;伏特加酒;清酒（⽇本⽶酒）;酒精饮料（啤酒除外）;⻩酒;烧酒;葡萄酒</t>
  </si>
  <si>
    <t>西安千里目电子商务有限公司</t>
  </si>
  <si>
    <t>唐佩 TANGPEI TP</t>
  </si>
  <si>
    <t>⽩酒;利⼝酒;果酒;清酒;烧酒（烈酒）;葡萄酒;⽩兰地;鸡尾酒;伏特加酒;烈酒</t>
  </si>
  <si>
    <t>浙江酒重天酒业有限公司</t>
  </si>
  <si>
    <t>识契真要</t>
  </si>
  <si>
    <t>果酒（含酒精）;葡萄酒;⽩酒;⽶酒;威⼠忌;开胃酒;蒸煮提取物（利⼝酒和烈酒）;蒸馏饮料;⽩兰地;⻩酒</t>
  </si>
  <si>
    <t>宋河粮液 宋9</t>
  </si>
  <si>
    <t>烧酒;鸡尾酒;烈酒（饮料）;蒸馏饮料;⽶酒;⽩酒;⻩酒;葡萄酒;果酒（含酒精）;酒精饮料（啤酒除外）</t>
  </si>
  <si>
    <t>中国贵州茅台酒厂（集团）有限责任公司</t>
  </si>
  <si>
    <t>赖茅</t>
  </si>
  <si>
    <t>烧酒;⽩酒;⾷⽤酒精;果酒（含酒精）;清酒（⽇本⽶酒）;⽶酒;⻩酒;酒精饮料（啤酒除外）;烈酒（饮料）;蒸馏饮料</t>
  </si>
  <si>
    <t>薛利华</t>
  </si>
  <si>
    <t>翠浪</t>
  </si>
  <si>
    <t>葡萄酒;⻘稞酒;汽酒;苹果酒;樱桃酒;蜂蜜酒;⽶酒;烧酒;⽩酒;⻩酒</t>
  </si>
  <si>
    <t>上海江合智造科技有限公司</t>
  </si>
  <si>
    <t>涂清</t>
  </si>
  <si>
    <t>果酒（含酒精）;⽶酒;⽩酒</t>
  </si>
  <si>
    <t>侯永生</t>
  </si>
  <si>
    <t>悠祥金樽</t>
  </si>
  <si>
    <t>⽩酒;烧酒;⾕物制蒸馏酒精饮料;⾼粱酒;含酒精的⽔果鸡尾酒饮料;⽶酒;⽼酒（中国蒸馏烈酒）;果酒;⻩酒;⽩⼲酒（中国⽩酒）</t>
  </si>
  <si>
    <t>陈光</t>
  </si>
  <si>
    <t>浑江湖</t>
  </si>
  <si>
    <t>汽酒;烧酒;威⼠忌;以葡萄酒为主的饮料;果酒;⾼粱酒;由⾕物蒸馏的⽩酒;葡萄酒;⽩酒;⻩酒</t>
  </si>
  <si>
    <t>北京点名科技有限公司</t>
  </si>
  <si>
    <t>BILLIONAIRE</t>
  </si>
  <si>
    <t>杜松⼦酒;烈酒（饮料）;清酒（⽇本⽶酒）;⽩酒;伏特加酒;果酒（含酒精）;⽩兰地;威⼠忌;朗姆酒;葡萄酒</t>
  </si>
  <si>
    <t>北尚众诚（北京）集团有限公司</t>
  </si>
  <si>
    <t>岭南火塘</t>
  </si>
  <si>
    <t>威⼠忌;⽩兰地;葡萄酒;鸡尾酒;⽩酒;烈酒;⽶酒;酒精饮料（啤酒除外）;朗姆酒;果酒</t>
  </si>
  <si>
    <t>江西远桥后边企业服务有限公司</t>
  </si>
  <si>
    <t>善尺坊</t>
  </si>
  <si>
    <t>葡萄酒;鸡尾酒;清酒（⽇本⽶酒）;杨梅酒;甜酒;⾼粱酒;⽶酒;⻩酒;⻘梅酒;⽩酒</t>
  </si>
  <si>
    <t>河南省孜鑫生物科技有限公司</t>
  </si>
  <si>
    <t>孜鑫源</t>
  </si>
  <si>
    <t>果酒（含酒精）;⽩酒;刺五加酒;⻘稞酒;五加⽪酒（中国混合烈酒）;黑覆盆⼦酒;汽酒;烧酒;松叶酒;⻩酒</t>
  </si>
  <si>
    <t>四川省泸州造酒厂</t>
  </si>
  <si>
    <t>泸祖</t>
  </si>
  <si>
    <t>酒精饮料（啤酒除外）;⽩酒;烧酒;葡萄酒;⻩酒;酒精饮料原汁;果酒（含酒精）;⽶酒;⾷⽤酒精;利⼝酒</t>
  </si>
  <si>
    <t>李胜林</t>
  </si>
  <si>
    <t>爱情胜地</t>
  </si>
  <si>
    <t>酒精饮料（啤酒除外）;⽶酒;露酒;利⼝酒;⽩酒;烧酒;果酒;⽼酒（中国蒸馏烈酒）;蜂蜜酒;梨酒</t>
  </si>
  <si>
    <t>计和国</t>
  </si>
  <si>
    <t>钦贵人</t>
  </si>
  <si>
    <t>果酒（含酒精）;汽酒;开胃酒;⽩酒;⽶酒;烈酒（饮料）;⽩⼲酒（中国⽩酒）;烧酒;⻘稞酒;⻩酒</t>
  </si>
  <si>
    <t>剑河县仰阿莎旅游投资开发有限责任公司</t>
  </si>
  <si>
    <t>仰阿莎剑荍汏曲 YANG ASHA'S JIAN QIAO DA QU</t>
  </si>
  <si>
    <t>⽩酒;果酒（含酒精）;鸡尾酒;威⼠忌;含⽔果酒精饮料;酒精饮料原汁;⽶酒;葡萄酒;⻩酒</t>
  </si>
  <si>
    <t>丰泽区泥硕百货商行</t>
  </si>
  <si>
    <t>老川翁</t>
  </si>
  <si>
    <t>⽩酒;朗姆酒（酒精饮料）;开胃酒;葡萄酒;鸡尾酒;⽶酒;果酒;利⼝酒;⻩酒;⻨芽威⼠忌</t>
  </si>
  <si>
    <t>长春市海燕家鹿业有限公司</t>
  </si>
  <si>
    <t>卿宸鹿</t>
  </si>
  <si>
    <t>⽶酒;⻩酒;⾼粱酒;葡萄酒;⽩酒;蒸煮提取物（利⼝酒和烈酒）;果酒;烧酒;开胃酒;酒精饮料（啤酒除外）</t>
  </si>
  <si>
    <t>白山市汇齐行参茸特产有限公司</t>
  </si>
  <si>
    <t>森吉祥</t>
  </si>
  <si>
    <t>葡萄酒;⻩酒;果酒;甜酒;烈酒;酒精饮料（啤酒除外）;⽶酒;⽩酒;汽酒;烧酒</t>
  </si>
  <si>
    <t>贵州省仁怀市醉渡酒业销售有限公司</t>
  </si>
  <si>
    <t>老许师基</t>
  </si>
  <si>
    <t>利⼝酒;烈酒（饮料）;⽩酒;葡萄酒;⾷⽤酒精;蒸煮提取物（利⼝酒和烈酒）;果酒;烧酒;酒精饮料（啤酒除外）;开胃酒</t>
  </si>
  <si>
    <t>刘国忠</t>
  </si>
  <si>
    <t>五霉香</t>
  </si>
  <si>
    <t>⽶酒;⽩酒;果酒（含酒精）;葡萄酒;烧酒;⽩兰地;酒精饮料原汁;利⼝酒;酒精饮料（啤酒除外）;烈酒（饮料）</t>
  </si>
  <si>
    <t>烧酒;⻩酒;鸡尾酒;葡萄酒;烈酒;⽩酒;甜酒;果酒（含酒精）;汽酒;⽶酒</t>
  </si>
  <si>
    <t>陈志强</t>
  </si>
  <si>
    <t>福昌旺</t>
  </si>
  <si>
    <t>果酒（含酒精）;鸡尾酒;⻩酒;⽶酒;⾷⽤酒精;⽩酒;酒精饮料（啤酒除外）;烧酒;葡萄酒;蜂蜜酒</t>
  </si>
  <si>
    <t>梁绍发</t>
  </si>
  <si>
    <t>英杰烧坊</t>
  </si>
  <si>
    <t>果酒（含酒精）;鸡尾酒;威⼠忌;⽶酒;清酒;葡萄酒;⻩酒;⽩酒;烧酒（烈酒）;烧酒</t>
  </si>
  <si>
    <t>杭州千岛湖休闲体育发展有限公司</t>
  </si>
  <si>
    <t>颜桔</t>
  </si>
  <si>
    <t>⽶酒;清酒（⽇本⽶酒）;烧酒;葡萄酒;⻩酒;酒精饮料浓缩汁;含⽔果酒精饮料;⽩酒;蒸馏饮料;果酒（含酒精）</t>
  </si>
  <si>
    <t>陈红娇</t>
  </si>
  <si>
    <t>烈酒（饮料）;⽶酒;含⽔果酒精饮料;开胃酒;鸡尾酒;葡萄酒;⽩酒;汽酒;烧酒;威⼠忌</t>
  </si>
  <si>
    <t>贵州翰林运营管理有限公司</t>
  </si>
  <si>
    <t>云乐鸿图</t>
  </si>
  <si>
    <t>酒精饮料浓缩汁;鸡尾酒;葡萄酒;含⽔果酒精饮料;蒸馏饮料;果酒;蒸煮提取物（利⼝酒和烈酒）;⽶酒;⾷⽤酒精;⽩酒</t>
  </si>
  <si>
    <t>朵畔（上海）国际贸易有限公司</t>
  </si>
  <si>
    <t>玛洛尼</t>
  </si>
  <si>
    <t>烈酒（饮料）;红葡萄酒;烈酒;起泡红葡萄酒;⽩葡萄酒;甜酒;桃红葡萄酒;天然汽酒;起泡⽩葡萄酒;葡萄酒</t>
  </si>
  <si>
    <t>合肥品唇贸易有限公司</t>
  </si>
  <si>
    <t>凤芸台</t>
  </si>
  <si>
    <t>烈酒（饮料）;果酒（含酒精）;葡萄酒;烧酒;⻩酒;酒精饮料（啤酒除外）;⽩酒;鸡尾酒;⽶酒;⽩兰地</t>
  </si>
  <si>
    <t>河北楷里归壹生物科技有限公司</t>
  </si>
  <si>
    <t>慈俑</t>
  </si>
  <si>
    <t>烧酒;果酒（含酒精）;⻩酒;⽩酒;烈酒（饮料）;酒精饮料（啤酒除外）;⽶酒;蒸馏饮料;葡萄酒;清酒（⽇本⽶酒）</t>
  </si>
  <si>
    <t>成都市子云亭酒业有限公司</t>
  </si>
  <si>
    <t>寻邑西岭</t>
  </si>
  <si>
    <t>⽶酒;⻘稞酒;威⼠忌;果酒（含酒精）;烧酒;⻩酒;含⽔果酒精饮料;⽩酒;葡萄酒;鸡尾酒</t>
  </si>
  <si>
    <t>江阴池道文化发展有限公司</t>
  </si>
  <si>
    <t>米造坊</t>
  </si>
  <si>
    <t>酒精饮料（啤酒除外）;葡萄酒;果酒;蜂蜜酒;梅酒;⽩酒;清酒;⻩酒;烧酒;⽶酒</t>
  </si>
  <si>
    <t>西藏冰川矿泉水有限公司</t>
  </si>
  <si>
    <t>5100</t>
  </si>
  <si>
    <t>清酒;⻘稞酒;开胃酒;烈酒（饮料）;含⽔果酒精饮料;⾷⽤酒精;果酒（含酒精）;酒精饮料（啤酒除外）;葡萄酒;蒸煮提取物（利⼝酒和烈酒）</t>
  </si>
  <si>
    <t>誉加葡萄酒智利股份公司</t>
  </si>
  <si>
    <t>ANAKENA ONA</t>
  </si>
  <si>
    <t>葡萄酒;含酒精的饮料（啤酒除外）</t>
  </si>
  <si>
    <t>吴宝林</t>
  </si>
  <si>
    <t>都优商惠</t>
  </si>
  <si>
    <t>⽩兰地;朗姆酒（酒精饮料）;清酒;威⼠忌;红葡萄酒;⽩酒;果酒（含酒精）;蒸馏饮料;⻩酒;含酒精的饮料（啤酒除外）</t>
  </si>
  <si>
    <t>大丰区沈建食品小作坊经营部（个体工商户）</t>
  </si>
  <si>
    <t>沈建</t>
  </si>
  <si>
    <t>⽶酒;含⽔果酒精饮料;开胃酒;烈酒;鸡尾酒;⽩酒;利⼝酒;烧酒;⻩酒;苹果酒</t>
  </si>
  <si>
    <t>唐山秋美商贸有限公司</t>
  </si>
  <si>
    <t>千苇粮</t>
  </si>
  <si>
    <t>烈酒;蒸煮提取物（利⼝酒和烈酒）;烧酒;五加⽪酒（中国混合烈酒）;⽩⼲酒（中国⽩酒）;⽶酒;⽩酒;⽼酒（中国蒸馏烈酒）;⻩酒;果酒（含酒精）</t>
  </si>
  <si>
    <t>上海美酌国际贸易有限公司</t>
  </si>
  <si>
    <t>MAZOROUGE GERUMEN 格鲁曼</t>
  </si>
  <si>
    <t>⽶酒;甜酒;葡萄酒;果酒;含酒精的饮料（啤酒除外）;烈酒（饮料）;⽩酒;威⼠忌;酒精饮料（啤酒除外）;鸡尾酒</t>
  </si>
  <si>
    <t>烟台希拉国际贸易有限公司</t>
  </si>
  <si>
    <t>希拉帝龙</t>
  </si>
  <si>
    <t>烈酒;葡萄酒;鸡尾酒;威⼠忌;伏特加酒;开胃酒;⽩兰地;⽩酒;清酒;朗姆酒</t>
  </si>
  <si>
    <t>胡继明</t>
  </si>
  <si>
    <t>瑞洲桥</t>
  </si>
  <si>
    <t>果酒（含酒精）;葡萄酒;开胃酒;⽶酒;酒精饮料（啤酒除外）;⽩酒;利⼝酒;汽酒;酒精饮料原汁;清酒（⽇本⽶酒）</t>
  </si>
  <si>
    <t>渑池县马头崖家庭农场有限公司</t>
  </si>
  <si>
    <t>龙床</t>
  </si>
  <si>
    <t>⽩酒;蒸馏饮料;餐后酒（利⼝酒和烈酒）;预先混合的酒精饮料（以啤酒为主的除外）;⾕物制蒸馏酒精饮料;酒精饮料（啤酒除外）;⻘稞酒;果酒（含酒精）;含⽔果酒精饮料;烧酒</t>
  </si>
  <si>
    <t>烟台张裕葡萄酿酒股份有限公司</t>
  </si>
  <si>
    <t>PRODIGAL</t>
  </si>
  <si>
    <t>⽩兰地;酒精饮料（啤酒除外）;⽩酒;葡萄酒;汽酒;开胃酒;威⼠忌;餐后酒（利⼝酒和烈酒）;含⽔果酒精饮料;果酒（含酒精）</t>
  </si>
  <si>
    <t>由⾕物蒸馏的⽩酒;烧酒（烈酒）;⽩酒;烈酒;⽼酒（中国蒸馏烈酒）;含酒精的饮料（啤酒除外）;果酒（含酒精）;酒精饮料（啤酒除外）;⽶酒;果酒</t>
  </si>
  <si>
    <t>洪湖风</t>
  </si>
  <si>
    <t>尊宴来</t>
  </si>
  <si>
    <t>果酒（含酒精）;葡萄酒;鸡尾酒;⻩酒;烈酒;清酒（⽇本⽶酒）;⽶酒;酒精饮料（啤酒除外）;⽩酒;烧酒</t>
  </si>
  <si>
    <t>刘正</t>
  </si>
  <si>
    <t>围山一皓</t>
  </si>
  <si>
    <t>果酒（含酒精）;鸡尾酒;⻩酒;清酒;威⼠忌;⽶酒;酒精饮料（啤酒除外）;烧酒;葡萄酒;⽩酒</t>
  </si>
  <si>
    <t>山西用膳良酒科技有限公司</t>
  </si>
  <si>
    <t>果酒（含酒精）;⽩⼲酒（中国⽩酒）;已调味的蒸馏酒;由⾕物蒸馏的⽩酒;蒸馏饮料;⾷⽤酒精;⽩酒;⾼粱酒;⽼酒（中国蒸馏烈酒）;酒精饮料（啤酒除外）</t>
  </si>
  <si>
    <t>安徽好木庄园有限公司</t>
  </si>
  <si>
    <t>好木庄园</t>
  </si>
  <si>
    <t>果酒（含酒精）;⽩兰地;⽶酒;⻩酒;⽩酒;酒精饮料原汁;⾷⽤酒精;开胃酒;蒸馏饮料;烈酒（饮料）</t>
  </si>
  <si>
    <t>广西弥莱缘生物科技有限公司</t>
  </si>
  <si>
    <t>汉菰钰</t>
  </si>
  <si>
    <t>鸡尾酒;⽶酒;开胃酒;葡萄酒;⽩酒;含⽔果酒精饮料;酒精饮料（啤酒除外）;果酒（含酒精）;⻩酒;蜂蜜酒</t>
  </si>
  <si>
    <t>乔奥国际公共关系(北京)有限公司</t>
  </si>
  <si>
    <t>山背谷酒问道</t>
  </si>
  <si>
    <t>蜂蜜酒;酒精饮料原汁;含⽔果酒精饮料;⽼酒（中国蒸馏烈酒）;⻘梅酒;由⾕物蒸馏的⽩酒;酒精饮料浓缩汁;⾼粱酒;杨梅酒;露酒</t>
  </si>
  <si>
    <t>北四票</t>
  </si>
  <si>
    <t>⻘稞酒;威⼠忌;⾼粱酒;除啤酒外的酒精饮料;苦荞酒;⽶酒;⽩酒;葡萄酒;含⽔果酒精饮料;⻩酒</t>
  </si>
  <si>
    <t>丰都县原古态白酒酿造厂</t>
  </si>
  <si>
    <t>联合久号</t>
  </si>
  <si>
    <t>⽩酒;烈酒（饮料）;酒精饮料浓缩汁;⽶酒;含⽔果酒精饮料;葡萄酒;酒精饮料原汁;烧酒;酒精饮料（啤酒除外）;⻩酒</t>
  </si>
  <si>
    <t>云南云狮建文酒业有限公司</t>
  </si>
  <si>
    <t>狮云</t>
  </si>
  <si>
    <t>葡萄酒;酒精饮料（啤酒除外）;⾷⽤酒精;果酒（含酒精）;烧酒;⽶酒;⽩兰地;⽩酒;苹果酒;开胃酒</t>
  </si>
  <si>
    <t>胡丽</t>
  </si>
  <si>
    <t>无忧者</t>
  </si>
  <si>
    <t>⽩酒;威⼠忌;葡萄酒;开胃酒;果酒（含酒精）;烈酒;鸡尾酒;⻩酒;酒精饮料（啤酒除外）;清酒（⽇本⽶酒）</t>
  </si>
  <si>
    <t>北京中新财富文化传媒有限公司</t>
  </si>
  <si>
    <t>九极山海</t>
  </si>
  <si>
    <t>⽩酒;⽶酒;威⼠忌;烧酒;⻩酒;⾷⽤酒精;酒精饮料（啤酒除外）;葡萄酒;果酒;鸡尾酒</t>
  </si>
  <si>
    <t>李健</t>
  </si>
  <si>
    <t>玉匠清花</t>
  </si>
  <si>
    <t>果酒（含酒精）;⽶酒;⽩酒;鸡尾酒;烧酒;蒸馏饮料;葡萄酒;烈酒（饮料）;⻩酒;酒精饮料（啤酒除外）</t>
  </si>
  <si>
    <t>飞江山</t>
  </si>
  <si>
    <t>果酒（含酒精）;烈酒（饮料）;酒精饮料（啤酒除外）;烧酒;⽩酒;⽶酒;餐后酒（利⼝酒和烈酒）;酒精饮料原汁;⻩酒;葡萄酒</t>
  </si>
  <si>
    <t>暖城金喜</t>
  </si>
  <si>
    <t>⻩酒;果酒（含酒精）;蒸馏饮料;葡萄酒;酒精饮料（啤酒除外）;鸡尾酒;⽶酒;烧酒;⽩酒;烈酒（饮料）</t>
  </si>
  <si>
    <t>暖城金福</t>
  </si>
  <si>
    <t>烧酒;酒精饮料（啤酒除外）;果酒（含酒精）;葡萄酒;⻩酒;烈酒（饮料）;⽩酒;蒸馏饮料;鸡尾酒;⽶酒</t>
  </si>
  <si>
    <t>张万伍</t>
  </si>
  <si>
    <t>张春韵</t>
  </si>
  <si>
    <t>⽩酒;果酒（含酒精）;烈酒（饮料）;利⼝酒;葡萄酒;威⼠忌;⽶酒;预先混合的酒精饮料（以啤酒为主的除外）;烧酒;⻩酒</t>
  </si>
  <si>
    <t>成都壹席酒业有限公司</t>
  </si>
  <si>
    <t>开也</t>
  </si>
  <si>
    <t>烧酒;含酒精的饮料（啤酒除外）;⽩酒;鸡尾酒;⻩酒;除啤酒外的酒精饮料;咖啡利⼝酒;以朗姆酒为主的饮料;以葡萄酒为主的饮料;汽酒</t>
  </si>
  <si>
    <t>成都臻膳堂健康科技有限公司</t>
  </si>
  <si>
    <t>荣太医</t>
  </si>
  <si>
    <t>果酒（含酒精）;葡萄酒;烧酒;露酒;⽩酒;含⽔果酒精饮料;蒸馏饮料;酒精饮料（啤酒除外）;蒸煮提取物（利⼝酒和烈酒）;酒精饮料原汁</t>
  </si>
  <si>
    <t>承德丽砂宝建材有限公司</t>
  </si>
  <si>
    <t>砼诺</t>
  </si>
  <si>
    <t>果酒（含酒精）;⽩兰地;酒精饮料原汁;⽩酒;威⼠忌;酒精饮料浓缩汁;鸡尾酒;葡萄酒;酒精饮料（啤酒除外）;蒸馏饮料</t>
  </si>
  <si>
    <t>达州市蜀南食品有限公司</t>
  </si>
  <si>
    <t>蜀渝湘</t>
  </si>
  <si>
    <t>⽶酒;⻩酒;鸡尾酒;葡萄酒;⾷⽤酒精;苹果酒;酒精饮料原汁;酒精饮料（啤酒除外）;⽩酒;蜂蜜酒</t>
  </si>
  <si>
    <t>高密市三十里红酒业销售有限公司</t>
  </si>
  <si>
    <t>十八里红金</t>
  </si>
  <si>
    <t>酒精饮料（啤酒除外）;⽩兰地;⻩酒;烧酒;⽩酒;⻘稞酒;⽶酒;葡萄酒;果酒（含酒精）;⾷⽤酒精</t>
  </si>
  <si>
    <t>天津市实丽津商贸有限公司</t>
  </si>
  <si>
    <t>时利大金</t>
  </si>
  <si>
    <t>葡萄酒;梨酒;⽩酒;鸡尾酒;酒精饮料（啤酒除外）;⽶酒;果酒（含酒精）;⻩酒;威⼠忌;烧酒</t>
  </si>
  <si>
    <t>梅真珠（福建）健康产业有限公司</t>
  </si>
  <si>
    <t>美真珠</t>
  </si>
  <si>
    <t>白兰地;朗姆酒;葡萄酒;白酒;黄酒;果酒（含酒精）;烧酒;威士忌;清酒（日本米酒）;米酒</t>
  </si>
  <si>
    <t>江西九墨卿光农业发展有限公司</t>
  </si>
  <si>
    <t>姑嫂訸记</t>
  </si>
  <si>
    <t>葡萄酒;酒精饮料浓缩汁;含⽔果酒精饮料;开胃酒;⻩酒;⽶酒;蒸馏饮料;利⼝酒;⽩酒;烈酒（饮料）</t>
  </si>
  <si>
    <t>古蔺县源河酒业有限责任公司</t>
  </si>
  <si>
    <t>石子坡</t>
  </si>
  <si>
    <t>⾷⽤酒精;烧酒;果酒（含酒精）;烈酒（饮料）;⻩酒;⾼粱酒;果酒;酒精饮料（啤酒除外）;⽩酒;⽶酒</t>
  </si>
  <si>
    <t>泸州老参林商贸有限公司</t>
  </si>
  <si>
    <t>魔宫</t>
  </si>
  <si>
    <t>⻩酒;茴⾹酒（利⼝酒）;葡萄酒;⽶酒;烧酒;蜂蜜酒;果酒（含酒精）;开胃酒;酒精饮料（啤酒除外）;⽩酒</t>
  </si>
  <si>
    <t>张一君</t>
  </si>
  <si>
    <t>君堡</t>
  </si>
  <si>
    <t>⽩兰地;伏特加酒;开胃酒;烈酒（饮料）;威⼠忌;鸡尾酒;葡萄酒;酒精饮料（啤酒除外）;果酒（含酒精）;蒸煮提取物（利⼝酒和烈酒）</t>
  </si>
  <si>
    <t>弥勒东风宝云酒庄</t>
  </si>
  <si>
    <t>含⽔果酒精饮料;果酒（含酒精）;⽩兰地;威⼠忌;⾷⽤酒精;烈酒（饮料）;酒精饮料原汁;以葡萄酒为主的饮料;葡萄酒;蒸馏饮料</t>
  </si>
  <si>
    <t>内黄县阿尔酒店管理有限公司</t>
  </si>
  <si>
    <t>酥稻</t>
  </si>
  <si>
    <t>葡萄酒;烈酒;⻩酒;开胃酒;⾕物制蒸馏酒精饮料;果酒（含酒精）;⽶酒;预先混合的酒精饮料（以啤酒为主的除外）;⽩酒;烧酒</t>
  </si>
  <si>
    <t>河南中律商贸有限公司</t>
  </si>
  <si>
    <t>律粉</t>
  </si>
  <si>
    <t>果酒（含酒精）;清酒（⽇本⽶酒）;⽩酒;烧酒;烈酒（饮料）;⻩酒;⽶酒;葡萄酒;⾷⽤酒精;酒精饮料（啤酒除外）</t>
  </si>
  <si>
    <t>张兴念</t>
  </si>
  <si>
    <t>君尉</t>
  </si>
  <si>
    <t>烈酒;威⼠忌;⻘稞酒;葡萄酒;⽩酒;烧酒;⽶酒;鸡尾酒;⽩兰地;⻩酒</t>
  </si>
  <si>
    <t>左训强</t>
  </si>
  <si>
    <t>岩匾</t>
  </si>
  <si>
    <t>⽶酒;葡萄酒;鸡尾酒;⻩酒;酒精饮料（啤酒除外）;甜酒;⽼酒（中国蒸馏烈酒）;烧酒;⽩酒;果酒（含酒精）</t>
  </si>
  <si>
    <t>湖北康甲酒业股份有限公司</t>
  </si>
  <si>
    <t>康甲常在</t>
  </si>
  <si>
    <t>⽩酒;利⼝酒;葡萄酒;⾷⽤酒精;果酒（含酒精）;烈酒（饮料）;烧酒;⽶酒;⻩酒;蒸煮提取物（利⼝酒和烈酒）</t>
  </si>
  <si>
    <t>项山人家（寻乌县）酒业发展有限公司</t>
  </si>
  <si>
    <t>东江糯</t>
  </si>
  <si>
    <t>汽酒;清酒;⾷⽤酒精;烧酒;酒精饮料（啤酒除外）;含⽔果酒精饮料;⽩酒;⽶酒;⻩酒;果酒</t>
  </si>
  <si>
    <t>台江县革一振兴产业投资有限责任公司</t>
  </si>
  <si>
    <t>革一</t>
  </si>
  <si>
    <t>果酒;⾼粱酒;利⼝酒;烧酒（烈酒）;鸡尾酒;烈酒（饮料）;⽶酒;⽼酒（中国蒸馏烈酒）;葡萄酒;⽩酒</t>
  </si>
  <si>
    <t>中山市东芳优选医疗科技有限公司</t>
  </si>
  <si>
    <t>淳缘梦</t>
  </si>
  <si>
    <t>⽼酒（中国蒸馏烈酒）;⽶酒;酒精饮料（啤酒除外）;由⾕物蒸馏的⽩酒;蒸煮提取物（利⼝酒和烈酒）;⽩酒;葡萄酒;⽩⼲酒（中国⽩酒）;果酒（含酒精）;烧酒</t>
  </si>
  <si>
    <t>江苏省泗洪县酿酒食品有限公司</t>
  </si>
  <si>
    <t>臻琪玖坊</t>
  </si>
  <si>
    <t>烈酒（饮料）;烧酒（烈酒）;⽩⼲酒（中国⽩酒）;⾼粱酒;五加⽪酒（中国混合烈酒）;烧酒;烈性⼲酒;⽩酒;⽼酒（中国蒸馏烈酒）;烈酒</t>
  </si>
  <si>
    <t>湖州友力商贸有限公司</t>
  </si>
  <si>
    <t>八友</t>
  </si>
  <si>
    <t>⽩兰地;果酒（含酒精）;开胃酒;鸡尾酒;伏特加酒;酒精饮料（啤酒除外）;烧酒;葡萄酒;威⼠忌;利⼝酒</t>
  </si>
  <si>
    <t>淮安博裕商贸有限公司</t>
  </si>
  <si>
    <t>一跃翻升</t>
  </si>
  <si>
    <t>⽶酒;开胃酒;⾷⽤酒精;⻩酒;⾕物制蒸馏酒精饮料;以葡萄酒为主的饮料;⻘稞酒;⽩酒;葡萄酒;烧酒</t>
  </si>
  <si>
    <t>亳州市匠博汇酒业有限公司</t>
  </si>
  <si>
    <t>与古贡酒</t>
  </si>
  <si>
    <t>果酒（含酒精）;⽩酒;酒精饮料（啤酒除外）;⽶酒;葡萄酒;朗姆酒;⽼酒（中国蒸馏烈酒）;⻘稞酒;以葡萄酒为主的饮料;⻩酒</t>
  </si>
  <si>
    <t>贵州说聊科技有限公司</t>
  </si>
  <si>
    <t>时年老</t>
  </si>
  <si>
    <t>酒精饮料浓缩汁;果酒;⽶酒;⾕物制蒸馏酒精饮料;鸡尾酒;⽩酒;烈酒;葡萄酒;除啤酒外的酒精饮料;开胃酒</t>
  </si>
  <si>
    <t>山西沁乡红食品科技有限公司</t>
  </si>
  <si>
    <t>葡萄酒;⾷⽤酒精;⻩酒;⽩酒;蒸馏饮料;开胃酒;烧酒;果酒;⽶酒;酒精饮料（啤酒除外）</t>
  </si>
  <si>
    <t>张玉霞</t>
  </si>
  <si>
    <t>茶曌物</t>
  </si>
  <si>
    <t>⾕物制蒸馏酒精饮料;⽶酒;以葡萄酒为主的饮料;⽩酒;烧酒;梨酒;葡萄酒;蜂蜜酒;樱桃酒;果酒（含酒精）</t>
  </si>
  <si>
    <t>江门畅播品牌管理有限公司</t>
  </si>
  <si>
    <t>EQZ</t>
  </si>
  <si>
    <t>蒸馏饮料;⻨芽威⼠忌;⻩酒;⽼酒（中国蒸馏烈酒）;⽩酒;露酒;⾷⽤酒精;鸡尾酒;⻘梅酒;含⽔果酒精饮料</t>
  </si>
  <si>
    <t>韩学记</t>
  </si>
  <si>
    <t>金酿论</t>
  </si>
  <si>
    <t>果酒（含酒精）;蒸馏饮料;烧酒;⻘稞酒;葡萄酒;⽩酒;⾷⽤酒精;酒精饮料（啤酒除外）;⽶酒;鸡尾酒</t>
  </si>
  <si>
    <t>烟台市富瑞斯酿酒有限公司</t>
  </si>
  <si>
    <t>DILETTO</t>
  </si>
  <si>
    <t>酒精饮料（啤酒除外）;威⼠忌;清酒（⽇本⽶酒）;汽酒;⻩酒;烧酒;果酒（含酒精）;葡萄酒;⽩兰地;⽩酒</t>
  </si>
  <si>
    <t>河南福运旺开心农场生态食品有限公司</t>
  </si>
  <si>
    <t>道沙 酒</t>
  </si>
  <si>
    <t>酒精饮料（啤酒除外）;⽩酒;葡萄酒;烈酒（饮料）;⽶酒;⽩兰地;果酒（含酒精）;⽼酒（中国蒸馏烈酒）;⻩酒;烧酒</t>
  </si>
  <si>
    <t>贵州鲟都食品有限公司</t>
  </si>
  <si>
    <t>贵鲟御酒</t>
  </si>
  <si>
    <t xml:space="preserve">	白酒; 黄酒; 汽酒; 葡萄酒; 甜酒; 烈酒（饮料）; 以葡萄酒为主的饮料; 含水果酒精饮料; 含酒精的水果鸡尾酒饮料; 米酒</t>
  </si>
  <si>
    <t>杨金旭</t>
  </si>
  <si>
    <t>彦谦</t>
  </si>
  <si>
    <t>烈酒（饮料）;酒精饮料（啤酒除外）;⾷⽤酒精;⽶酒;烧酒;葡萄酒;⽩酒;含⽔果酒精饮料;果酒（含酒精）;⻩酒</t>
  </si>
  <si>
    <t>陈玉慧</t>
  </si>
  <si>
    <t>如惠冠源</t>
  </si>
  <si>
    <t>葡萄酒;烧酒;⽩酒;蜂蜜酒;由⾕物蒸馏的⽩酒;⻩酒;烈酒（饮料）;⽶酒;⾷⽤酒精;⾼粱酒</t>
  </si>
  <si>
    <t>羍</t>
  </si>
  <si>
    <t>开胃酒;烈酒（饮料）;葡萄酒;鸡尾酒;果酒（含酒精）;酸酒（低等葡萄酒）;烧酒;⽩酒;⽶酒;酒精饮料（啤酒除外）</t>
  </si>
  <si>
    <t>康甲帝尊</t>
  </si>
  <si>
    <t>烧酒;⾷⽤酒精;⻩酒;蒸煮提取物（利⼝酒和烈酒）;葡萄酒;⽩酒;利⼝酒;烈酒（饮料）;⽶酒;果酒（含酒精）</t>
  </si>
  <si>
    <t>富森农业有限公司</t>
  </si>
  <si>
    <t>鹿养冠</t>
  </si>
  <si>
    <t>葡萄酒;酒精饮料（啤酒除外）;⽩酒;含⽔果酒精饮料;⾷⽤酒精;⽩兰地;果酒（含酒精）;鸡尾酒;⽶酒;⻩酒</t>
  </si>
  <si>
    <t>广东众创鼎盛企业投资有限公司</t>
  </si>
  <si>
    <t>云山凤鸣</t>
  </si>
  <si>
    <t>柑⾹酒;葡萄酒;酒精饮料原汁;含⽔果酒精饮料;薄荷酒;果酒（含酒精）;开胃酒;⽶酒;⽩酒;酒精饮料（啤酒除外）</t>
  </si>
  <si>
    <t>清流县龙津镇中群百货商行</t>
  </si>
  <si>
    <t>金玺美</t>
  </si>
  <si>
    <t>鸡尾酒;含酒精的饮料（啤酒除外）;甜酒;果酒;威⼠忌;梅酒;⽩酒;餐后酒（利⼝酒和烈酒）;葡萄酒;开胃酒</t>
  </si>
  <si>
    <t>杭州指点品牌管理有限公司</t>
  </si>
  <si>
    <t>侠嗑令</t>
  </si>
  <si>
    <t>⽩兰地;⽶酒;开胃酒;果酒（含酒精）;烧酒;葡萄酒;⽩酒;⻩酒;威⼠忌;鸡尾酒</t>
  </si>
  <si>
    <t>红韵美</t>
  </si>
  <si>
    <t>果酒;鸡尾酒;含酒精的饮料（啤酒除外）;甜酒;梅酒;餐后酒（利⼝酒和烈酒）;开胃酒;葡萄酒;威⼠忌;⽩酒</t>
  </si>
  <si>
    <t>MEISIKAER</t>
  </si>
  <si>
    <t>鸡尾酒;杜松⼦酒;伏特加酒;果酒（含酒精）;朗姆酒（酒精饮料）;葡萄酒;利⼝酒;⽩兰地;威⼠忌;朗姆酒</t>
  </si>
  <si>
    <t>广州有意思网络科技有限公司</t>
  </si>
  <si>
    <t>同永发</t>
  </si>
  <si>
    <t>酒精饮料原汁;酒精饮料（啤酒除外）;葡萄酒;清酒（⽇本⽶酒）;⽶酒;烧酒;果酒（含酒精）;烈酒（饮料）;预先混合的酒精饮料（以啤酒为主的除外）;含⽔果酒精饮料</t>
  </si>
  <si>
    <t>浙江浴家品牌管理有限公司</t>
  </si>
  <si>
    <t>BUGATTI</t>
  </si>
  <si>
    <t>⽩葡萄酒;⽩兰地;威⼠忌;除啤酒外的酒精饮料;伏特加酒;鸡尾酒;葡萄酒;红葡萄酒;果酒（含酒精）;⽩酒</t>
  </si>
  <si>
    <t>苏州温柔乡愁文化旅游有限公司</t>
  </si>
  <si>
    <t>温柔乡愁</t>
  </si>
  <si>
    <t>⽶酒;梅酒;杨梅酒;含⽔果酒精饮料;⻩酒;葡萄酒;果酒;甜酒;⻘梅酒;⽩酒</t>
  </si>
  <si>
    <t>沈丘县秣陵酒业厂</t>
  </si>
  <si>
    <t>龙都沈泉</t>
  </si>
  <si>
    <t>蜂蜜酒;⻩酒;葡萄酒;⽩酒;薄荷酒;果酒（含酒精）;烈酒（饮料）;⽶酒;烧酒;酒精饮料（啤酒除外）</t>
  </si>
  <si>
    <t>ROYALPERLIS</t>
  </si>
  <si>
    <t>威⼠忌;红葡萄酒;含酒精的充⽓饮料（啤酒除外）;果酒（含酒精）;葡萄汽酒;⻨芽威⼠忌;除啤酒外的酒精饮料;葡萄酒;混合威⼠忌酒;⽩兰地</t>
  </si>
  <si>
    <t>上海五指数字科技集团有限公司</t>
  </si>
  <si>
    <t>心灵一号闻道</t>
  </si>
  <si>
    <t>⾕物制蒸馏酒精饮料;烈酒（饮料）;蜂蜜酒;果酒（含酒精）;含⽔果酒精饮料;烧酒;开胃酒;葡萄酒;酒精饮料原汁;⽩酒</t>
  </si>
  <si>
    <t>青岛海晟龙旭商贸有限公司</t>
  </si>
  <si>
    <t>崂郓</t>
  </si>
  <si>
    <t>果酒（含酒精）;蜂蜜酒;酒精饮料（啤酒除外）;⻘稞酒;鸡尾酒;葡萄酒;烧酒;含⽔果酒精饮料;⽶酒;⽩酒</t>
  </si>
  <si>
    <t>知己醉（广东）酒业有限公司</t>
  </si>
  <si>
    <t>果酒（含酒精）;⽩兰地;鸡尾酒;⽩酒;烧酒;葡萄酒;威⼠忌;酒精饮料原汁;伏特加酒;⽶酒</t>
  </si>
  <si>
    <t>德州壹郑品牌管理有限公司</t>
  </si>
  <si>
    <t>拾全御</t>
  </si>
  <si>
    <t>⽩酒;葡萄酒;⽶酒;烧酒;清酒;⻩酒;果酒（含酒精）;开胃酒;酒精饮料（啤酒除外）;烈酒</t>
  </si>
  <si>
    <t>佛山市三水区澳农生态农业有限公司</t>
  </si>
  <si>
    <t>素心良农</t>
  </si>
  <si>
    <t>⻩酒;含⽔果酒精饮料;⽶酒;⾕物制蒸馏酒精饮料;薄荷酒;⽩酒;清酒（⽇本⽶酒）;烧酒;葡萄酒;果酒（含酒精）</t>
  </si>
  <si>
    <t>仁怀赢谷商贸有限公司</t>
  </si>
  <si>
    <t>赢谷窑藏</t>
  </si>
  <si>
    <t>⽼酒（中国蒸馏烈酒）;果酒（含酒精）;⽩酒;由⾕物蒸馏的⽩酒;⻘稞酒;⽩⼲酒（中国⽩酒）;葡萄酒;烈酒（饮料）;⾼粱酒;⽶酒;⻩酒;威⼠忌</t>
  </si>
  <si>
    <t>心灵一号铁杆</t>
  </si>
  <si>
    <t>开胃酒;蜂蜜酒;烧酒;烈酒（饮料）;酒精饮料原汁;果酒（含酒精）;⾕物制蒸馏酒精饮料;⽩酒;葡萄酒;含⽔果酒精饮料</t>
  </si>
  <si>
    <t>王建</t>
  </si>
  <si>
    <t>东方纹样</t>
  </si>
  <si>
    <t>⽶酒;⻩酒;烧酒;露酒;⽩酒;由⾕物蒸馏的⽩酒;清酒;烈酒;果酒（含酒精）;⽼酒（中国蒸馏烈酒）</t>
  </si>
  <si>
    <t>陈管社</t>
  </si>
  <si>
    <t>金策</t>
  </si>
  <si>
    <t>果酒;开胃酒;清酒;⻩酒;⾷⽤酒精;甜酒;⽩酒;⽶酒;葡萄酒;汽酒</t>
  </si>
  <si>
    <t>黑龙江山童药业科技有限公司</t>
  </si>
  <si>
    <t>力童</t>
  </si>
  <si>
    <t>开胃酒;利⼝酒;酒精饮料（啤酒除外）;汽酒;⻩酒;威⼠忌;⽩酒;葡萄酒;伏特加酒;⽩兰地</t>
  </si>
  <si>
    <t>保定空瓶子酒业有限公司</t>
  </si>
  <si>
    <t>潴龙醇</t>
  </si>
  <si>
    <t>开胃酒;烈酒（饮料）;酒精饮料（啤酒除外）;利⼝酒;清酒;⽩酒;葡萄酒;⾷⽤酒精;果酒（含酒精）;烧酒</t>
  </si>
  <si>
    <t>大连理工大学</t>
  </si>
  <si>
    <t>DLUT</t>
  </si>
  <si>
    <t>果酒（含酒精）;预先混合的酒精饮料（以啤酒为主的除外）;葡萄酒;酒精饮料浓缩汁;含⽔果酒精饮料;⻩酒;⽶酒;⽩酒;⽼酒（中国蒸馏烈酒）;含酒精的饮料（啤酒除外）</t>
  </si>
  <si>
    <t>南京诚悦祥商贸有限公司</t>
  </si>
  <si>
    <t>宁香闽</t>
  </si>
  <si>
    <t>烈酒;⽩酒;⽶酒;清酒（⽇本⽶酒）;甜酒;⻩酒;果酒（含酒精）;葡萄酒;烧酒;酒精饮料（啤酒除外）</t>
  </si>
  <si>
    <t>晋中市晋之康食品有限公司</t>
  </si>
  <si>
    <t>烟黎穗</t>
  </si>
  <si>
    <t>红葡萄酒;甜酒;梅酒;烧酒;天然汽酒;⽶酒;⻩酒;果酒（含酒精）;汽酒;⽩酒</t>
  </si>
  <si>
    <t>贵州味花味酒食品商贸有限公司</t>
  </si>
  <si>
    <t>味花味酒</t>
  </si>
  <si>
    <t>⾷⽤酒精;烧酒（烈酒）;烧酒;⽩⼲酒（中国⽩酒）;⽩酒;果酒（含酒精）;葡萄酒;⽼酒（中国蒸馏烈酒）;酒精饮料（啤酒除外）;⾼粱酒</t>
  </si>
  <si>
    <t>重庆市永川区豆豆香食品有限责任公司</t>
  </si>
  <si>
    <t>云乔西</t>
  </si>
  <si>
    <t>烧酒;蜂蜜酒;果酒（含酒精）;酒精饮料（啤酒除外）;清酒;⽩酒;⻩酒;⽶酒;⻘稞酒;葡萄酒</t>
  </si>
  <si>
    <t>爱马仕供应链（河南）有限公司</t>
  </si>
  <si>
    <t>龙老板</t>
  </si>
  <si>
    <t>果酒（含酒精）;⻩酒;烈酒;清酒（⽇本⽶酒）;⽩酒;葡萄酒;鸡尾酒;茴⾹酒;⽶酒;威⼠忌</t>
  </si>
  <si>
    <t>成都明道食品有限公司</t>
  </si>
  <si>
    <t>今时小雪</t>
  </si>
  <si>
    <t>由⾕物蒸馏的⽩酒;已调味的蒸馏酒;果酒;⻘稞酒;⾼粱酒;露酒;⽼酒（中国蒸馏烈酒）;⽩⼲酒（中国⽩酒）;果酒（含酒精）;⽩酒</t>
  </si>
  <si>
    <t>广州市番禺区石基龙芳茶叶店</t>
  </si>
  <si>
    <t>龙芳御饮</t>
  </si>
  <si>
    <t>葡萄酒;烧酒;⻩酒;果酒（含酒精）;除啤酒外的酒精饮料;清酒;烧酒（烈酒）;⽩酒;⾕物制蒸馏酒精饮料;⽶酒</t>
  </si>
  <si>
    <t>陈建民</t>
  </si>
  <si>
    <t>鐏享缘</t>
  </si>
  <si>
    <t>葡萄酒;⽩酒;烈酒（饮料）;果酒（含酒精）;⻘稞酒;烧酒;酒精饮料（啤酒除外）;含⽔果酒精饮料;⽶酒;开胃酒</t>
  </si>
  <si>
    <t>潘文件</t>
  </si>
  <si>
    <t>龙九花</t>
  </si>
  <si>
    <t>⾼粱酒;⽩⼲酒（中国⽩酒）;⾷⽤酒精;果酒;威⼠忌;葡萄酒;酒精饮料（啤酒除外）;烧酒（烈酒）;⽩酒;露酒</t>
  </si>
  <si>
    <t>倪显伟</t>
  </si>
  <si>
    <t>启扉</t>
  </si>
  <si>
    <t>果酒（含酒精）;清酒（⽇本⽶酒）;开胃酒;苹果酒;樱桃酒;葡萄酒</t>
  </si>
  <si>
    <t>贵州特优名酒业有限公司</t>
  </si>
  <si>
    <t>搭路</t>
  </si>
  <si>
    <t>薄荷酒;烧酒;葡萄酒;果酒（含酒精）;开胃酒;⽩酒;鸡尾酒;⽩兰地;⻩酒;⽶酒</t>
  </si>
  <si>
    <t>韩莹</t>
  </si>
  <si>
    <t>京永星</t>
  </si>
  <si>
    <t>葡萄酒;⻩酒;⾷⽤酒精;果酒（含酒精）;⽩酒;⻘稞酒;开胃酒;⽶酒;烧酒;鸡尾酒</t>
  </si>
  <si>
    <t>姜孝林</t>
  </si>
  <si>
    <t>牛背梁</t>
  </si>
  <si>
    <t>烧酒（烈酒）;五加⽪酒（中国混合烈酒）;甜酒;烧酒;酒饮料;⽩⼲酒（中国⽩酒）;⽼酒（中国蒸馏烈酒）;烈酒;果酒;⻩酒</t>
  </si>
  <si>
    <t>LAOCHENGHUANG</t>
  </si>
  <si>
    <t>⽩酒;鸡尾酒;⽶酒;烧酒;酒精饮料原汁;葡萄酒;⽩兰地;伏特加酒;威⼠忌;果酒（含酒精）</t>
  </si>
  <si>
    <t>广州市紫泥宝茶业有限公司</t>
  </si>
  <si>
    <t>问酒人</t>
  </si>
  <si>
    <t>⽩酒;伏特加酒;柑⾹酒;葡萄酒;威⼠忌;⽶酒;开胃酒;鸡尾酒;⽩兰地;梨酒</t>
  </si>
  <si>
    <t>奈曼旗绿健新能源科技有限公司</t>
  </si>
  <si>
    <t>苦荞酒;果酒（含酒精）;葡萄酒;甜果酒;⾼粱酒;含酒精⽔果饮料;⽼酒（中国蒸馏烈酒）;⽩酒</t>
  </si>
  <si>
    <t>洺贵河</t>
  </si>
  <si>
    <t>果酒（含酒精）;威⼠忌;⽩酒;开胃酒;烈酒;鸡尾酒;清酒（⽇本⽶酒）;葡萄酒;除啤酒外的酒精饮料;⻩酒</t>
  </si>
  <si>
    <t>贵州云仓电子商务有限公司</t>
  </si>
  <si>
    <t>素朴古</t>
  </si>
  <si>
    <t>露酒;果酒（含酒精）;⽶酒;⻩酒;⽩酒;⽩兰地;利⼝酒;酒精饮料（啤酒除外）;烧酒;蒸馏饮料</t>
  </si>
  <si>
    <t>贵酓</t>
  </si>
  <si>
    <t>烈酒（饮料）;酒精饮料浓缩汁;⽩酒;汽酒;葡萄酒;烧酒;酒精饮料（啤酒除外）;⽶酒;开胃酒;⾷⽤酒精</t>
  </si>
  <si>
    <t>粱盅</t>
  </si>
  <si>
    <t>茴⾹酒;烈酒;葡萄酒;⽶酒;威⼠忌;⻩酒;鸡尾酒;⽩酒;清酒（⽇本⽶酒）;果酒（含酒精）</t>
  </si>
  <si>
    <t>冯振波37030********5591X</t>
  </si>
  <si>
    <t>淄锦记</t>
  </si>
  <si>
    <t>⽩酒;⽶酒;⻩酒;烧酒;葡萄酒;⽩兰地;威⼠忌;果酒（含酒精）;鸡尾酒;烈酒（饮料）</t>
  </si>
  <si>
    <t>李金忠</t>
  </si>
  <si>
    <t>东极大峰场</t>
  </si>
  <si>
    <t>汽酒;葡萄酒;⾕物制蒸馏酒精饮料;⽩酒;烧酒;甜酒;⾼粱酒;⾷⽤酒精;酒精饮料（啤酒除外）;果酒</t>
  </si>
  <si>
    <t>贵州濠江情酒业有限公司</t>
  </si>
  <si>
    <t>贯城河</t>
  </si>
  <si>
    <t>杜松⼦酒;⽶酒;烧酒;苹果酒;⽩⼲酒（中国⽩酒）;⻩酒;⻘稞酒;⽩酒;果酒;酒精饮料（啤酒除外）</t>
  </si>
  <si>
    <t>四川堆的新意科技有限公司</t>
  </si>
  <si>
    <t>爱堆堆</t>
  </si>
  <si>
    <t>含酒精⽔果饮料;含⽔果酒精饮料;预先混合的酒精饮料（以啤酒为主的除外）;⽶酒;酒精饮料（啤酒除外）;含酒精的⽓泡⽔;果酒（含酒精）</t>
  </si>
  <si>
    <t>曾梅志</t>
  </si>
  <si>
    <t>茶侯爷</t>
  </si>
  <si>
    <t>葡萄酒;⻩酒;⽶酒;⾕物制蒸馏酒精饮料;含酒精的饮料（啤酒除外）;烈酒;⽩酒;果酒;烧酒;⾷⽤酒精</t>
  </si>
  <si>
    <t>胡兴利410326********6721</t>
  </si>
  <si>
    <t>汉魏官酿</t>
  </si>
  <si>
    <t>威⼠忌;烈酒（饮料）;⻩酒;⽶酒;⽼酒（中国蒸馏烈酒）;烧酒;烈酒;⾼粱酒;烧酒（烈酒）;⽩酒</t>
  </si>
  <si>
    <t>徐芳</t>
  </si>
  <si>
    <t>火灵鸟</t>
  </si>
  <si>
    <t>含⽔果酒精饮料;⽶酒;蒸馏饮料;⾷⽤酒精;蒸煮提取物（利⼝酒和烈酒）;果酒;酒精饮料浓缩汁;鸡尾酒;葡萄酒;⽩酒</t>
  </si>
  <si>
    <t>河南雨双调味品有限公司</t>
  </si>
  <si>
    <t>米贝勒</t>
  </si>
  <si>
    <t>朝鲜族⽶酒;⽇式甜⽶酒;酒精饮料原汁;含⽔果酒精饮料;⽼酒（中国蒸馏烈酒）;蒸馏⽶酒（泡盛酒）;⻘梅酒;清酒（⽇本⽶酒）;⽶酒;果酒</t>
  </si>
  <si>
    <t>陕西紫凤酒业股份有限公司</t>
  </si>
  <si>
    <t>盖凤</t>
  </si>
  <si>
    <t>⽩酒;烧酒;⽶酒;清酒;⻩酒;果酒（含酒精）;酒精饮料（啤酒除外）;⻘稞酒;葡萄酒;⽩兰地</t>
  </si>
  <si>
    <t>贵州省仁怀市茅台镇爱心酒厂</t>
  </si>
  <si>
    <t>云吧</t>
  </si>
  <si>
    <t>清酒;⻩酒;烧酒;⽶酒;葡萄酒;果酒;酒精饮料（啤酒除外）;⽩酒;开胃酒;蒸煮提取物（利⼝酒和烈酒）</t>
  </si>
  <si>
    <t>遵义猛酱窖酒有限公司</t>
  </si>
  <si>
    <t>YB 言博</t>
  </si>
  <si>
    <t>烧酒（烈酒）;⽼酒（中国蒸馏烈酒）;酒精饮料（啤酒除外）;⻘稞酒;含酒精⽔果饮料;⽩酒;⽩⼲酒（中国⽩酒）;⾷⽤酒精;苦荞酒;烈酒</t>
  </si>
  <si>
    <t>润懿䲜䲜樽</t>
  </si>
  <si>
    <t>葡萄酒;鸡尾酒;蒸馏饮料;⽩酒;威⼠忌;果酒（含酒精）;烈酒（饮料）;⽶酒;酒精饮料（啤酒除外）;烧酒</t>
  </si>
  <si>
    <t>恩澧河酒</t>
  </si>
  <si>
    <t>开胃酒;烈酒（饮料）;⾕物制蒸馏酒精饮料;⽩兰地;蜂蜜酒;⽩酒;⽶酒;烧酒;果酒（含酒精）;⻩酒</t>
  </si>
  <si>
    <t>史秋吓</t>
  </si>
  <si>
    <t>遵品辉煌</t>
  </si>
  <si>
    <t>⽩⼲酒（中国⽩酒）;⽶酒;⽼酒（中国蒸馏烈酒）;⽩酒;⻩酒;由⾕物蒸馏的⽩酒;⾼粱酒;果酒（含酒精）;⾕物制蒸馏酒精饮料;烧酒</t>
  </si>
  <si>
    <t>禾间堂（珠海）食品科技有限公司</t>
  </si>
  <si>
    <t>禾间堂</t>
  </si>
  <si>
    <t>⽶酒;蒸馏饮料;果酒;含酒精的饮料（啤酒除外）;⽩酒;葡萄酒;薄荷酒;含⽔果酒精饮料;⻩酒;开胃酒</t>
  </si>
  <si>
    <t>罗中军</t>
  </si>
  <si>
    <t>潜程</t>
  </si>
  <si>
    <t>烧酒;鸡尾酒;果酒（含酒精）;葡萄酒;⽩兰地;⻩酒;烈酒（饮料）;⽩酒;餐后酒（利⼝酒和烈酒）;预先混合的酒精饮料（以啤酒为主的除外）</t>
  </si>
  <si>
    <t>吴芳</t>
  </si>
  <si>
    <t>千味养正堂</t>
  </si>
  <si>
    <t>烧酒（烈酒）;⽼酒（中国蒸馏烈酒）;葡萄酒;果酒;⽶酒;含酒精的⽓泡⽔;含酒精的饮料（啤酒除外）;⽩酒;⾼粱酒;⻘稞酒</t>
  </si>
  <si>
    <t>延吉市龙金信息服务部</t>
  </si>
  <si>
    <t>鸡尾酒;⽶酒;⽩酒;⻩酒;果酒（含酒精）;烧酒;含⽔果酒精饮料;⽩兰地;预先混合的酒精饮料（以啤酒为主的除外）;葡萄酒</t>
  </si>
  <si>
    <t>广东省九江酒厂有限公司</t>
  </si>
  <si>
    <t>金装乡纯</t>
  </si>
  <si>
    <t>⽩酒;果酒（含酒精）;含酒精的饮料（啤酒除外）;⽶酒;⻩酒;梅酒;露酒;葡萄酒;清酒（⽇本⽶酒）;烧酒</t>
  </si>
  <si>
    <t>风起潮生</t>
  </si>
  <si>
    <t>果酒（含酒精）;酒精饮料浓缩汁;葡萄酒;烈酒（饮料）;烧酒;⽶酒;⽩酒;⻩酒;酒精饮料（啤酒除外）;含⽔果酒精饮料</t>
  </si>
  <si>
    <t>韩菊生</t>
  </si>
  <si>
    <t>YOU XI FANG</t>
  </si>
  <si>
    <t>杜松⼦酒;含⽔果酒精饮料;⻩酒;⽩酒;蜂蜜酒;⻘稞酒;餐后酒（利⼝酒和烈酒）;开胃酒;苦味酒;蒸馏饮料</t>
  </si>
  <si>
    <t>江苏华夏投资实业有限公司</t>
  </si>
  <si>
    <t>五馥缘</t>
  </si>
  <si>
    <t>果酒（含酒精）;含⽔果酒精饮料;烧酒;⻩酒;酒精饮料（啤酒除外）;开胃酒;葡萄酒;蒸馏饮料;利⼝酒;⾷⽤酒精</t>
  </si>
  <si>
    <t>潮启涌金</t>
  </si>
  <si>
    <t>含⽔果酒精饮料;⽩酒;⻩酒;果酒（含酒精）;烧酒;酒精饮料（啤酒除外）;葡萄酒;烈酒（饮料）;酒精饮料浓缩汁;⽶酒</t>
  </si>
  <si>
    <t>王志鹏</t>
  </si>
  <si>
    <t>豪班长</t>
  </si>
  <si>
    <t>果酒（含酒精）;葡萄酒;⽩酒;梅酒;⻘稞酒;⾼粱酒;鸡尾酒;⽶酒;伏特加酒;威⼠忌</t>
  </si>
  <si>
    <t>陕西九如山酒业有限责任公司</t>
  </si>
  <si>
    <t>法天象地</t>
  </si>
  <si>
    <t xml:space="preserve">	葡萄酒; 蒸馏饮料; 酒精饮料原汁; 果酒（含酒精）; 黄酒; 烧酒; 酒精饮料（啤酒除外）; 开胃酒; 米酒; 白酒</t>
  </si>
  <si>
    <t>项清许</t>
  </si>
  <si>
    <t>米粒光</t>
  </si>
  <si>
    <t>开胃酒;葡萄酒;白兰地;黄酒;清酒（日本米酒）;米酒;汽酒;白酒;烧酒;果酒（含酒精）</t>
  </si>
  <si>
    <t>济南贵和酒业有限公司</t>
  </si>
  <si>
    <t>三和温德丰</t>
  </si>
  <si>
    <t>酒精饮料（啤酒除外）;葡萄酒;果酒（含酒精）;酒精饮料原汁;烧酒;利⼝酒;酸酒（低等葡萄酒）;⽩酒;⻩酒;蒸煮提取物（利⼝酒和烈酒）</t>
  </si>
  <si>
    <t>聂琴琴</t>
  </si>
  <si>
    <t>万里金刚</t>
  </si>
  <si>
    <t>烧酒;⽩酒;蒸馏饮料;葡萄酒;⾷⽤酒精;⻩酒;果酒（含酒精）;⽩兰地;含酒精的饮料（啤酒除外）;⽶酒</t>
  </si>
  <si>
    <t>承德乾春堂食品科技有限公司</t>
  </si>
  <si>
    <t>金饮不</t>
  </si>
  <si>
    <t>果酒（含酒精）;⽩酒;烈酒;蒸馏饮料;烧酒;开胃酒;⽶酒;⽼酒（中国蒸馏烈酒）;烈酒（饮料）;酒精饮料浓缩汁</t>
  </si>
  <si>
    <t>贵州浩鼎酒业有限公司</t>
  </si>
  <si>
    <t>喝发采</t>
  </si>
  <si>
    <t>葡萄酒;⽶酒;清酒;⻩酒;⽩酒;⻘稞酒;烈酒（饮料）;露酒;由⾕物蒸馏的⽩酒;烧酒</t>
  </si>
  <si>
    <t>点水楼餐饮事业股份有限公司</t>
  </si>
  <si>
    <t>点水楼</t>
  </si>
  <si>
    <t>尼⽡（以⽢蔗为主的酒精饮料）;⽩酒;朗姆酒;汽酒;威⼠忌;杜松⼦酒;⾼粱酒;鸡尾酒;伏特加酒;葡萄酒</t>
  </si>
  <si>
    <t>漳州巴戟天酒业有限公司</t>
  </si>
  <si>
    <t>葡萄酒;酒精饮料原汁;含⽔果酒精饮料;含酒精的⽓泡⽔;⽩酒;⽶酒;烧酒;清酒（⽇本⽶酒）;开胃酒;果酒（含酒精）</t>
  </si>
  <si>
    <t>安徽迎客松健康产业发展有限公司</t>
  </si>
  <si>
    <t>黄山功夫</t>
  </si>
  <si>
    <t>⽩酒;烈酒;酒精饮料（啤酒除外）;⻩酒;⽶酒;烧酒;清酒;汽酒;葡萄酒;开胃酒</t>
  </si>
  <si>
    <t>合肥弘博贸易有限公司</t>
  </si>
  <si>
    <t>积粮柱</t>
  </si>
  <si>
    <t>酒精饮料（啤酒除外）;果酒（含酒精）;烧酒;⽶酒;⻩酒;蒸煮提取物（利⼝酒和烈酒）;蒸馏饮料;⽩酒;⻘稞酒;葡萄酒</t>
  </si>
  <si>
    <t>风起潮升</t>
  </si>
  <si>
    <t>⽩酒;⻩酒;酒精饮料浓缩汁;含⽔果酒精饮料;酒精饮料（啤酒除外）;葡萄酒;烈酒（饮料）;⽶酒;果酒（含酒精）;烧酒</t>
  </si>
  <si>
    <t>江西省江天农业科技有限公司</t>
  </si>
  <si>
    <t>江天方世芋</t>
  </si>
  <si>
    <t>果酒（含酒精）;葡萄酒;酒精饮料（啤酒除外）;烈酒（饮料）;⻩酒;⽶酒;烧酒;⽩酒;蒸馏饮料;开胃酒</t>
  </si>
  <si>
    <t>河南琰秋科技有限公司</t>
  </si>
  <si>
    <t>琰秋</t>
  </si>
  <si>
    <t>葡萄酒;利⼝酒;⽶酒;烧酒;鸡尾酒;⽩兰地;果酒（含酒精）;⻩酒;⽩酒;烈酒（饮料）</t>
  </si>
  <si>
    <t>贵州盈加赢酒业有限公司</t>
  </si>
  <si>
    <t>客侣</t>
  </si>
  <si>
    <t>鸡尾酒;餐后酒（利⼝酒和烈酒）;开胃酒;蒸馏饮料;果酒（含酒精）;苹果酒;葡萄酒;薄荷酒;⽩酒;杜松⼦酒</t>
  </si>
  <si>
    <t>风起潮昇</t>
  </si>
  <si>
    <t>果酒（含酒精）;含⽔果酒精饮料;⻩酒;葡萄酒;烈酒（饮料）;⽶酒;酒精饮料（啤酒除外）;烧酒;⽩酒;酒精饮料浓缩汁</t>
  </si>
  <si>
    <t>潮升涌金</t>
  </si>
  <si>
    <t>果酒（含酒精）;烈酒（饮料）;酒精饮料浓缩汁;酒精饮料（啤酒除外）;⽩酒;⻩酒;烧酒;葡萄酒;⽶酒;含⽔果酒精饮料</t>
  </si>
  <si>
    <t>哈尔滨神奇自然科技有限公司</t>
  </si>
  <si>
    <t>麻肆仟</t>
  </si>
  <si>
    <t>鸡尾酒;威⼠忌;⽩酒;果酒;酒精饮料（啤酒除外）;⽩兰地;⽶酒;朗姆酒;伏特加酒;烧酒</t>
  </si>
  <si>
    <t>芜湖博克斯文化传播有限公司</t>
  </si>
  <si>
    <t>桑皇御林园</t>
  </si>
  <si>
    <t>果酒（含酒精）;威⼠忌;烧酒;蜂蜜酒;⽶酒;酒精饮料（啤酒除外）;⻩酒;⽩酒;烈酒（饮料）;葡萄酒</t>
  </si>
  <si>
    <t>四川前途卓越商贸有限公司</t>
  </si>
  <si>
    <t>GLMJ</t>
  </si>
  <si>
    <t>开胃酒;威⼠忌;蒸馏饮料;酒精饮料（啤酒除外）;⻩酒;果酒（含酒精）;含⽔果酒精饮料;⽩酒;薄荷酒;葡萄酒</t>
  </si>
  <si>
    <t>李爱萍</t>
  </si>
  <si>
    <t>青潼</t>
  </si>
  <si>
    <t>含⽔果酒精饮料;⽩酒;葡萄酒;酒精饮料（啤酒除外）;蒸馏饮料;⻩酒;蜂蜜酒;果酒（含酒精）;⽶酒;⻘稞酒</t>
  </si>
  <si>
    <t>泸州国宝天酿集团股份有限公司</t>
  </si>
  <si>
    <t>酿乡</t>
  </si>
  <si>
    <t>含⽔果酒精饮料;葡萄酒;烧酒;⽶酒;蜂蜜酒;蒸馏饮料;烈酒（饮料）;酒精饮料（啤酒除外）;果酒（含酒精）;⾷⽤酒精</t>
  </si>
  <si>
    <t>吴志刚</t>
  </si>
  <si>
    <t>明湖将</t>
  </si>
  <si>
    <t>酒精饮料（啤酒除外）;威⼠忌;⽩酒;果酒;⻩酒;鸡尾酒;烧酒;⾷⽤酒精;⽼酒（中国蒸馏烈酒）;⽶酒</t>
  </si>
  <si>
    <t>昆明壹择宠物服务有限公司</t>
  </si>
  <si>
    <t>云地州</t>
  </si>
  <si>
    <t>果酒（含酒精）;开胃酒;烈酒（饮料）;露酒;苦荞酒;清酒;由⾕物蒸馏的⽩酒;⽩酒;酒精饮料（啤酒除外）;含酒精的饮料（啤酒除外）</t>
  </si>
  <si>
    <t>泸州酒城无忧酒类销售有限公司</t>
  </si>
  <si>
    <t>雕烧火</t>
  </si>
  <si>
    <t>⽩酒;酒精饮料（啤酒除外）;⻩酒;⽶酒;葡萄酒;果酒（含酒精）;烈酒（饮料）;烧酒;威⼠忌;鸡尾酒</t>
  </si>
  <si>
    <t>山西省长治市潞酒有限公司</t>
  </si>
  <si>
    <t>潞酒酒脊</t>
  </si>
  <si>
    <t>鸡尾酒;葡萄酒;⻩酒;汽酒;⽩酒;含⽔果酒精饮料;果酒（含酒精）;⽶酒;烧酒;酒精饮料（啤酒除外）</t>
  </si>
  <si>
    <t>揭国庆</t>
  </si>
  <si>
    <t>酩门故事</t>
  </si>
  <si>
    <t>鸡尾酒;⻩酒;葡萄酒;蜂蜜酒;烈酒（饮料）;⽩酒;烧酒;⽶酒;果酒;⽩兰地</t>
  </si>
  <si>
    <t>洛阳翼如云农业发展有限公司</t>
  </si>
  <si>
    <t>六百跃龙亹</t>
  </si>
  <si>
    <t>酒精饮料（啤酒除外）;⽩酒;含⽔果酒精饮料;鸡尾酒;⻩酒;开胃酒;烧酒;葡萄酒;⽶酒;烈酒（饮料）</t>
  </si>
  <si>
    <t>贵州珍月楼酒业有限公司</t>
  </si>
  <si>
    <t>觥筹典章</t>
  </si>
  <si>
    <t>酒精饮料（啤酒除外）;⽶酒;威⼠忌;烈酒;⻩酒;⽩酒;葡萄酒;烧酒;果酒;清酒</t>
  </si>
  <si>
    <t>堡巴欧国际贸易河北有限公司</t>
  </si>
  <si>
    <t>癞鹅</t>
  </si>
  <si>
    <t>葡萄酒;利⼝酒;酒精饮料（啤酒除外）;酒精饮料浓缩汁;烈酒（饮料）;威⼠忌;开胃酒;烧酒（烈酒）;果酒（含酒精）;⾷⽤酒精</t>
  </si>
  <si>
    <t>邯郸永不分梨酒业股份有限公司</t>
  </si>
  <si>
    <t>曰川滴滴香</t>
  </si>
  <si>
    <t>含⽔果酒精饮料;蒸煮提取物（利⼝酒和烈酒）;梨酒;鸡尾酒;⽩酒;果酒（含酒精）;蒸馏饮料;葡萄酒;酒精饮料（啤酒除外）;烧酒（烈酒）</t>
  </si>
  <si>
    <t>吴人龙</t>
  </si>
  <si>
    <t>孝坛老</t>
  </si>
  <si>
    <t>⽶酒;果酒（含酒精）;⻘稞酒;⽼酒（中国蒸馏烈酒）;清酒（⽇本⽶酒）;葡萄酒;⻩酒;烧酒;⽩酒;清酒</t>
  </si>
  <si>
    <t>杨同喜</t>
  </si>
  <si>
    <t>樽戈</t>
  </si>
  <si>
    <t>果酒（含酒精）;烧酒;鸡尾酒;⽶酒;除啤酒外的酒精饮料;⻩酒;蒸馏饮料;葡萄酒;威⼠忌;⽩酒</t>
  </si>
  <si>
    <t>孝台福</t>
  </si>
  <si>
    <t>果酒（含酒精）;清酒;⽶酒;清酒（⽇本⽶酒）;⽩酒;葡萄酒;⻩酒;⻘稞酒;烧酒;⽼酒（中国蒸馏烈酒）</t>
  </si>
  <si>
    <t>广西南宁汇发置业投资有限公司</t>
  </si>
  <si>
    <t>漓稻烧</t>
  </si>
  <si>
    <t>威⼠忌;朗姆酒;烧酒;酒精饮料（啤酒除外）;⽩酒;清酒;葡萄酒;鸡尾酒;预调甜酒;⽶酒</t>
  </si>
  <si>
    <t>彭静雅</t>
  </si>
  <si>
    <t>甄潭烧坊</t>
  </si>
  <si>
    <t>烈酒（饮料）;果酒（含酒精）;葡萄酒;⽶酒;餐后酒（利⼝酒和烈酒）;苹果酒;露酒;⽩酒;⾕物制蒸馏酒精饮料;蒸馏饮料</t>
  </si>
  <si>
    <t>贵州酣客君丰酒业有限公司</t>
  </si>
  <si>
    <t>酣客银冠</t>
  </si>
  <si>
    <t>威⼠忌;预先混合的酒精饮料（以啤酒为主的除外）;葡萄酒;酒精饮料（啤酒除外）;⾷⽤酒精;果酒（含酒精）;蒸馏饮料;含酒精的⽓泡⽔;⽩酒;鸡尾酒</t>
  </si>
  <si>
    <t>硕斯品牌文化(山西)有限公司</t>
  </si>
  <si>
    <t>八六虎</t>
  </si>
  <si>
    <t>⽩酒;酒精饮料（啤酒除外）;伏特加酒;威⼠忌;葡萄酒;汽酒;果酒（含酒精）;烧酒;⾕物制蒸馏酒精饮料;含酒精⽔果饮料</t>
  </si>
  <si>
    <t>绅士酒庄有限公司</t>
  </si>
  <si>
    <t>ZILZIE LOT 66</t>
  </si>
  <si>
    <t>宜宾龙莱福酒业有限责任公司</t>
  </si>
  <si>
    <t>酒精饮料原汁;⾕物制蒸馏酒精饮料;⾷⽤酒精;⽶酒;烧酒;⽩⼲酒（中国⽩酒）;⽩酒;烈酒;含酒精的饮料（啤酒除外）;果酒（含酒精）</t>
  </si>
  <si>
    <t>深圳字链互联科技有限公司</t>
  </si>
  <si>
    <t>飧禹</t>
  </si>
  <si>
    <t>伏特加酒;⽩酒;果酒（含酒精）;威⼠忌;⽩兰地;葡萄酒;朗姆酒;酒精饮料（啤酒除外）;鸡尾酒;清酒（⽇本⽶酒）</t>
  </si>
  <si>
    <t>红贡</t>
  </si>
  <si>
    <t>鸡尾酒;蒸煮提取物（利⼝酒和烈酒）;含⽔果酒精饮料;蒸馏饮料;烧酒（烈酒）;梨酒;酒精饮料（啤酒除外）;⽩酒;果酒（含酒精）;葡萄酒</t>
  </si>
  <si>
    <t>贵州碧春酒业有限公司</t>
  </si>
  <si>
    <t>BICHUN</t>
  </si>
  <si>
    <t>⽶酒;果酒（含酒精）;露酒;⾕物制蒸馏酒精饮料;⽩酒;餐后酒（利⼝酒和烈酒）;蒸馏饮料;葡萄酒;烈酒（饮料）;苹果酒</t>
  </si>
  <si>
    <t>贵州凤榜台酒业有限责任公司</t>
  </si>
  <si>
    <t>成赤烧坊</t>
  </si>
  <si>
    <t>⽶酒;⻩酒;⾷⽤酒精;⽩⼲酒（中国⽩酒）;烧酒（烈酒）;⽩酒;⽼酒（中国蒸馏烈酒）;葡萄酒;酒精饮料（啤酒除外）;果酒</t>
  </si>
  <si>
    <t>飞香液 传奇</t>
  </si>
  <si>
    <t>利⼝酒;⾼粱酒;葡萄酒;酒精饮料（啤酒除外）;果酒;⽶酒;⽼酒（中国蒸馏烈酒）;汽酒;⻩酒;⽩酒</t>
  </si>
  <si>
    <t>泗阳金樽酒业有限公司</t>
  </si>
  <si>
    <t>芬丹</t>
  </si>
  <si>
    <t>开胃酒;⾼粱酒;葡萄酒;含酒精的⽓泡⽔;威⼠忌;⽩酒;果酒（含酒精）;鸡尾酒;烧酒;⽩兰地</t>
  </si>
  <si>
    <t>罗登文</t>
  </si>
  <si>
    <t>荡上红</t>
  </si>
  <si>
    <t>烧酒;葡萄酒;⾕物制蒸馏酒精饮料;⻩酒;含⽔果酒精饮料;酒精饮料（啤酒除外）;蜂蜜酒;蒸馏饮料;果酒（含酒精）;⽶酒</t>
  </si>
  <si>
    <t>贵州金沙窖龄酒业有限公司</t>
  </si>
  <si>
    <t>春秋骄子</t>
  </si>
  <si>
    <t>葡萄酒;⽩酒;餐后酒（利⼝酒和烈酒）;蒸馏饮料;⾕物制蒸馏酒精饮料;⽶酒;苹果酒;烈酒（饮料）;露酒;果酒（含酒精）</t>
  </si>
  <si>
    <t>北京使介商贸有限公司</t>
  </si>
  <si>
    <t>使接</t>
  </si>
  <si>
    <t>开胃酒;⻩酒;苦味酒;蜂蜜酒;汽酒;清酒（⽇本⽶酒）;威⼠忌;含⽔果酒精饮料;果酒（含酒精）;⽩酒</t>
  </si>
  <si>
    <t>唐山市仙高寿特医食品有限公司</t>
  </si>
  <si>
    <t>牛天娇</t>
  </si>
  <si>
    <t>⽼酒（中国蒸馏烈酒）;含酒精的充⽓饮料（啤酒除外）;酒精饮料原汁;⽩酒;利⼝酒;蝮蛇酒;含⽔果酒精饮料;开胃酒;佐餐酒;由⾕物蒸馏的⽩酒</t>
  </si>
  <si>
    <t>雅盛供应链（广东）有限公司</t>
  </si>
  <si>
    <t>意享1号</t>
  </si>
  <si>
    <t>⽩酒;酒精饮料（啤酒除外）;酒精饮料原汁;含⽔果酒精饮料;威⼠忌;葡萄酒;烈酒;红葡萄酒;预先混合的酒精饮料（以啤酒为主的除外）;⽩兰地</t>
  </si>
  <si>
    <t>贵州秉乾老窖酒业有限公司</t>
  </si>
  <si>
    <t>王阿满</t>
  </si>
  <si>
    <t>预先混合的酒精饮料（以啤酒为主的除外）;⾷⽤酒精;⽩酒;酒精饮料原汁;酒精饮料（啤酒除外）;葡萄酒;烧酒;果酒（含酒精）;烈酒（饮料）;蒸馏饮料</t>
  </si>
  <si>
    <t>尤光昕</t>
  </si>
  <si>
    <t>同兴酒福</t>
  </si>
  <si>
    <t>烧酒;⻩酒;⽩酒;⾼粱酒;清酒;⾷⽤酒精;开胃酒;苹果酒;葡萄酒;果酒（含酒精）</t>
  </si>
  <si>
    <t>北京盛世银基经贸有限责任公司</t>
  </si>
  <si>
    <t>庆招商贸</t>
  </si>
  <si>
    <t>葡萄酒;已调味的⻨芽酿制的酒精饮料（啤酒除外）;烈酒（饮料）;酒精饮料（啤酒除外）;⾕物制蒸馏酒精饮料;烧酒;⽩酒;餐后酒（利⼝酒和烈酒）;⻩酒;酒精饮料原汁</t>
  </si>
  <si>
    <t>北京共图国际广告有限公司</t>
  </si>
  <si>
    <t>曾酉</t>
  </si>
  <si>
    <t>果酒（含酒精）;含⽔果酒精饮料;⻩酒;⾷⽤酒精;酒精饮料浓缩汁;葡萄酒;烈酒（饮料）;酒精饮料原汁;⽩酒;蒸馏饮料</t>
  </si>
  <si>
    <t>赵亮</t>
  </si>
  <si>
    <t>正官和</t>
  </si>
  <si>
    <t>鸡尾酒;⻩酒;⽩兰地;烧酒;⽩酒;⾷⽤酒精;果酒（含酒精）;⽶酒;清酒;⻘稞酒</t>
  </si>
  <si>
    <t>王俊杰</t>
  </si>
  <si>
    <t>龙懿精制老口泉</t>
  </si>
  <si>
    <t>鸡尾酒;⽩兰地;⽩酒;果酒;烧酒;开胃酒;⻩酒;葡萄酒;⽶酒;烈酒</t>
  </si>
  <si>
    <t>中普投资（北京）有限公司</t>
  </si>
  <si>
    <t>酌澜阁酌澜阁</t>
  </si>
  <si>
    <t>⾷⽤酒精;蒸煮提取物（利⼝酒和烈酒）;⾼粱酒;⽩酒</t>
  </si>
  <si>
    <t>韦国富</t>
  </si>
  <si>
    <t>杯礼</t>
  </si>
  <si>
    <t>果酒（含酒精）;葡萄酒;⻩酒;开胃酒;烈酒;⽩酒;鸡尾酒;清酒（⽇本⽶酒）;威⼠忌;酒精饮料（啤酒除外）</t>
  </si>
  <si>
    <t>吴启林</t>
  </si>
  <si>
    <t>吴陈老</t>
  </si>
  <si>
    <t>⽶酒;开胃酒;葡萄酒;⽩酒;利⼝酒;酒精饮料原汁;果酒</t>
  </si>
  <si>
    <t>橡木湾（上海）酒业有限公司</t>
  </si>
  <si>
    <t>天瑟</t>
  </si>
  <si>
    <t>鸡尾酒;葡萄酒;威⼠忌;清酒（⽇本⽶酒）;酒精饮料（啤酒除外）;⽩酒;开胃酒;烈酒（饮料）;⻩酒;果酒（含酒精）</t>
  </si>
  <si>
    <t>胡建平</t>
  </si>
  <si>
    <t>胡桃缘</t>
  </si>
  <si>
    <t>⻩酒;烈酒（饮料）;⽩兰地;酒精饮料（啤酒除外）;果酒（含酒精）;清酒;葡萄酒;⽶酒;鸡尾酒;⽩酒</t>
  </si>
  <si>
    <t>贵州州匠酒业有限公司</t>
  </si>
  <si>
    <t>王秉汉王家烧坊</t>
  </si>
  <si>
    <t>烧酒（烈酒）;⾕物制蒸馏酒精饮料;果酒（含酒精）;⽩酒;除啤酒外的酒精饮料;⽼酒（中国蒸馏烈酒）;⽩⼲酒（中国⽩酒）;蒸馏⽶酒（泡盛酒）;⾼粱酒;酒精饮料（啤酒除外）</t>
  </si>
  <si>
    <t>深圳市时代创富进出口有限公司</t>
  </si>
  <si>
    <t>时代创富</t>
  </si>
  <si>
    <t>红葡萄酒;加烈葡萄酒;桃红葡萄酒;起泡⽩葡萄酒;⽩酒;以葡萄酒为主的饮料;以葡萄酒为主的开胃酒;威⼠忌;葡萄酒;⽩兰地</t>
  </si>
  <si>
    <t>贾二勇</t>
  </si>
  <si>
    <t>拷贝天下</t>
  </si>
  <si>
    <t>葡萄酒;蜂蜜酒;⽩酒;果酒（含酒精）;⽩兰地;朗姆酒;⻩酒;酒精饮料（啤酒除外）;威⼠忌;鸡尾酒</t>
  </si>
  <si>
    <t>杭州爱逛网络信息服务有限公司</t>
  </si>
  <si>
    <t>用本</t>
  </si>
  <si>
    <t>果酒（含酒精）;葡萄酒;酒精饮料（啤酒除外）;⽩酒;⻩酒;含⽔果酒精饮料;烈酒（饮料）;威⼠忌;⽶酒;开胃酒</t>
  </si>
  <si>
    <t>贵州禾稻农资商贸有限公司</t>
  </si>
  <si>
    <t>拾肆号坊</t>
  </si>
  <si>
    <t>⾷⽤酒精;果酒;鸡尾酒;预先混合的酒精饮料（以啤酒为主的除外）;烧酒;⾼粱酒;葡萄酒;酒精饮料（啤酒除外）;⽶酒;⽩酒</t>
  </si>
  <si>
    <t>中贸汇名酒仓(北京)国际酒业有限公司</t>
  </si>
  <si>
    <t>AIMAS CASTLE</t>
  </si>
  <si>
    <t>⽩酒;以葡萄酒为主的开胃酒;葡萄汽酒;起泡红葡萄酒;葡萄酒;⽶酒;⽩葡萄酒;红葡萄酒;调制好的葡萄酒鸡尾酒;果酒</t>
  </si>
  <si>
    <t>花青元尊金</t>
  </si>
  <si>
    <t>葡萄酒;烧酒;酒精饮料（啤酒除外）;⻩酒;清酒;果酒;⽶酒;⽩酒;烈酒;⽼酒（中国蒸馏烈酒）</t>
  </si>
  <si>
    <t>宋安友</t>
  </si>
  <si>
    <t>谋道溪</t>
  </si>
  <si>
    <t>⽶酒;露酒;⽩⼲酒（中国⽩酒）;由⾕物蒸馏的⽩酒;⽼酒（中国蒸馏烈酒）;⾕物制蒸馏酒精饮料;⾼粱酒;⽩酒;蜂蜜酒;果酒</t>
  </si>
  <si>
    <t>毛海燕</t>
  </si>
  <si>
    <t>荞田</t>
  </si>
  <si>
    <t>果酒;烧酒（烈酒）;⻘稞酒;以蒸馏酒为主的开胃酒;甜果酒;⻩酒;⽩酒;葡萄酒;果酒（含酒精）;⽩葡萄酒</t>
  </si>
  <si>
    <t>绍兴华夏互动广告有限公司</t>
  </si>
  <si>
    <t>折子戏</t>
  </si>
  <si>
    <t>蜂蜜酒;果酒（含酒精）;开胃酒;樱桃酒;汽酒;⽩酒;烧酒;清酒（⽇本⽶酒）;⻩酒;⽶酒</t>
  </si>
  <si>
    <t>河北易馐食品有限公司</t>
  </si>
  <si>
    <t>太行凰脉</t>
  </si>
  <si>
    <t>葡萄酒;蜂蜜酒;酒精饮料原汁;果酒（含酒精）;⽶酒;⻩酒;烧酒;⽩酒;鸡尾酒;⽩兰地</t>
  </si>
  <si>
    <t>江苏合颜悦色生物科技有限公司</t>
  </si>
  <si>
    <t>马半州</t>
  </si>
  <si>
    <t>⽩酒;含酒精的饮料（啤酒除外）;果酒（含酒精）;苹果酒;⽶酒;甜酒;⻩酒;含酒精⽔果饮料;烈酒;清酒</t>
  </si>
  <si>
    <t>河南五丰精谷酒业有限公司</t>
  </si>
  <si>
    <t>五仹台</t>
  </si>
  <si>
    <t>葡萄酒;⽩酒;果酒;蒸馏饮料;鸡尾酒;⻩酒;烧酒;⽩兰地;酒精饮料（啤酒除外）;清酒</t>
  </si>
  <si>
    <t>上海爱吃的猫影视传媒有限公司</t>
  </si>
  <si>
    <t>爱吃的猫</t>
  </si>
  <si>
    <t>⽩酒;葡萄酒;含酒精的⽓泡⽔;⾷⽤酒精;鸡尾酒;⽶酒;烈酒（饮料）;酒精饮料（啤酒除外）;果酒（含酒精）;⾕物制蒸馏酒精饮料</t>
  </si>
  <si>
    <t>保定京宾酒业有限公司</t>
  </si>
  <si>
    <t>牛掌柜</t>
  </si>
  <si>
    <t>⾷⽤酒精;鸡尾酒;⽩酒;利⼝酒;烧酒;果酒（含酒精）;开胃酒;蒸煮提取物（利⼝酒和烈酒）;葡萄酒;酒精饮料（啤酒除外）</t>
  </si>
  <si>
    <t>陈大为</t>
  </si>
  <si>
    <t>听东风</t>
  </si>
  <si>
    <t>威⼠忌;烧酒;⽩兰地;⽩酒;⻩酒;葡萄酒;鸡尾酒;果酒（含酒精）;⽶酒;酒精饮料（啤酒除外）</t>
  </si>
  <si>
    <t>舍得吉祥酒洲</t>
  </si>
  <si>
    <t>开胃酒;⽩酒;蒸煮提取物（利⼝酒和烈酒）;葡萄酒;酒精饮料（啤酒除外）;烈酒（饮料）;利⼝酒;⾷⽤酒精;果酒（含酒精）;烧酒</t>
  </si>
  <si>
    <t>杭州地心熔岩文化创意传播有限责任公司</t>
  </si>
  <si>
    <t>EARTH'S CORE LAVA</t>
  </si>
  <si>
    <t>烧酒;⽶酒;⽼酒（中国蒸馏烈酒）;鸡尾酒;餐后酒（利⼝酒和烈酒）;果酒;烈酒（饮料）;威⼠忌;⽩酒;葡萄酒</t>
  </si>
  <si>
    <t>湖南友飞商贸有限公司</t>
  </si>
  <si>
    <t>凡豪</t>
  </si>
  <si>
    <t>⽶酒;烧酒（烈酒）;⽩酒;⾼粱酒;甜酒;⾕物制蒸馏酒精饮料;⻩酒;⽩⼲酒（中国⽩酒）;烧酒;⻘稞酒</t>
  </si>
  <si>
    <t>张悦</t>
  </si>
  <si>
    <t>禾承</t>
  </si>
  <si>
    <t>酒精饮料（啤酒除外）;红葡萄酒;⻩酒;清酒;预先混合的酒精饮料（以啤酒为主的除外）;⽶酒;烧酒;含⽔果酒精饮料;⽩酒;酒精饮料原汁</t>
  </si>
  <si>
    <t>今喜九</t>
  </si>
  <si>
    <t>烧酒;⻩酒;酒精饮料原汁;预先混合的酒精饮料（以啤酒为主的除外）;含⽔果酒精饮料;红葡萄酒;清酒;⽩酒;酒精饮料（啤酒除外）;⽶酒</t>
  </si>
  <si>
    <t>叶菁</t>
  </si>
  <si>
    <t>小叶菁</t>
  </si>
  <si>
    <t>烧酒;烈酒（饮料）;⽩酒;葡萄酒;汽酒;酒精饮料（啤酒除外）;⾕物制蒸馏酒精饮料;⻩酒;鸡尾酒;蒸馏饮料</t>
  </si>
  <si>
    <t>重庆星耀大通商贸有限公司</t>
  </si>
  <si>
    <t>青龙扶砚</t>
  </si>
  <si>
    <t>烧酒;烈酒（饮料）;⾕物制蒸馏酒精饮料;葡萄酒;⾷⽤酒精;果酒（含酒精）;蒸馏饮料;餐后酒（利⼝酒和烈酒）;⽶酒;酒精饮料（啤酒除外）</t>
  </si>
  <si>
    <t>奥迪龙</t>
  </si>
  <si>
    <t>果酒（含酒精）;酒精饮料（啤酒除外）;⽩酒;烧酒;⻩酒;预先混合的酒精饮料（以啤酒为主的除外）;伏特加酒;⽶酒;葡萄酒;以葡萄酒为主的饮料</t>
  </si>
  <si>
    <t>湖北由来已久商贸有限公司</t>
  </si>
  <si>
    <t>周小满</t>
  </si>
  <si>
    <t>樱桃酒;梨酒;⻩酒;甜果酒;⽶酒;汽酒;⻘梅酒;杨梅酒;酒精饮料（啤酒除外）;含⽔果酒精饮料</t>
  </si>
  <si>
    <t>秦皇岛炫客酒业有限公司</t>
  </si>
  <si>
    <t>沙罗曼蛇</t>
  </si>
  <si>
    <t>预调甜酒;蒸煮提取物（利⼝酒和烈酒）;果酒（含酒精）;鸡尾酒;含⽔果酒精饮料;葡萄酒;威⼠忌;⽩酒;⽩兰地;除啤酒外的酒精饮料</t>
  </si>
  <si>
    <t>张光清</t>
  </si>
  <si>
    <t>汽传</t>
  </si>
  <si>
    <t>果酒（含酒精）;⽶酒;酒精饮料原汁;酒精饮料（啤酒除外）;烧酒;⾷⽤酒精;烈酒（饮料）;葡萄酒;⽩酒;含⽔果酒精饮料</t>
  </si>
  <si>
    <t>百坛庆</t>
  </si>
  <si>
    <t>鸡尾酒;⻩酒;⽩酒;威⼠忌;酒精饮料（啤酒除外）;开胃酒;烈酒;果酒（含酒精）;清酒（⽇本⽶酒）;葡萄酒</t>
  </si>
  <si>
    <t>郑勇</t>
  </si>
  <si>
    <t>烈酒;⽼酒（中国蒸馏烈酒）;葡萄酒;露酒;红葡萄酒;⾼粱酒;⽩葡萄酒;利⼝酒;苦荞酒;杜松⼦酒</t>
  </si>
  <si>
    <t>冯坤</t>
  </si>
  <si>
    <t>成绵小氿</t>
  </si>
  <si>
    <t>鸡尾酒;果酒;开胃酒;⽩酒;⾼粱酒;⽶酒;葡萄酒;烧酒;酒精饮料（啤酒除外）;⽩兰地</t>
  </si>
  <si>
    <t>江苏汤沟两相和酒业有限公司</t>
  </si>
  <si>
    <t>汤沟苏韵</t>
  </si>
  <si>
    <t>果酒（含酒精）;⾷⽤酒精;酒精饮料（啤酒除外）;⽶酒;⽩⼲酒（中国⽩酒）;蒸煮提取物（利⼝酒和烈酒）;⻩酒;开胃酒;葡萄酒;⽩酒</t>
  </si>
  <si>
    <t>林杰</t>
  </si>
  <si>
    <t>志交</t>
  </si>
  <si>
    <t>⽩酒;清酒;⾼粱酒;烧酒;⽶酒;葡萄酒;⻩酒;烈酒;⾷⽤酒精;果酒（含酒精）</t>
  </si>
  <si>
    <t>套马王</t>
  </si>
  <si>
    <t>酒精饮料原汁;果酒;⽩酒;⾼粱酒;已调味的蒸馏酒;开胃酒;除啤酒外的酒精饮料;⾷⽤酒精;烧酒;烈酒</t>
  </si>
  <si>
    <t>⽩酒;开胃酒;⾼粱酒;酒精饮料原汁;果酒;除啤酒外的酒精饮料;已调味的蒸馏酒;⾷⽤酒精;烧酒;烈酒</t>
  </si>
  <si>
    <t>莱阳不争酒业商行</t>
  </si>
  <si>
    <t>喆禧</t>
  </si>
  <si>
    <t>葡萄酒;果酒（含酒精）;酒精饮料（啤酒除外）;烈酒（饮料）;⻩酒;⽶酒;⽩酒;⾼粱酒;鸡尾酒;⽩兰地</t>
  </si>
  <si>
    <t>烧酒;苹果酒;利⼝酒;酒精饮料（啤酒除外）;果酒（含酒精）;⽩酒;蒸煮提取物（利⼝酒和烈酒）;开胃酒;鸡尾酒;⾷⽤酒精</t>
  </si>
  <si>
    <t>湖南国荟酒业有限公司</t>
  </si>
  <si>
    <t>汐酉</t>
  </si>
  <si>
    <t>⻩酒;鸡尾酒;⽶酒;开胃酒;利⼝酒;⾷⽤酒精;⽩酒;果酒（含酒精）;烧酒;葡萄酒</t>
  </si>
  <si>
    <t>河北琢酒集团有限公司</t>
  </si>
  <si>
    <t>琢雅香</t>
  </si>
  <si>
    <t>葡萄酒;⽩酒;酒精饮料（啤酒除外）;烧酒;开胃酒;果酒（含酒精）;鸡尾酒;烈酒（饮料）;⾷⽤酒精;蒸馏饮料</t>
  </si>
  <si>
    <t>宏物云科技（深圳）有限公司</t>
  </si>
  <si>
    <t>逍遥鸿蒙</t>
  </si>
  <si>
    <t>果酒（含酒精）;葡萄酒;威⼠忌;烧酒;烈酒（饮料）;⽶酒;清酒;⾼粱酒;开胃酒;⻩酒</t>
  </si>
  <si>
    <t>何宇滨</t>
  </si>
  <si>
    <t>母即天</t>
  </si>
  <si>
    <t>烧酒;清酒;果酒（含酒精）;鸡尾酒;烈酒（饮料）;⽶酒;葡萄酒;⻩酒;⽩酒;酒精饮料（啤酒除外）</t>
  </si>
  <si>
    <t>郑赵健</t>
  </si>
  <si>
    <t>NICHY一杯羹</t>
  </si>
  <si>
    <t>⾼粱酒;杨梅酒;烧酒（烈酒）;利⼝酒;⽼酒（中国蒸馏烈酒）;露酒;甜果酒;清酒;汽酒;甜酒</t>
  </si>
  <si>
    <t>芋䒵</t>
  </si>
  <si>
    <t>⽶酒;⽩兰地;烈酒（饮料）;蒸煮提取物（利⼝酒和烈酒）;烧酒;葡萄酒;果酒（含酒精）;薄荷酒;⽩酒;威⼠忌</t>
  </si>
  <si>
    <t>贵州首登集团企业管理顾问有限公司</t>
  </si>
  <si>
    <t>苗谷雪宝</t>
  </si>
  <si>
    <t>含酒精的饮料（啤酒除外）;烈酒（饮料）;白兰地;鸡尾酒;黄酒;米酒;果酒（含酒精）;白酒;葡萄酒;蒸煮提取物（利口酒和烈酒）</t>
  </si>
  <si>
    <t>琢雅丽</t>
  </si>
  <si>
    <t>⾷⽤酒精;烧酒;开胃酒;⽩酒;蒸馏饮料;鸡尾酒;葡萄酒;烈酒（饮料）;酒精饮料（啤酒除外）;果酒（含酒精）</t>
  </si>
  <si>
    <t>⽩酒;酒精饮料（啤酒除外）;蒸煮提取物（利⼝酒和烈酒）;烧酒;鸡尾酒;果酒（含酒精）;苹果酒;⾷⽤酒精;开胃酒;利⼝酒</t>
  </si>
  <si>
    <t>李建和</t>
  </si>
  <si>
    <t>大树寨</t>
  </si>
  <si>
    <t>威末酒;苦荞酒;杜松⼦酒;⽼酒（中国蒸馏烈酒）;烧酒;⽶酒;清酒;⻘稞酒;红葡萄酒;露酒</t>
  </si>
  <si>
    <t>⾷⽤酒精;酒精饮料原汁;⽩酒;烧酒;除啤酒外的酒精饮料;开胃酒;果酒;烈酒;已调味的蒸馏酒;⾼粱酒</t>
  </si>
  <si>
    <t>惠超</t>
  </si>
  <si>
    <t>满纪</t>
  </si>
  <si>
    <t>鸡尾酒;烈酒（饮料）;⽶酒;⻩酒;威⼠忌;⽩兰地;葡萄酒;⾷⽤酒精;酒精饮料（啤酒除外）;⽩酒</t>
  </si>
  <si>
    <t>多仙</t>
  </si>
  <si>
    <t>果酒;蒸煮提取物（利⼝酒和烈酒）;酒精饮料（啤酒除外）;开胃酒;蒸馏饮料;葡萄酒;鸡尾酒;⽩酒;⽶酒;烧酒</t>
  </si>
  <si>
    <t>信阳鸡公山酒业技术开发有限公司</t>
  </si>
  <si>
    <t>鸡公山八喜</t>
  </si>
  <si>
    <t>⽩酒;樱桃酒;开胃酒;鸡尾酒;⻩酒;⽶酒;葡萄酒;梨酒;烧酒;⽩兰地</t>
  </si>
  <si>
    <t>陈静亚</t>
  </si>
  <si>
    <t>君典</t>
  </si>
  <si>
    <t>酒精饮料（啤酒除外）;⽩⼲酒（中国⽩酒）;⽶酒;葡萄酒;⽼酒（中国蒸馏烈酒）;⽩酒;⻩酒;果酒（含酒精）;烧酒;威⼠忌</t>
  </si>
  <si>
    <t>流动创艺（厦门）酒业有限公司</t>
  </si>
  <si>
    <t>诚毅集大</t>
  </si>
  <si>
    <t>鸡尾酒;⽶酒;⽩酒;威⼠忌;⽼酒（中国蒸馏烈酒）;⻩酒;果酒（含酒精）;葡萄酒;⻘稞酒;烧酒</t>
  </si>
  <si>
    <t>葡萄酒;伏特加酒;⻩酒;⽩酒;酒精饮料（啤酒除外）;烧酒;⽶酒;以葡萄酒为主的饮料;果酒（含酒精）;预先混合的酒精饮料（以啤酒为主的除外）</t>
  </si>
  <si>
    <t>青岛颂千露酒水有限公司</t>
  </si>
  <si>
    <t>禄九州</t>
  </si>
  <si>
    <t>酒精饮料（啤酒除外）;含⽔果酒精饮料;⻩酒;⽩⼲酒（中国⽩酒）;⽩酒;鸡尾酒;⽼酒（中国蒸馏烈酒）;⽶酒;由⾕物蒸馏的⽩酒;蒸馏饮料</t>
  </si>
  <si>
    <t>李岭</t>
  </si>
  <si>
    <t>如胶</t>
  </si>
  <si>
    <t>苦荞酒;烧酒;⾼粱酒;⽩⼲酒（中国⽩酒）;⽼酒（中国蒸馏烈酒）;⽩酒;⽶酒;⾕物制蒸馏酒精饮料;⻘稞酒;⻩酒</t>
  </si>
  <si>
    <t>李锦鸿</t>
  </si>
  <si>
    <t>徽双福</t>
  </si>
  <si>
    <t>烧酒;⻘稞酒;清酒（⽇本⽶酒）;⾷⽤酒精;⻩酒;⽩酒;果酒（含酒精）;鸡尾酒;⽶酒;葡萄酒</t>
  </si>
  <si>
    <t>上海壹玖零伍科技服务有限公司</t>
  </si>
  <si>
    <t>子彬院</t>
  </si>
  <si>
    <t>果酒（含酒精）;葡萄酒;酒精饮料（啤酒除外）;⻩酒;⾷⽤酒精;⽩酒;开胃酒;蒸馏饮料;含⽔果酒精饮料;烧酒</t>
  </si>
  <si>
    <t>安徽古陈酒业销售有限公司</t>
  </si>
  <si>
    <t>品道真帝</t>
  </si>
  <si>
    <t>⻩酒;酒精饮料（啤酒除外）;葡萄酒;蒸馏饮料;⾷⽤酒精;烈酒（饮料）;烧酒;⽩酒;⽶酒;果酒（含酒精）</t>
  </si>
  <si>
    <t>山东飞卓品牌管理有限公司</t>
  </si>
  <si>
    <t>MAS DU NOVI</t>
  </si>
  <si>
    <t>果酒;酒精饮料原汁;烈酒;威⼠忌;酒精饮料（啤酒除外）;蒸馏饮料;⽩酒;预先混合的酒精饮料（以啤酒为主的除外）;⽩兰地;葡萄酒</t>
  </si>
  <si>
    <t>草遇果（苏州）健康管理有限公司</t>
  </si>
  <si>
    <t>皇妃尊宝</t>
  </si>
  <si>
    <t>含酒精的饮料（啤酒除外）;含酒精的鸡尾酒混合饮品;葡萄酒;⽩葡萄酒;⽩酒;⽩⼲酒（中国⽩酒）;除啤酒外的酒精饮料;鸡尾酒;果酒（含酒精）;红葡萄酒</t>
  </si>
  <si>
    <t>西安帝召醇酒业有限公司</t>
  </si>
  <si>
    <t>競优</t>
  </si>
  <si>
    <t>由⾕物蒸馏的⽩酒;烈酒（饮料）;葡萄酒;⽩⼲酒（中国⽩酒）;鸡尾酒;⻩酒;酒精饮料浓缩汁;⽩酒;⽩兰地;果酒（含酒精）</t>
  </si>
  <si>
    <t>白石凰脉</t>
  </si>
  <si>
    <t>果酒（含酒精）;烧酒;鸡尾酒;⽩兰地;⻩酒;⽶酒;⽩酒;葡萄酒;酒精饮料原汁;蜂蜜酒</t>
  </si>
  <si>
    <t>山西槐乡情酒业有限公司</t>
  </si>
  <si>
    <t>乡聚一家大槐树</t>
  </si>
  <si>
    <t>烈酒（饮料）;⻩酒;⾷⽤酒精;烧酒（烈酒）;烧酒;⾼粱酒;⽼酒（中国蒸馏烈酒）;苦荞酒;⽩⼲酒（中国⽩酒）;烈酒;⽩酒;露酒</t>
  </si>
  <si>
    <t>无锡市大江彩印包装有限公司</t>
  </si>
  <si>
    <t>八角八达领</t>
  </si>
  <si>
    <t>烈酒（饮料）;烧酒;果酒（含酒精）;利⼝酒;⻩酒;鸡尾酒;⽶酒;葡萄酒;⻘稞酒;⽩酒</t>
  </si>
  <si>
    <t>辽宁隆欣农业科技有限公司</t>
  </si>
  <si>
    <t>曲震美丽园</t>
  </si>
  <si>
    <t>果酒（含酒精）;汽酒;⽶酒;⻩酒;酒精饮料（啤酒除外）;⽩酒;蜂蜜酒;烧酒;葡萄酒;⾷⽤酒精</t>
  </si>
  <si>
    <t>宁波思服信息科技有限公司</t>
  </si>
  <si>
    <t>闲猪</t>
  </si>
  <si>
    <t>果酒（含酒精）;⻩酒;⽩酒;烈酒（饮料）;清酒;⽶酒;烧酒;酒精饮料（啤酒除外）;⾷⽤酒精;葡萄酒</t>
  </si>
  <si>
    <t>河南国赢酒业有限公司</t>
  </si>
  <si>
    <t>接古封</t>
  </si>
  <si>
    <t>酒精饮料（啤酒除外）;葡萄酒;⽩酒;烈酒（饮料）;⾕物制蒸馏酒精饮料;开胃酒;利⼝酒;果酒（含酒精）;⽩⼲酒（中国⽩酒）;酒精饮料原汁</t>
  </si>
  <si>
    <t>中食润川（成都）贸易有限公司</t>
  </si>
  <si>
    <t>DISOGO</t>
  </si>
  <si>
    <t>果酒（含酒精）;酒精饮料（啤酒除外）;鸡尾酒;葡萄酒;红葡萄酒;⽩酒;佐餐酒;⽩兰地;烈酒;⽩葡萄酒</t>
  </si>
  <si>
    <t>宿迁味来之约酒业有限公司</t>
  </si>
  <si>
    <t>道之约</t>
  </si>
  <si>
    <t>果酒（含酒精）;⽶酒;以葡萄酒为主的饮料;⻩酒;⽩酒;蒸馏饮料;烈酒（饮料）;烧酒;⾕物制蒸馏酒精饮料;⾼粱酒</t>
  </si>
  <si>
    <t>陈谦</t>
  </si>
  <si>
    <t>勃合堂</t>
  </si>
  <si>
    <t>⽩⼲酒（中国⽩酒）;烈酒（饮料）;烈性⼲酒;烧酒;⾷⽤酒精;⽩兰地;已调味的蒸馏酒;蒸馏饮料;⽩酒;果酒（含酒精）</t>
  </si>
  <si>
    <t>昆山市今醉来酒水饮料有限公司</t>
  </si>
  <si>
    <t>苏梅久</t>
  </si>
  <si>
    <t>葡萄酒;酒精饮料（啤酒除外）;蜂蜜酒;⽩酒;鸡尾酒;果酒（含酒精）;樱桃酒;⻩酒;⽶酒;甜果酒</t>
  </si>
  <si>
    <t>蔡玲玲</t>
  </si>
  <si>
    <t>仁如故</t>
  </si>
  <si>
    <t>酒精饮料（啤酒除外）;汽酒;⻩酒;威⼠忌;葡萄酒;开胃酒;烈酒;⽩酒;⽶酒;果酒（含酒精）</t>
  </si>
  <si>
    <t>浙江帕德贸易有限公司</t>
  </si>
  <si>
    <t>沃玛城堡</t>
  </si>
  <si>
    <t>樱桃酒;葡萄酒;苹果酒;蜂蜜酒;⽩酒;⽩兰地;酒精饮料（啤酒除外）;⽶酒;威⼠忌;鸡尾酒</t>
  </si>
  <si>
    <t>王福丰</t>
  </si>
  <si>
    <t>SAFEJOY</t>
  </si>
  <si>
    <t>茴⾹酒（利⼝酒）;蒸馏饮料;苦味酒;鸡尾酒;苹果酒;果酒（含酒精）;茴芹酒（利⼝酒）;开胃酒;亚⼒酒;薄荷酒</t>
  </si>
  <si>
    <t>徐俊标</t>
  </si>
  <si>
    <t>唐霸王</t>
  </si>
  <si>
    <t>⾼粱酒;⽩酒;露酒;果酒（含酒精）;葡萄酒;⽶酒;烧酒;⻩酒;烈酒;酒精饮料（啤酒除外）</t>
  </si>
  <si>
    <t>南通祥航食品贸易有限公司</t>
  </si>
  <si>
    <t>磊健阳光</t>
  </si>
  <si>
    <t>葡萄酒;鸡尾酒;开胃酒;蜂蜜酒;烧酒;酒精饮料（啤酒除外）;⽩酒;清酒（⽇本⽶酒）;⻩酒;果酒（含酒精）</t>
  </si>
  <si>
    <t>贵州樽酒论商贸有限公司</t>
  </si>
  <si>
    <t>遵酒论</t>
  </si>
  <si>
    <t>烧酒;⽶酒;餐后酒（利⼝酒和烈酒）;⻩酒;⾷⽤酒精;⽩酒;清酒（⽇本⽶酒）;⾕物制蒸馏酒精饮料</t>
  </si>
  <si>
    <t>杜青学</t>
  </si>
  <si>
    <t>天娄春</t>
  </si>
  <si>
    <t>⻩酒;鸡尾酒;伏特加酒;露酒;威⼠忌;⽩酒;⽼酒（中国蒸馏烈酒）;⽩兰地;果酒（含酒精）;葡萄酒</t>
  </si>
  <si>
    <t>仁华医药集团股份有限公司</t>
  </si>
  <si>
    <t>菁匠</t>
  </si>
  <si>
    <t>葡萄酒;⽩兰地;酒精饮料（啤酒除外）;⻩酒;⽶酒;预先混合的酒精饮料（以啤酒为主的除外）;果酒（含酒精）;开胃酒;清酒（⽇本⽶酒）;⽩酒</t>
  </si>
  <si>
    <t>公主岭市怀德镇丁树德农民专业合作社</t>
  </si>
  <si>
    <t>双龙永发0</t>
  </si>
  <si>
    <t>葡萄酒;含酒精⽔果饮料;⾼粱酒;⽩酒;露酒;⻩酒;烧酒;烈酒（饮料）;果酒（含酒精）;⽶酒</t>
  </si>
  <si>
    <t>周琴</t>
  </si>
  <si>
    <t>檀方寸</t>
  </si>
  <si>
    <t>清酒（⽇本⽶酒）;⽶酒;烈酒;果酒（含酒精）;⽩酒;烧酒;甜酒;葡萄酒;⻩酒;酒精饮料（啤酒除外）</t>
  </si>
  <si>
    <t>张东茂</t>
  </si>
  <si>
    <t>商桥再兴</t>
  </si>
  <si>
    <t>⽩酒;烧酒;酒精饮料（啤酒除外）;甜酒;⽩兰地;果酒;葡萄酒;⽶酒;鸡尾酒;⻩酒</t>
  </si>
  <si>
    <t>吉林省芝林堂生物科技有限公司</t>
  </si>
  <si>
    <t>林溪仙鹿</t>
  </si>
  <si>
    <t>果酒（含酒精）;酒精饮料（啤酒除外）;烧酒;⾕物制蒸馏酒精饮料;烈酒（饮料）;葡萄酒;含⽔果酒精饮料;⽩酒;预先混合的酒精饮料（以啤酒为主的除外）;蒸煮提取物（利⼝酒和烈酒）</t>
  </si>
  <si>
    <t>山西福酒酒业有限责任公司</t>
  </si>
  <si>
    <t>福顺富</t>
  </si>
  <si>
    <t>清酒;⾼粱酒;⻩酒;烈酒;⽩酒;果酒;清酒（⽇本⽶酒）;烧酒;含酒精⽔果饮料;⻘稞酒</t>
  </si>
  <si>
    <t>魏树全</t>
  </si>
  <si>
    <t>筑顺</t>
  </si>
  <si>
    <t>烧酒;⽶酒;蒸煮提取物（利⼝酒和烈酒）;⽩酒;鸡尾酒;葡萄酒;清酒（⽇本⽶酒）;酒精饮料（啤酒除外）;⾷⽤酒精;果酒（含酒精）</t>
  </si>
  <si>
    <t>刘五七</t>
  </si>
  <si>
    <t>江南父酒</t>
  </si>
  <si>
    <t>果酒（含酒精）;葡萄酒;⽶酒;⽩酒;⻩酒;酒精饮料（啤酒除外）;伏特加酒;⻘稞酒;清酒（⽇本⽶酒）;烧酒</t>
  </si>
  <si>
    <t>刘本超</t>
  </si>
  <si>
    <t>坤朋臻品</t>
  </si>
  <si>
    <t>薄荷酒;烈酒（饮料）;⻩酒;⽩兰地;⽶酒;开胃酒;威⼠忌;⽩酒;鸡尾酒;果酒（含酒精）</t>
  </si>
  <si>
    <t>重庆暗能星球文化创意有限公司</t>
  </si>
  <si>
    <t>汖城</t>
  </si>
  <si>
    <t>利⼝酒;烧酒;⽶酒;⻩酒;清酒（⽇本⽶酒）;⾷⽤酒精;果酒（含酒精）;⽩酒;烈酒（饮料）;葡萄酒</t>
  </si>
  <si>
    <t>云南云淀淀粉有限公司</t>
  </si>
  <si>
    <t>云淀</t>
  </si>
  <si>
    <t>⽶酒;烧酒;果酒（含酒精）;烈酒（饮料）;蒸馏饮料;⽩酒;开胃酒;酒精饮料（啤酒除外）;甜果酒;葡萄酒</t>
  </si>
  <si>
    <t>李时珍医药集团有限公司</t>
  </si>
  <si>
    <t>本草纲目</t>
  </si>
  <si>
    <t>含⽔果酒精饮料;⽩兰地;⻩酒;鸡尾酒;⽶酒;蜂蜜酒;苦味酒;苹果酒;酒精饮料（啤酒除外）;⽩酒</t>
  </si>
  <si>
    <t>酣客银酱</t>
  </si>
  <si>
    <t>⽩酒（酱⾹型）</t>
  </si>
  <si>
    <t>位静静</t>
  </si>
  <si>
    <t>路尼斯酒庄</t>
  </si>
  <si>
    <t>伏特加酒;果酒;⽩兰地;葡萄酒;酒精饮料（啤酒除外）;烧酒;朗姆酒;烈酒;威⼠忌;⻩酒</t>
  </si>
  <si>
    <t>王巧丽</t>
  </si>
  <si>
    <t>岺头双峰山雪花洞</t>
  </si>
  <si>
    <t>果酒（含酒精）;⽩酒;除啤酒外的酒精饮料;⽩兰地;伏特加酒;⾕物制蒸馏酒精饮料;⻩酒;鸡尾酒;含⽔果酒精饮料;威⼠忌</t>
  </si>
  <si>
    <t>江苏嘉颖毅生物科技有限公司</t>
  </si>
  <si>
    <t>嘉饮毅</t>
  </si>
  <si>
    <t>烧酒;含⽔果酒精饮料;果酒（含酒精）;开胃酒;⽶酒;酒精饮料（啤酒除外）;⽩酒;⻩酒;葡萄酒;酒精饮料浓缩汁</t>
  </si>
  <si>
    <t>毋宗兴</t>
  </si>
  <si>
    <t>享去哪</t>
  </si>
  <si>
    <t>⻩酒;开胃酒;果酒;⽶酒;⽩酒;甜酒;葡萄酒;⾷⽤酒精;汽酒;清酒</t>
  </si>
  <si>
    <t>镇雄剑峰酒业</t>
  </si>
  <si>
    <t>寰蝶樽</t>
  </si>
  <si>
    <t>⽩酒;⾼粱酒;果酒;清酒;⽶酒;杨梅酒;⾷⽤酒精;红葡萄酒;鸡尾酒;酒精饮料（啤酒除外）</t>
  </si>
  <si>
    <t>罗奕含</t>
  </si>
  <si>
    <t>WISHLY</t>
  </si>
  <si>
    <t>⻩酒;⽼酒（中国蒸馏烈酒）;含⽔果酒精饮料;果酒（含酒精）;⽶酒;威⼠忌;⽩酒;红葡萄酒;鸡尾酒;蒸馏饮料</t>
  </si>
  <si>
    <t>韦明础</t>
  </si>
  <si>
    <t>明德天下</t>
  </si>
  <si>
    <t>葡萄酒;⽶酒;⻩酒;⽩酒;烧酒（烈酒）;清酒;⽼酒（中国蒸馏烈酒）;果酒（含酒精）;苦荞酒;⾼粱酒</t>
  </si>
  <si>
    <t>侯县委</t>
  </si>
  <si>
    <t>沂品大匠</t>
  </si>
  <si>
    <t>伏特加酒;⽩酒;威⼠忌;葡萄酒;⽶酒;⽩⼲酒（中国⽩酒）;⾷⽤酒精;⻩酒;⽩兰地;果酒</t>
  </si>
  <si>
    <t>施婉娜</t>
  </si>
  <si>
    <t>威⼠忌;⽩酒;⻩酒;果酒（含酒精）;清酒（⽇本⽶酒）;⽶酒;⻘稞酒;⽩兰地;伏特加酒;葡萄酒;开胃酒</t>
  </si>
  <si>
    <t>冯阳阳</t>
  </si>
  <si>
    <t>葡萄酒;⽶酒;⽼酒（中国蒸馏烈酒）;⻩酒;⽩兰地;蜂蜜酒;樱桃酒;烈酒（饮料）;⽩酒;苹果酒</t>
  </si>
  <si>
    <t>广东中电进出口惠州公司</t>
  </si>
  <si>
    <t>府地</t>
  </si>
  <si>
    <t>烈酒;⽩兰地;⽼酒（中国蒸馏烈酒）;⻩酒;威⼠忌;烧酒;⾼粱酒;烧酒（烈酒）;⽩酒;伏特加酒</t>
  </si>
  <si>
    <t>冯江</t>
  </si>
  <si>
    <t>基华士</t>
  </si>
  <si>
    <t>红葡萄酒;⽩⼲酒（中国⽩酒）;果酒（含酒精）;开胃酒;除啤酒外的酒精饮料;蒸馏饮料;烧酒;⽩葡萄酒;⽼酒（中国蒸馏烈酒）;烈酒</t>
  </si>
  <si>
    <t>四川湖远行网络科技有限公司</t>
  </si>
  <si>
    <t>湖远行</t>
  </si>
  <si>
    <t>蒸馏饮料;葡萄酒;鸡尾酒;果酒（含酒精）;⾷⽤酒精;含⽔果酒精饮料;⽩酒;⽶酒;⻘稞酒;利⼝酒</t>
  </si>
  <si>
    <t>江林</t>
  </si>
  <si>
    <t>聚仙阙</t>
  </si>
  <si>
    <t>烧酒;⽶酒;酒精饮料（啤酒除外）;果酒;烈酒（饮料）;鸡尾酒;威⼠忌;⽩酒;葡萄酒;⻩酒</t>
  </si>
  <si>
    <t>利⼝酒;⽩酒;烈酒（饮料）;⽩兰地;烈酒;加烈葡萄酒;清酒（⽇本⽶酒）;威⼠忌;葡萄酒</t>
  </si>
  <si>
    <t>黄金星</t>
  </si>
  <si>
    <t>贺大班</t>
  </si>
  <si>
    <t>⽩兰地;烧酒;鸡尾酒;果酒（含酒精）;⽶酒;葡萄酒;⻩酒;⽩酒;蒸馏饮料;威⼠忌</t>
  </si>
  <si>
    <t>秉乾之王</t>
  </si>
  <si>
    <t>烈酒（饮料）;酒精饮料（啤酒除外）;预先混合的酒精饮料（以啤酒为主的除外）;烧酒;⾷⽤酒精;果酒（含酒精）;蒸馏饮料;酒精饮料原汁;葡萄酒;⽩酒</t>
  </si>
  <si>
    <t>董应艳</t>
  </si>
  <si>
    <t>樽计</t>
  </si>
  <si>
    <t>⻩酒;烧酒;威⼠忌;⽶酒;除啤酒外的酒精饮料;蒸馏饮料;鸡尾酒;葡萄酒;⽩酒;果酒（含酒精）</t>
  </si>
  <si>
    <t>苏州丰轩乐实业发展有限公司</t>
  </si>
  <si>
    <t>丰轩乐</t>
  </si>
  <si>
    <t>⽩酒;鸡尾酒;蒸馏饮料;烧酒;烈酒（饮料）;开胃酒;⻩酒;葡萄酒;⽶酒;果酒（含酒精）</t>
  </si>
  <si>
    <t>福建南平庭丰盈盛酒业有限公司</t>
  </si>
  <si>
    <t>延州洞宾</t>
  </si>
  <si>
    <t>苦味酒;利⼝酒;果酒（含酒精）;樱桃酒;薄荷酒;蜂蜜酒;杜松⼦酒;⽩酒;葡萄酒;烈酒（饮料）</t>
  </si>
  <si>
    <t>合肥眠花糖科技股份有限公司</t>
  </si>
  <si>
    <t>久丝</t>
  </si>
  <si>
    <t>⻩酒;蒸馏饮料;⽩酒;⽩兰地;⽶酒;果酒（含酒精）;鸡尾酒;葡萄酒;威⼠忌;烧酒</t>
  </si>
  <si>
    <t>长沙英工智能科技有限公司</t>
  </si>
  <si>
    <t>金色之河</t>
  </si>
  <si>
    <t>鸡尾酒;酒精饮料（啤酒除外）;⻩酒;葡萄酒;⽶酒;⾷⽤酒精;烧酒;果酒（含酒精）;利⼝酒;⽩酒</t>
  </si>
  <si>
    <t>酒精饮料（啤酒除外）;酒精饮料原汁;果酒（含酒精）;葡萄酒;⻩酒;⽩酒;⽶酒;烧酒;⾷⽤酒精;利⼝酒</t>
  </si>
  <si>
    <t>安徽皇觉酒业有限公司</t>
  </si>
  <si>
    <t>明皇都</t>
  </si>
  <si>
    <t>酒精饮料（啤酒除外）;⻩酒;葡萄酒;⽩兰地;⽩酒;果酒;烈酒;⽶酒;烧酒;威⼠忌</t>
  </si>
  <si>
    <t>艺壤在线科技有限公司</t>
  </si>
  <si>
    <t>艺壤艺酿</t>
  </si>
  <si>
    <t>⽩兰地;酒精饮料（啤酒除外）;⽩酒;清酒（⽇本⽶酒）;⻩酒;果酒（含酒精）;⽶酒;鸡尾酒;⾷⽤酒精;威⼠忌</t>
  </si>
  <si>
    <t>洞藏大沙</t>
  </si>
  <si>
    <t>烈酒（饮料）;清酒;⽶酒;⽩酒;开胃酒;果酒（含酒精）;烧酒;⻩酒;蒸煮提取物（利⼝酒和烈酒）;酒精饮料（啤酒除外）</t>
  </si>
  <si>
    <t>哈尔滨市雷程商贸有限公司</t>
  </si>
  <si>
    <t>夼浪</t>
  </si>
  <si>
    <t>餐后酒（利⼝酒和烈酒）;威⼠忌;伏特加酒;清酒（⽇本⽶酒）;果酒（含酒精）;朗姆酒;⽩酒;鸡尾酒;汽酒;⽶酒</t>
  </si>
  <si>
    <t>鎏大师</t>
  </si>
  <si>
    <t>⽩酒;威⼠忌;烈酒;酒精饮料（啤酒除外）;葡萄酒;开胃酒;清酒（⽇本⽶酒）;⻩酒;果酒（含酒精）;鸡尾酒</t>
  </si>
  <si>
    <t>邯郸市东浦贸易有限公司</t>
  </si>
  <si>
    <t>百红天下 百红天下老酒坊 酒</t>
  </si>
  <si>
    <t>蒸馏⽶酒（泡盛酒）;⾼粱酒;果酒（含酒精）;⽼酒（中国蒸馏烈酒）;⽶酒;鸡尾酒;利⼝酒;烈酒;⽩酒;葡萄酒</t>
  </si>
  <si>
    <t>百花时代（深圳）有限公司</t>
  </si>
  <si>
    <t>帷幄天下</t>
  </si>
  <si>
    <t>威⼠忌;烧酒;⻘稞酒;烈酒（饮料）;⻩酒;果酒（含酒精）;葡萄酒;⽶酒;⽩兰地;⽩酒</t>
  </si>
  <si>
    <t>广东菜万家供应链有限公司</t>
  </si>
  <si>
    <t>菜万家</t>
  </si>
  <si>
    <t>⾷⽤酒精;⽩兰地;⽶酒;⻩酒;威⼠忌;果酒（含酒精）;鸡尾酒;⽩酒;葡萄酒;酒精饮料（啤酒除外）</t>
  </si>
  <si>
    <t>四川龙昱台酒业有限公司</t>
  </si>
  <si>
    <t>御道灵岩</t>
  </si>
  <si>
    <t>酒精饮料（啤酒除外）;蒸煮提取物（利⼝酒和烈酒）;果酒（含酒精）;葡萄酒;烧酒;预先混合的酒精饮料（以啤酒为主的除外）;⽩酒;蒸馏饮料;苹果酒;蜂蜜酒</t>
  </si>
  <si>
    <t>吉林市鹿王制药股份有限公司</t>
  </si>
  <si>
    <t>金合鹿王堂</t>
  </si>
  <si>
    <t>葡萄酒;果酒（含酒精）;⽩酒;威⼠忌;伏特加酒;⽶酒;烧酒;鸡尾酒;樱桃酒;开胃酒</t>
  </si>
  <si>
    <t>华富（厦门）酒业有限公司</t>
  </si>
  <si>
    <t>富海兰</t>
  </si>
  <si>
    <t>葡萄酒;含⽔果酒精饮料;威⼠忌;⽩酒;鸡尾酒;利⼝酒;果酒（含酒精）;伏特加酒;⽩兰地;烧酒</t>
  </si>
  <si>
    <t>贝伟（江苏）工业科技有限公司</t>
  </si>
  <si>
    <t>贝伟</t>
  </si>
  <si>
    <t>果酒（含酒精）;⾼粱酒;蒸馏饮料;鸡尾酒;⻩酒;葡萄酒;⽩酒;⽶酒;烧酒;烈酒（饮料）</t>
  </si>
  <si>
    <t>云南源溢酒业有限公司</t>
  </si>
  <si>
    <t>绿智天香</t>
  </si>
  <si>
    <t>⽩酒;蒸煮提取物（利⼝酒和烈酒）;清酒;⽶酒;⽼酒（中国蒸馏烈酒）;酒精饮料（啤酒除外）;由⾕物蒸馏的⽩酒;葡萄酒;烧酒;果酒</t>
  </si>
  <si>
    <t>贵州贺天下酒业有限公司</t>
  </si>
  <si>
    <t>贺天下瑞贺</t>
  </si>
  <si>
    <t>⾷⽤酒精;酒精饮料（啤酒除外）;酒精饮料原汁;伏特加酒;鸡尾酒;⽩酒;威⼠忌;烈酒;烧酒;清酒（⽇本⽶酒）</t>
  </si>
  <si>
    <t>涂平平362424********4921</t>
  </si>
  <si>
    <t>田园农夫</t>
  </si>
  <si>
    <t>⽶酒;⻩酒;果酒;⾼粱酒;甜酒;⾷⽤酒精;⽩酒;开胃酒;蒸馏饮料;酒精饮料（啤酒除外）</t>
  </si>
  <si>
    <t>四川泸州五斗粮酒业有限公司</t>
  </si>
  <si>
    <t>将军岩</t>
  </si>
  <si>
    <t>蒸煮提取物（利⼝酒和烈酒）;⻩酒;清酒;烧酒;果酒（含酒精）;酒精饮料（啤酒除外）;开胃酒;⽩酒;烈酒（饮料）;⽶酒</t>
  </si>
  <si>
    <t>葡萄酒;⽩兰地;开胃酒;烧酒;⽼酒（中国蒸馏烈酒）;⽩酒;威⼠忌;利⼝酒;⽶酒;烈酒（饮料）</t>
  </si>
  <si>
    <t>QY·SNP</t>
  </si>
  <si>
    <t>开胃酒;烈酒（饮料）;葡萄酒;⻩酒;果酒;⽼酒（中国蒸馏烈酒）;⽶酒;烧酒;清酒;⽩酒</t>
  </si>
  <si>
    <t>青岛中顺祥商贸有限公司</t>
  </si>
  <si>
    <t>顺祥裕龙春</t>
  </si>
  <si>
    <t>烈酒;清酒（⽇本⽶酒）;烧酒;甜酒;⽩酒;果酒（含酒精）;葡萄酒;酒精饮料（啤酒除外）;⽶酒;⻩酒</t>
  </si>
  <si>
    <t>鄢秋英</t>
  </si>
  <si>
    <t>水香斗米壶</t>
  </si>
  <si>
    <t>酒精饮料（啤酒除外）;蒸馏饮料;蜂蜜酒;开胃酒;⻩酒;⽶酒;苹果酒;葡萄酒;酸酒（低等葡萄酒）;烧酒</t>
  </si>
  <si>
    <t>韩永杰</t>
  </si>
  <si>
    <t>凤凰霸王</t>
  </si>
  <si>
    <t>烈酒（饮料）;清酒（⽇本⽶酒）;果酒（含酒精）;⻩酒;⾷⽤酒精;蒸馏饮料;葡萄酒;酒精饮料原汁;含⽔果酒精饮料;⽩酒</t>
  </si>
  <si>
    <t>陈星霖</t>
  </si>
  <si>
    <t>水商之</t>
  </si>
  <si>
    <t>葡萄酒;⽶酒;果酒;烧酒;果酒（含酒精）;⽩酒;以葡萄酒为主的饮料;含酒精的饮料（啤酒除外）;清酒;鸡尾酒</t>
  </si>
  <si>
    <t>朗腾</t>
  </si>
  <si>
    <t>雪凤泉 酒庄</t>
  </si>
  <si>
    <t>⽶酒;⻘稞酒;鸡尾酒;⽩兰地;烈酒（饮料）;果酒（含酒精）;⻩酒;⽩酒;葡萄酒;酒精饮料（啤酒除外）</t>
  </si>
  <si>
    <t>甬丽峻（青海）集团有限公司</t>
  </si>
  <si>
    <t>临玖期邀</t>
  </si>
  <si>
    <t>⽩酒;桃红葡萄酒;果酒（含酒精）;鸡尾酒;清酒;薄荷酒;苹果酒;葡萄酒;⻘稞酒;甜酒</t>
  </si>
  <si>
    <t>泸州高陈科技有限公司</t>
  </si>
  <si>
    <t>沪甲一方</t>
  </si>
  <si>
    <t>含酒精的鸡尾酒混合饮品;酒精饮料（啤酒除外）;预先混合的酒精饮料（以啤酒为主的除外）;开胃酒;果酒;葡萄酒;⽶酒;⽩酒;⾷⽤酒精;梨酒</t>
  </si>
  <si>
    <t>汕头市恒生泰物资有限公司</t>
  </si>
  <si>
    <t>蓝雅堡酒庄</t>
  </si>
  <si>
    <t>果酒（含酒精）;⽩酒;鸡尾酒;威⼠忌;⽩兰地;蒸煮提取物（利⼝酒和烈酒）;伏特加酒;葡萄酒;酒精饮料（啤酒除外）;⻩酒</t>
  </si>
  <si>
    <t>大沙</t>
  </si>
  <si>
    <t>烈酒（饮料）;⽩酒;⻩酒;果酒（含酒精）;⽶酒;利⼝酒;开胃酒;清酒;烧酒;⾕物制蒸馏酒精饮料</t>
  </si>
  <si>
    <t>董正玉</t>
  </si>
  <si>
    <t>鹤龄御</t>
  </si>
  <si>
    <t>⽩酒;葡萄酒;⽶酒;烧酒;⻩酒;利⼝酒;威⼠忌;开胃酒;烈酒（饮料）;鸡尾酒</t>
  </si>
  <si>
    <t>临沂文介阁文化中心</t>
  </si>
  <si>
    <t>文介阁</t>
  </si>
  <si>
    <t>⽩兰地;果酒（含酒精）;苹果酒;餐后酒（利⼝酒和烈酒）;葡萄酒;蜂蜜酒;鸡尾酒;蒸馏饮料;酒精饮料（啤酒除外）;⽩酒</t>
  </si>
  <si>
    <t>泉州市进步电子商务有限公司</t>
  </si>
  <si>
    <t>清聪堂</t>
  </si>
  <si>
    <t>⽶酒;果酒（含酒精）;由⾕物蒸馏的⽩酒;葡萄酒;烧酒;⻩酒;含⽔果酒精饮料;⽩⼲酒（中国⽩酒）;汽酒;⽩酒</t>
  </si>
  <si>
    <t>高伦</t>
  </si>
  <si>
    <t>延岁山</t>
  </si>
  <si>
    <t>开胃酒;⽩酒;鸡尾酒;酒精饮料（啤酒除外）;⻘稞酒;⽶酒;⻩酒;果酒（含酒精）;汽酒;烧酒</t>
  </si>
  <si>
    <t>济南市长清区九财学掌文化信息咨询中心</t>
  </si>
  <si>
    <t>九财学掌</t>
  </si>
  <si>
    <t>⽩兰地;酒精饮料（啤酒除外）;⽶酒;已调味的⻨芽酿制的酒精饮料（啤酒除外）;⽩酒;烧酒;果酒（含酒精）;鸡尾酒;威⼠忌;葡萄酒</t>
  </si>
  <si>
    <t>贺州市新耀广告文化传媒有限公司</t>
  </si>
  <si>
    <t>元三合</t>
  </si>
  <si>
    <t>果酒;⻘稞酒;⽩酒;葡萄酒;清酒;⻩酒;已调味的⻨芽酿制的酒精饮料（啤酒除外）;鸡尾酒;烈酒（饮料）;⽶酒</t>
  </si>
  <si>
    <t>以葡萄酒为主的饮料;葡萄酒;⾼粱酒;果酒（含酒精）;⻩酒;⽶酒;威⼠忌;烧酒;酸酒（低等葡萄酒）;⽩兰地</t>
  </si>
  <si>
    <t>尹宝新</t>
  </si>
  <si>
    <t>二仙农</t>
  </si>
  <si>
    <t>酒精饮料（啤酒除外）;⽩酒;果酒（含酒精）;⽶酒;葡萄酒;鸡尾酒;清酒（⽇本⽶酒）;含⽔果酒精饮料;蒸馏饮料;苹果酒</t>
  </si>
  <si>
    <t>成都华典商贸有限公司</t>
  </si>
  <si>
    <t>朝阅青山</t>
  </si>
  <si>
    <t>⽩酒;⽶酒;⾷⽤酒精;烧酒;果酒（含酒精）;葡萄酒;鸡尾酒;威⼠忌;⻩酒;开胃酒</t>
  </si>
  <si>
    <t>威⼠忌;⽶酒;伏特加酒;开胃酒;果酒（含酒精）;烧酒;葡萄酒;⽩酒;鸡尾酒;樱桃酒</t>
  </si>
  <si>
    <t>含⽔果酒精饮料;果酒（含酒精）;清酒（⽇本⽶酒）;⽶酒;⻩酒;烧酒;⽩酒;葡萄酒;⾷⽤酒精;⻘稞酒</t>
  </si>
  <si>
    <t>张李张</t>
  </si>
  <si>
    <t>章源台</t>
  </si>
  <si>
    <t>葡萄酒;苦荞酒;烧酒;梅酒;预调甜酒;由⾕物蒸馏的⽩酒;烈酒浓缩汁;烈酒;烈酒（饮料）;酒精饮料（啤酒除外）;朝鲜烧酒;⻘稞酒;⻩酒;⽩酒;清酒（⽇本⽶酒）;烧酒（烈酒）;⽼酒（中国蒸馏烈酒）;果酒;蒸馏饮料;朝鲜族⽶酒;⾼粱酒;朗姆酒（酒精饮料）;佐餐酒;清酒;以葡萄酒为主的饮料</t>
  </si>
  <si>
    <t>新泰市庆东农作物种植专业合作社</t>
  </si>
  <si>
    <t>春沐龟山</t>
  </si>
  <si>
    <t>餐后酒（利⼝酒和烈酒）;梨酒;⾕物制蒸馏酒精饮料;⽼酒（中国蒸馏烈酒）;⽩兰地;⽶酒;烧酒;苹果酒;烈酒（饮料）;果酒（含酒精）</t>
  </si>
  <si>
    <t>中达物流集团有限公司</t>
  </si>
  <si>
    <t>轴之城</t>
  </si>
  <si>
    <t>⻩酒;葡萄酒;⽩兰地;威⼠忌;烈酒（饮料）;⽩酒;烧酒;含⽔果酒精饮料;⽶酒;酒精饮料（啤酒除外）</t>
  </si>
  <si>
    <t>刘恩强</t>
  </si>
  <si>
    <t>炎帝梦</t>
  </si>
  <si>
    <t>⽩酒;含⽔果酒精饮料;烧酒;鸡尾酒;⽶酒;果酒（含酒精）;⻩酒;威⼠忌;酒精饮料（啤酒除外）;葡萄酒</t>
  </si>
  <si>
    <t>孔力伟</t>
  </si>
  <si>
    <t>再来古</t>
  </si>
  <si>
    <t>预先混合的酒精饮料（以啤酒为主的除外）;清酒;红葡萄酒;含⽔果酒精饮料;⽩酒;⾼粱酒;烧酒;⽶酒;⻩酒;酒精饮料原汁</t>
  </si>
  <si>
    <t>邹琴</t>
  </si>
  <si>
    <t>入花间</t>
  </si>
  <si>
    <t>烈酒（饮料）;开胃酒;⽩酒;果酒（含酒精）;汽酒;含⽔果酒精饮料;葡萄酒;鸡尾酒;清酒（⽇本⽶酒）;烧酒（烈酒）</t>
  </si>
  <si>
    <t>仁怀市南国佳酿酒业销售有限公司</t>
  </si>
  <si>
    <t>颂南舫168</t>
  </si>
  <si>
    <t>果酒（含酒精）;烧酒（烈酒）;烈酒（饮料）;⽩酒;蒸煮提取物（利⼝酒和烈酒）;⻩酒;酒精饮料（啤酒除外）;⽶酒;由⾕物蒸馏的⽩酒;⻘稞酒</t>
  </si>
  <si>
    <t>朋礼加</t>
  </si>
  <si>
    <t>凤储</t>
  </si>
  <si>
    <t>果酒（含酒精）;⾼粱酒;烈酒;葡萄酒;⽩酒;露酒;⻩酒;⽶酒;烧酒;⻘稞酒</t>
  </si>
  <si>
    <t>北京一品焦点品牌设计顾问有限公司</t>
  </si>
  <si>
    <t>香水樾</t>
  </si>
  <si>
    <t>酒精饮料原汁;烧酒;⽩酒;清酒（⽇本⽶酒）;⽶酒;开胃酒;鸡尾酒;葡萄酒;烈酒（饮料）;⻩酒</t>
  </si>
  <si>
    <t>广西知途贸易有限公司</t>
  </si>
  <si>
    <t>锐智尚善</t>
  </si>
  <si>
    <t>酒精饮料浓缩汁;⾷⽤酒精;酒精饮料（啤酒除外）;⻩酒;葡萄酒;开胃酒;蒸馏饮料;⽩酒;蒸煮提取物（利⼝酒和烈酒）;烧酒</t>
  </si>
  <si>
    <t>河南至品酒道商贸有限公司</t>
  </si>
  <si>
    <t>宗源正衇</t>
  </si>
  <si>
    <t>⽩⼲酒（中国⽩酒）;混合威⼠忌酒;烧酒;五加⽪酒（中国混合烈酒）;⽩酒;⽶酒;⻩酒;⽼酒（中国蒸馏烈酒）;利⼝酒;葡萄酒</t>
  </si>
  <si>
    <t>郭富齐</t>
  </si>
  <si>
    <t>富瑞雅</t>
  </si>
  <si>
    <t>果酒（含酒精）;酒精饮料（啤酒除外）;酒精饮料浓缩汁;⽩酒;烧酒;开胃酒;葡萄酒;酒精饮料原汁;⻩酒;蒸煮提取物（利⼝酒和烈酒）</t>
  </si>
  <si>
    <t>新疆金都邦进出口贸易有限公司</t>
  </si>
  <si>
    <t>KAWROMA</t>
  </si>
  <si>
    <t>⽶酒;⻩酒;酒精饮料（啤酒除外）;烈酒（饮料）;烧酒;葡萄酒;果酒（含酒精）;鸡尾酒;蒸馏饮料;⽩酒</t>
  </si>
  <si>
    <t>苏州多营养生物科技有限公司</t>
  </si>
  <si>
    <t>问孔问道</t>
  </si>
  <si>
    <t>酒精饮料原汁;酒精饮料（啤酒除外）;果酒（含酒精）;⽩⼲酒（中国⽩酒）;天然汽酒;⽩酒;甜酒;烧酒;⻩酒;葡萄酒</t>
  </si>
  <si>
    <t>徐胜兵</t>
  </si>
  <si>
    <t>玛西葡园</t>
  </si>
  <si>
    <t>⽶酒;⻩酒;烈酒;露酒;⽩兰地;果酒（含酒精）;葡萄酒;烧酒;鸡尾酒;⽩酒</t>
  </si>
  <si>
    <t>广州如商创业服务有限公司</t>
  </si>
  <si>
    <t>荔德嘉</t>
  </si>
  <si>
    <t>红葡萄酒;烈酒浓缩汁;⻩酒;⽼酒（中国蒸馏烈酒）;果酒;⽩酒;⽶酒;烧酒（烈酒）;梅酒;⽩兰地</t>
  </si>
  <si>
    <t>安徽爱分享酒业有限责任公司</t>
  </si>
  <si>
    <t>怅然</t>
  </si>
  <si>
    <t>⻘稞酒;烧酒;威⼠忌;⽩兰地;⽩酒;蒸馏饮料;⻩酒;酒精饮料（啤酒除外）;果酒（含酒精）;鸡尾酒</t>
  </si>
  <si>
    <t>瑕不掩瑜</t>
  </si>
  <si>
    <t>威⼠忌;⻩酒;⻘稞酒;⽩酒;⽩兰地;酒精饮料（啤酒除外）;烧酒;鸡尾酒;果酒（含酒精）;蒸馏饮料</t>
  </si>
  <si>
    <t>一甲威士忌股份有限公司</t>
  </si>
  <si>
    <t>一番札</t>
  </si>
  <si>
    <t>利⼝酒;酒精饮料（啤酒除外）;已调味的蒸馏酒;蒸煮提取物（利⼝酒和烈酒）;酒精饮料浓缩汁;蒸馏饮料;烈酒（饮料）</t>
  </si>
  <si>
    <t>葡萄酒;⻩酒;⽩酒;果酒;露酒;清酒;⽶酒;含酒精⽔果饮料;汽酒;梅酒</t>
  </si>
  <si>
    <t>莫尔索国际贸易(上海)有限公司</t>
  </si>
  <si>
    <t>诺克菲勒</t>
  </si>
  <si>
    <t>果酒（含酒精）;伏特加酒;⽩酒;鸡尾酒;开胃酒;⽩兰地;烈酒（饮料）;⾷⽤酒精;酒精饮料（啤酒除外）;葡萄酒</t>
  </si>
  <si>
    <t>索蒂琦</t>
  </si>
  <si>
    <t>⽩酒;果酒（含酒精）;葡萄酒;⽩兰地;开胃酒;鸡尾酒;伏特加酒;⾷⽤酒精;酒精饮料（啤酒除外）;烈酒（饮料）</t>
  </si>
  <si>
    <t>焦作佰勤管家物业管理有限公司</t>
  </si>
  <si>
    <t>许鲁斋</t>
  </si>
  <si>
    <t>⽩酒;⻘稞酒;⻩酒;酒精饮料（啤酒除外）;蜂蜜酒;果酒（含酒精）;葡萄酒;开胃酒;烧酒;⽶酒</t>
  </si>
  <si>
    <t>张松涛</t>
  </si>
  <si>
    <t>抚琴饮砚</t>
  </si>
  <si>
    <t>鸡尾酒;⽩酒;果酒（含酒精）;⽩兰地;⻩酒;利⼝酒;烧酒;葡萄酒;⽶酒;烈酒（饮料）</t>
  </si>
  <si>
    <t>贵州领行酱酒平台服务有限公司</t>
  </si>
  <si>
    <t>宋韵浔道馆</t>
  </si>
  <si>
    <t>开胃酒;⾼粱酒;鸡尾酒;烈酒（饮料）;⻩酒;烧酒;酒精饮料（啤酒除外）;烈酒;果酒;⽩酒</t>
  </si>
  <si>
    <t>范敏</t>
  </si>
  <si>
    <t>吾魁首</t>
  </si>
  <si>
    <t>已调味的蒸馏酒;⾼粱酒;酒精饮料（啤酒除外）;烧酒（烈酒）;由⾕物蒸馏的⽩酒;⽩酒;果酒;⽼酒（中国蒸馏烈酒）;⽩⼲酒（中国⽩酒）;含酒精的饮料（啤酒除外）</t>
  </si>
  <si>
    <t>WATERVALE</t>
  </si>
  <si>
    <t>含⽔果酒精饮料;汽酒;果酒（含酒精）;餐后酒（利⼝酒和烈酒）;开胃酒;葡萄酒;⽩兰地;威⼠忌;酒精饮料（啤酒除外）;⽩酒</t>
  </si>
  <si>
    <t>贵州省仁怀市宽窄酒业有限公司</t>
  </si>
  <si>
    <t>宽窄美</t>
  </si>
  <si>
    <t>伏特加酒;⻩酒;⾷⽤酒精;威⼠忌;⽩兰地;⽩酒;葡萄酒;朗姆酒;烈酒（饮料）;果酒（含酒精）</t>
  </si>
  <si>
    <t>殷商妇好</t>
  </si>
  <si>
    <t>酒精饮料（啤酒除外）;烧酒;烈酒（饮料）;⽩酒;⽶酒;蒸馏饮料;葡萄酒;酒精饮料浓缩汁;含⽔果酒精饮料;果酒（含酒精）</t>
  </si>
  <si>
    <t>林晓军</t>
  </si>
  <si>
    <t>丹心怡宁</t>
  </si>
  <si>
    <t>露酒;杨梅酒;⽶酒;⻩酒;烈酒;梨酒;烧酒;⽩酒;梅酒;葡萄酒</t>
  </si>
  <si>
    <t>六盘水联建工程有限公司</t>
  </si>
  <si>
    <t>西部山甄</t>
  </si>
  <si>
    <t>黄酒;食用酒精;白酒;樱桃酒;清酒（日本米酒）;果酒（含酒精）;酒精饮料（啤酒除外）;葡萄酒;蜂蜜酒;米酒</t>
  </si>
  <si>
    <t>墨者黑（广州）品牌管理有限公司</t>
  </si>
  <si>
    <t>MOZHE IN BLACK</t>
  </si>
  <si>
    <t>果酒;⽶酒;鸡尾酒;葡萄酒;露酒;⾼粱酒;红葡萄酒;⽩⼲酒（中国⽩酒）;烧酒;⽩酒</t>
  </si>
  <si>
    <t>贵州君爱仁匠酒业有限公司</t>
  </si>
  <si>
    <t>烈酒（饮料）;鸡尾酒;果酒;酒精饮料（啤酒除外）;⽩酒;葡萄酒;烈酒;⽼酒（中国蒸馏烈酒）;⾼粱酒;⽩⼲酒（中国⽩酒）</t>
  </si>
  <si>
    <t>浙江华跃体育传媒有限公司</t>
  </si>
  <si>
    <t>手非</t>
  </si>
  <si>
    <t>⽩兰地;含⽔果酒精饮料;烧酒;⽩酒;酒精饮料（啤酒除外）;果酒（含酒精）;⻩酒;葡萄酒;烈酒（饮料）;⽶酒</t>
  </si>
  <si>
    <t>MENDIS</t>
  </si>
  <si>
    <t>葡萄酒;杜松⼦酒;清酒（⽇本⽶酒）;酒精饮料（啤酒除外）;威⼠忌;⽩兰地;伏特加酒;⽩酒;烈酒（饮料）;朗姆酒</t>
  </si>
  <si>
    <t>万新洲</t>
  </si>
  <si>
    <t>嘉洲山河 JIA ZHOU LANDSCAPE</t>
  </si>
  <si>
    <t>酒精饮料（啤酒除外）;除啤酒外的酒精饮料;利⼝酒;果酒（含酒精）;含⽔果酒精饮料;开胃酒;⽶酒;⽩酒;蒸馏饮料;烈酒（饮料）</t>
  </si>
  <si>
    <t>雷玉春</t>
  </si>
  <si>
    <t>唐门烈马</t>
  </si>
  <si>
    <t>酒精饮料（啤酒除外）;⽩酒;果酒（含酒精）;鸡尾酒;威⼠忌;开胃酒;烈酒;葡萄酒;清酒（⽇本⽶酒）;⻩酒</t>
  </si>
  <si>
    <t>深圳晟睿德实业有限公司</t>
  </si>
  <si>
    <t>七十二将</t>
  </si>
  <si>
    <t>葡萄酒;威⼠忌;⽶酒;⽩酒;果酒（含酒精）;伏特加酒;⻘稞酒;蒸煮提取物（利⼝酒和烈酒）;⻩酒;清酒</t>
  </si>
  <si>
    <t>章晋堃</t>
  </si>
  <si>
    <t>邑荠</t>
  </si>
  <si>
    <t>鸡尾酒;⽩兰地;葡萄酒;⽩酒;⾕物制蒸馏酒精饮料;威⼠忌;预先混合的酒精饮料（以啤酒为主的除外）;含酒精的⽓泡⽔;酒精饮料（啤酒除外）;果酒（含酒精）</t>
  </si>
  <si>
    <t>无存</t>
  </si>
  <si>
    <t>⽩兰地;开胃酒;烈酒（饮料）;⽶酒;⽩酒;果酒（含酒精）;鸡尾酒;葡萄酒;清酒（⽇本⽶酒）;含酒精的充⽓饮料（啤酒除外）</t>
  </si>
  <si>
    <t>广州恺旭贸易有限公司</t>
  </si>
  <si>
    <t>飞帽子 FLYING HAT</t>
  </si>
  <si>
    <t>烈酒（饮料）;⽶酒;威⼠忌;清酒;果酒;预调甜酒;酒精饮料（啤酒除外）;鸡尾酒;葡萄酒;⽩酒</t>
  </si>
  <si>
    <t>刘飞</t>
  </si>
  <si>
    <t>碾坊庄</t>
  </si>
  <si>
    <t>⻩酒;鸡尾酒;果酒（含酒精）;清酒（⽇本⽶酒）;葡萄酒;⽶酒;预先混合的酒精饮料（以啤酒为主的除外）;蒸煮提取物（利⼝酒和烈酒）;⽩酒;烈酒（饮料）</t>
  </si>
  <si>
    <t>贵州文华酒业有限公司</t>
  </si>
  <si>
    <t>老坛青</t>
  </si>
  <si>
    <t>酒精饮料（啤酒除外）;蒸煮提取物（利⼝酒和烈酒）;⽩酒;⽼酒（中国蒸馏烈酒）;⻩酒;⽶酒;果酒（含酒精）;葡萄酒;预先混合的酒精饮料（以啤酒为主的除外）;酒精饮料原汁</t>
  </si>
  <si>
    <t>温州市逸生贸易有限公司</t>
  </si>
  <si>
    <t>蔡恒春</t>
  </si>
  <si>
    <t>⻩酒;汽酒;⽩酒;开胃酒;葡萄酒;餐后酒（利⼝酒和烈酒）;蜂蜜酒;蒸馏饮料;烧酒;酒精饮料（啤酒除外）</t>
  </si>
  <si>
    <t>贵州伴帝酒业有限公司</t>
  </si>
  <si>
    <t>赴京</t>
  </si>
  <si>
    <t>烧酒;含酒精⽔果饮料;葡萄酒;开胃酒;⻩酒;⽶酒;⾷⽤酒精;果酒（含酒精）;蒸煮提取物（利⼝酒和烈酒）;⽩酒</t>
  </si>
  <si>
    <t>晋城市悯农食品有限公司</t>
  </si>
  <si>
    <t>务夲业</t>
  </si>
  <si>
    <t>⻩酒;酒精饮料原汁;⽶酒;果酒（含酒精）;⽩酒;葡萄酒;蜂蜜酒;以葡萄酒为主的饮料;⾷⽤酒精;梨酒</t>
  </si>
  <si>
    <t>贵州老茅世家酒业有限责任公司</t>
  </si>
  <si>
    <t>台荟馆</t>
  </si>
  <si>
    <t>开胃酒;蒸馏饮料;葡萄酒;⽩兰地;烧酒;⽩酒;烈酒（饮料）;⻩酒;威⼠忌;酒精饮料（啤酒除外）</t>
  </si>
  <si>
    <t>绵丰采</t>
  </si>
  <si>
    <t>⽩兰地;⽶酒;葡萄酒;果酒（含酒精）;⽩酒;烧酒;酒精饮料（啤酒除外）;鸡尾酒;⾼粱酒;开胃酒</t>
  </si>
  <si>
    <t>天门市丹田种植专业合作社</t>
  </si>
  <si>
    <t>梨花淼</t>
  </si>
  <si>
    <t>⽩兰地;以蒸馏酒为主的开胃酒;鸡尾酒;果酒（含酒精）;⻩酒;葡萄酒;⽩酒;酒精饮料（啤酒除外）;⽶酒;餐后酒（利⼝酒和烈酒）</t>
  </si>
  <si>
    <t>衡水初一商贸有限责任公司</t>
  </si>
  <si>
    <t>FM 菲麦蜜</t>
  </si>
  <si>
    <t>⻩酒;果酒（含酒精）;烈酒（饮料）;葡萄酒;烧酒;⽩酒;蒸馏⽶酒（泡盛酒）;⽶酒;⾷⽤酒精;鸡尾酒</t>
  </si>
  <si>
    <t>青岛简匠文化传播有限公司</t>
  </si>
  <si>
    <t>有汝</t>
  </si>
  <si>
    <t>烈酒;⽼酒（中国蒸馏烈酒）;果酒;⻩酒;⾼粱酒;⽩酒;清酒;烧酒;烧酒（烈酒）;葡萄酒;果酒（含酒精）;威⼠忌;⽶酒</t>
  </si>
  <si>
    <t>袁小蓉</t>
  </si>
  <si>
    <t>醉美龙涧溪</t>
  </si>
  <si>
    <t>鸡尾酒;⽶酒;⽩酒;果酒（含酒精）;蒸馏饮料;酒精饮料（啤酒除外）;葡萄酒;威⼠忌;烧酒;烈酒（饮料）</t>
  </si>
  <si>
    <t>马华伟</t>
  </si>
  <si>
    <t>心留恋</t>
  </si>
  <si>
    <t>鸡尾酒;薄荷酒;亚⼒酒;苹果酒;果酒;葡萄酒;⻩酒;⽩兰地;⽩酒;蜂蜜酒</t>
  </si>
  <si>
    <t>广州世代燥物实业发展有限公司</t>
  </si>
  <si>
    <t>格兰玫瑰谷</t>
  </si>
  <si>
    <t>⻨芽威⼠忌;威⼠忌;葡萄酒;果酒;果酒（含酒精）;烈酒;混合威⼠忌酒</t>
  </si>
  <si>
    <t>海南省冬琼夏黔文旅有限责任公司</t>
  </si>
  <si>
    <t>冬琼夏黔</t>
  </si>
  <si>
    <t>果酒;烈酒（饮料）;⽶酒;⽩酒;威⼠忌;烈酒;⾼粱酒;鸡尾酒;葡萄酒;⻩酒</t>
  </si>
  <si>
    <t>厦门市花糯文化传播有限公司</t>
  </si>
  <si>
    <t>守金者</t>
  </si>
  <si>
    <t>烧酒;葡萄酒;⻩酒;烈酒;梅酒;威⼠忌;⽶酒;⽩酒;杨梅酒;露酒</t>
  </si>
  <si>
    <t>⽩兰地;⽩酒;⽶酒;朗姆酒;鸡尾酒;果酒（含酒精）;伏特加酒;烈酒（饮料）;威⼠忌;烧酒</t>
  </si>
  <si>
    <t>西藏圣松青稞酒业有限公司</t>
  </si>
  <si>
    <t>蕃羌</t>
  </si>
  <si>
    <t>伏特加酒;酒精饮料（啤酒除外）;鸡尾酒;⽩酒;⻩酒;果酒（含酒精）;⻘稞酒;清酒（⽇本⽶酒）;⽶酒;葡萄酒</t>
  </si>
  <si>
    <t>乐天</t>
  </si>
  <si>
    <t>ANIMISME 泛灵</t>
  </si>
  <si>
    <t>⻩酒;烧酒;⽩酒;果酒（含酒精）;酒精饮料（啤酒除外）;威⼠忌;⽩兰地;⽶酒;朗姆酒;葡萄酒</t>
  </si>
  <si>
    <t>随州市神农部落旅游开发股份有限公司</t>
  </si>
  <si>
    <t>烈酒;⻩酒;蒸馏饮料;⽩酒;⽶酒;果酒;鸡尾酒;葡萄酒;酒精饮料原汁;烧酒</t>
  </si>
  <si>
    <t>泉州市跨际电子商务有限公司</t>
  </si>
  <si>
    <t>CROC</t>
  </si>
  <si>
    <t>葡萄酒;威⼠忌;⽩兰地;⻩酒;⽶酒;含⽔果酒精饮料;果酒（含酒精）;开胃酒;鸡尾酒;⽩酒</t>
  </si>
  <si>
    <t>贵州省仁怀市居奇酒业销售有限公司</t>
  </si>
  <si>
    <t>湖城美</t>
  </si>
  <si>
    <t>⽼酒（中国蒸馏烈酒）;含酒精的饮料（啤酒除外）;果酒（含酒精）;⽶酒;烧酒;⾕物制蒸馏酒精饮料;⽩酒;烈酒（饮料）;蒸馏饮料</t>
  </si>
  <si>
    <t>昆明国馔餐饮管理有限公司</t>
  </si>
  <si>
    <t>甘十三叔手作</t>
  </si>
  <si>
    <t>除啤酒外的酒精饮料;鸡尾酒;果酒;甜酒;⻩酒;利⼝酒;烈酒;⽶酒;汽酒;⽩酒</t>
  </si>
  <si>
    <t>贵州仁怀醉好客酒业有限公司</t>
  </si>
  <si>
    <t>⽶酒;开胃酒;亚⼒酒;苦味酒;⽩酒;烈酒（饮料）;预先混合的酒精饮料（以啤酒为主的除外）;果酒（含酒精）;葡萄酒;⽼酒（中国蒸馏烈酒）</t>
  </si>
  <si>
    <t>西昌市鲁溪时富酒厂</t>
  </si>
  <si>
    <t>时酿富窖</t>
  </si>
  <si>
    <t>烧酒;清酒（⽇本⽶酒）;⽩酒;葡萄酒;⽶酒;⻩酒;蒸馏饮料;伏特加酒;果酒（含酒精）;酒精饮料（啤酒除外）</t>
  </si>
  <si>
    <t>薛赞军</t>
  </si>
  <si>
    <t>观不惑</t>
  </si>
  <si>
    <t>酒精饮料（啤酒除外）;清酒;烧酒;葡萄酒;果酒;⽩酒;利⼝酒;威⼠忌;蜂蜜酒;⻩酒</t>
  </si>
  <si>
    <t>上海圣点品牌管理有限公司</t>
  </si>
  <si>
    <t>九天蓝梦</t>
  </si>
  <si>
    <t>酒精饮料（啤酒除外）;蒸馏饮料;⾕物制蒸馏酒精饮料;烧酒;⽶酒;烈酒（饮料）;酒精饮料原汁;⻩酒;⽩酒;果酒（含酒精）</t>
  </si>
  <si>
    <t>贵州忠超兴隆劳务有限公司</t>
  </si>
  <si>
    <t>ZXL</t>
  </si>
  <si>
    <t>威⼠忌;⽶酒;烧酒;汽酒;⽩酒;葡萄酒;⻘稞酒;⻩酒;苦味酒;鸡尾酒</t>
  </si>
  <si>
    <t>抚州百盈物业服务有限公司</t>
  </si>
  <si>
    <t>赣样</t>
  </si>
  <si>
    <t>威⼠忌;⽩酒;含⽔果酒精饮料;⽶酒;烈酒（饮料）;果酒（含酒精）;⻩酒;⾷⽤酒精;⻘稞酒;烧酒</t>
  </si>
  <si>
    <t>梅州市柏棠贸易有限公司</t>
  </si>
  <si>
    <t>观年</t>
  </si>
  <si>
    <t>⽩酒;⽶酒;开胃酒;烈酒;烧酒;蒸馏饮料;利⼝酒;⻩酒;酒精饮料（啤酒除外）;果酒</t>
  </si>
  <si>
    <t>⽩酒;开胃酒;酒精饮料浓缩汁;葡萄酒;利⼝酒;酒精饮料（啤酒除外）;⽶酒;酒精饮料原汁;果酒（含酒精）;威⼠忌</t>
  </si>
  <si>
    <t>深圳市阿丽亚科技有限公司</t>
  </si>
  <si>
    <t>伴奏曲</t>
  </si>
  <si>
    <t>起泡红葡萄酒;含酒精的⽓泡⽔;天然汽酒</t>
  </si>
  <si>
    <t>老蜀官（上海）餐饮管理有限公司</t>
  </si>
  <si>
    <t>老蜀官</t>
  </si>
  <si>
    <t>⻩酒;⽩酒;开胃酒;⾼粱酒;甜酒;葡萄酒;威⼠忌;酒精饮料（啤酒除外）;⽶酒;果酒（含酒精）</t>
  </si>
  <si>
    <t>遵义市皆焱缘酒业有限公司</t>
  </si>
  <si>
    <t>皆缘</t>
  </si>
  <si>
    <t>⾕物制蒸馏酒精饮料;葡萄酒;果酒（含酒精）;烈酒（饮料）;⽩酒;蒸馏饮料;⽶酒;餐后酒（利⼝酒和烈酒）;露酒;苹果酒</t>
  </si>
  <si>
    <t>北京顺遂商业发展有限公司</t>
  </si>
  <si>
    <t>新大好</t>
  </si>
  <si>
    <t>⽩酒;葡萄酒;果酒（含酒精）;蒸馏饮料;含⽔果酒精饮料;酒精饮料浓缩汁;烈酒（饮料）;鸡尾酒;⽩兰地;⾷⽤酒精</t>
  </si>
  <si>
    <t>南京般若和美文化传播有限公司</t>
  </si>
  <si>
    <t>燃鸟拾光</t>
  </si>
  <si>
    <t>鸡尾酒;烧酒;⽶酒;葡萄酒;⻩酒;甜果酒;薄荷酒;⽩酒</t>
  </si>
  <si>
    <t>贵州粮匠台酒业有限公司</t>
  </si>
  <si>
    <t>⾼粱酒;烈酒;已调味的蒸馏酒;⾕物制蒸馏酒精饮料;⽢蔗制酒精饮料;⽩酒;⽼酒（中国蒸馏烈酒）;由⾕物蒸馏的⽩酒;酒精饮料（啤酒除外）;含酒精的饮料（啤酒除外）</t>
  </si>
  <si>
    <t>毛堂春</t>
  </si>
  <si>
    <t>吻爱相印</t>
  </si>
  <si>
    <t>⽩酒;伏特加酒;蒸馏饮料;⽶酒;餐后酒（利⼝酒和烈酒）;鸡尾酒;葡萄酒;含⽔果酒精饮料;烧酒;果酒（含酒精）</t>
  </si>
  <si>
    <t>刘亚风</t>
  </si>
  <si>
    <t>喜上榜</t>
  </si>
  <si>
    <t>烈酒（饮料）;含⽔果酒精饮料;伏特加酒;朗姆酒;⽩酒;酒精饮料（啤酒除外）;葡萄酒;烧酒;⻩酒;果酒（含酒精）</t>
  </si>
  <si>
    <t>广州先锋报业有限公司</t>
  </si>
  <si>
    <t>体面典 3·O</t>
  </si>
  <si>
    <t>鸡尾酒;葡萄酒;⽶酒;⻩酒;烧酒;蒸馏饮料;烈酒（饮料）;酒精饮料浓缩汁;⾕物制蒸馏酒精饮料;⽩酒</t>
  </si>
  <si>
    <t>成都市青城山都江堰旅游股份有限公司</t>
  </si>
  <si>
    <t>青都且慢</t>
  </si>
  <si>
    <t>⽩酒;鸡尾酒;蒸煮提取物（利⼝酒和烈酒）;预先混合的酒精饮料（以啤酒为主的除外）;葡萄酒;果酒（含酒精）;烈酒（饮料）;酒精饮料（啤酒除外）;含⽔果酒精饮料;烧酒</t>
  </si>
  <si>
    <t>方小双</t>
  </si>
  <si>
    <t>今典穗月</t>
  </si>
  <si>
    <t>威⼠忌;鸡尾酒;葡萄酒;⽩酒;开胃酒;清酒（⽇本⽶酒）;酒精饮料（啤酒除外）;烈酒;⻩酒;果酒（含酒精）</t>
  </si>
  <si>
    <t>贵州百年怀先酒业有限公司</t>
  </si>
  <si>
    <t>怀先酒乡窖</t>
  </si>
  <si>
    <t>威⼠忌;⽩酒;⻩酒;⽶酒;烈酒（饮料）;酒精饮料（啤酒除外）;蒸馏饮料;葡萄酒;预先混合的酒精饮料（以啤酒为主的除外）;⽩兰地</t>
  </si>
  <si>
    <t>广州三驾车贸易有限公司</t>
  </si>
  <si>
    <t>EAST COWBOY</t>
  </si>
  <si>
    <t>伏特加酒;⻩酒;葡萄酒;⽩兰地;朗姆酒;酒精饮料（啤酒除外）;⽩酒;鸡尾酒;威⼠忌;⽶酒</t>
  </si>
  <si>
    <t>卡图酒业（河南）有限公司</t>
  </si>
  <si>
    <t>悦想酒庄</t>
  </si>
  <si>
    <t>⽩兰地;威⼠忌;烈酒;烧酒;酒精饮料（啤酒除外）;⻩酒;伏特加酒;朗姆酒;果酒;葡萄酒</t>
  </si>
  <si>
    <t>山东微山湖实业集团有限公司</t>
  </si>
  <si>
    <t>微山湖菱香</t>
  </si>
  <si>
    <t>葡萄酒;果酒（含酒精）;烧酒;鸡尾酒;⽶酒;含酒精的饮料（啤酒除外）;⽩酒;⻩酒;烈酒（饮料）;⻘稞酒</t>
  </si>
  <si>
    <t>扬州引江白酒有限公司</t>
  </si>
  <si>
    <t>江乡</t>
  </si>
  <si>
    <t>⽩兰地;威⼠忌;⻩酒;清酒;⻘稞酒;⽶酒;露酒;葡萄酒;果酒;⽩酒</t>
  </si>
  <si>
    <t>赖福英</t>
  </si>
  <si>
    <t>古山仙</t>
  </si>
  <si>
    <t>葡萄酒;⽩酒;汽酒;鸡尾酒;蒸馏饮料;⽼酒（中国蒸馏烈酒）;⽶酒;烧酒;酒精饮料（啤酒除外）;果酒</t>
  </si>
  <si>
    <t>贺举贤411224********2116</t>
  </si>
  <si>
    <t>卢毛酒</t>
  </si>
  <si>
    <t>含⽔果酒精饮料;⽢蔗制酒精饮料;⾕物制蒸馏酒精饮料;烧酒;⾷⽤酒精;⽶酒;含酒精的⽓泡⽔;⽩酒;以葡萄酒为主的饮料;⻩酒</t>
  </si>
  <si>
    <t>高小伟</t>
  </si>
  <si>
    <t>粱冠</t>
  </si>
  <si>
    <t>酒精饮料（啤酒除外）;蒸煮提取物（利⼝酒和烈酒）;葡萄酒;威⼠忌;⻩酒;果酒（含酒精）;鸡尾酒;⽩兰地;酒精饮料原汁;⽩酒</t>
  </si>
  <si>
    <t>马永军</t>
  </si>
  <si>
    <t>原六</t>
  </si>
  <si>
    <t>⽩酒;⽩兰地;伏特加酒;⾷⽤酒精;朗姆酒;威⼠忌;⻩酒;果酒;清酒;露酒</t>
  </si>
  <si>
    <t>詹月娥</t>
  </si>
  <si>
    <t>陈老巷</t>
  </si>
  <si>
    <t>苹果酒;鸡尾酒;威⼠忌;⽩酒;⻩酒;果酒（含酒精）;葡萄酒;⽶酒;蜂蜜酒</t>
  </si>
  <si>
    <t>状元红火麒麟</t>
  </si>
  <si>
    <t>⽶酒;烈酒（饮料）;清酒（⽇本⽶酒）;烧酒;果酒（含酒精）;⽩酒;⻩酒;甜酒;葡萄酒;蒸煮提取物（利⼝酒和烈酒）</t>
  </si>
  <si>
    <t>张晶晶</t>
  </si>
  <si>
    <t>萨瑞斯</t>
  </si>
  <si>
    <t>黄酒;米酒;葡萄酒;清酒（日本米酒）;白酒;果酒（含酒精）;鸡尾酒;烈酒（饮料）;酒精饮料（啤酒除外）;烧酒</t>
  </si>
  <si>
    <t>牛军兰</t>
  </si>
  <si>
    <t>域尚牧人情</t>
  </si>
  <si>
    <t>葡萄酒;蒸馏饮料;蜂蜜酒;威⼠忌;果酒;清酒;薄荷酒;酒精饮料浓缩汁;⾷⽤酒精;⽩酒</t>
  </si>
  <si>
    <t>上海和泰网络科技有限公司</t>
  </si>
  <si>
    <t>穀溪春</t>
  </si>
  <si>
    <t>⽩酒;薄荷酒;果酒（含酒精）;蜂蜜酒;烧酒;葡萄酒;⻩酒;清酒（⽇本⽶酒）;⽶酒;开胃酒</t>
  </si>
  <si>
    <t>泠清花</t>
  </si>
  <si>
    <t>⽩酒;烈酒;⾼粱酒;⾷⽤酒精;由⾕物蒸馏的⽩酒;⽩⼲酒（中国⽩酒）;烧酒;烧酒（烈酒）;露酒;⽼酒（中国蒸馏烈酒）</t>
  </si>
  <si>
    <t>邱熙远</t>
  </si>
  <si>
    <t>腻之醉</t>
  </si>
  <si>
    <t>⽩兰地;果酒;⽶酒;烧酒（烈酒）;红葡萄酒;⽩酒;蝮蛇酒;露酒;⾼粱酒;松叶酒</t>
  </si>
  <si>
    <t>体面超 3·O</t>
  </si>
  <si>
    <t>蒸馏饮料;鸡尾酒;⾕物制蒸馏酒精饮料;⽶酒;⽩酒;烈酒（饮料）;酒精饮料浓缩汁;⻩酒;烧酒;葡萄酒</t>
  </si>
  <si>
    <t>乾大侠</t>
  </si>
  <si>
    <t>开胃酒;果酒（含酒精）;威⼠忌;葡萄酒;清酒（⽇本⽶酒）;酒精饮料（啤酒除外）;鸡尾酒;烈酒;⽩酒;⻩酒</t>
  </si>
  <si>
    <t>刘树林</t>
  </si>
  <si>
    <t>合成公 酒</t>
  </si>
  <si>
    <t>烈酒（饮料）;⽶酒;⻩酒;⾷⽤酒精;含⽔果酒精饮料;烧酒;葡萄酒;果酒（含酒精）;⽩酒;酒精饮料（啤酒除外）</t>
  </si>
  <si>
    <t>丁万祥</t>
  </si>
  <si>
    <t>陶坛之君</t>
  </si>
  <si>
    <t>含⽔果酒精饮料;⾷⽤酒精;清酒（⽇本⽶酒）;酒精饮料（啤酒除外）;薄荷酒;开胃酒;威⼠忌;⽩酒;汽酒;蒸煮提取物（利⼝酒和烈酒）</t>
  </si>
  <si>
    <t>北京龙广科技实业有限公司</t>
  </si>
  <si>
    <t>生活䲜䲜</t>
  </si>
  <si>
    <t>清酒（⽇本⽶酒）;⽶酒;⻘稞酒;果酒（含酒精）;烈酒（饮料）;⽩酒;蒸煮提取物（利⼝酒和烈酒）;开胃酒;⻩酒;葡萄酒</t>
  </si>
  <si>
    <t>陈水平</t>
  </si>
  <si>
    <t>稻可香</t>
  </si>
  <si>
    <t>含酒精的饮料（啤酒除外）;⽼酒（中国蒸馏烈酒）;⾼粱酒;果酒（含酒精）;⽩⼲酒（中国⽩酒）;烧酒;烧酒（烈酒）;⽩酒;由⾕物蒸馏的⽩酒;清酒</t>
  </si>
  <si>
    <t>成都千杯少商贸有限公司</t>
  </si>
  <si>
    <t>淮公巨匠</t>
  </si>
  <si>
    <t>⽩酒;⽶酒;⻩酒;伏特加酒;清酒;果酒（含酒精）;酒精饮料原汁;葡萄酒;鸡尾酒;⻘稞酒</t>
  </si>
  <si>
    <t>鄂尔多斯市百亚商贸有限责任公司</t>
  </si>
  <si>
    <t>建亨</t>
  </si>
  <si>
    <t>烧酒;葡萄酒;蒸馏饮料;含酒精⽔果饮料;⽶酒;果酒;⻩酒;⽼酒（中国蒸馏烈酒）;⻘稞酒;⽩酒</t>
  </si>
  <si>
    <t>深圳范泛投资有限公司</t>
  </si>
  <si>
    <t>道暿</t>
  </si>
  <si>
    <t>果酒（含酒精）;梨酒;鸡尾酒;葡萄酒;烧酒;清酒（⽇本⽶酒）;⽶酒;⻩酒;⽩酒;烈酒（饮料）</t>
  </si>
  <si>
    <t>余孝平</t>
  </si>
  <si>
    <t>乾之四德</t>
  </si>
  <si>
    <t>鸡尾酒;⽩兰地;⽶酒;烧酒;⻩酒;葡萄酒;威⼠忌;果酒;烈酒（饮料）;⽩酒</t>
  </si>
  <si>
    <t>润达酒业（榆林）有限责任公司</t>
  </si>
  <si>
    <t>露酒;⽩兰地;威⼠忌;含酒精的饮料（啤酒除外）;⻩酒;清酒;汽酒;果酒;⽩酒;⽶酒</t>
  </si>
  <si>
    <t>代雪丽</t>
  </si>
  <si>
    <t>雄戟</t>
  </si>
  <si>
    <t>葡萄酒;威⼠忌;果酒（含酒精）;开胃酒;⻩酒;清酒（⽇本⽶酒）;⽩酒;酒精饮料（啤酒除外）;烈酒（饮料）;⽶酒</t>
  </si>
  <si>
    <t>绍兴咸亨酒业有限公司</t>
  </si>
  <si>
    <t>咸亨牌 咸亨</t>
  </si>
  <si>
    <t>汽酒;烧酒;⽶酒;⽩酒;⻩酒;果酒（含酒精）;葡萄酒;烈酒（饮料）;酒精饮料（啤酒除外）;清酒</t>
  </si>
  <si>
    <t>思变责通</t>
  </si>
  <si>
    <t>葡萄酒;威⼠忌;⻩酒;烈酒（饮料）;果酒;烧酒;⽩酒;⽩兰地;⽶酒;鸡尾酒</t>
  </si>
  <si>
    <t>承德皇林山庄酒业有限公司</t>
  </si>
  <si>
    <t>草原驮队</t>
  </si>
  <si>
    <t>烧酒;汽酒;利⼝酒;果酒（含酒精）;鸡尾酒;⻘稞酒;烈酒（饮料）;⻩酒;⽩酒;酒精饮料（啤酒除外）</t>
  </si>
  <si>
    <t>黑龙江省科学院微生物研究所</t>
  </si>
  <si>
    <t>黑微九月酒</t>
  </si>
  <si>
    <t>果酒;⻩酒;⽩酒;烧酒;⾷⽤酒精;葡萄酒;烈酒（饮料）;清酒;伏特加酒;酒精饮料（啤酒除外）</t>
  </si>
  <si>
    <t>华馏</t>
  </si>
  <si>
    <t>烈酒;⽩酒;清酒（⽇本⽶酒）;葡萄酒;酒精饮料（啤酒除外）;鸡尾酒;果酒（含酒精）;威⼠忌;⻩酒;开胃酒</t>
  </si>
  <si>
    <t>赵丽娜</t>
  </si>
  <si>
    <t>十二景</t>
  </si>
  <si>
    <t>果酒（含酒精）;⻩酒;葡萄酒;酒精饮料（啤酒除外）;朗姆酒;⽶酒;⻘稞酒;鸡尾酒;威⼠忌;⽩酒</t>
  </si>
  <si>
    <t>王彩</t>
  </si>
  <si>
    <t>伴鹊台</t>
  </si>
  <si>
    <t>⽩兰地;⽶酒;⽩酒;果酒（含酒精）;葡萄酒;烈酒（饮料）;烧酒;甜酒;鸡尾酒;蜂蜜酒</t>
  </si>
  <si>
    <t>深圳大方向酒业有限公司</t>
  </si>
  <si>
    <t>开胃酒;果酒（含酒精）;鸡尾酒;伏特加酒;⽩酒;葡萄酒;⽩兰地;烈酒（饮料）;威⼠忌;⽩葡萄酒</t>
  </si>
  <si>
    <t>江明理</t>
  </si>
  <si>
    <t>蔓越娘</t>
  </si>
  <si>
    <t>⽩酒;蜂蜜酒;蒸馏饮料;葡萄酒;酒精饮料（啤酒除外）;⻩酒;开胃酒;鸡尾酒;果酒（含酒精）;⽶酒</t>
  </si>
  <si>
    <t>酎要央 氿要央</t>
  </si>
  <si>
    <t>酒精饮料（啤酒除外）;⽶酒;⽩酒;⽼酒（中国蒸馏烈酒）;清酒;烧酒;⻩酒;烈酒;果酒;葡萄酒</t>
  </si>
  <si>
    <t>唐勇军</t>
  </si>
  <si>
    <t>广铵</t>
  </si>
  <si>
    <t>已调味的蒸馏酒;⽶酒;⽼酒（中国蒸馏烈酒）;清酒;露酒;烧酒;果酒（含酒精）;⾼粱酒;甜酒;⽩酒</t>
  </si>
  <si>
    <t>三个爸爸（杭州）食品科技有限公司</t>
  </si>
  <si>
    <t>自由肉肉</t>
  </si>
  <si>
    <t>烈酒（饮料）;酒精饮料原汁;葡萄酒;含⽔果酒精饮料;⽩酒;佐餐酒;果酒;酒精饮料（啤酒除外）;⻩酒;⽶酒</t>
  </si>
  <si>
    <t>张大本</t>
  </si>
  <si>
    <t>酒香民谣</t>
  </si>
  <si>
    <t>果酒（含酒精）;清酒（⽇本⽶酒）;⽩酒;⻘稞酒;伏特加酒;烧酒;酒精饮料（啤酒除外）;⽶酒;葡萄酒;⻩酒</t>
  </si>
  <si>
    <t>李晶晶（21142119830617002X）</t>
  </si>
  <si>
    <t>晟韵</t>
  </si>
  <si>
    <t>伏特加酒;果酒;⽩酒;⻩酒;葡萄酒;汽酒;烧酒;酒精饮料原汁;⽶酒;⻘稞酒</t>
  </si>
  <si>
    <t>肖灵</t>
  </si>
  <si>
    <t>消瀮酿</t>
  </si>
  <si>
    <t>⽶酒;⻩酒;果酒（含酒精）;葡萄酒;威⼠忌;酒精饮料（啤酒除外）;⽩酒;鸡尾酒;清酒（⽇本⽶酒）;烈酒（饮料）</t>
  </si>
  <si>
    <t>乐搜优品（南通）供应链管理有限公司</t>
  </si>
  <si>
    <t>连海尊龙梦之龙</t>
  </si>
  <si>
    <t>露酒;⽩酒;烧酒;含⽔果酒精饮料;⻩酒;酒精饮料（啤酒除外）;葡萄酒;果酒（含酒精）;⽶酒;⾼粱酒</t>
  </si>
  <si>
    <t>袁波</t>
  </si>
  <si>
    <t>古予</t>
  </si>
  <si>
    <t>果酒（含酒精）;蒸馏饮料;烧酒;⽩酒;利⼝酒;酒精饮料（啤酒除外）;⻩酒;⽶酒;⾷⽤酒精;葡萄酒</t>
  </si>
  <si>
    <t>江西大德汇农业有限公司</t>
  </si>
  <si>
    <t>徐洛初</t>
  </si>
  <si>
    <t>⽩兰地;⽶酒;红葡萄酒;果酒;含酒精⽔果饮料;⽔果汽酒;烈酒;含酒精的充⽓饮料（啤酒除外）;⽩葡萄酒;⽩酒</t>
  </si>
  <si>
    <t>鲍惠平</t>
  </si>
  <si>
    <t>招财翁</t>
  </si>
  <si>
    <t>佐餐酒;汽酒;葡萄酒;⽩⼲酒（中国⽩酒）;⽶酒;烧酒;⻩酒;⽩酒;果酒;含酒精的饮料（啤酒除外）</t>
  </si>
  <si>
    <t>贵州省仁怀市赤河三渡酒业有限公司</t>
  </si>
  <si>
    <t>蜀道德</t>
  </si>
  <si>
    <t>清酒;⾼粱酒;⽩酒;⽶酒;甜酒;果酒;烈酒;烧酒;⻘稞酒;⻩酒</t>
  </si>
  <si>
    <t>博大今生</t>
  </si>
  <si>
    <t>甜酒;葡萄酒;⽩酒;⽶酒;酒精饮料（啤酒除外）;⾕物制蒸馏酒精饮料;果酒（含酒精）;烧酒;烈酒（饮料）;⻩酒</t>
  </si>
  <si>
    <t>钻洞 金钻洞</t>
  </si>
  <si>
    <t>烧酒;⽩酒;葡萄酒;⻩酒;清酒;⽼酒（中国蒸馏烈酒）;果酒;烈酒;酒精饮料（啤酒除外）;⽶酒</t>
  </si>
  <si>
    <t>成都鱼泡科技有限公司</t>
  </si>
  <si>
    <t>酒精饮料浓缩汁;含水果酒精饮料;薄荷酒;餐后酒（利口酒和烈酒）;鸡尾酒;利口酒;苹果酒;葡萄酒;酒精饮料原汁;果酒（含酒精）</t>
  </si>
  <si>
    <t>中天星集团有限公司</t>
  </si>
  <si>
    <t>ZETSTAR</t>
  </si>
  <si>
    <t>含酒精的气泡水;白酒;鸡尾酒;酒精饮料（啤酒除外）;果酒（含酒精）;米酒;烧酒;以葡萄酒为主的饮料;葡萄酒;老酒（中国蒸馏烈酒）</t>
  </si>
  <si>
    <t>河北伟桁健康管理有限公司</t>
  </si>
  <si>
    <t>伟桁</t>
  </si>
  <si>
    <t>烈酒;烧酒;清酒;黄酒;果酒;白酒;蒸煮提取物（利口酒和烈酒）;米酒;葡萄酒;开胃酒</t>
  </si>
  <si>
    <t>青岛汇盛投资有限公司</t>
  </si>
  <si>
    <t>银诺将</t>
  </si>
  <si>
    <t>烧酒;果酒;⽶酒;清酒（⽇本⽶酒）;开胃酒;⻩酒;⽩酒;葡萄酒;烈酒;⻘稞酒</t>
  </si>
  <si>
    <t>通化市雨润商贸有限公司</t>
  </si>
  <si>
    <t>通见</t>
  </si>
  <si>
    <t>⽶酒;酒精饮料（啤酒除外）;烈酒;烧酒;含⽔果酒精饮料;蒸馏饮料;葡萄酒;果酒（含酒精）;预先混合的酒精饮料（以啤酒为主的除外）;⽩酒</t>
  </si>
  <si>
    <t>张杰371321********1415</t>
  </si>
  <si>
    <t>马格琳娜酒庄</t>
  </si>
  <si>
    <t>烧酒;⽩酒;鸡尾酒;开胃酒;果酒（含酒精）;酒精饮料浓缩汁;威⼠忌;⽩兰地;预先混合的酒精饮料（以啤酒为主的除外）;烈酒（饮料）</t>
  </si>
  <si>
    <t>代军</t>
  </si>
  <si>
    <t>天谷山</t>
  </si>
  <si>
    <t>葡萄酒;⽩酒;果酒（含酒精）;蒸馏饮料;⽶酒;酒精饮料（啤酒除外）;烧酒;烈酒（饮料）;鸡尾酒;威⼠忌</t>
  </si>
  <si>
    <t>杭州鹿人甲文化传媒有限公司</t>
  </si>
  <si>
    <t>本在远方</t>
  </si>
  <si>
    <t>鸡尾酒;⽶酒;伏特加酒;威⼠忌;朗姆酒;果酒（含酒精）;葡萄酒;杜松⼦酒;⽩兰地;⽩酒</t>
  </si>
  <si>
    <t>四川宏信乾升贸易有限公司</t>
  </si>
  <si>
    <t>厚觉</t>
  </si>
  <si>
    <t>烧酒;葡萄酒;⽩酒;餐后酒（利⼝酒和烈酒）;清酒（⽇本⽶酒）;烈酒（饮料）;薄荷酒;蒸馏饮料;威⼠忌;开胃酒</t>
  </si>
  <si>
    <t>柔粱</t>
  </si>
  <si>
    <t>果酒（含酒精）;威⼠忌;鸡尾酒;⽩酒;烧酒;葡萄酒;烈酒（饮料）;开胃酒;含酒精的饮料（啤酒除外）;⽶酒</t>
  </si>
  <si>
    <t>浙江田家莫上隐农旅有限公司</t>
  </si>
  <si>
    <t>鸡尾酒;酒精饮料浓缩汁;烧酒;葡萄酒;果酒（含酒精）;⽶酒;开胃酒;清酒（⽇本⽶酒）;烈酒（饮料）;含酒精的⽓泡⽔</t>
  </si>
  <si>
    <t>河南五谷春酒业股份有限公司</t>
  </si>
  <si>
    <t>乌龙春</t>
  </si>
  <si>
    <t>⽩酒;果酒（含酒精）;鸡尾酒;葡萄酒;酒精饮料（啤酒除外）;⻩酒;⽶酒;烧酒;清酒（⽇本⽶酒）;烈酒（饮料）</t>
  </si>
  <si>
    <t>重庆体感健康科技有限公司</t>
  </si>
  <si>
    <t>蜜姬</t>
  </si>
  <si>
    <t>⽢蔗制酒精饮料;酒精饮料（啤酒除外）;苹果酒;葡萄酒;蜂蜜酒;樱桃酒;预先混合的酒精饮料（以啤酒为主的除外）;甜果酒;含⽔果酒精饮料;⽶酒;果酒;含酒精的⽓泡⽔;以葡萄酒为主的饮料</t>
  </si>
  <si>
    <t>昕锐至成（江苏）光电科技有限公司</t>
  </si>
  <si>
    <t>RXIRY 昕锐</t>
  </si>
  <si>
    <t>鸡尾酒;葡萄酒;果酒（含酒精）;烧酒;⽩酒;蜂蜜酒;烈酒（饮料）;樱桃酒;含⽔果酒精饮料;餐后酒（利⼝酒和烈酒）</t>
  </si>
  <si>
    <t>聊城市东昌府区茶语酒生物科技中心</t>
  </si>
  <si>
    <t>鼎飞</t>
  </si>
  <si>
    <t>酒精饮料（啤酒除外）;果酒（含酒精）;酒精饮料浓缩汁;葡萄酒;烈酒（饮料）;⾕物制蒸馏酒精饮料;⻘稞酒;⽩酒;樱桃酒;含⽔果酒精饮料</t>
  </si>
  <si>
    <t>山东鼐公酒业有限公司</t>
  </si>
  <si>
    <t>鼒</t>
  </si>
  <si>
    <t>威⼠忌;蒸煮提取物（利⼝酒和烈酒）;酒精饮料（啤酒除外）;汽酒;果酒（含酒精）;葡萄酒;预先混合的酒精饮料（以啤酒为主的除外）;利⼝酒;鸡尾酒;⽩兰地</t>
  </si>
  <si>
    <t>黑龙江省名远酒业有限公司</t>
  </si>
  <si>
    <t>咫尺故乡</t>
  </si>
  <si>
    <t>⽩酒</t>
  </si>
  <si>
    <t>钟财生</t>
  </si>
  <si>
    <t>潮人财</t>
  </si>
  <si>
    <t>⽩兰地;威⼠忌;含⽔果酒精饮料;⽶酒;⽩酒;蒸馏饮料;⻩酒;果酒（含酒精）;葡萄酒;酒精饮料（啤酒除外）</t>
  </si>
  <si>
    <t>张永强</t>
  </si>
  <si>
    <t>仓上味道</t>
  </si>
  <si>
    <t>⾼粱酒;果酒;清酒;烈酒浓缩汁;开胃酒;草莓酒;烧酒（烈酒）;⽩酒;露酒;烈酒</t>
  </si>
  <si>
    <t>王若楠</t>
  </si>
  <si>
    <t>纷优</t>
  </si>
  <si>
    <t>烈酒（饮料）;⾼粱酒;烧酒;开胃酒;威⼠忌;果酒;清酒;⽩酒;⽶酒;葡萄酒</t>
  </si>
  <si>
    <t>江苏飞扬建设咨询管理有限公司</t>
  </si>
  <si>
    <t>澄心逸品</t>
  </si>
  <si>
    <t>酒精饮料（啤酒除外）;含⽔果酒精饮料;葡萄酒;开胃酒;⽶酒;清酒;⽩酒;⻩酒;利⼝酒;果酒（含酒精）</t>
  </si>
  <si>
    <t>临沂荟超食品有限公司</t>
  </si>
  <si>
    <t>白鹿皎</t>
  </si>
  <si>
    <t>果酒;葡萄酒;⽩酒;鸡尾酒;汽酒;苹果酒;烧酒;⽶酒;酒精饮料原汁;⻩酒</t>
  </si>
  <si>
    <t>唐丽梅</t>
  </si>
  <si>
    <t>金兽之君</t>
  </si>
  <si>
    <t>⽩兰地;⽩酒;⽶酒;蒸馏饮料;⾕物制蒸馏酒精饮料;烈酒;⾷⽤酒精;果酒;⻩酒;葡萄酒</t>
  </si>
  <si>
    <t>厦门弘迪森建材有限公司</t>
  </si>
  <si>
    <t>弘迪森</t>
  </si>
  <si>
    <t>威⼠忌;蒸馏饮料;烈酒（饮料）;⾷⽤酒精;⻩酒;含⽔果酒精饮料;鸡尾酒;⽩兰地;⽶酒;已调味的蒸馏酒</t>
  </si>
  <si>
    <t>伯德嘉阿约索公司</t>
  </si>
  <si>
    <t>ESTOLA</t>
  </si>
  <si>
    <t>延边佰成食品加工有限公司</t>
  </si>
  <si>
    <t>玛朝恩</t>
  </si>
  <si>
    <t>露酒; 烈酒; 白酒; 葡萄酒; 果酒; 老酒（中国蒸馏烈酒）; 烈酒（饮料）; 米酒; 黄酒; 清酒</t>
  </si>
  <si>
    <t>千漫</t>
  </si>
  <si>
    <t>开胃酒;清酒（日本米酒）;威士忌;鸡尾酒;酒精饮料（啤酒除外）;果酒（含酒精）;黄酒;白酒;烈酒;葡萄酒</t>
  </si>
  <si>
    <t>吉林省康舰生物科技开发有限公司</t>
  </si>
  <si>
    <t>鑫积盛和</t>
  </si>
  <si>
    <t>清酒（日本米酒）;酒精饮料（啤酒除外）;葡萄酒;白酒;预先混合的酒精饮料（以啤酒为主的除外）;鸡尾酒;烧酒;餐后酒（利口酒和烈酒）;含水果酒精饮料;果酒（含酒精）</t>
  </si>
  <si>
    <t>卿权</t>
  </si>
  <si>
    <t>烈酒（饮料）;⾕物制蒸馏酒精饮料;葡萄酒;⽩酒;清酒（⽇本⽶酒）;⻩酒;果酒（含酒精）;⽶酒;汽酒;烧酒</t>
  </si>
  <si>
    <t>肇远世纪国际广告传媒（北京）有限公司</t>
  </si>
  <si>
    <t>贵廷庄</t>
  </si>
  <si>
    <t>葡萄酒; 果酒（含酒精）; 开胃酒; 酒精饮料（啤酒除外）; 白兰地; 黄酒; 米酒; 蒸馏饮料; 鸡尾酒; 白酒</t>
  </si>
  <si>
    <t>青慕丛山集团（宁波）有限公司</t>
  </si>
  <si>
    <t>青慕丛山</t>
  </si>
  <si>
    <t>蒸馏饮料;烧酒;烈酒（饮料）;开胃酒;酒精饮料（啤酒除外）;酒精饮料原汁;鸡尾酒;葡萄酒;果酒（含酒精）;餐后酒（利⼝酒和烈酒）</t>
  </si>
  <si>
    <t>贵州黔王匠王台酿酒有限公司</t>
  </si>
  <si>
    <t>黔王礼</t>
  </si>
  <si>
    <t>⽩酒;⽶酒;烈酒（饮料）;苹果酒;葡萄酒;蒸馏饮料;果酒（含酒精）;⾕物制蒸馏酒精饮料;餐后酒（利⼝酒和烈酒）;露酒</t>
  </si>
  <si>
    <t>江西省晋利嘉实业有限责任公司</t>
  </si>
  <si>
    <t>乐豆家</t>
  </si>
  <si>
    <t>葡萄酒;⻩酒;⽩酒;⽩兰地;烈酒（饮料）;清酒（⽇本⽶酒）;果酒（含酒精）;⽶酒;烧酒;苹果酒</t>
  </si>
  <si>
    <t>游小希酒业（龙岩）有限公司</t>
  </si>
  <si>
    <t>游小希</t>
  </si>
  <si>
    <t>⻩酒;⽩酒;由⾕物蒸馏的⽩酒;⾕物制蒸馏酒精饮料;⽼酒（中国蒸馏烈酒）;蒸煮提取物（利⼝酒和烈酒）;葡萄酒;⽶酒;蒸馏⽶酒（泡盛酒）;蒸馏饮料</t>
  </si>
  <si>
    <t>王小飞</t>
  </si>
  <si>
    <t>青兰敬</t>
  </si>
  <si>
    <t>烧酒;果酒（含酒精）;烈酒（饮料）;酒精饮料（啤酒除外）;葡萄酒;⽶酒;清酒（⽇本⽶酒）;⻩酒;⽩酒;鸡尾酒</t>
  </si>
  <si>
    <t>娄少雨</t>
  </si>
  <si>
    <t>华牌契</t>
  </si>
  <si>
    <t>酒精饮料（啤酒除外）;汽酒;⽶酒;烈酒;⻩酒;甜酒;⽩酒;烧酒;⽼酒（中国蒸馏烈酒）;果酒</t>
  </si>
  <si>
    <t>天津元易技术有限公司</t>
  </si>
  <si>
    <t>中海戎号</t>
  </si>
  <si>
    <t>葡萄酒;尼⽡（以⽢蔗为主的酒精饮料）;预先混合的酒精饮料（以啤酒为主的除外）;⾷⽤酒精;烧酒;果酒;⻩酒;⽶酒;清酒（⽇本⽶酒）;⽩酒</t>
  </si>
  <si>
    <t>李雯</t>
  </si>
  <si>
    <t>沐孖粒</t>
  </si>
  <si>
    <t>果酒（含酒精）;蜂蜜酒;梨酒;⻩酒;⽩酒;樱桃酒;⽶酒;苹果酒;葡萄酒;开胃酒</t>
  </si>
  <si>
    <t>烟台公全商贸有限公司</t>
  </si>
  <si>
    <t>唯70古藤</t>
  </si>
  <si>
    <t>白兰地;朗姆酒;加香料的热葡萄酒;起泡白葡萄酒;混合威士忌酒;樱桃酒;威士忌;加烈葡萄酒;甜酒;葡萄酒</t>
  </si>
  <si>
    <t>马素霞</t>
  </si>
  <si>
    <t>念同光 NIANTONGGUANH</t>
  </si>
  <si>
    <t>果酒（含酒精）;⻩酒;清酒（⽇本⽶酒）;烈酒;⽩葡萄酒;杨梅酒;⽩酒;薄荷酒;⽔果汽酒;⻘稞酒</t>
  </si>
  <si>
    <t>郑州市青美生物科技有限公司</t>
  </si>
  <si>
    <t>颐倍玑 YEBEJI</t>
  </si>
  <si>
    <t>鸡尾酒;含酒精⽔果饮料;⾕物制蒸馏酒精饮料;葡萄酒;⾼粱酒;⽩酒;薄荷酒;果酒（含酒精）;⽶酒;烈酒（饮料）</t>
  </si>
  <si>
    <t>河南昌远数字科技有限公司</t>
  </si>
  <si>
    <t>豫昌远</t>
  </si>
  <si>
    <t>果酒;⽩兰地;⽩酒;烈酒;烧酒;利⼝酒;⻩酒;鸡尾酒;⽶酒;葡萄酒</t>
  </si>
  <si>
    <t>延边华龙集团有限公司</t>
  </si>
  <si>
    <t>华龙海兰江</t>
  </si>
  <si>
    <t>⽩酒;甜酒;梨酒;甜果酒;含⽔果酒精饮料;朝鲜烧酒;烧酒;⽶酒;朝鲜族⽶酒;果酒</t>
  </si>
  <si>
    <t>平顶山昆杨商贸有限公司</t>
  </si>
  <si>
    <t>质壹</t>
  </si>
  <si>
    <t>果酒（含酒精）;⽶酒;⽩酒;烧酒;葡萄酒;⻩酒;威⼠忌;利⼝酒;预先混合的酒精饮料（以啤酒为主的除外）;烈酒（饮料）</t>
  </si>
  <si>
    <t>河北浭泉酒业有限公司</t>
  </si>
  <si>
    <t>浭泉海藏之光</t>
  </si>
  <si>
    <t>⻩酒;⽩酒;烧酒（烈酒）;⾼粱酒;⽼酒（中国蒸馏烈酒）;烈酒（饮料）;烧酒;⽶酒;果酒（含酒精）;葡萄酒</t>
  </si>
  <si>
    <t>杨天华</t>
  </si>
  <si>
    <t>俏蓼城</t>
  </si>
  <si>
    <t>⽩酒;酒精饮料原汁;果酒;蒸馏饮料;⾷⽤酒精;含⽔果酒精饮料;鸡尾酒;酒精饮料（啤酒除外）;⽶酒;葡萄酒</t>
  </si>
  <si>
    <t>芝罘区等幸日用百货店(个体工商户)</t>
  </si>
  <si>
    <t>含秘</t>
  </si>
  <si>
    <t>烈酒（饮料）;⽩酒;露酒;餐后酒（利⼝酒和烈酒）;果酒（含酒精）;葡萄酒;⽶酒;苹果酒;蒸馏饮料;⾕物制蒸馏酒精饮料</t>
  </si>
  <si>
    <t>晋宇欣(山西)科技集团股份有限公司</t>
  </si>
  <si>
    <t>晋宇欣</t>
  </si>
  <si>
    <t>果酒（含酒精）;⽩兰地;含⽔果酒精饮料;⽩酒;⾼粱酒;汽酒;露酒;烧酒;⻩酒;清酒</t>
  </si>
  <si>
    <t>梁文一</t>
  </si>
  <si>
    <t>忻人造酒</t>
  </si>
  <si>
    <t>⽼酒（中国蒸馏烈酒）;红葡萄酒;梅酒;果酒（含酒精）;⾼粱酒;酒精饮料（啤酒除外）;含酒精⽔果饮料;⽶酒;⽩酒;含⽔果酒精饮料</t>
  </si>
  <si>
    <t>李向阳</t>
  </si>
  <si>
    <t>陈天香</t>
  </si>
  <si>
    <t>鸡尾酒;果酒（含酒精）;酒精饮料（啤酒除外）;烈酒（饮料）;清酒（⽇本⽶酒）;烧酒;⽩酒;⽶酒;⻩酒;葡萄酒</t>
  </si>
  <si>
    <t>广西八桂狼贸易有限公司</t>
  </si>
  <si>
    <t>知酪度</t>
  </si>
  <si>
    <t>果酒（含酒精）;⽩酒;苦味酒;⽶酒;⻩酒;蒸煮提取物（利⼝酒和烈酒）;含⽔果酒精饮料;苹果酒;蜂蜜酒;葡萄酒</t>
  </si>
  <si>
    <t>贵州省仁怀市程润陈香酒业有限公司</t>
  </si>
  <si>
    <t>众爱康言欢</t>
  </si>
  <si>
    <t>果酒（含酒精）;⽩酒;⽼酒（中国蒸馏烈酒）;开胃酒;清酒（⽇本⽶酒）;葡萄酒;利⼝酒;酒精饮料（啤酒除外）;⻩酒;⽶酒</t>
  </si>
  <si>
    <t>山西杏缘樽酒业有限公司</t>
  </si>
  <si>
    <t>杏缘芬</t>
  </si>
  <si>
    <t>葡萄酒;烧酒;苹果酒;五加⽪酒（中国混合烈酒）;⾼粱酒;烈酒（饮料）;⽶酒;⽩酒;⽩⼲酒（中国⽩酒）;薄荷酒</t>
  </si>
  <si>
    <t>江苏双沟酒业股份有限公司</t>
  </si>
  <si>
    <t>双沟龙耀九州</t>
  </si>
  <si>
    <t>清酒（⽇本⽶酒）;⽩酒;果酒（含酒精）;威⼠忌;以葡萄酒为主的饮料;烧酒;⾕物制蒸馏酒精饮料;⽩兰地;伏特加酒;预先混合的酒精饮料（以啤酒为主的除外）</t>
  </si>
  <si>
    <t>蒋豪</t>
  </si>
  <si>
    <t>言吾行</t>
  </si>
  <si>
    <t>鸡尾酒;⾼粱酒;葡萄酒;蜂蜜酒;烈酒;果酒（含酒精）;苹果酒;酒精饮料（啤酒除外）;⽶酒;烈酒（饮料）</t>
  </si>
  <si>
    <t>应治兴</t>
  </si>
  <si>
    <t>红楼福</t>
  </si>
  <si>
    <t>⽩酒;蒸馏饮料;⻩酒;果酒（含酒精）;酒精饮料（啤酒除外）;果酒;清酒（⽇本⽶酒）;烈酒（饮料）;⽩⼲酒（中国⽩酒）;鸡尾酒</t>
  </si>
  <si>
    <t>夏传朋</t>
  </si>
  <si>
    <t>千川鲤</t>
  </si>
  <si>
    <t>⾕物制蒸馏酒精饮料;⽶酒;葡萄酒;预先混合的酒精饮料（以啤酒为主的除外）;⽩酒;果酒（含酒精）;含⽔果酒精饮料;⻩酒;烧酒;酒精饮料（啤酒除外）</t>
  </si>
  <si>
    <t>安徽承庆堂国药股份有限公司</t>
  </si>
  <si>
    <t>承庆</t>
  </si>
  <si>
    <t>葡萄酒;烧酒;⻩酒;烈酒;⽩酒;⽶酒;露酒;果酒;⾷⽤酒精;含⽔果酒精饮料</t>
  </si>
  <si>
    <t>吴昊</t>
  </si>
  <si>
    <t>忆拾间</t>
  </si>
  <si>
    <t>薄荷酒;酸酒（低等葡萄酒）;鸡尾酒;果酒（含酒精）;酒精饮料（啤酒除外）;蜂蜜酒;开胃酒;威⼠忌;葡萄酒;苦味酒</t>
  </si>
  <si>
    <t>杭州吉尼亚志电子商务有限公司</t>
  </si>
  <si>
    <t>LA PEONIER</t>
  </si>
  <si>
    <t>⽶酒;⽩兰地;⽇本波布蛇酒;清酒（⽇本⽶酒）;⽩酒;葡萄酒;⽇本松针酒;酒精饮料（啤酒除外）;鸡尾酒;⽇本梅⼦酒</t>
  </si>
  <si>
    <t>福建颜茅酒业有限公司</t>
  </si>
  <si>
    <t>百谷吞天</t>
  </si>
  <si>
    <t>预先混合的酒精饮料（以啤酒为主的除外）;葡萄酒;⾷⽤酒精;⽶酒;蒸馏饮料;⻩酒;⽼酒（中国蒸馏烈酒）;苹果酒;⽩酒;烧酒</t>
  </si>
  <si>
    <t>钟祥市华夏先锋广告传播有限公司</t>
  </si>
  <si>
    <t>咏吉缘</t>
  </si>
  <si>
    <t>⻩酒;苦味酒;汽酒;⽩酒;⾕物制蒸馏酒精饮料;烈酒（饮料）;果酒（含酒精）;含⽔果酒精饮料;酒精饮料原汁;葡萄酒</t>
  </si>
  <si>
    <t>麦林海</t>
  </si>
  <si>
    <t>麦家乌饮泉酿</t>
  </si>
  <si>
    <t>开胃酒;⻩酒;烧酒;蒸煮提取物（利⼝酒和烈酒）;⽩酒;⽶酒;果酒（含酒精）;利⼝酒;含⽔果酒精饮料;烈酒（饮料）</t>
  </si>
  <si>
    <t>眉山市野人酒业有限公司</t>
  </si>
  <si>
    <t>红顶山野人</t>
  </si>
  <si>
    <t>⽩酒;⽶酒;果酒;蒸馏饮料;梨酒;蜂蜜酒;蒸煮提取物（利⼝酒和烈酒）;开胃酒;烧酒;苹果酒</t>
  </si>
  <si>
    <t>戴宏金</t>
  </si>
  <si>
    <t>灌御坊</t>
  </si>
  <si>
    <t>餐后酒（利⼝酒和烈酒）;⾕物制蒸馏酒精饮料;烧酒;烈酒（饮料）;预先混合的酒精饮料（以啤酒为主的除外）;蒸馏饮料;⽩酒;果酒（含酒精）;葡萄酒;⽶酒</t>
  </si>
  <si>
    <t>贵州周陈酒业有限公司</t>
  </si>
  <si>
    <t>果酒;烧酒;⽩⼲酒（中国⽩酒）;⽩酒;⾼粱酒;烈酒;⽶酒;⽼酒（中国蒸馏烈酒）;⾷⽤酒精;葡萄酒</t>
  </si>
  <si>
    <t>孙勇</t>
  </si>
  <si>
    <t>谷粮城</t>
  </si>
  <si>
    <t>⽶酒;⽩酒;烧酒;鸡尾酒;汽酒;烈酒（饮料）;⾷⽤酒精;⻩酒;⻘稞酒;果酒（含酒精）</t>
  </si>
  <si>
    <t>安徽水木云山文化传播有限公司</t>
  </si>
  <si>
    <t>宜庄堡烘焙伴侣  YIZHUANGBAO</t>
  </si>
  <si>
    <t>鸡尾酒;⻩酒;⽩兰地;烧酒;开胃酒;⽶酒;⽩酒;果酒（含酒精）;葡萄酒;薄荷酒</t>
  </si>
  <si>
    <t>江苏佐鼎酒业有限公司</t>
  </si>
  <si>
    <t>贡沭春</t>
  </si>
  <si>
    <t>烧酒;果酒（含酒精）;⻩酒;烈酒（饮料）;开胃酒;葡萄酒;⽩酒;⽩⼲酒（中国⽩酒）;⽶酒;清酒</t>
  </si>
  <si>
    <t>张君志</t>
  </si>
  <si>
    <t>壹到六</t>
  </si>
  <si>
    <t>果酒（含酒精）;烈酒（饮料）;⽶酒;烧酒;⽩兰地;葡萄酒;⻘稞酒;⻩酒;⽩酒;薄荷酒</t>
  </si>
  <si>
    <t>合肥樽满台酒业有限公司</t>
  </si>
  <si>
    <t>樽临客</t>
  </si>
  <si>
    <t>⽩酒;鸡尾酒;烈酒;酒精饮料原汁;烧酒;⽶酒;果酒;葡萄酒;苹果酒;⻩酒</t>
  </si>
  <si>
    <t>司继红</t>
  </si>
  <si>
    <t>观海令</t>
  </si>
  <si>
    <t>⻩酒;⽩酒;开胃酒;威⼠忌;清酒（⽇本⽶酒）;果酒（含酒精）;酒精饮料（啤酒除外）;烈酒;鸡尾酒;葡萄酒</t>
  </si>
  <si>
    <t>台州市博喜茶业有限公司</t>
  </si>
  <si>
    <t>博喜</t>
  </si>
  <si>
    <t>⻩酒;汽酒;⽢蔗制酒精饮料;⾕物制蒸馏酒精饮料;伏特加酒;⽶酒;酒精饮料原汁;⽩酒;烧酒;以葡萄酒为主的饮料</t>
  </si>
  <si>
    <t>厦门盛世领航投资顾问有限公司</t>
  </si>
  <si>
    <t>妙酒当歌</t>
  </si>
  <si>
    <t>果酒（含酒精）;⻩酒;鸡尾酒;清酒（⽇本⽶酒）;汽酒;⽩酒;葡萄酒;⽶酒;朗姆酒;伏特加酒</t>
  </si>
  <si>
    <t>百草园三味蔬屋（大连）科技有限公司</t>
  </si>
  <si>
    <t>羕芯</t>
  </si>
  <si>
    <t>酒精饮料（啤酒除外）;含⽔果酒精饮料;⽶酒;含酒精的⽓泡⽔;开胃酒;⽩酒;果酒（含酒精）;蒸馏饮料;预先混合的酒精饮料（以啤酒为主的除外）;⻩酒</t>
  </si>
  <si>
    <t>金伟</t>
  </si>
  <si>
    <t>锐选</t>
  </si>
  <si>
    <t>葡萄酒;除啤酒外的酒精饮料;鸡尾酒;⾷⽤酒精;烈酒（饮料）;威⼠忌;果酒（含酒精）;酒精饮料（啤酒除外）;⽩酒;含⽔果酒精饮料</t>
  </si>
  <si>
    <t>兄弟进出口贸易（深圳）有限公司</t>
  </si>
  <si>
    <t>大漠老藤</t>
  </si>
  <si>
    <t>酒精饮料（啤酒除外）;红葡萄酒;⽶酒;果酒（含酒精）;甜酒;⽩酒;烧酒;葡萄酒;含⽔果酒精饮料;开胃酒</t>
  </si>
  <si>
    <t>海南起泉商贸有限公司</t>
  </si>
  <si>
    <t>过齐</t>
  </si>
  <si>
    <t>威⼠忌;汽酒;葡萄酒;酒精饮料（啤酒除外）;⽶酒;果酒（含酒精）;薄荷酒;开胃酒;烈酒（饮料）;⽩酒</t>
  </si>
  <si>
    <t>李碧美</t>
  </si>
  <si>
    <t>木子村姑男神酒</t>
  </si>
  <si>
    <t>葡萄酒;果酒;开胃酒;烧酒;含⽔果酒精饮料;⻩酒;⻘稞酒;威⼠忌;⽶酒;⽩酒</t>
  </si>
  <si>
    <t>古蔺巷子深酒厂</t>
  </si>
  <si>
    <t>圣旨烧坊</t>
  </si>
  <si>
    <t>⽼酒（中国蒸馏烈酒）;酒精饮料（啤酒除外）;⽩兰地;由⾕物蒸馏的⽩酒;烈酒;⽩酒;葡萄酒;烧酒;果酒;⽩⼲酒（中国⽩酒）</t>
  </si>
  <si>
    <t>李世娇</t>
  </si>
  <si>
    <t>宁佑祥</t>
  </si>
  <si>
    <t>烧酒;威⼠忌;汽酒;⽩酒;⾼粱酒;⽩兰地;开胃酒;鸡尾酒;葡萄酒;果酒（含酒精）</t>
  </si>
  <si>
    <t>李仁蔚（513430********6247）</t>
  </si>
  <si>
    <t>梦滋味</t>
  </si>
  <si>
    <t>⽶酒;⻘稞酒;含⽔果酒精饮料;⽩酒;柑⾹酒;杜松⼦酒;梨酒;露酒;果酒（含酒精）;葡萄酒</t>
  </si>
  <si>
    <t>贵阳市经济开发区格物明易食品经营部</t>
  </si>
  <si>
    <t>易学大</t>
  </si>
  <si>
    <t>⽩酒;烧酒;⾷⽤酒精</t>
  </si>
  <si>
    <t>曾志鹏</t>
  </si>
  <si>
    <t>千醇源</t>
  </si>
  <si>
    <t>威⼠忌;烈酒;开胃酒;清酒（⽇本⽶酒）;鸡尾酒;果酒（含酒精）;⻩酒;⽩酒;酒精饮料（啤酒除外）;葡萄酒</t>
  </si>
  <si>
    <t>衡昌金匠</t>
  </si>
  <si>
    <t>开胃酒;含⽔果酒精饮料;烧酒;⽶酒;⾼粱酒;葡萄酒;⻩酒;⽩酒;⽩⼲酒（中国⽩酒）;⻘稞酒</t>
  </si>
  <si>
    <t>呼白大窖古酿</t>
  </si>
  <si>
    <t>酒精饮料（啤酒除外）;⻘稞酒;⽩酒;开胃酒;⽶酒;烈酒（饮料）;果酒（含酒精）;蒸馏饮料;⻩酒;烧酒</t>
  </si>
  <si>
    <t>福州酒之星酒业有限公司</t>
  </si>
  <si>
    <t>悠葡庄园</t>
  </si>
  <si>
    <t>葡萄酒;⾷⽤酒精;鸡尾酒;⻩酒;烈酒;汽酒;⽩酒;⽶酒;以葡萄酒为主的饮料;开胃酒</t>
  </si>
  <si>
    <t>易之彭</t>
  </si>
  <si>
    <t>波涛玖</t>
  </si>
  <si>
    <t>鸡尾酒;伏特加酒;朗姆酒;果酒（含酒精）;葡萄酒;⽶酒;⽩兰地;酒精饮料（啤酒除外）;⽩酒;威⼠忌</t>
  </si>
  <si>
    <t>何兆洪</t>
  </si>
  <si>
    <t>京贵壹号</t>
  </si>
  <si>
    <t>⽩酒;⽩葡萄酒;烈酒（饮料）;清酒（⽇本⽶酒）;⾕物制蒸馏酒精饮料;⽼酒（中国蒸馏烈酒）;五加⽪酒（中国混合烈酒）;清酒;果酒;⽶酒</t>
  </si>
  <si>
    <t>臻品头道（青岛）啤酒有限公司</t>
  </si>
  <si>
    <t>遇见语我</t>
  </si>
  <si>
    <t>果酒（含酒精）;清酒（⽇本⽶酒）;葡萄酒;⽩兰地;鸡尾酒;⻩酒;⽩酒;威⼠忌;伏特加酒;含⽔果酒精饮料</t>
  </si>
  <si>
    <t>徐俊刚</t>
  </si>
  <si>
    <t>锐志</t>
  </si>
  <si>
    <t>烧酒（烈酒）;蒸煮提取物（利⼝酒和烈酒）;⾼粱酒;露酒;⽩酒;酒精饮料（啤酒除外）;果酒;葡萄酒;⻩酒;⽶酒</t>
  </si>
  <si>
    <t>精锐坊</t>
  </si>
  <si>
    <t>露酒;蒸煮提取物（利⼝酒和烈酒）;葡萄酒;⻩酒;⽩酒;果酒;烧酒（烈酒）;酒精饮料（啤酒除外）;⽶酒;⾼粱酒</t>
  </si>
  <si>
    <t>特邦电气（山东）有限公司</t>
  </si>
  <si>
    <t>九里花开</t>
  </si>
  <si>
    <t>果酒（含酒精）;葡萄酒;以葡萄酒为主的饮料;⽩葡萄酒;⻘稞酒;草莓酒;⻩酒;红葡萄酒;⽩酒;含⽔果酒精饮料</t>
  </si>
  <si>
    <t>萍乡市万垦旅游发展有限公司</t>
  </si>
  <si>
    <t>武功山熙春</t>
  </si>
  <si>
    <t>开胃酒;鸡尾酒;葡萄酒;⻩酒;烧酒;⽶酒;⽩酒;⾷⽤酒精;汽酒;⻘稞酒</t>
  </si>
  <si>
    <t>东莞市国煜信息服务有限公司</t>
  </si>
  <si>
    <t>箭冠</t>
  </si>
  <si>
    <t>葡萄酒;⽶酒;⽩酒;⻩酒;烧酒;威⼠忌;果酒（含酒精）;清酒（⽇本⽶酒）;朗姆酒;⽩兰地</t>
  </si>
  <si>
    <t>贵阳文通书局图书有限公司</t>
  </si>
  <si>
    <t>黔中名贤</t>
  </si>
  <si>
    <t>含酒精的饮料（啤酒除外）;以葡萄酒为主的饮料;⻘梅酒;⽩酒;天然汽酒;⻘稞酒;⻩酒;⾼粱酒;⾕物制蒸馏酒精饮料;⽢蔗制酒精饮料</t>
  </si>
  <si>
    <t>四川珑昶酒业有限公司</t>
  </si>
  <si>
    <t>听花佳宾</t>
  </si>
  <si>
    <t>⽩酒;葡萄酒;酒精饮料（啤酒除外）;⽩兰地;烧酒;果酒（含酒精）;清酒（⽇本⽶酒）;⻩酒;⻘稞酒;⽶酒</t>
  </si>
  <si>
    <t>程霞</t>
  </si>
  <si>
    <t>舍鑫德</t>
  </si>
  <si>
    <t>清酒;⻘稞酒;果酒（含酒精）;葡萄酒;酒精饮料（啤酒除外）;⾷⽤酒精;苦荞酒;⽩酒;⽶酒;⻩酒</t>
  </si>
  <si>
    <t>龙牌酒业有限公司</t>
  </si>
  <si>
    <t>龙牌真格</t>
  </si>
  <si>
    <t>威⼠忌;⽩酒;⽩兰地;酒精饮料原汁;清酒（⽇本⽶酒）;葡萄酒;⻩酒;⻘稞酒;伏特加酒;果酒（含酒精）</t>
  </si>
  <si>
    <t>阿图尼斯贸易管理服务一人有限公司</t>
  </si>
  <si>
    <t>CIPRIANI</t>
  </si>
  <si>
    <t>威⼠忌;伏特加酒;鸡尾酒;含⽔果酒精饮料;葡萄酒;清酒（⽇本⽶酒）;酒精饮料原汁;利⼝酒;酒精饮料（啤酒除外）;朗姆酒</t>
  </si>
  <si>
    <t>驿粮湖</t>
  </si>
  <si>
    <t>清酒（⽇本⽶酒）;开胃酒;果酒;果酒（含酒精）;葡萄酒;酒精饮料（啤酒除外）;⻩酒;威⼠忌;⽩酒;⽶酒</t>
  </si>
  <si>
    <t>BENTLEY STAR</t>
  </si>
  <si>
    <t>威⼠忌;鸡尾酒;⽶酒;⽩兰地;烈酒（饮料）;⽩酒;伏特加酒;果酒（含酒精）;蒸煮提取物（利⼝酒和烈酒）;葡萄酒</t>
  </si>
  <si>
    <t>重庆巴蜀春酒业有限公司</t>
  </si>
  <si>
    <t>满口缘</t>
  </si>
  <si>
    <t>酒精饮料浓缩汁;⽩酒;酒精饮料（啤酒除外）;⾷⽤酒精;果酒（含酒精）;⽩兰地;清酒（⽇本⽶酒）;烈酒（饮料）;葡萄酒;威⼠忌</t>
  </si>
  <si>
    <t>安徽益和祥酒业有限公司</t>
  </si>
  <si>
    <t>⻘稞酒;⾼粱酒;烈酒（饮料）;⽼酒（中国蒸馏烈酒）;⽩酒;葡萄酒;⽶酒;⻩酒;烧酒;酒精饮料（啤酒除外）</t>
  </si>
  <si>
    <t>贵州好茅酒业有限公司</t>
  </si>
  <si>
    <t>清酒（⽇本⽶酒）;伏特加酒;⾷⽤酒精;预先混合的酒精饮料（以啤酒为主的除外）;葡萄酒;⽩酒;⻩酒;果酒（含酒精）;⽶酒;鸡尾酒</t>
  </si>
  <si>
    <t>宣丽芳</t>
  </si>
  <si>
    <t>榧母</t>
  </si>
  <si>
    <t>烧酒;清酒（⽇本⽶酒）;鸡尾酒;⽩酒;⻩酒;葡萄酒;⽩兰地;果酒（含酒精）;蜂蜜酒;酒精饮料（啤酒除外）</t>
  </si>
  <si>
    <t>烟台一焙企业管理咨询有限公司</t>
  </si>
  <si>
    <t>多乐富</t>
  </si>
  <si>
    <t>⻩酒;⽶酒;烈酒（饮料）;酒精饮料（啤酒除外）;烧酒;果酒（含酒精）;葡萄酒;⽩酒;清酒（⽇本⽶酒）;甜酒</t>
  </si>
  <si>
    <t>应立斌</t>
  </si>
  <si>
    <t>盖世中原</t>
  </si>
  <si>
    <t>果酒（含酒精）;⽩兰地;威⼠忌;葡萄酒;⽶酒;烧酒;⽩酒;利⼝酒;烈酒（饮料）;清酒（⽇本⽶酒）</t>
  </si>
  <si>
    <t>北京童年小山文化传媒有限公司</t>
  </si>
  <si>
    <t>奉对帖</t>
  </si>
  <si>
    <t>达州市锐恩精酿商贸有限公司</t>
  </si>
  <si>
    <t>至臻锐恩</t>
  </si>
  <si>
    <t>开胃酒;烧酒;烈酒（饮料）;清酒（⽇本⽶酒）;鸡尾酒;⻩酒;果酒（含酒精）;利⼝酒;威⼠忌;⽩酒</t>
  </si>
  <si>
    <t>吴汉波</t>
  </si>
  <si>
    <t>智爽家</t>
  </si>
  <si>
    <t>蜂蜜酒;⾼粱酒;⽩酒;⻩酒;⽶酒;利⼝酒;烈酒;果酒;葡萄酒;烧酒</t>
  </si>
  <si>
    <t>贵州苏商酒业有限公司</t>
  </si>
  <si>
    <t>RENYISHANGPIN</t>
  </si>
  <si>
    <t>⽶酒;蒸煮提取物（利⼝酒和烈酒）;葡萄酒;烧酒;⽼酒（中国蒸馏烈酒）;⽩酒;鸡尾酒;由⾕物蒸馏的⽩酒;⾼粱酒;⽩⼲酒（中国⽩酒）</t>
  </si>
  <si>
    <t>道憘</t>
  </si>
  <si>
    <t>梨酒;葡萄酒;清酒（⽇本⽶酒）;⽶酒;⽩酒;烈酒（饮料）;鸡尾酒;果酒（含酒精）;烧酒;⻩酒</t>
  </si>
  <si>
    <t>罗祥</t>
  </si>
  <si>
    <t>扬江山</t>
  </si>
  <si>
    <t>酒精饮料原汁;酒精饮料（啤酒除外）;⽶酒;⽩酒;⻩酒;果酒（含酒精）;葡萄酒;烧酒;餐后酒（利⼝酒和烈酒）;烈酒（饮料）</t>
  </si>
  <si>
    <t>王明</t>
  </si>
  <si>
    <t>艾东方</t>
  </si>
  <si>
    <t>⽶酒;果酒（含酒精）;葡萄酒;酒精饮料原汁;⽩酒;酒精饮料（啤酒除外）;⻩酒;烧酒;餐后酒（利⼝酒和烈酒）;烈酒（饮料）</t>
  </si>
  <si>
    <t>山西壹号酒库酒业有限公司</t>
  </si>
  <si>
    <t>汖丰 酒</t>
  </si>
  <si>
    <t>⽩酒;⽶酒;⻩酒;⻘稞酒;⾷⽤酒精;开胃酒;酸酒（低等葡萄酒）;烧酒;梨酒;果酒</t>
  </si>
  <si>
    <t>张景旭</t>
  </si>
  <si>
    <t>许配</t>
  </si>
  <si>
    <t>⽩酒;葡萄酒;⽔果汽酒;烧酒;威⼠忌;鸡尾酒;⻩酒;⽶酒;果酒（含酒精）;开胃酒</t>
  </si>
  <si>
    <t>江苏东塔酒业发展有限公司</t>
  </si>
  <si>
    <t>河垛桥</t>
  </si>
  <si>
    <t>烈酒（饮料）;⻩酒;鸡尾酒;含酒精的充⽓饮料（啤酒除外）;⽶酒;酒精饮料（啤酒除外）;⽩酒;含酒精的饮料（啤酒除外）;烧酒;开胃酒</t>
  </si>
  <si>
    <t>陕西疆福果农业科技有限公司</t>
  </si>
  <si>
    <t>疆福果</t>
  </si>
  <si>
    <t>⻩酒;⽩酒;果酒;苹果酒;⾼粱酒;梨酒;⽶酒;红葡萄酒;甜果酒;樱桃酒</t>
  </si>
  <si>
    <t>沈洪杰</t>
  </si>
  <si>
    <t>翰林贡奉</t>
  </si>
  <si>
    <t>⾕物制蒸馏酒精饮料;开胃酒;蒸馏饮料;利⼝酒;⽩兰地;⽩酒;果酒（含酒精）;葡萄酒;烈酒（饮料）;⾷⽤酒精</t>
  </si>
  <si>
    <t>安徽涂中酿酒有限公司</t>
  </si>
  <si>
    <t>涂匊</t>
  </si>
  <si>
    <t>⽶酒;烧酒（烈酒）;果酒;⽩酒;酒精饮料（啤酒除外）;鸡尾酒;葡萄酒;烧酒;⽩⼲酒（中国⽩酒）;⻩酒</t>
  </si>
  <si>
    <t>青岛雨涵喜酒业有限公司</t>
  </si>
  <si>
    <t>竹丞相</t>
  </si>
  <si>
    <t>蒸馏饮料;鸡尾酒;酒精饮料（啤酒除外）;⽩酒;⽩⼲酒（中国⽩酒）;含⽔果酒精饮料;⽶酒;由⾕物蒸馏的⽩酒;⻩酒;⽼酒（中国蒸馏烈酒）</t>
  </si>
  <si>
    <t>国灿酒业湖北有限公司</t>
  </si>
  <si>
    <t>草木纲</t>
  </si>
  <si>
    <t>烈酒（饮料）;⻩酒;⾕物制蒸馏酒精饮料;⽶酒;含⽔果酒精饮料;烧酒;果酒（含酒精）;鸡尾酒;⽩酒;葡萄酒</t>
  </si>
  <si>
    <t>苗定向</t>
  </si>
  <si>
    <t>润和特</t>
  </si>
  <si>
    <t>⽩酒;⻩酒;含⽔果酒精饮料;威⼠忌;烧酒;利⼝酒;葡萄酒;鸡尾酒;⽩兰地;酒精饮料原汁</t>
  </si>
  <si>
    <t>王世琴</t>
  </si>
  <si>
    <t>灵圣之河</t>
  </si>
  <si>
    <t>鸡尾酒;含⽔果酒精饮料;⾕物制蒸馏酒精饮料;烧酒;果酒（含酒精）;⻩酒;伏特加酒;⽶酒;⽩酒;葡萄酒</t>
  </si>
  <si>
    <t>刘诗飞</t>
  </si>
  <si>
    <t>惹花香</t>
  </si>
  <si>
    <t>苹果酒;鸡尾酒;利⼝酒;⽶酒;⽩酒;⻩酒;含⽔果酒精饮料;果酒（含酒精）;清酒（⽇本⽶酒）;烧酒</t>
  </si>
  <si>
    <t>驻马店市海翔商贸有限公司</t>
  </si>
  <si>
    <t>赤魂王家烧坊</t>
  </si>
  <si>
    <t>烧酒;⽶酒;⻘稞酒;果酒（含酒精）;⻩酒;葡萄酒;开胃酒;烈酒;鸡尾酒;⽩酒</t>
  </si>
  <si>
    <t>王飞</t>
  </si>
  <si>
    <t>PAGDER</t>
  </si>
  <si>
    <t>烧酒;果酒;⾼粱酒;⽩酒;酒精饮料（啤酒除外）;蒸煮提取物（利⼝酒和烈酒）;⽶酒;⻘稞酒;⻩酒;葡萄酒</t>
  </si>
  <si>
    <t>欣恒兰月</t>
  </si>
  <si>
    <t>葡萄酒;威⼠忌;汽酒;果酒（含酒精）;⾷⽤酒精;酒精饮料（啤酒除外）;蒸馏饮料;烈酒（饮料）;烧酒;⽩兰地</t>
  </si>
  <si>
    <t>茂林科技有限公司</t>
  </si>
  <si>
    <t>益鹿雄风</t>
  </si>
  <si>
    <t>果酒（含酒精）;⽶酒;鸡尾酒;⾷⽤酒精;⻩酒;葡萄酒;⽩兰地;酒精饮料（啤酒除外）;含⽔果酒精饮料;⽩酒</t>
  </si>
  <si>
    <t>河南仲景和鹿源健康酒业有限公司</t>
  </si>
  <si>
    <t>和鹿源鹿小妹</t>
  </si>
  <si>
    <t>蝮蛇酒;烈性干酒;开胃酒;烧酒;黑覆盆子酒;苦味酒;果酒;白酒;苦艾酒;黄酒</t>
  </si>
  <si>
    <t>雅呈</t>
  </si>
  <si>
    <t>⽩酒;烈酒;⻩酒;鸡尾酒;果酒（含酒精）;⽶酒;威⼠忌;葡萄酒;清酒（⽇本⽶酒）;茴⾹酒</t>
  </si>
  <si>
    <t>莆田市金鑫农业有限公司</t>
  </si>
  <si>
    <t>垂緌</t>
  </si>
  <si>
    <t>果酒（含酒精）;白酒;酒精饮料（啤酒除外）</t>
  </si>
  <si>
    <t>和鹿台鹿小哥</t>
  </si>
  <si>
    <t>黑覆盆子酒;果酒;烈性干酒;苦艾酒;苦味酒;开胃酒;烧酒;黄酒;白酒;蝮蛇酒</t>
  </si>
  <si>
    <t>库递（上海）国际贸易有限公司</t>
  </si>
  <si>
    <t>喜铂运动源</t>
  </si>
  <si>
    <t>餐后酒（利⼝酒和烈酒）;⽩酒;果酒（含酒精）;威⼠忌;酒精饮料（啤酒除外）;⻩酒;葡萄酒;利⼝酒;⽩兰地;⽶酒</t>
  </si>
  <si>
    <t>黑龙江惠阁酒行有限公司</t>
  </si>
  <si>
    <t>海伦河</t>
  </si>
  <si>
    <t>⾷⽤酒精;酒精饮料（啤酒除外）;酒精饮料原汁;⽶酒;烧酒;⽩酒;利⼝酒;果酒（含酒精）;开胃酒;清酒</t>
  </si>
  <si>
    <t>花果央</t>
  </si>
  <si>
    <t>白酒;酒精饮料（啤酒除外）;黄酒;葡萄酒;清酒;烧酒;烈酒;果酒;老酒（中国蒸馏烈酒）;米酒</t>
  </si>
  <si>
    <t>和道蕴康（上海）健康科技有限公司</t>
  </si>
  <si>
    <t>鲜哒哒</t>
  </si>
  <si>
    <t>果酒（含酒精）;⽶酒;开胃酒;葡萄酒;⾷⽤酒精;威⼠忌;酒精饮料（啤酒除外）;⻩酒;烧酒;⽩酒</t>
  </si>
  <si>
    <t>上海颐海餐饮管理有限公司</t>
  </si>
  <si>
    <t>GLOBAL ISLAND</t>
  </si>
  <si>
    <t>果酒（含酒精）;酒精饮料（啤酒除外）;⽶酒;鸡尾酒;⽩酒;清酒（⽇本⽶酒）;烧酒;烈酒（饮料）;⻩酒;葡萄酒</t>
  </si>
  <si>
    <t>王国飞</t>
  </si>
  <si>
    <t>⽶酒;⻘稞酒;含⽔果酒精饮料;⽩酒;果酒（含酒精）;伏特加酒;威⼠忌;烧酒;鸡尾酒;葡萄酒</t>
  </si>
  <si>
    <t>海口森爱康贸易有限公司</t>
  </si>
  <si>
    <t>高广缓</t>
  </si>
  <si>
    <t>苹果酒;⽶酒;⽩兰地;威⼠忌;伏特加酒;果酒（含酒精）;葡萄酒;清酒（⽇本⽶酒）;⻩酒;⽩酒</t>
  </si>
  <si>
    <t>述德</t>
  </si>
  <si>
    <t>烧酒;⽩酒;餐后酒（利⼝酒和烈酒）;⻩酒;⽶酒;露酒;⻘稞酒;果酒（含酒精）;葡萄酒;烈酒</t>
  </si>
  <si>
    <t>庸勋</t>
  </si>
  <si>
    <t>葡萄酒;⻩酒;⻘稞酒;烧酒;露酒;⽶酒;烈酒;餐后酒（利⼝酒和烈酒）;⽩酒;果酒（含酒精）</t>
  </si>
  <si>
    <t>艾宁</t>
  </si>
  <si>
    <t>点月楼</t>
  </si>
  <si>
    <t>开胃酒;葡萄酒;甜酒;⽩酒;⾷⽤酒精;⻩酒;果酒;汽酒;清酒;⽶酒</t>
  </si>
  <si>
    <t>陈建军</t>
  </si>
  <si>
    <t>DA CHENG CHUAN QI</t>
  </si>
  <si>
    <t>葡萄酒;⽩酒;烧酒;果酒（含酒精）;⽩兰地;伏特加酒;⻩酒;鸡尾酒;烈酒;酒精饮料（啤酒除外）</t>
  </si>
  <si>
    <t>杜金柱</t>
  </si>
  <si>
    <t>著和之道</t>
  </si>
  <si>
    <t>果酒（含酒精）;米酒;烧酒;白酒;含水果酒精饮料;酒精饮料（啤酒除外）;黄酒;葡萄酒;烈酒（饮料）;清酒（日本米酒）</t>
  </si>
  <si>
    <t>泸州欣茂商贸有限公司</t>
  </si>
  <si>
    <t>泓泸</t>
  </si>
  <si>
    <t>葡萄酒;烧酒;果酒;⾷⽤酒精;甜酒;鸡尾酒;⽩酒;⽶酒;蒸馏饮料;酒精饮料（啤酒除外）</t>
  </si>
  <si>
    <t>傲功坊</t>
  </si>
  <si>
    <t>⻘稞酒;葡萄酒;⽶酒;烈酒;露酒;烧酒;果酒（含酒精）;⻩酒;⽩酒;餐后酒（利⼝酒和烈酒）</t>
  </si>
  <si>
    <t>秦治林</t>
  </si>
  <si>
    <t>⽩酒;以葡萄酒为主的饮料;葡萄酒;⻩酒;⾷⽤酒精;酒精饮料（啤酒除外）;鸡尾酒;⽩葡萄酒;果酒（含酒精）;烧酒</t>
  </si>
  <si>
    <t>广州巴克斯法庄贸易有限公司</t>
  </si>
  <si>
    <t>爱图斯花堡</t>
  </si>
  <si>
    <t>含酒精的饮料（啤酒除外）;⽶酒;葡萄酒;薄荷酒;⽩酒;威⼠忌;烈酒（饮料）;⻩酒;以葡萄酒为主的饮料;鸡尾酒</t>
  </si>
  <si>
    <t>贵州省仁怀市民为酒业有限公司</t>
  </si>
  <si>
    <t>宝古斋庆典</t>
  </si>
  <si>
    <t>高粱酒;谷物制蒸馏酒精饮料;含酒精的饮料（啤酒除外）;餐后酒（利口酒和烈酒）;白干酒（中国白酒）;酒精饮料（啤酒除外）;葡萄酒;米酒;烧酒（烈酒）;白酒</t>
  </si>
  <si>
    <t>程昌照</t>
  </si>
  <si>
    <t>寸龙</t>
  </si>
  <si>
    <t>佐餐酒;白酒;黄酒;白干酒（中国白酒）;烧酒;汽酒;葡萄酒;果酒;米酒;含酒精的饮料（啤酒除外）</t>
  </si>
  <si>
    <t>梁万锵</t>
  </si>
  <si>
    <t>衡舆烧坊</t>
  </si>
  <si>
    <t>由⾕物蒸馏的⽩酒;⾼粱酒;烈酒;已调味的蒸馏酒;⽩⼲酒（中国⽩酒）;含酒精的饮料（啤酒除外）;⽩酒;烧酒;⽼酒（中国蒸馏烈酒）;烧酒（烈酒）</t>
  </si>
  <si>
    <t>俪鱼生物科技（海南）有限公司</t>
  </si>
  <si>
    <t>果酒</t>
  </si>
  <si>
    <t>厚志</t>
  </si>
  <si>
    <t>⻩酒;⽩酒;⽼酒（中国蒸馏烈酒）;清酒（⽇本⽶酒）;烧酒;葡萄酒;⽶酒;烈酒;⻘稞酒;清酒</t>
  </si>
  <si>
    <t>平原德通商贸有限公司</t>
  </si>
  <si>
    <t>丛乡龙·丛乡龙</t>
  </si>
  <si>
    <t>鸡尾酒;葡萄酒;清酒（⽇本⽶酒）;⽩兰地;伏特加酒;⽩酒;烧酒;果酒（含酒精）;酒精饮料（啤酒除外）;⾷⽤酒精</t>
  </si>
  <si>
    <t>贵州省仁怀市古郁酒业销售有限公司</t>
  </si>
  <si>
    <t>柏晶印象</t>
  </si>
  <si>
    <t>利⼝酒;⾼粱酒;蜂蜜酒;烧酒（烈酒）;甜酒;⽩酒;薄荷酒;⻘稞酒;烧酒;杨梅酒</t>
  </si>
  <si>
    <t>李亚</t>
  </si>
  <si>
    <t>九龙尊耀</t>
  </si>
  <si>
    <t>葡萄酒;果酒（含酒精）;⻩酒;鸡尾酒;⾼粱酒;⽩酒;⽶酒;烧酒;酒精饮料（啤酒除外）;烈酒（饮料）</t>
  </si>
  <si>
    <t>窑玺</t>
  </si>
  <si>
    <t>开胃酒;⽩酒;威⼠忌;酒精饮料（啤酒除外）;果酒（含酒精）;⻩酒;清酒（⽇本⽶酒）;烈酒;葡萄酒;鸡尾酒</t>
  </si>
  <si>
    <t>北京龙瑞琪科技发展有限公司</t>
  </si>
  <si>
    <t>LRQ 龙瑞琪科技</t>
  </si>
  <si>
    <t>⽩酒;蜂蜜酒;威⼠忌;⽶酒;酒精饮料（啤酒除外）;果酒;清酒（⽇本⽶酒）;葡萄酒;⽩兰地;鸡尾酒</t>
  </si>
  <si>
    <t>国瑞和（北京）投资有限公司张家口分公司</t>
  </si>
  <si>
    <t>茭须液</t>
  </si>
  <si>
    <t>⽩兰地;含⽔果酒精饮料;烈酒;酒精饮料原汁;利⼝酒;⽩酒;果酒（含酒精）;鸡尾酒;预先混合的酒精饮料（以啤酒为主的除外）;开胃酒</t>
  </si>
  <si>
    <t>上海旭帆贝企业管理有限公司</t>
  </si>
  <si>
    <t>樊好吃</t>
  </si>
  <si>
    <t>威⼠忌;果酒（含酒精）;鸡尾酒;葡萄酒;⻩酒;⽩酒;酒精饮料（啤酒除外）;开胃酒;烈酒（饮料）;清酒（⽇本⽶酒）</t>
  </si>
  <si>
    <t>胡正</t>
  </si>
  <si>
    <t>盈袖台</t>
  </si>
  <si>
    <t>酒精饮料（啤酒除外）;烧酒;葡萄酒;⻘稞酒;⽶酒;利⼝酒;⻩酒;果酒（含酒精）;开胃酒;⽩酒</t>
  </si>
  <si>
    <t>王超</t>
  </si>
  <si>
    <t>汇享受</t>
  </si>
  <si>
    <t>开胃酒;⻩酒;清酒;甜酒;⾷⽤酒精;果酒;汽酒;⽩酒;葡萄酒;⽶酒</t>
  </si>
  <si>
    <t>贵州金宏胜捷建设工程有限公司</t>
  </si>
  <si>
    <t>方香缘</t>
  </si>
  <si>
    <t>⽩酒;⽶酒;⻩酒;露酒;⾼粱酒;清酒;烧酒;烈酒（饮料）;甜酒;葡萄酒</t>
  </si>
  <si>
    <t>河原王</t>
  </si>
  <si>
    <t>酒精饮料（啤酒除外）;葡萄酒;⽶酒;果酒;烧酒;⻘稞酒;⾼粱酒;⻩酒;⾷⽤酒精;⽩酒</t>
  </si>
  <si>
    <t>山西文华酒业股份有限公司</t>
  </si>
  <si>
    <t>杏灵竹</t>
  </si>
  <si>
    <t>⽩⼲酒（中国⽩酒）;苦荞酒;烈酒;⽶酒;露酒;果酒;⾼粱酒;⽼酒（中国蒸馏烈酒）;⽩酒;⻩酒</t>
  </si>
  <si>
    <t>CACH CACH</t>
  </si>
  <si>
    <t>伏特加酒;果酒;清酒（⽇本⽶酒）;烈酒（饮料）;红葡萄酒;威⼠忌;鸡尾酒;利⼝酒;⽩酒;⽶酒</t>
  </si>
  <si>
    <t>DOMAINE DU COUVENT</t>
  </si>
  <si>
    <t>以葡萄酒为主的饮料;⽩酒;⻩酒;含酒精的饮料（啤酒除外）;鸡尾酒;薄荷酒;威⼠忌;烈酒（饮料）;⽶酒;葡萄酒</t>
  </si>
  <si>
    <t>贵州省仁怀市茅台镇台悦酒厂有限公司</t>
  </si>
  <si>
    <t>悦台</t>
  </si>
  <si>
    <t>酒精饮料（啤酒除外）;烧酒;⽶酒;⽩酒;⻩酒;⻘稞酒;烈酒（饮料）;开胃酒;葡萄酒;含⽔果酒精饮料</t>
  </si>
  <si>
    <t>珠海市金悦格朗德酒业有限公司</t>
  </si>
  <si>
    <t>葡萄酒;朗姆酒;⽶酒;威⼠忌;以葡萄酒为主的饮料;烧酒;果酒（含酒精）;⻩酒;⽩酒;伏特加酒</t>
  </si>
  <si>
    <t>深圳市金鉴企业管理顾问有限公司</t>
  </si>
  <si>
    <t>RUBY RIDGE</t>
  </si>
  <si>
    <t>烈酒（饮料）;⽩兰地;伏特加酒;葡萄酒;起泡红葡萄酒;⾕物制蒸馏酒精饮料;朗姆酒;以葡萄酒为主的饮料;红葡萄酒;威⼠忌</t>
  </si>
  <si>
    <t>浙江吉米良农业发展有限公司</t>
  </si>
  <si>
    <t>韧于忍</t>
  </si>
  <si>
    <t>⽩酒;蒸馏饮料;⻘稞酒;⻩酒;烧酒;⾷⽤酒精;果酒（含酒精）;⽶酒;酒精饮料（啤酒除外）;葡萄酒</t>
  </si>
  <si>
    <t>潘正林</t>
  </si>
  <si>
    <t>曜福</t>
  </si>
  <si>
    <t>由⾕物蒸馏的⽩酒;⽩⼲酒（中国⽩酒）;⽩酒</t>
  </si>
  <si>
    <t>斯维吉</t>
  </si>
  <si>
    <t>含酒精的饮料（啤酒除外）;威⼠忌;烈酒（饮料）;⽩酒;⻩酒;薄荷酒;葡萄酒;鸡尾酒;以葡萄酒为主的饮料;⽶酒</t>
  </si>
  <si>
    <t>友福同享（深圳）智能科技有限公司</t>
  </si>
  <si>
    <t>友福禾一</t>
  </si>
  <si>
    <t>清酒（⽇本⽶酒）;葡萄酒;鸡尾酒;果酒（含酒精）;酒精饮料（啤酒除外）;⽩葡萄酒;含⽔果酒精饮料;⻩酒;⽩酒;⽶酒</t>
  </si>
  <si>
    <t>北京漷州酒业有限公司</t>
  </si>
  <si>
    <t>漷州酒业</t>
  </si>
  <si>
    <t>葡萄酒;⽩酒;烧酒;汽酒;烈酒（饮料）;清酒（⽇本⽶酒）;酒精饮料（啤酒除外）;⻩酒;果酒（含酒精）;含⽔果酒精饮料</t>
  </si>
  <si>
    <t>呼伦贝尔手工坊酿酒有限责任公司</t>
  </si>
  <si>
    <t>呼伦城</t>
  </si>
  <si>
    <t>果酒（含酒精）;鸡尾酒;葡萄酒;⽶酒;烧酒;⻘稞酒;⽩酒;酒精饮料（啤酒除外）;⻩酒;已调味的蒸馏酒</t>
  </si>
  <si>
    <t>刘威</t>
  </si>
  <si>
    <t>吉词</t>
  </si>
  <si>
    <t>烧酒（烈酒）;⽼酒（中国蒸馏烈酒）;清酒;葡萄酒;清酒（⽇本⽶酒）;⽶酒;朗姆酒（酒精饮料）;除啤酒外的酒精饮料;含酒精⽔果饮料;⽩酒</t>
  </si>
  <si>
    <t>福建酒业通网络科技有限公司</t>
  </si>
  <si>
    <t>成功贵</t>
  </si>
  <si>
    <t>⽩酒;⻩酒;⽢蔗制烈酒;葡萄酒;烈酒（饮料）;⽶酒;酒精饮料（啤酒除外）;烧酒;鸡尾酒;果酒（含酒精）</t>
  </si>
  <si>
    <t>肖文懿440301********0927</t>
  </si>
  <si>
    <t>蕃秀</t>
  </si>
  <si>
    <t>烧酒;蒸馏饮料;烈酒（饮料）;酒精饮料（啤酒除外）;⽩酒;⽶酒;汽酒;⻘稞酒;⾼粱酒;甜酒</t>
  </si>
  <si>
    <t>贵州省习水县龙马酒业有限公司</t>
  </si>
  <si>
    <t>浩台</t>
  </si>
  <si>
    <t>果酒（含酒精）;葡萄酒;含⽔果酒精饮料;鸡尾酒;汽酒;烧酒;⽩兰地;⽩酒;⽶酒;预先混合的酒精饮料（以啤酒为主的除外）</t>
  </si>
  <si>
    <t>杏灵琼</t>
  </si>
  <si>
    <t>⻩酒;苦荞酒;露酒;果酒;⽩酒;⽼酒（中国蒸馏烈酒）;⾼粱酒;烈酒;⽶酒;⽩⼲酒（中国⽩酒）</t>
  </si>
  <si>
    <t>英国查德维有限公司</t>
  </si>
  <si>
    <t>瑷玛家族</t>
  </si>
  <si>
    <t>果酒;烧酒;⽩兰地;威⼠忌;起泡⽩葡萄酒;鸡尾酒;伏特加酒;含酒精的⽔果鸡尾酒饮料;葡萄酒;⽩酒</t>
  </si>
  <si>
    <t>鲁志春</t>
  </si>
  <si>
    <t>稳个</t>
  </si>
  <si>
    <t>烧酒;含⽔果酒精饮料;蜂蜜酒;⻩酒;果酒（含酒精）;⽩酒;⽶酒;开胃酒;葡萄酒;鸡尾酒</t>
  </si>
  <si>
    <t>遵义恒天酒业有限公司</t>
  </si>
  <si>
    <t>枫榕十一窖</t>
  </si>
  <si>
    <t>餐后酒（利⼝酒和烈酒）;露酒;果酒（含酒精）;⾕物制蒸馏酒精饮料;烈酒（饮料）;⽶酒;⽩酒;苹果酒;葡萄酒;蒸馏饮料</t>
  </si>
  <si>
    <t>秦皇岛小巷文化旅游产业发展有限公司</t>
  </si>
  <si>
    <t>秦小嬴</t>
  </si>
  <si>
    <t>果酒（含酒精）;⽩酒;酒精饮料（啤酒除外）;烧酒;樱桃酒;鸡尾酒;葡萄酒;利⼝酒;⽶酒;蜂蜜酒</t>
  </si>
  <si>
    <t>图丽塔酒庄</t>
  </si>
  <si>
    <t>洛索诺特瑞</t>
  </si>
  <si>
    <t>开胃酒;葡萄酒;烈酒（饮料）;⽩兰地;伏特加酒;⽶酒;鸡尾酒;威⼠忌;酒精饮料原汁;酒精饮料浓缩汁</t>
  </si>
  <si>
    <t>河南古韵新香文化用品有限公司</t>
  </si>
  <si>
    <t>洛神 馥.瑶</t>
  </si>
  <si>
    <t>鸡尾酒;⻩酒;果酒（含酒精）;⽶酒;伏特加酒;葡萄酒;威⼠忌;⽩酒;烧酒;⾷⽤酒精</t>
  </si>
  <si>
    <t>四川君道同企业管理有限公司</t>
  </si>
  <si>
    <t>钟遥遥</t>
  </si>
  <si>
    <t>苹果酒;含⽔果酒精饮料;果酒（含酒精）;酒精饮料（啤酒除外）;⽶酒;开胃酒;鸡尾酒;⻘稞酒;葡萄酒;⽩酒</t>
  </si>
  <si>
    <t>蚌埠市最最红商贸有限公司</t>
  </si>
  <si>
    <t>兰艺坊</t>
  </si>
  <si>
    <t>葡萄酒;烧酒;酒精饮料（啤酒除外）;⻩酒;酒精饮料原汁;烈酒;烈酒（饮料）;⽶酒;⽩兰地;⽩酒</t>
  </si>
  <si>
    <t>云南乐见其成投资有限公司</t>
  </si>
  <si>
    <t>乐见其成</t>
  </si>
  <si>
    <t>⽩⼲酒（中国⽩酒）;烧酒（烈酒）;由⾕物蒸馏的⽩酒;鸡尾酒;果酒（含酒精）;烈酒;⽶酒;烧酒;⾼粱酒;⻩酒</t>
  </si>
  <si>
    <t>成都拾吾局企业管理有限公司</t>
  </si>
  <si>
    <t>拾吾有礼</t>
  </si>
  <si>
    <t>鸡尾酒;果酒（含酒精）;⽶酒;⽩酒;清酒（⽇本⽶酒）;⽩兰地;葡萄酒;⽩⼲酒（中国⽩酒）;⾕物制蒸馏酒精饮料;酒精饮料（啤酒除外）</t>
  </si>
  <si>
    <t>西安昆仑雪制冷设备有限公司</t>
  </si>
  <si>
    <t>昆仑鹿</t>
  </si>
  <si>
    <t>⻘稞酒;威⼠忌;果酒;葡萄酒;烧酒</t>
  </si>
  <si>
    <t>倪玉林（511021********1357)</t>
  </si>
  <si>
    <t>斧 达食汇</t>
  </si>
  <si>
    <t>梨酒;⾼粱酒;烈酒;⽶酒;开胃酒;烧酒;露酒;⽩酒;果酒;清酒</t>
  </si>
  <si>
    <t>罗曼尼酒庄（广州）有限公司</t>
  </si>
  <si>
    <t>法南宝小拉湖畔橡树</t>
  </si>
  <si>
    <t>汽酒;烈酒（饮料）;威⼠忌;朗姆酒;清酒;鸡尾酒;葡萄酒;利⼝酒;⽩兰地;⽩酒</t>
  </si>
  <si>
    <t>陈卡</t>
  </si>
  <si>
    <t>亖黔镇源</t>
  </si>
  <si>
    <t>鸡尾酒;酒精饮料（啤酒除外）;汽酒;⽶酒;⻩酒;葡萄酒;烈酒（饮料）;烧酒;⽩酒;果酒（含酒精）</t>
  </si>
  <si>
    <t>山东锦城控股有限公司</t>
  </si>
  <si>
    <t>如如果果</t>
  </si>
  <si>
    <t>酒精饮料（啤酒除外）;⻘梅酒;⽩酒;果酒（含酒精）;蒸馏饮料;葡萄酒;⻩酒;鸡尾酒;清酒;开胃酒</t>
  </si>
  <si>
    <t>蔓媚娘</t>
  </si>
  <si>
    <t>葡萄酒;蜂蜜酒;⽩酒;⽶酒;果酒（含酒精）;开胃酒;鸡尾酒;蒸馏饮料;酒精饮料（啤酒除外）;⻩酒</t>
  </si>
  <si>
    <t>伊国涛</t>
  </si>
  <si>
    <t>夏园赤子无忧</t>
  </si>
  <si>
    <t>酒精饮料（啤酒除外）;蒸馏饮料;鸡尾酒;⻩酒;⽩兰地;葡萄酒;烧酒;威⼠忌;⽶酒;果酒（含酒精）</t>
  </si>
  <si>
    <t>绍兴江老汗酒业有限公司</t>
  </si>
  <si>
    <t>苍坡芈青</t>
  </si>
  <si>
    <t>含酒精⽔果饮料;烧酒（烈酒）;酒精饮料（啤酒除外）;⽩酒;果酒;⽶酒;开胃酒;葡萄酒;⻩酒;露酒</t>
  </si>
  <si>
    <t>太和县亿客来电子商务有限公司</t>
  </si>
  <si>
    <t>鸿涒来</t>
  </si>
  <si>
    <t>果酒（含酒精）;⻩酒;葡萄酒;清酒（⽇本⽶酒）;⽩酒;甜酒;⽶酒;烈酒;烧酒;酒精饮料（啤酒除外）</t>
  </si>
  <si>
    <t>江苏万得生物科技有限公司</t>
  </si>
  <si>
    <t>板桥道情</t>
  </si>
  <si>
    <t>葡萄酒;蒸煮提取物（利⼝酒和烈酒）;含⽔果酒精饮料;⽶酒;预先混合的酒精饮料（以啤酒为主的除外）;酒精饮料原汁;⾷⽤酒精;⽩酒;酒精饮料浓缩汁;酒精饮料（啤酒除外）</t>
  </si>
  <si>
    <t>睿达晟行（海南）国际贸易有限公司</t>
  </si>
  <si>
    <t>贵姑爷</t>
  </si>
  <si>
    <t>酒精饮料（啤酒除外）;⽩兰地;烧酒;⾷⽤酒精;汽酒;开胃酒;果酒（含酒精）;葡萄酒;清酒（⽇本⽶酒）;⽩酒</t>
  </si>
  <si>
    <t>钟海丽</t>
  </si>
  <si>
    <t>帆贵粮</t>
  </si>
  <si>
    <t>薄荷酒;果酒（含酒精）;⽩兰地;伏特加酒;威⼠忌;⽶酒;葡萄酒;⽩酒;朗姆酒;鸡尾酒</t>
  </si>
  <si>
    <t>程影云</t>
  </si>
  <si>
    <t>天海道</t>
  </si>
  <si>
    <t>⾼粱酒;⽩酒;⻩酒;清酒;烈酒;果酒（含酒精）;葡萄酒;威⼠忌;⽶酒;鸡尾酒</t>
  </si>
  <si>
    <t>深圳市彧威投资有限公司</t>
  </si>
  <si>
    <t>沼泽里</t>
  </si>
  <si>
    <t>餐后酒（利⼝酒和烈酒）;⽩酒;酒精饮料原汁;酒精饮料浓缩汁;朗姆酒;果酒（含酒精）;蒸馏饮料;酒精饮料（啤酒除外）;⽶酒;伏特加酒</t>
  </si>
  <si>
    <t>广州璞逸贸易有限公司</t>
  </si>
  <si>
    <t>卡西纳卡博纳多</t>
  </si>
  <si>
    <t>果酒（含酒精）;威⼠忌;朗姆酒;⽩酒;⽩兰地;利⼝酒;伏特加酒;蒸馏饮料;葡萄酒;鸡尾酒</t>
  </si>
  <si>
    <t>⽇本梅⼦酒;蒸馏⽶酒（泡盛酒）;⾷⽤酒精;以葡萄酒为主的饮料;⽼酒（中国蒸馏烈酒）;⾼粱酒;杨梅酒;果酒;含酒精的⽔果鸡尾酒饮料;⽩酒</t>
  </si>
  <si>
    <t>⽼酒（中国蒸馏烈酒）;⾕物制蒸馏酒精饮料;葡萄酒;蒸馏⽶酒（泡盛酒）;由⾕物蒸馏的⽩酒;⽶酒;蒸馏饮料;⻩酒;⽩酒;蒸煮提取物（利⼝酒和烈酒）</t>
  </si>
  <si>
    <t>王军422828********0012</t>
  </si>
  <si>
    <t>慷慨赋</t>
  </si>
  <si>
    <t>⾕物制蒸馏酒精饮料;⽩⼲酒（中国⽩酒）;酒精饮料（啤酒除外）;⻩酒;⽩酒;含⽔果酒精饮料;⽶酒;烧酒（烈酒）;⽼酒（中国蒸馏烈酒）;烈性⼲酒</t>
  </si>
  <si>
    <t>陈全义</t>
  </si>
  <si>
    <t>尔邸</t>
  </si>
  <si>
    <t>蒸馏饮料;烈酒（饮料）;酒精饮料（啤酒除外）;⽩酒;含⽔果酒精饮料;果酒（含酒精）;开胃酒;鸡尾酒;葡萄酒;⻩酒</t>
  </si>
  <si>
    <t>广西福满云仓酒业有限公司</t>
  </si>
  <si>
    <t>浮世华</t>
  </si>
  <si>
    <t>⽩兰地;威⼠忌;含⽔果酒精饮料;开胃酒;果酒（含酒精）;鸡尾酒;葡萄酒;酒精饮料（啤酒除外）;⻩酒;蒸煮提取物（利⼝酒和烈酒）</t>
  </si>
  <si>
    <t>广州品酒荟酒业有限公司</t>
  </si>
  <si>
    <t>AUGUSTIN MANET</t>
  </si>
  <si>
    <t>威⼠忌;烈酒（饮料）;⻨芽威⼠忌;含酒精⽔果饮料;起泡红葡萄酒;含酒精的鸡尾酒混合饮品;⽩兰地;利⼝酒;朗姆酒;起泡⽩葡萄酒</t>
  </si>
  <si>
    <t>EDWARD MANET</t>
  </si>
  <si>
    <t>含酒精的鸡尾酒混合饮品;朗姆酒;威⼠忌;起泡红葡萄酒;⽩兰地;烈酒（饮料）;⻨芽威⼠忌;利⼝酒;起泡⽩葡萄酒;含酒精⽔果饮料</t>
  </si>
  <si>
    <t>深圳吉嘉科讯科技有限公司</t>
  </si>
  <si>
    <t>INSTA FLOW</t>
  </si>
  <si>
    <t>鸡尾酒;伏特加酒;威⼠忌;朗姆酒;⽩酒;⽩兰地;酒精饮料（啤酒除外）;果酒（含酒精）;葡萄酒;利⼝酒</t>
  </si>
  <si>
    <t>罗国友</t>
  </si>
  <si>
    <t>笑者</t>
  </si>
  <si>
    <t>⾕物制蒸馏酒精饮料;⾷⽤酒精;清酒;烈酒;果酒（含酒精）;葡萄酒;⻩酒;⽩酒;⾼粱酒;烧酒</t>
  </si>
  <si>
    <t>重庆冠恒科技有限公司</t>
  </si>
  <si>
    <t>竹阳洞</t>
  </si>
  <si>
    <t>葡萄酒;⻩酒;汽酒;⽶酒;烈酒;⽩酒;酒精饮料（啤酒除外）;甜酒;果酒;烧酒</t>
  </si>
  <si>
    <t>湖南君滔房地产开发有限公司</t>
  </si>
  <si>
    <t>湖上湘竹</t>
  </si>
  <si>
    <t>⽩酒;⻩酒;烧酒;鸡尾酒;⽶酒;含⽔果酒精饮料;清酒;开胃酒;葡萄酒;威⼠忌</t>
  </si>
  <si>
    <t>泉州市华欧盛达贸易有限公司</t>
  </si>
  <si>
    <t>欧拉好猫</t>
  </si>
  <si>
    <t>葡萄酒;果酒;伏特加酒;⻩酒;烈酒（饮料）;⽶酒;⻘稞酒;果酒（含酒精）;⽩酒;酒精饮料原汁</t>
  </si>
  <si>
    <t>福建省麟阳农业科技有限公司</t>
  </si>
  <si>
    <t>加莲华</t>
  </si>
  <si>
    <t>⽩酒;鸡尾酒;蜂蜜酒;果酒（含酒精）;⽶酒;葡萄酒;⾕物制蒸馏酒精饮料;含酒精⽔果饮料;烈酒（饮料）;⾷⽤酒精</t>
  </si>
  <si>
    <t>深圳市雄轩国际酒业有限公司</t>
  </si>
  <si>
    <t>铂维斯</t>
  </si>
  <si>
    <t>利⼝酒;⽩兰地;汽酒;鸡尾酒;烈酒（饮料）;葡萄酒;威⼠忌;酒精饮料（啤酒除外）;果酒（含酒精）;含⽔果酒精饮料</t>
  </si>
  <si>
    <t>吴国凤</t>
  </si>
  <si>
    <t>法蒙威 FAMENGWEY</t>
  </si>
  <si>
    <t>薄荷酒;烈酒;杨梅酒;⻘稞酒;⽩葡萄酒;⽩酒;果酒（含酒精）;⻩酒;⽔果汽酒;清酒（⽇本⽶酒）</t>
  </si>
  <si>
    <t>北京金五福科技有限公司</t>
  </si>
  <si>
    <t>银拉杆</t>
  </si>
  <si>
    <t>葡萄酒;⻩酒;⾷⽤酒精;⽶酒;烧酒（烈酒）;烧酒;⽩酒;⾼粱酒;⽩⼲酒（中国⽩酒）;果酒</t>
  </si>
  <si>
    <t>子洲县眠虎沟重耳窑种养殖农民专业合作社</t>
  </si>
  <si>
    <t>眠虎沟·重耳窑</t>
  </si>
  <si>
    <t>吉林省枫林农业发展有限公司</t>
  </si>
  <si>
    <t>莓淇</t>
  </si>
  <si>
    <t>葡萄酒;果酒（含酒精）;⽩酒;开胃酒;⽶酒;威⼠忌;含⽔果酒精饮料;烧酒;⽩兰地;鸡尾酒</t>
  </si>
  <si>
    <t>吴坚强</t>
  </si>
  <si>
    <t>醉拾美</t>
  </si>
  <si>
    <t>葡萄酒;鸡尾酒;⽩酒;威⼠忌;⽶酒;清酒（⽇本⽶酒）;⻩酒;烈酒（饮料）;果酒（含酒精）;蜂蜜酒</t>
  </si>
  <si>
    <t>贵州霖音聚点文化传媒有限公司</t>
  </si>
  <si>
    <t>镇大宗师</t>
  </si>
  <si>
    <t>利⼝酒;⻩酒;蒸煮提取物（利⼝酒和烈酒）;⽩酒;酒精饮料（啤酒除外）;蜂蜜酒;果酒（含酒精）;含⽔果酒精饮料;烧酒;⾷⽤酒精</t>
  </si>
  <si>
    <t>肇庆肇怀食品有限公司</t>
  </si>
  <si>
    <t>肇怀中洲</t>
  </si>
  <si>
    <t>蒸煮提取物（利⼝酒和烈酒）;清酒;酒精饮料（啤酒除外）;开胃酒;⽶酒;果酒（含酒精）;葡萄酒;威⼠忌;⽩酒;⻩酒</t>
  </si>
  <si>
    <t>高亦安实业发展（江苏）有限公司</t>
  </si>
  <si>
    <t>睢常青</t>
  </si>
  <si>
    <t>⽩酒;⽶酒;果酒（含酒精）;烈酒（饮料）;⻩酒;鸡尾酒;⽩兰地;酒精饮料（啤酒除外）;⾷⽤酒精;葡萄酒</t>
  </si>
  <si>
    <t>湖北宏吉信息科技有限公司</t>
  </si>
  <si>
    <t>飞沐</t>
  </si>
  <si>
    <t>烈酒;烧酒;⾷⽤酒精;葡萄酒;果酒;酒精饮料原汁;⽩酒;⽼酒（中国蒸馏烈酒）;⾕物制蒸馏酒精饮料;⽩⼲酒（中国⽩酒）</t>
  </si>
  <si>
    <t>先伟</t>
  </si>
  <si>
    <t>梨酒;葡萄酒;清酒;烧酒;⻩酒;⽩兰地;⽶酒</t>
  </si>
  <si>
    <t>青岛国粹匠心酒业有限公司</t>
  </si>
  <si>
    <t>棘库</t>
  </si>
  <si>
    <t>葡萄酒;清酒（⽇本⽶酒）;果酒（含酒精）;⻩酒;烧酒（烈酒）;烈酒;⽩酒;鸡尾酒;⽶酒;酒精饮料浓缩汁</t>
  </si>
  <si>
    <t>赵青</t>
  </si>
  <si>
    <t>丁泽天下</t>
  </si>
  <si>
    <t>⾼粱酒;烈酒（饮料）;甜酒;⽩酒;⽶酒;烧酒;⻩酒;葡萄酒;蒸馏饮料;酒精饮料（啤酒除外）</t>
  </si>
  <si>
    <t>千河玺</t>
  </si>
  <si>
    <t>清酒（⽇本⽶酒）;酒精饮料（啤酒除外）;开胃酒;烈酒;威⼠忌;葡萄酒;鸡尾酒;⻩酒;果酒（含酒精）;⽩酒</t>
  </si>
  <si>
    <t>黄维钦</t>
  </si>
  <si>
    <t>花滴子</t>
  </si>
  <si>
    <t>葡萄酒;威⼠忌;酒精饮料（啤酒除外）;烈酒;开胃酒;鸡尾酒;清酒（⽇本⽶酒）;⽩酒;果酒（含酒精）;⻩酒</t>
  </si>
  <si>
    <t>谢守辉</t>
  </si>
  <si>
    <t>烈酒（饮料）;威⼠忌;果酒;甜酒;⽩兰地;鸡尾酒;⽩酒;葡萄酒;烧酒;⽶酒</t>
  </si>
  <si>
    <t>观山望</t>
  </si>
  <si>
    <t>果酒（含酒精）;鸡尾酒;烧酒;⽩酒;⽶酒;甜酒;⽩兰地;威⼠忌;⻩酒;葡萄酒</t>
  </si>
  <si>
    <t>孙育盟</t>
  </si>
  <si>
    <t>庐醉乡</t>
  </si>
  <si>
    <t>酒精饮料（啤酒除外）;鸡尾酒;葡萄酒;开胃酒;威⼠忌;烈酒;果酒（含酒精）;⻩酒;⽩酒;清酒（⽇本⽶酒）</t>
  </si>
  <si>
    <t>绍兴酒城文化发展有限公司</t>
  </si>
  <si>
    <t>题扇桥</t>
  </si>
  <si>
    <t>果酒（含酒精）;葡萄酒;威⼠忌;烈酒（饮料）;⽩兰地;酒精饮料（啤酒除外）;鸡尾酒;烧酒;⽩酒;⽶酒</t>
  </si>
  <si>
    <t>东续</t>
  </si>
  <si>
    <t>⽩酒;清酒（⽇本⽶酒）;⻩酒;威⼠忌;鸡尾酒;酒精饮料（啤酒除外）;果酒（含酒精）;开胃酒;烈酒;葡萄酒</t>
  </si>
  <si>
    <t>穆昌清</t>
  </si>
  <si>
    <t>君缘名</t>
  </si>
  <si>
    <t>开胃酒;⻩酒;果酒（含酒精）;葡萄酒;⽩酒;酒精饮料（啤酒除外）;⽶酒;威⼠忌;烧酒;烈酒（饮料）</t>
  </si>
  <si>
    <t>天津砚舟商贸有限公司</t>
  </si>
  <si>
    <t>武曲星</t>
  </si>
  <si>
    <t>烈酒;⽩酒;⽩兰地;烧酒;含酒精的饮料（啤酒除外）;⽶酒;果酒;⽼酒（中国蒸馏烈酒）;鸡尾酒;⾼粱酒</t>
  </si>
  <si>
    <t>周发昌</t>
  </si>
  <si>
    <t>大宛君</t>
  </si>
  <si>
    <t>酒精饮料（啤酒除外）;蒸煮提取物（利⼝酒和烈酒）;烧酒;开胃酒;⽩酒;葡萄酒;清酒（⽇本⽶酒）;⽶酒;果酒;⻩酒</t>
  </si>
  <si>
    <t>衡水市臻学托管服务有限责任公司</t>
  </si>
  <si>
    <t>宾利爱上羊</t>
  </si>
  <si>
    <t>烈酒（饮料）;⻩酒;⽼酒（中国蒸馏烈酒）;果酒（含酒精）;⽩酒;五加⽪酒（中国混合烈酒）;汽酒;⻘稞酒;烧酒;⽩⼲酒（中国⽩酒）</t>
  </si>
  <si>
    <t>陕西银凤酿酒股份有限公司</t>
  </si>
  <si>
    <t>赤金凤牌</t>
  </si>
  <si>
    <t>烧酒;⽩酒;清酒;果酒;⻩酒;⽶酒;开胃酒;利⼝酒;酒精饮料原汁;烈酒</t>
  </si>
  <si>
    <t>蓝鲸海外贸易有限公司</t>
  </si>
  <si>
    <t>名斛仙</t>
  </si>
  <si>
    <t>开胃酒;⻩酒;烈酒（饮料）;酒精饮料（啤酒除外）;⾕物制蒸馏酒精饮料;⽩酒;含⽔果酒精饮料;葡萄酒;果酒（含酒精）;⽶酒</t>
  </si>
  <si>
    <t>河南众琛商贸有限公司</t>
  </si>
  <si>
    <t>众琛叔叔</t>
  </si>
  <si>
    <t>薄荷酒;葡萄酒;开胃酒;蜂蜜酒;烧酒;威⼠忌;朗姆酒;⽩酒;鸡尾酒;⽩兰地</t>
  </si>
  <si>
    <t>海南自贸区八经文化科技有限公司</t>
  </si>
  <si>
    <t>白鹤龙</t>
  </si>
  <si>
    <t>葡萄酒;清酒（⽇本⽶酒）;烧酒;果酒（含酒精）;鸡尾酒;⽩酒;⽩兰地;⽶酒;开胃酒;⻩酒</t>
  </si>
  <si>
    <t>河北大商商贸有限公司</t>
  </si>
  <si>
    <t>清沐蓝</t>
  </si>
  <si>
    <t>⽶酒;清酒（⽇本⽶酒）;蜂蜜酒;开胃酒;烧酒;⻩酒;⽩酒;果酒（含酒精）;含⽔果酒精饮料;葡萄酒</t>
  </si>
  <si>
    <t>深圳市哈乐迪信息技术有限公司</t>
  </si>
  <si>
    <t>波藤雅多</t>
  </si>
  <si>
    <t>以葡萄酒为主的饮料;含⽔果酒精饮料;葡萄酒;鸡尾酒;酒精饮料（啤酒除外）;⽩酒;烈酒;蒸馏饮料;果酒（含酒精）;酒精饮料原汁</t>
  </si>
  <si>
    <t>青山怀</t>
  </si>
  <si>
    <t>⽩酒;果酒（含酒精）;威⼠忌;⽶酒;甜酒;烧酒;⽩兰地;⻩酒;鸡尾酒;葡萄酒</t>
  </si>
  <si>
    <t>福建顺利投资有限公司</t>
  </si>
  <si>
    <t>憨博士</t>
  </si>
  <si>
    <t>酒精饮料（啤酒除外）;⽩兰地;伏特加酒;⽩酒;果酒（含酒精）;朗姆酒;葡萄酒;烧酒;含酒精的⽓泡⽔;威⼠忌</t>
  </si>
  <si>
    <t>费县秀韵便民综合店</t>
  </si>
  <si>
    <t>容礼记</t>
  </si>
  <si>
    <t>⽩酒;葡萄酒;⾷⽤酒精;鸡尾酒;果酒（含酒精）;蒸馏饮料;烈酒（饮料）;⽩兰地;⽶酒;含酒精⽔果饮料</t>
  </si>
  <si>
    <t>内蒙古教之篮企业管理服务有限公司</t>
  </si>
  <si>
    <t>教之篮</t>
  </si>
  <si>
    <t>⻩酒;果酒;鸡尾酒;⻘稞酒;⽩酒;⾷⽤酒精;⾕物制蒸馏酒精饮料;烧酒;葡萄酒;⽶酒</t>
  </si>
  <si>
    <t>张奕君</t>
  </si>
  <si>
    <t>醉灵乐</t>
  </si>
  <si>
    <t>葡萄酒;烈酒（饮料）;⽩酒;鸡尾酒;⻩酒;果酒（含酒精）;清酒（⽇本⽶酒）;⽶酒;烧酒;酒精饮料（啤酒除外）</t>
  </si>
  <si>
    <t>内蒙古优农尚品农业科技有限公司</t>
  </si>
  <si>
    <t>窑上清河</t>
  </si>
  <si>
    <t>⾷⽤酒精;汽酒;⽩酒;果酒（含酒精）;烧酒;⽶酒;葡萄酒;酒精饮料（啤酒除外）;利⼝酒;开胃酒</t>
  </si>
  <si>
    <t>四川省天泉玻陶工艺制品有限公司</t>
  </si>
  <si>
    <t>蜀驿魂</t>
  </si>
  <si>
    <t>⽩兰地;⽩酒;蒸馏饮料;鸡尾酒;烧酒;威⼠忌;果酒（含酒精）;葡萄酒;⽶酒;⻩酒</t>
  </si>
  <si>
    <t>佰富企业管理咨询舒兰有限公司</t>
  </si>
  <si>
    <t>带之和</t>
  </si>
  <si>
    <t>蜂蜜酒;⽩兰地;⻩酒;苦味酒;葡萄酒;⽶酒;伏特加酒;薄荷酒;烧酒;⾷⽤酒精;⽩酒;果酒;威⼠忌;烈酒</t>
  </si>
  <si>
    <t>贵州酱云醇酒业有限公司</t>
  </si>
  <si>
    <t>禄佑康</t>
  </si>
  <si>
    <t>烧酒;果酒;葡萄酒;清酒（⽇本⽶酒）;⽶酒;梨酒;⽼酒（中国蒸馏烈酒）;⻩酒;⾼粱酒;⽩酒</t>
  </si>
  <si>
    <t>许文辉</t>
  </si>
  <si>
    <t>引力密码</t>
  </si>
  <si>
    <t>酒精饮料（啤酒除外）;果酒（含酒精）;蒸馏饮料;威⼠忌;葡萄酒;烈酒（饮料）;清酒（⽇本⽶酒）;⽶酒</t>
  </si>
  <si>
    <t>丽江翰林文化产业发展有限责任公司</t>
  </si>
  <si>
    <t>三多缘玉藏春</t>
  </si>
  <si>
    <t>⻘稞酒;⽩⼲酒（中国⽩酒）;苦荞酒;⾼粱酒;⽼酒（中国蒸馏烈酒）;⽩酒;葡萄酒;薄荷酒;果酒（含酒精）;果酒</t>
  </si>
  <si>
    <t>谭健福</t>
  </si>
  <si>
    <t>李仙赋</t>
  </si>
  <si>
    <t>葡萄酒;清酒（⽇本⽶酒）;果酒（含酒精）;开胃酒;鸡尾酒;⻩酒;⽩酒;威⼠忌;酒精饮料（啤酒除外）;烈酒</t>
  </si>
  <si>
    <t>董豪强</t>
  </si>
  <si>
    <t>贵妃兔</t>
  </si>
  <si>
    <t>⻘稞酒;果酒（含酒精）;⽶酒;⻩酒;伏特加酒;威⼠忌;鸡尾酒;⽩酒;烧酒;葡萄酒</t>
  </si>
  <si>
    <t>广州苏涡生物科技有限公司</t>
  </si>
  <si>
    <t>苏涡</t>
  </si>
  <si>
    <t>葡萄酒;威士忌;白兰地;黄酒;烧酒;米酒;白酒;清酒（日本米酒）;鸡尾酒;朗姆酒</t>
  </si>
  <si>
    <t>黄凤琴</t>
  </si>
  <si>
    <t>襄味襄谷</t>
  </si>
  <si>
    <t>⽩酒;果酒;⾼粱酒;含酒精的饮料（啤酒除外）;⽼酒（中国蒸馏烈酒）;蒸馏饮料;⻩酒;⾷⽤酒精;烧酒;⽶酒</t>
  </si>
  <si>
    <t>张凤祥</t>
  </si>
  <si>
    <t>再马</t>
  </si>
  <si>
    <t>酒精饮料（啤酒除外）;烈酒（饮料）;威⼠忌;⽶酒;烧酒;果酒（含酒精）;开胃酒;⽩酒;葡萄酒;⻩酒</t>
  </si>
  <si>
    <t>绵媳妇</t>
  </si>
  <si>
    <t>烈酒;露酒;⽶酒;清酒;⽼酒（中国蒸馏烈酒）;葡萄酒;蜂蜜酒;烧酒;果酒;⽩酒</t>
  </si>
  <si>
    <t>本溪大石湖酒庄有限公司</t>
  </si>
  <si>
    <t>洋湖沟</t>
  </si>
  <si>
    <t xml:space="preserve">	甜酒; 露酒; 白干酒（中国白酒）; 清酒; 果酒（含酒精）; 白酒; 烧酒; 刺五加酒; 白兰地; 葡萄酒</t>
  </si>
  <si>
    <t>杨晓莹</t>
  </si>
  <si>
    <t>洞泉映岄</t>
  </si>
  <si>
    <t>果酒（含酒精）;⻩酒;烧酒;蜂蜜酒;利⼝酒;威⼠忌;⽼酒（中国蒸馏烈酒）;葡萄酒;⽶酒;⽩酒</t>
  </si>
  <si>
    <t>施雅婷</t>
  </si>
  <si>
    <t>齐聚祥龙</t>
  </si>
  <si>
    <t>果酒（含酒精）;利⼝酒;酒精饮料（啤酒除外）;烧酒;⻩酒;⽩酒;⾷⽤酒精;开胃酒;烈酒（饮料）;葡萄酒</t>
  </si>
  <si>
    <t>于德洛</t>
  </si>
  <si>
    <t>含酒精的饮料（啤酒除外）;烈酒（饮料）;薄荷酒;⻩酒;葡萄酒;⽶酒;鸡尾酒;以葡萄酒为主的饮料;⽩酒;威⼠忌</t>
  </si>
  <si>
    <t>贵州中酱投酒业（集团）有限公司</t>
  </si>
  <si>
    <t>智渠智道</t>
  </si>
  <si>
    <t>薄荷酒;果酒（含酒精）;威⼠忌;烧酒;开胃酒;预先混合的酒精饮料（以啤酒为主的除外）;酒精饮料（啤酒除外）;葡萄酒;⽩兰地;含酒精的⽔果鸡尾酒饮料</t>
  </si>
  <si>
    <t>聊城和韵建筑装饰工程有限公司</t>
  </si>
  <si>
    <t>雨林秘境</t>
  </si>
  <si>
    <t>威士忌; 烈酒（饮料）; 白兰地; 清酒（日本米酒）; 鸡尾酒; 酒精饮料（啤酒除外）; 果酒（含酒精）; 白酒; 食用酒精; 葡萄酒</t>
  </si>
  <si>
    <t>酷宾白</t>
  </si>
  <si>
    <t>葡萄酒;⾷⽤酒精;烈酒;清酒;⽶酒;鸡尾酒;果酒;烧酒;⻩酒;⽩酒</t>
  </si>
  <si>
    <t>苏州小灵猫信息科技有限公司</t>
  </si>
  <si>
    <t>东栈布衣名匠</t>
  </si>
  <si>
    <t>葡萄酒;⽶酒;烧酒;鸡尾酒;烈酒（饮料）;⽩酒;含⽔果酒精饮料;⻩酒;⾷⽤酒精;杨梅酒</t>
  </si>
  <si>
    <t>涂德国</t>
  </si>
  <si>
    <t>勤豆</t>
  </si>
  <si>
    <t>葡萄酒; 露酒; 谷物制蒸馏酒精饮料; 米酒; 白酒; 餐后酒（利口酒和烈酒）; 苹果酒; 烈酒（饮料）; 蒸馏饮料; 果酒（含酒精）</t>
  </si>
  <si>
    <t>蔡武</t>
  </si>
  <si>
    <t>蔡时臻</t>
  </si>
  <si>
    <t>汽酒;⽩酒;烈酒（饮料）;果酒（含酒精）;烧酒;⾷⽤酒精;威⼠忌;酒精饮料（啤酒除外）;含⽔果酒精饮料;葡萄酒</t>
  </si>
  <si>
    <t>诸暨江越阆酒业销售有限公司</t>
  </si>
  <si>
    <t>江越阆</t>
  </si>
  <si>
    <t>果酒;⽶酒;⾷⽤酒精;⽩⼲酒（中国⽩酒）;⻩酒;烧酒;⽼酒（中国蒸馏烈酒）;⾼粱酒;烈酒;⽩酒</t>
  </si>
  <si>
    <t>林国顺44072********9051X</t>
  </si>
  <si>
    <t>何全利</t>
  </si>
  <si>
    <t>烧酒;酒精饮料（啤酒除外）;⽶酒;⽩酒;果酒（含酒精）;清酒;酒精饮料原汁;葡萄酒;烈酒（饮料）;开胃酒</t>
  </si>
  <si>
    <t>王春霞</t>
  </si>
  <si>
    <t>孚瑞盈</t>
  </si>
  <si>
    <t>葡萄酒;⽩⼲酒（中国⽩酒）;烧酒（烈酒）;烧酒;⽶酒;⽩兰地;威⼠忌;⽩酒;⻩酒;清酒</t>
  </si>
  <si>
    <t>秋熊罴觉</t>
  </si>
  <si>
    <t>⽩酒;烈酒（饮料）;酒精饮料（啤酒除外）;⾕物制蒸馏酒精饮料;⾷⽤酒精;蒸馏饮料;餐后酒（利⼝酒和烈酒）;酒精饮料原汁;烧酒;果酒（含酒精）</t>
  </si>
  <si>
    <t>重庆华溪村焦婆婆食品坊</t>
  </si>
  <si>
    <t>好乡楚</t>
  </si>
  <si>
    <t>烈酒（饮料）;酒精饮料（啤酒除外）;预先混合的酒精饮料（以啤酒为主的除外）;烈酒;⽔果汽酒;含酒精的饮料（啤酒除外）;⽼酒（中国蒸馏烈酒）;蒸煮提取物（利⼝酒和烈酒）;⽩⼲酒（中国⽩酒）;果酒（含酒精）</t>
  </si>
  <si>
    <t>福王金幸福 幸福王金幸福</t>
  </si>
  <si>
    <t>酒精饮料（啤酒除外）;⽶酒;烧酒;葡萄酒;烈酒;果酒;⽼酒（中国蒸馏烈酒）;清酒;⻩酒;⽩酒</t>
  </si>
  <si>
    <t>宁夏君乐康科技有限公司</t>
  </si>
  <si>
    <t>学妹</t>
  </si>
  <si>
    <t>⻩酒;烧酒;鸡尾酒;烈酒（饮料）;葡萄酒;酒精饮料（啤酒除外）;⽶酒;⽩酒;果酒（含酒精）;清酒（⽇本⽶酒）</t>
  </si>
  <si>
    <t>山东泰井酒业有限公司</t>
  </si>
  <si>
    <t>泰井</t>
  </si>
  <si>
    <t>葡萄酒;酒精饮料（啤酒除外）;伏特加酒;⻩酒;果酒（含酒精）;清酒（⽇本⽶酒）;烧酒;⽶酒;⽩酒;开胃酒</t>
  </si>
  <si>
    <t>磐安县药乡蜂谷生态农林有限公司</t>
  </si>
  <si>
    <t>药乡蜂谷</t>
  </si>
  <si>
    <t xml:space="preserve">	含水果酒精饮料; 葡萄酒; 黄酒; 鸡尾酒; 果酒; 白酒; 米酒; 酒精饮料原汁; 酒精饮料（啤酒除外）; 食用酒精</t>
  </si>
  <si>
    <t>李勇山</t>
  </si>
  <si>
    <t>衡社烧坊</t>
  </si>
  <si>
    <t>葡萄酒;烧酒;⽩⼲酒（中国⽩酒）;佐餐酒;⽶酒;汽酒;果酒;⽩酒;⻩酒;含酒精的饮料（啤酒除外）</t>
  </si>
  <si>
    <t>深圳奥萨医药有限公司</t>
  </si>
  <si>
    <t>维叶清</t>
  </si>
  <si>
    <t>⽩酒;甜酒;酒精饮料（啤酒除外）;⻩酒;开胃酒;蒸馏饮料;⽶酒;⾷⽤酒精;葡萄酒;鸡尾酒;果酒</t>
  </si>
  <si>
    <t>诸葛隽</t>
  </si>
  <si>
    <t>蒸福高</t>
  </si>
  <si>
    <t>果酒（含酒精）;汽酒;⻩酒;烧酒;⻘稞酒;烈酒（饮料）;⽩兰地;⽶酒;⽩酒;葡萄酒</t>
  </si>
  <si>
    <t>秋晚稻熟</t>
  </si>
  <si>
    <t>餐后酒（利⼝酒和烈酒）;⽩酒;蒸馏饮料;酒精饮料（啤酒除外）;⾷⽤酒精;果酒（含酒精）;烈酒（饮料）;酒精饮料原汁;⾕物制蒸馏酒精饮料;烧酒</t>
  </si>
  <si>
    <t>吕艳红</t>
  </si>
  <si>
    <t>晋欢伯</t>
  </si>
  <si>
    <t>酒精饮料原汁;⽩酒;利⼝酒;⾷⽤酒精;烧酒;开胃酒;葡萄酒;烈酒（饮料）;⽶酒;⽩兰地</t>
  </si>
  <si>
    <t>广州泗海齐名贸易有限公司</t>
  </si>
  <si>
    <t>SINGLIA</t>
  </si>
  <si>
    <t>果酒（含酒精）;苹果酒;威⼠忌;伏特加酒;以葡萄酒为主的饮料;葡萄酒;酒精饮料（啤酒除外）;⽩兰地;酒精饮料浓缩汁;鸡尾酒</t>
  </si>
  <si>
    <t>申俊锋</t>
  </si>
  <si>
    <t>苏琢</t>
  </si>
  <si>
    <t>⻩酒;⽩酒;烧酒;果酒（含酒精）;⽢蔗制烈酒;酒精饮料（啤酒除外）;鸡尾酒;烈酒（饮料）;⽶酒;葡萄酒</t>
  </si>
  <si>
    <t>山西龙泉酒业有限公司</t>
  </si>
  <si>
    <t>⻩酒;烈酒;果酒;⽩酒;露酒;⽶酒;烧酒（烈酒）;⽼酒（中国蒸馏烈酒）;⽩⼲酒（中国⽩酒）;清酒</t>
  </si>
  <si>
    <t>复酒（四川）贸易有限公司</t>
  </si>
  <si>
    <t>隆龘</t>
  </si>
  <si>
    <t>烈酒（饮料）;柑⾹酒;⽩酒;⽩兰地;苹果酒;鸡尾酒;⽶酒;葡萄酒;亚⼒酒;苦味酒</t>
  </si>
  <si>
    <t>佬龘</t>
  </si>
  <si>
    <t>⽶酒;⽩酒;亚⼒酒;柑⾹酒;烈酒（饮料）;鸡尾酒;⽩兰地;苹果酒;苦味酒;葡萄酒</t>
  </si>
  <si>
    <t>四川格林耐特科技有限公司</t>
  </si>
  <si>
    <t>揽境状元府</t>
  </si>
  <si>
    <t>⽩酒;烧酒;烈酒;汽酒;⾼粱酒;⻩酒;梅酒;果酒（含酒精）;甜酒;⽶酒</t>
  </si>
  <si>
    <t>烟台希雅斯葡萄酒有限公司</t>
  </si>
  <si>
    <t>莱卡图斯</t>
  </si>
  <si>
    <t>开胃酒;葡萄酒;烈酒（饮料）;汽酒;⽩兰地;含⽔果酒精饮料;⽩酒;果酒（含酒精）;鸡尾酒;威⼠忌</t>
  </si>
  <si>
    <t>田翠</t>
  </si>
  <si>
    <t>遵醳丞</t>
  </si>
  <si>
    <t>⻩酒;果酒（含酒精）;⽩兰地;朗姆酒;酒精饮料（啤酒除外）;以葡萄酒为主的饮料;威⼠忌;⾷⽤酒精;⽩酒;烈酒（饮料）</t>
  </si>
  <si>
    <t>山东齐跃餐饮管理有限公司</t>
  </si>
  <si>
    <t>齐闽</t>
  </si>
  <si>
    <t>葡萄酒;果酒（含酒精）;以蒸馏酒为主的开胃酒;⽶酒;由⾕物蒸馏的⽩酒;烈酒（饮料）;⽩兰地;伏特加酒;⻩酒;⽩酒</t>
  </si>
  <si>
    <t>河北好酒满尚供应链管理有限公司</t>
  </si>
  <si>
    <t>泜水</t>
  </si>
  <si>
    <t>酒精饮料（啤酒除外）;⻘稞酒;蒸馏饮料;葡萄酒;⽩酒;⽶酒;⻩酒;果酒（含酒精）;烧酒;⾷⽤酒精</t>
  </si>
  <si>
    <t>克莱芒</t>
  </si>
  <si>
    <t>威⼠忌;葡萄酒;以葡萄酒为主的饮料;⽩酒;薄荷酒;鸡尾酒;⻩酒;烈酒（饮料）;⽶酒;含酒精的饮料（啤酒除外）</t>
  </si>
  <si>
    <t>贾远攀</t>
  </si>
  <si>
    <t>凤液台</t>
  </si>
  <si>
    <t>果酒（含酒精）;酒精饮料（啤酒除外）;⽶酒;蒸馏饮料;⻩酒;酒精饮料原汁;含⽔果酒精饮料;⽩酒;预先混合的酒精饮料（以啤酒为主的除外）;葡萄酒</t>
  </si>
  <si>
    <t>杭州老吧酒类有限公司</t>
  </si>
  <si>
    <t>知崇</t>
  </si>
  <si>
    <t>预先混合的酒精饮料（以啤酒为主的除外）;蒸馏饮料;葡萄酒;伏特加酒;烧酒;⽶酒;⻩酒;鸡尾酒;⽩酒;蒸煮提取物（利⼝酒和烈酒）</t>
  </si>
  <si>
    <t>礼龘</t>
  </si>
  <si>
    <t>苹果酒;苦味酒;鸡尾酒;⽩酒;柑⾹酒;烈酒（饮料）;⽶酒;亚⼒酒;⽩兰地;葡萄酒</t>
  </si>
  <si>
    <t>徐志妹</t>
  </si>
  <si>
    <t>固动力</t>
  </si>
  <si>
    <t>烈酒（饮料）;果酒（含酒精）;⽩酒;威⼠忌;烧酒;汽酒;⻩酒;蒸馏饮料;葡萄酒;酒精饮料（啤酒除外）</t>
  </si>
  <si>
    <t>黔碗</t>
  </si>
  <si>
    <t>⻘稞酒;清酒（⽇本⽶酒）;烈酒;⽩酒;⽼酒（中国蒸馏烈酒）;葡萄酒;⽶酒;清酒;⻩酒;烧酒</t>
  </si>
  <si>
    <t>广州市爱姿瑕生物科技有限公司</t>
  </si>
  <si>
    <t>以蒸馏酒为主的开胃酒;⽩酒;⽩兰地;⽶酒;果酒;烧酒;甜酒;鸡尾酒;葡萄酒;⾼粱酒</t>
  </si>
  <si>
    <t>贵州省仁怀市梦一樽酒业销售有限公司</t>
  </si>
  <si>
    <t>人财两福</t>
  </si>
  <si>
    <t>鸡尾酒;威⼠忌;果酒;⽶酒;利⼝酒;⻩酒;烧酒;葡萄酒;⻘稞酒;⽩酒</t>
  </si>
  <si>
    <t>吴谦</t>
  </si>
  <si>
    <t>品钞堂</t>
  </si>
  <si>
    <t>果酒（含酒精）;鸡尾酒;烈酒（饮料）;⻩酒;酒精饮料（啤酒除外）;清酒（⽇本⽶酒）;葡萄酒;⽩酒;烧酒;⽶酒</t>
  </si>
  <si>
    <t>揽岳状元府</t>
  </si>
  <si>
    <t>烈酒;汽酒;甜酒;烧酒;⾼粱酒;⻩酒;梅酒;果酒（含酒精）;⽩酒;⽶酒</t>
  </si>
  <si>
    <t>中科智能电子（广州）有限公司</t>
  </si>
  <si>
    <t>幸福渔</t>
  </si>
  <si>
    <t>⽶酒;⽩葡萄酒;伏特加酒;⽩酒;红葡萄酒;⾼粱酒;杨梅酒;⻘梅酒;甜酒;⽩兰地</t>
  </si>
  <si>
    <t>沈阳顺诚精工技术有限公司</t>
  </si>
  <si>
    <t>JINGFUDA</t>
  </si>
  <si>
    <t>果酒（含酒精）;⻘稞酒;开胃酒;⽶酒;⽩酒;烈酒（饮料）;清酒（⽇本⽶酒）;⻩酒;葡萄酒;鸡尾酒</t>
  </si>
  <si>
    <t>刘艳华</t>
  </si>
  <si>
    <t>金石相磨</t>
  </si>
  <si>
    <t>⽩酒;果酒（含酒精）;烈酒（饮料）;蒸馏饮料;露酒;餐后酒（利⼝酒和烈酒）;苹果酒;葡萄酒;⽶酒;⾕物制蒸馏酒精饮料</t>
  </si>
  <si>
    <t>贵州菱奥电梯销售服务有限公司</t>
  </si>
  <si>
    <t>文上</t>
  </si>
  <si>
    <t>酒精饮料（啤酒除外）;⽼酒（中国蒸馏烈酒）;烈酒（饮料）;烈酒;鸡尾酒;⽩酒;葡萄酒;⽩⼲酒（中国⽩酒）;果酒;⾼粱酒</t>
  </si>
  <si>
    <t>黄山念昕品牌管理有限公司</t>
  </si>
  <si>
    <t>洲头梁</t>
  </si>
  <si>
    <t>⻩酒;⽶酒;葡萄酒;⾕物制蒸馏酒精饮料;果酒（含酒精）;⾷⽤酒精;⽩⼲酒（中国⽩酒）;烈性⼲酒;⽼酒（中国蒸馏烈酒）;⾼粱酒</t>
  </si>
  <si>
    <t>吉兰科胡特</t>
  </si>
  <si>
    <t>⻩酒;威⼠忌;⽩酒;烈酒（饮料）;薄荷酒;葡萄酒;鸡尾酒;以葡萄酒为主的饮料;含酒精的饮料（啤酒除外）;⽶酒</t>
  </si>
  <si>
    <t>北京远集商贸有限公司</t>
  </si>
  <si>
    <t>巷见</t>
  </si>
  <si>
    <t>酒精饮料原汁;酒精饮料浓缩汁;⽼酒（中国蒸馏烈酒）;已调味的蒸馏酒;烈酒（饮料）;⾕物制蒸馏酒精饮料;⾷⽤酒精;⽩酒;蒸馏饮料;酒精饮料（啤酒除外）</t>
  </si>
  <si>
    <t>翁昌龄</t>
  </si>
  <si>
    <t>壕情之念</t>
  </si>
  <si>
    <t>葡萄酒;威士忌;米酒;以葡萄酒为主的饮料;伏特加酒;烈酒（饮料）;酒精饮料原汁;白酒;白兰地;餐后酒（利口酒和烈酒）</t>
  </si>
  <si>
    <t>长沙新鲜力企业管理有限公司</t>
  </si>
  <si>
    <t>卧虎茶农</t>
  </si>
  <si>
    <t>蒸馏饮料;鸡尾酒;酒精饮料原汁;谷物制蒸馏酒精饮料;果酒（含酒精）;樱桃酒;含水果酒精饮料;米酒;葡萄酒;汽酒</t>
  </si>
  <si>
    <t>山西德隆聚文化传媒有限公司</t>
  </si>
  <si>
    <t>青河萄</t>
  </si>
  <si>
    <t>开胃酒;酒精饮料（啤酒除外）;白酒;米酒;威士忌;果酒（含酒精）;黄酒;烧酒;食用酒精;葡萄酒</t>
  </si>
  <si>
    <t>吉辞</t>
  </si>
  <si>
    <t>利⼝酒;酒精饮料（啤酒除外）;⻩酒;⽶酒;⽔果汽酒;⽼酒（中国蒸馏烈酒）;⽩酒;葡萄酒;清酒;汽酒</t>
  </si>
  <si>
    <t>贵州宝洞酒业有限公司</t>
  </si>
  <si>
    <t>旭龙宝洞</t>
  </si>
  <si>
    <t>⻩酒;⽩酒;⾼粱酒;蒸煮提取物（利⼝酒和烈酒）;果酒;烧酒（烈酒）;⽼酒（中国蒸馏烈酒）;由⾕物蒸馏的⽩酒;⽩⼲酒（中国⽩酒）;⽶酒</t>
  </si>
  <si>
    <t>周庆权</t>
  </si>
  <si>
    <t>梨酒;烈酒（饮料）;薄荷酒;果酒（含酒精）;烧酒;汽酒;⽩酒;开胃酒;⽶酒;利⼝酒</t>
  </si>
  <si>
    <t>贵州清水江酒业有限公司</t>
  </si>
  <si>
    <t>麓沟</t>
  </si>
  <si>
    <t>⻩酒;烈酒（饮料）;⽶酒;⾕物制蒸馏酒精饮料;餐后酒（利⼝酒和烈酒）;烧酒;⽩酒;酒精饮料（啤酒除外）;预先混合的酒精饮料（以啤酒为主的除外）;⾷⽤酒精</t>
  </si>
  <si>
    <t>程长云</t>
  </si>
  <si>
    <t>房云程</t>
  </si>
  <si>
    <t>⽩⼲酒（中国⽩酒）;果酒;⾼粱酒;⻩酒;⽼酒（中国蒸馏烈酒）;由⾕物蒸馏的⽩酒;⽶酒;⽩酒;烧酒（烈酒）;酒精饮料（啤酒除外）</t>
  </si>
  <si>
    <t>漳州庆相逢酒业有限公司</t>
  </si>
  <si>
    <t>嘉宝提卡</t>
  </si>
  <si>
    <t>伏特加酒;威⼠忌;⽩兰地;⽶酒;清酒（⽇本⽶酒）;烧酒;果酒（含酒精）;蒸煮提取物（利⼝酒和烈酒）;葡萄酒;⻩酒</t>
  </si>
  <si>
    <t>宿迁德福酒业有限公司</t>
  </si>
  <si>
    <t>恙酒</t>
  </si>
  <si>
    <t>汽酒;⻘稞酒;果酒（含酒精）;⽶酒;⻩酒;烧酒;清酒;酒精饮料（啤酒除外）;⽩酒;葡萄酒</t>
  </si>
  <si>
    <t>杭州元友荟科技有限公司</t>
  </si>
  <si>
    <t>专鼠</t>
  </si>
  <si>
    <t>烈酒（饮料）;⽩酒;蒸煮提取物（利⼝酒和烈酒）;鸡尾酒;已调味的⻨芽酿制的酒精饮料（啤酒除外）;⾕物制蒸馏酒精饮料;烧酒;蒸馏饮料;以葡萄酒为主的饮料;果酒（含酒精）</t>
  </si>
  <si>
    <t>万茗堂有限公司</t>
  </si>
  <si>
    <t>威⼠忌;酒精饮料原汁;茴⾹酒（利⼝酒）;鸡尾酒;酒精饮料（啤酒除外）;果酒（含酒精）;葡萄酒;⽩兰地;烈酒（饮料）;⽩酒</t>
  </si>
  <si>
    <t>深圳市海滨贸易发展有限公司</t>
  </si>
  <si>
    <t>名始祖</t>
  </si>
  <si>
    <t>⽶酒;苹果酒;⻩酒;果酒（含酒精）;烧酒;清酒（⽇本⽶酒）;亚⼒酒;葡萄酒;⽩酒</t>
  </si>
  <si>
    <t>张沛祥</t>
  </si>
  <si>
    <t>西夏丑心疼</t>
  </si>
  <si>
    <t>果酒（含酒精）;加烈葡萄酒;威⼠忌;含⽔果酒精饮料;起泡红葡萄酒;蒸馏饮料;葡萄酒;⽩兰地;⽩酒;以葡萄酒为主的饮料</t>
  </si>
  <si>
    <t>宋韵浔道文化美学</t>
  </si>
  <si>
    <t>⾼粱酒;⽩酒;果酒（含酒精）;⻩酒;酒精饮料（啤酒除外）;烈酒;烧酒;开胃酒;烈酒（饮料）;蜂蜜酒</t>
  </si>
  <si>
    <t>宋韵浔道文化美学酒庄</t>
  </si>
  <si>
    <t>果酒（含酒精）;⾼粱酒;酒精饮料（啤酒除外）;⻩酒;烈酒;烈酒（饮料）;⽩酒;烧酒;开胃酒;蜂蜜酒</t>
  </si>
  <si>
    <t>浔道至臻</t>
  </si>
  <si>
    <t>⾼粱酒;⽩酒;开胃酒;蜂蜜酒;烧酒;⻩酒;烈酒（饮料）;酒精饮料（啤酒除外）;烈酒;果酒（含酒精）</t>
  </si>
  <si>
    <t>贵州皇城庄园酒业有限公司</t>
  </si>
  <si>
    <t>和顺嘉畅</t>
  </si>
  <si>
    <t>果酒;⽩酒;⽶酒;杨梅酒;烈酒;烧酒（烈酒）;⻩酒;烧酒;⽩兰地;⻘梅酒</t>
  </si>
  <si>
    <t>果酒;鸡尾酒;清酒;⽩酒;⽶酒;葡萄酒;烈酒;烧酒;⻩酒;⾷⽤酒精</t>
  </si>
  <si>
    <t>姜作生</t>
  </si>
  <si>
    <t>匠保林</t>
  </si>
  <si>
    <t>⽩酒;⾷⽤酒精;鸡尾酒;葡萄酒;露酒;烧酒;酒精饮料（啤酒除外）;⽩兰地;⽶酒;果酒（含酒精）</t>
  </si>
  <si>
    <t>绿园区王老三酿酒坊</t>
  </si>
  <si>
    <t>阿佐月下</t>
  </si>
  <si>
    <t>蜂蜜酒;酒精饮料（啤酒除外）;以葡萄酒为主的饮料;蒸馏饮料;⽩酒;含⽔果酒精饮料;烧酒;果酒（含酒精）;⽶酒;葡萄酒</t>
  </si>
  <si>
    <t>贵人渡</t>
  </si>
  <si>
    <t>葡萄酒;烈酒;⽼酒（中国蒸馏烈酒）;清酒（⽇本⽶酒）;⽶酒;清酒;⻘稞酒;烧酒;⻩酒;⽩酒</t>
  </si>
  <si>
    <t>酌悟</t>
  </si>
  <si>
    <t>⽶酒;清酒;葡萄酒;⻩酒;清酒（⽇本⽶酒）;⽩酒;⻘稞酒;⽼酒（中国蒸馏烈酒）;烧酒;烈酒</t>
  </si>
  <si>
    <t>衡昌传承</t>
  </si>
  <si>
    <t>⾼粱酒;⻩酒;⽶酒;⽩⼲酒（中国⽩酒）;烧酒;含⽔果酒精饮料;⻘稞酒;⽩酒;开胃酒;葡萄酒</t>
  </si>
  <si>
    <t>江西臻牛营养品有限公司</t>
  </si>
  <si>
    <t>养自知</t>
  </si>
  <si>
    <t>果酒;威⼠忌;除啤酒外的酒精饮料;苹果酒;葡萄酒;烧酒（烈酒）;⽩酒;汽酒;鸡尾酒;含⽔果酒精饮料</t>
  </si>
  <si>
    <t>广西容县农大叔商贸有限公司</t>
  </si>
  <si>
    <t>乡下农大叔</t>
  </si>
  <si>
    <t>葡萄酒;烈酒（饮料）;果酒（含酒精）;蜂蜜酒;⽩酒;⻩酒;苹果酒;利⼝酒;烧酒;⽶酒</t>
  </si>
  <si>
    <t>沈阳鸿信德运商贸有限公司</t>
  </si>
  <si>
    <t>艺茄芢</t>
  </si>
  <si>
    <t>酒精饮料（啤酒除外）;米酒;白酒;葡萄酒;黄酒;烧酒</t>
  </si>
  <si>
    <t>广西壮田收益食品有限公司</t>
  </si>
  <si>
    <t>壮派公文包</t>
  </si>
  <si>
    <t>⽶酒;烧酒;⽩酒;果酒;烧酒（烈酒）;⻘稞酒;清酒;⽼酒（中国蒸馏烈酒）;⾼粱酒;⾕物制蒸馏酒精饮料</t>
  </si>
  <si>
    <t>浙江博来纳润电子材料有限公司</t>
  </si>
  <si>
    <t>BLNR</t>
  </si>
  <si>
    <t>酒精饮料浓缩汁;酒精饮料（啤酒除外）;⽶酒;⻩酒;蒸馏饮料;⽩酒;鸡尾酒;果酒（含酒精）;汽酒;葡萄酒</t>
  </si>
  <si>
    <t>张国时</t>
  </si>
  <si>
    <t>SHANGJI FORT</t>
  </si>
  <si>
    <t>威⼠忌;朗姆酒;葡萄酒;开胃酒;朗姆酒（酒精饮料）;⽩酒;鸡尾酒;伏特加酒;⻩酒;⽩兰地</t>
  </si>
  <si>
    <t>福运家旺</t>
  </si>
  <si>
    <t>⽩酒;葡萄酒;⽶酒;烧酒;鸡尾酒;果酒;⻩酒;利⼝酒;⻘稞酒;威⼠忌</t>
  </si>
  <si>
    <t>共青城羽众文化科技有限公司</t>
  </si>
  <si>
    <t>富华山</t>
  </si>
  <si>
    <t>鸡尾酒;餐后酒（利口酒和烈酒）;威士忌;开胃酒;白兰地;米酒;烧酒;白酒;黄酒;葡萄酒</t>
  </si>
  <si>
    <t>CASH CACH</t>
  </si>
  <si>
    <t>伏特加酒;威士忌;米酒;红葡萄酒;白酒;鸡尾酒;利口酒;果酒;清酒（日本米酒）;烈酒（饮料）</t>
  </si>
  <si>
    <t>青岛德盛智鼎商贸有限公司</t>
  </si>
  <si>
    <t>高云珆</t>
  </si>
  <si>
    <t>⻘稞酒;⾷⽤酒精;烧酒;朝鲜族⽶酒;樱桃酒;⽩酒;⻩酒;以葡萄酒为主的饮料;由⾕物蒸馏的⽩酒;⾕物制蒸馏酒精饮料</t>
  </si>
  <si>
    <t>瓦伦蒂娜卡萨诺瓦</t>
  </si>
  <si>
    <t>⽶酒;伏特加酒;烧酒;朗姆酒;以葡萄酒为主的饮料;威⼠忌;果酒（含酒精）;葡萄酒;⽩酒;⻩酒</t>
  </si>
  <si>
    <t>贵州龙头马酒业集团有限公司</t>
  </si>
  <si>
    <t>龙粉惠</t>
  </si>
  <si>
    <t>果酒（含酒精）;含⽔果酒精饮料;⾷⽤酒精;葡萄酒;⽩酒;⽶酒;烧酒;⻘稞酒;⻩酒;酒精饮料（啤酒除外）</t>
  </si>
  <si>
    <t>赵高平（532128********1571）</t>
  </si>
  <si>
    <t>桥二多</t>
  </si>
  <si>
    <t>含⽔果酒精饮料;⽶酒;果酒（含酒精）;酒精饮料（啤酒除外）;⾷⽤酒精;葡萄酒;烈酒（饮料）;⽩酒;蒸馏饮料;⻩酒</t>
  </si>
  <si>
    <t>贵保林</t>
  </si>
  <si>
    <t>⽶酒;⾷⽤酒精;烧酒;⽩酒;酒精饮料（啤酒除外）;露酒;鸡尾酒;⽩兰地;葡萄酒;果酒（含酒精）</t>
  </si>
  <si>
    <t>安徽武林风酒业有限公司</t>
  </si>
  <si>
    <t>旷古原窖</t>
  </si>
  <si>
    <t>鸡尾酒;果酒;葡萄酒;⽩酒;露酒;威⼠忌;伏特加酒;朗姆酒;烈酒;酒精饮料（啤酒除外）</t>
  </si>
  <si>
    <t>贵州答案酒业（集团）有限公司</t>
  </si>
  <si>
    <t>答安木</t>
  </si>
  <si>
    <t>⻩酒;开胃酒;烈酒（饮料）;鸡尾酒;烧酒;⽩酒;果酒（含酒精）;含⽔果酒精饮料;⽶酒;葡萄酒</t>
  </si>
  <si>
    <t>姚小童</t>
  </si>
  <si>
    <t>华仙翁</t>
  </si>
  <si>
    <t>甜酒;汽酒;烧酒;果酒;⽩酒;⻩酒;酒精饮料（啤酒除外）;⽶酒;烈酒;⽼酒（中国蒸馏烈酒）</t>
  </si>
  <si>
    <t>娄底金香商贸有限公司</t>
  </si>
  <si>
    <t>LD JXSM</t>
  </si>
  <si>
    <t>果酒（含酒精）;⽩酒;⾕物制蒸馏酒精饮料;鸡尾酒;烧酒（烈酒）;⽩兰地;威⼠忌;以葡萄酒为主的开胃酒;⻩酒;葡萄酒</t>
  </si>
  <si>
    <t>白俊海</t>
  </si>
  <si>
    <t>丛润</t>
  </si>
  <si>
    <t>果酒（含酒精）;⽶酒;蜂蜜酒;⽩兰地;葡萄酒;朗姆酒;⻩酒;伏特加酒;⽩酒;威⼠忌</t>
  </si>
  <si>
    <t>北京时代兴华文化发展有限公司</t>
  </si>
  <si>
    <t>书香伴侣</t>
  </si>
  <si>
    <t>果酒（含酒精）;酒精饮料原汁;苹果酒;利⼝酒;以葡萄酒为主的饮料;酒精饮料浓缩汁;樱桃酒;酒精饮料（啤酒除外）;含⽔果酒精饮料;柑⾹酒</t>
  </si>
  <si>
    <t>刘胜琼</t>
  </si>
  <si>
    <t>刘子涵</t>
  </si>
  <si>
    <t>果酒（含酒精）;威⼠忌;⽩兰地;葡萄酒;⽩酒;利⼝酒;酒精饮料（啤酒除外）;烈酒;伏特加酒;鸡尾酒</t>
  </si>
  <si>
    <t>林锦坛</t>
  </si>
  <si>
    <t>BYADBS</t>
  </si>
  <si>
    <t>开胃酒;甜酒;⻩酒;⽩酒;清酒;⽶酒;含酒精的鸡尾酒混合饮品;葡萄酒;⽩兰地;烧酒;威⼠忌;果酒</t>
  </si>
  <si>
    <t>马清光</t>
  </si>
  <si>
    <t>锦盛昌</t>
  </si>
  <si>
    <t>⽩兰地;烧酒;鸡尾酒;烈酒（饮料）;⾼粱酒;⻘稞酒;果酒（含酒精）;⽶酒;葡萄汽酒;⽩酒</t>
  </si>
  <si>
    <t>硐</t>
  </si>
  <si>
    <t>⾼粱酒;⽶酒;由⾕物蒸馏的⽩酒;⽩⼲酒（中国⽩酒）;⽩酒;⽼酒（中国蒸馏烈酒）;烧酒（烈酒）;蒸煮提取物（利⼝酒和烈酒）;⻩酒;果酒</t>
  </si>
  <si>
    <t>侠道</t>
  </si>
  <si>
    <t>⻩酒;葡萄酒;清酒（⽇本⽶酒）;⽶酒;⻘稞酒;烈酒;⽩酒;⽼酒（中国蒸馏烈酒）;清酒;烧酒</t>
  </si>
  <si>
    <t>樊徐多</t>
  </si>
  <si>
    <t>葡萄酒;烈酒（饮料）;酒精饮料（啤酒除外）;⽩酒;威⼠忌;⻩酒;开胃酒;鸡尾酒;清酒（⽇本⽶酒）;果酒（含酒精）</t>
  </si>
  <si>
    <t>长春德隆堂生物科技有限公司</t>
  </si>
  <si>
    <t>鹿营</t>
  </si>
  <si>
    <t>⻩酒;酒精饮料（啤酒除外）;⾼粱酒;果酒（含酒精）;⽶酒;含酒精⽔果饮料;⽩酒;烧酒;烈酒（饮料）;葡萄酒</t>
  </si>
  <si>
    <t>秋蛰虫眠</t>
  </si>
  <si>
    <t>果酒（含酒精）;烈酒（饮料）;酒精饮料原汁;⾷⽤酒精;⾕物制蒸馏酒精饮料;酒精饮料（啤酒除外）;烧酒;餐后酒（利⼝酒和烈酒）;⽩酒;蒸馏饮料</t>
  </si>
  <si>
    <t>李立春</t>
  </si>
  <si>
    <t>良毛</t>
  </si>
  <si>
    <t>伏特加酒;朗姆酒;葡萄酒;⽩兰地;⻘稞酒;⽶酒;威⼠忌;果酒（含酒精）;⽩酒;利⼝酒</t>
  </si>
  <si>
    <t>宜宾市翠屏区阳旭商贸有限公司</t>
  </si>
  <si>
    <t>龙凤相承</t>
  </si>
  <si>
    <t>烈酒（饮料）;⻘稞酒;⽩酒;威⼠忌;鸡尾酒;⾷⽤酒精;葡萄酒;烧酒;伏特加酒;酒精饮料原汁</t>
  </si>
  <si>
    <t>胡林</t>
  </si>
  <si>
    <t>金粮龙</t>
  </si>
  <si>
    <t>开胃酒;预先混合的酒精饮料（以啤酒为主的除外）;烧酒;烈酒（饮料）;葡萄酒;⻩酒;清酒（⽇本⽶酒）;鸡尾酒;蜂蜜酒;⽩酒</t>
  </si>
  <si>
    <t>西安荣归商贸有限公司</t>
  </si>
  <si>
    <t>九中规</t>
  </si>
  <si>
    <t>⽩兰地;葡萄酒;清酒（⽇本⽶酒）;⾷⽤酒精;苹果酒;果酒;鸡尾酒;⽩酒;⻩酒;烧酒</t>
  </si>
  <si>
    <t>白山市江源区林野佳品食品有限公司</t>
  </si>
  <si>
    <t>林漜佳品</t>
  </si>
  <si>
    <t>葡萄酒;⽩兰地;⾼粱酒;⽩酒;烈酒;酒精饮料（啤酒除外）;朗姆酒;威⼠忌;餐后酒（利⼝酒和烈酒）;果酒（含酒精）</t>
  </si>
  <si>
    <t>陈红彦</t>
  </si>
  <si>
    <t>中易卧龙坛</t>
  </si>
  <si>
    <t>蒸馏饮料;果酒（含酒精）;烈酒（饮料）;酒精饮料原汁;⽩酒;利⼝酒;葡萄酒;含⽔果酒精饮料;⻩酒;酒精饮料（啤酒除外）</t>
  </si>
  <si>
    <t>王瑾</t>
  </si>
  <si>
    <t>善水东渡</t>
  </si>
  <si>
    <t>果酒（含酒精）;葡萄酒;烈酒（饮料）;⾷⽤酒精;烧酒;⻩酒;⽩酒;威⼠忌;伏特加酒;酒精饮料（啤酒除外）</t>
  </si>
  <si>
    <t>北京观阁信息技术有限公司</t>
  </si>
  <si>
    <t>遇茹</t>
  </si>
  <si>
    <t>果酒（含酒精）;苦味酒;蒸馏饮料;开胃酒;⻩酒;酒精饮料（啤酒除外）;⽩酒;薄荷酒;⽩兰地;葡萄酒</t>
  </si>
  <si>
    <t>海口中道安卓进出口贸易有限公司</t>
  </si>
  <si>
    <t>加素里酒庄</t>
  </si>
  <si>
    <t>果酒（含酒精）;葡萄酒;威⼠忌;⾕物制蒸馏酒精饮料;汽酒;⽩兰地;含⽔果酒精饮料;朗姆酒;以葡萄酒为主的饮料;樱桃酒</t>
  </si>
  <si>
    <t>萍乡武功山鑫丰商贸有限公司</t>
  </si>
  <si>
    <t>烧酒;葡萄酒;含⽔果酒精饮料;酒精饮料原汁;烈酒（饮料）;⻩酒;⽶酒;⽩酒;果酒（含酒精）;汽酒</t>
  </si>
  <si>
    <t>广州市乾智餐饮管理有限公司</t>
  </si>
  <si>
    <t>屋喀味</t>
  </si>
  <si>
    <t>⽶酒;⻩酒;含⽔果酒精饮料;果酒（含酒精）;烈酒;⽩酒;果酒;含酒精的饮料（啤酒除外）;葡萄酒;⻨芽威⼠忌</t>
  </si>
  <si>
    <t>郑红霞</t>
  </si>
  <si>
    <t>观州小白</t>
  </si>
  <si>
    <t>汽酒;酒精饮料（啤酒除外）;果酒（含酒精）;⻩酒;含⽔果酒精饮料;烧酒;酒精饮料浓缩汁;烈酒（饮料）;⽩酒;⾷⽤酒精</t>
  </si>
  <si>
    <t>DOMAINE GLANTENET</t>
  </si>
  <si>
    <t>烈酒（饮料）;⻩酒;以葡萄酒为主的饮料;⽩酒;葡萄酒;鸡尾酒;威⼠忌;含酒精的饮料（啤酒除外）;⽶酒;薄荷酒</t>
  </si>
  <si>
    <t>蓝鹏</t>
  </si>
  <si>
    <t>屋酿金</t>
  </si>
  <si>
    <t>葡萄酒;⽶酒;果酒（含酒精）;利⼝酒;⽩酒;含⽔果酒精饮料;酒精饮料（啤酒除外）;⻩酒;⽩兰地;威⼠忌</t>
  </si>
  <si>
    <t>宫伟</t>
  </si>
  <si>
    <t>大漠金豆子</t>
  </si>
  <si>
    <t>汽酒;鸡尾酒;烈酒（饮料）;清酒;甜酒;葡萄酒;⽶酒;⻩酒;⽩酒;果酒（含酒精）</t>
  </si>
  <si>
    <t>王春全</t>
  </si>
  <si>
    <t>兄弟团心选</t>
  </si>
  <si>
    <t>烈酒;甜酒;⽩酒;⻩酒;酒精饮料（啤酒除外）;果酒;⽶酒;汽酒;葡萄酒;烧酒</t>
  </si>
  <si>
    <t>徐多樊</t>
  </si>
  <si>
    <t>果酒（含酒精）;葡萄酒;烈酒（饮料）;清酒（⽇本⽶酒）;威⼠忌;⽩酒;⻩酒;鸡尾酒;开胃酒;酒精饮料（啤酒除外）</t>
  </si>
  <si>
    <t>贵州仁怀黔盟酒业有限公司</t>
  </si>
  <si>
    <t>黔盟基酒</t>
  </si>
  <si>
    <t>⽩酒;⽶酒;烈酒;烈性⼲酒;烧酒;甜酒;⽩⼲酒（中国⽩酒）;酒精饮料（啤酒除外）;朗姆酒;伏特加酒</t>
  </si>
  <si>
    <t>贵州京谭酒业有限责任公司</t>
  </si>
  <si>
    <t>谭弜</t>
  </si>
  <si>
    <t>⻘稞酒;酒精饮料（啤酒除外）;葡萄酒;⽩酒;⽶酒;蒸馏饮料;⻩酒;果酒（含酒精）;⾷⽤酒精;烧酒</t>
  </si>
  <si>
    <t>黔东南三只水牛食品有限公司</t>
  </si>
  <si>
    <t>苗阿蕾</t>
  </si>
  <si>
    <t>清酒（⽇本⽶酒）;⽶酒;烧酒;⻩酒;⽩酒;葡萄酒;⽩兰地;鸡尾酒;烈酒（饮料）;开胃酒</t>
  </si>
  <si>
    <t>安蕊</t>
  </si>
  <si>
    <t>晏粮春</t>
  </si>
  <si>
    <t>果酒;酒精饮料原汁;烧酒;预先混合的酒精饮料（以啤酒为主的除外）;甜酒;⽩酒;⾼粱酒;葡萄酒;烈酒;蒸馏饮料</t>
  </si>
  <si>
    <t>广东长隆文化产业有限公司</t>
  </si>
  <si>
    <t>FUNPINKEE</t>
  </si>
  <si>
    <t>⾷⽤酒精;烈酒（饮料）;⻩酒;⽶酒;⽩酒;烧酒;蒸馏饮料;酒精饮料（啤酒除外）;葡萄酒;开胃酒</t>
  </si>
  <si>
    <t>偏东雨</t>
  </si>
  <si>
    <t>⽩酒;⽩⼲酒（中国⽩酒）;由⾕物蒸馏的⽩酒</t>
  </si>
  <si>
    <t>重庆仙杯酒业有限公司</t>
  </si>
  <si>
    <t>仙杯宫廷醇</t>
  </si>
  <si>
    <t>葡萄酒;⻩酒;酒精饮料（啤酒除外）;果酒;烧酒;烈酒;⽼酒（中国蒸馏烈酒）;⽩酒;⽶酒;⾼粱酒</t>
  </si>
  <si>
    <t>四川咖派酒业有限公司</t>
  </si>
  <si>
    <t>丹潭</t>
  </si>
  <si>
    <t>酒精饮料（啤酒除外）;⻘稞酒;⻩酒;⽩酒;汽酒;⽶酒;果酒（含酒精）;酸酒（低等葡萄酒）;苹果酒;葡萄酒</t>
  </si>
  <si>
    <t>陶阳</t>
  </si>
  <si>
    <t>妙訫</t>
  </si>
  <si>
    <t>⽩酒;蒸馏饮料;酒精饮料（啤酒除外）;⽶酒;威⼠忌;葡萄酒;鸡尾酒;果酒;⽩兰地;开胃酒</t>
  </si>
  <si>
    <t>兰家豪</t>
  </si>
  <si>
    <t>季良造</t>
  </si>
  <si>
    <t>烧酒;⽶酒;⻩酒;果酒（含酒精）;清酒;⽩酒;威⼠忌;鸡尾酒;葡萄酒;朗姆酒</t>
  </si>
  <si>
    <t>山东宴宝食品工业有限公司</t>
  </si>
  <si>
    <t>莘客</t>
  </si>
  <si>
    <t>清酒（⽇本⽶酒）;葡萄酒;⽩酒;酒精饮料（啤酒除外）;烧酒;⾷⽤酒精;开胃酒;汽酒;果酒（含酒精）;⽩兰地</t>
  </si>
  <si>
    <t>广西华榄基因医药集团有限公司</t>
  </si>
  <si>
    <t>瑶恩堂</t>
  </si>
  <si>
    <t>⻘稞酒;⽩酒;果酒（含酒精）;含⽔果酒精饮料;⻩酒;薄荷酒;葡萄酒;⽶酒;蜂蜜酒;蒸馏饮料</t>
  </si>
  <si>
    <t>辽宁葫芦古镇文化旅游集团有限公司</t>
  </si>
  <si>
    <t>成葫芦</t>
  </si>
  <si>
    <t>⻩酒;⽼酒（中国蒸馏烈酒）;⾼粱酒;蒸馏饮料;露酒;⽩酒;⽩⼲酒（中国⽩酒）;烧酒;果酒;葡萄酒</t>
  </si>
  <si>
    <t>练建军</t>
  </si>
  <si>
    <t>社韵</t>
  </si>
  <si>
    <t>烧酒;⽩酒;⽼酒（中国蒸馏烈酒）;⽩⼲酒（中国⽩酒）;清酒;酒精饮料原汁;⽶酒;⻩酒;果酒;烈酒</t>
  </si>
  <si>
    <t>十月枫树集团有限公司</t>
  </si>
  <si>
    <t>粮小魂</t>
  </si>
  <si>
    <t>⽩兰地;⻩酒;⽶酒;葡萄酒;⾷⽤酒精;鸡尾酒;含⽔果酒精饮料;⽩酒;酒精饮料（啤酒除外）;果酒（含酒精）</t>
  </si>
  <si>
    <t>贵州省仁怀市启洪酿酒作坊</t>
  </si>
  <si>
    <t>予君歌</t>
  </si>
  <si>
    <t>⽶酒;烧酒;酒精饮料（啤酒除外）;⾷⽤酒精;⽩酒;烈酒（饮料）;开胃酒;葡萄酒;清酒（⽇本⽶酒）;果酒（含酒精）</t>
  </si>
  <si>
    <t>上海钧鉴贸易有限公司</t>
  </si>
  <si>
    <t>TING CELLAR</t>
  </si>
  <si>
    <t>⽩酒;汽酒;⻩酒;⽩兰地;含⽔果酒精饮料;果酒（含酒精）;酒精饮料（啤酒除外）;威⼠忌;烧酒;葡萄酒</t>
  </si>
  <si>
    <t>卢江彬</t>
  </si>
  <si>
    <t>卢薛昌</t>
  </si>
  <si>
    <t>白兰地;酒精饮料（啤酒除外）;鸡尾酒;威士忌;黄酒;果酒;烈酒;白酒;葡萄酒;食用酒精</t>
  </si>
  <si>
    <t>如果果</t>
  </si>
  <si>
    <t xml:space="preserve">	酒精饮料（啤酒除外）; 葡萄酒; 青梅酒; 蒸馏饮料; 鸡尾酒; 黄酒; 清酒; 白酒; 开胃酒; 果酒（含酒精）</t>
  </si>
  <si>
    <t>林添福</t>
  </si>
  <si>
    <t>演韵</t>
  </si>
  <si>
    <t>烧酒;⽩酒;清酒;⽶酒;烈酒;⽼酒（中国蒸馏烈酒）;⽩⼲酒（中国⽩酒）;果酒;酒精饮料原汁;⻩酒</t>
  </si>
  <si>
    <t>浔味南海供应链管理（海南）有限公司</t>
  </si>
  <si>
    <t>浔味船长</t>
  </si>
  <si>
    <t>果酒（含酒精）;威⼠忌;⽶酒;鸡尾酒;甜酒;含酒精⽔果饮料;烧酒;果酒;葡萄酒;⽩酒</t>
  </si>
  <si>
    <t>闫华涛</t>
  </si>
  <si>
    <t>豫豪酒肆</t>
  </si>
  <si>
    <t>果酒（含酒精）;鸡尾酒;白酒;烧酒;烈酒（饮料）;黄酒;含水果酒精饮料;米酒;葡萄酒;开胃酒</t>
  </si>
  <si>
    <t>青铜峡市紫玉甘城酒庄有限公司</t>
  </si>
  <si>
    <t>紫玉甘城</t>
  </si>
  <si>
    <t>酸酒（低等葡萄酒）;烈酒（饮料）;开胃酒;酒精饮料（啤酒除外）;蒸馏饮料;葡萄酒;⽶酒;烧酒;果酒（含酒精）;⽩酒</t>
  </si>
  <si>
    <t>吉斯托诺特瑞</t>
  </si>
  <si>
    <t>⽩兰地;酒精饮料浓缩汁;伏特加酒;葡萄酒;⽶酒;酒精饮料原汁;开胃酒;鸡尾酒;威⼠忌;烈酒（饮料）</t>
  </si>
  <si>
    <t>郑思雄</t>
  </si>
  <si>
    <t>书睿荟</t>
  </si>
  <si>
    <t>烧酒;⻩酒;果酒（含酒精）;⽶酒;葡萄酒;利⼝酒;⾼粱酒;烈酒;由⾕物蒸馏的⽩酒;⾷⽤酒精;⽩酒;开胃酒;酒精饮料（啤酒除外）;甜酒;以葡萄酒为主的饮料;清酒</t>
  </si>
  <si>
    <t>路志向</t>
  </si>
  <si>
    <t>篮球往事</t>
  </si>
  <si>
    <t>⽼酒（中国蒸馏烈酒）;⽩酒;烈酒;酒精饮料（啤酒除外）;威⼠忌;烧酒;鸡尾酒;果酒;⽶酒;葡萄酒</t>
  </si>
  <si>
    <t>颜大妮</t>
  </si>
  <si>
    <t>咖啡利⼝酒;开胃酒;朝鲜族⽶酒;果酒;⽇式甜⽶酒;⽩酒;混合威⼠忌酒;⽶酒;马格利酒（朝鲜传统⽶酒）;清酒</t>
  </si>
  <si>
    <t>吴富强</t>
  </si>
  <si>
    <t>轻钻</t>
  </si>
  <si>
    <t>⽩酒;⾷⽤酒精;甜酒;⽶酒;清酒;汽酒;葡萄酒;⻩酒;果酒;开胃酒</t>
  </si>
  <si>
    <t>致贵粮</t>
  </si>
  <si>
    <t>果酒（含酒精）;伏特加酒;⽶酒;威⼠忌;葡萄酒;朗姆酒;鸡尾酒;⽩酒;⽩兰地;薄荷酒</t>
  </si>
  <si>
    <t>怀粮爷</t>
  </si>
  <si>
    <t>白酒;黄酒;开胃酒;鸡尾酒;清酒（日本米酒）;葡萄酒;果酒（含酒精）;除啤酒外的酒精饮料;威士忌;烈酒</t>
  </si>
  <si>
    <t>项城市耀航医疗器械有限公司</t>
  </si>
  <si>
    <t>中州鸿之源</t>
  </si>
  <si>
    <t>⻘稞酒;葡萄酒;酒精饮料（啤酒除外）;⽶酒;⽩酒;⻩酒;蒸馏饮料;利⼝酒;果酒;烧酒</t>
  </si>
  <si>
    <t>何培娜</t>
  </si>
  <si>
    <t>梅口妙</t>
  </si>
  <si>
    <t>⽩兰地;⽶酒;葡萄酒;含⽔果酒精饮料;鸡尾酒;果酒（含酒精）;酒精饮料（啤酒除外）;⾷⽤酒精;⽩酒;梅酒</t>
  </si>
  <si>
    <t>唯50古藤</t>
  </si>
  <si>
    <t>樱桃酒;朗姆酒;除啤酒外的酒精饮料;加⾹料的热葡萄酒;甜酒;威⼠忌;加烈葡萄酒;葡萄汽酒;⽩兰地;葡萄酒</t>
  </si>
  <si>
    <t>安徽耕农天下农业发展有限公司</t>
  </si>
  <si>
    <t>汤亳酒业 汤亳</t>
  </si>
  <si>
    <t>烧酒;⽶酒;⻩酒;鸡尾酒;果酒（含酒精）;以葡萄酒为主的饮料;⽩酒;烈酒;⽩⼲酒（中国⽩酒）;葡萄酒</t>
  </si>
  <si>
    <t>北京裕源成商贸有限公司</t>
  </si>
  <si>
    <t>辛刀</t>
  </si>
  <si>
    <t>⾷⽤酒精;果酒（含酒精）;酒精饮料（啤酒除外）;⽶酒;⾕物制蒸馏酒精饮料;烧酒;⽩酒;烈酒（饮料）;预先混合的酒精饮料（以啤酒为主的除外）;⽢蔗制酒精饮料</t>
  </si>
  <si>
    <t>张保安</t>
  </si>
  <si>
    <t>萌食优</t>
  </si>
  <si>
    <t>威⼠忌;烈酒（饮料）;酒精饮料（啤酒除外）;开胃酒;⻩酒;⽩酒;葡萄酒;清酒（⽇本⽶酒）;鸡尾酒;果酒（含酒精）</t>
  </si>
  <si>
    <t>四川兴翊企业管理咨询有限公司</t>
  </si>
  <si>
    <t>赤子乆坊</t>
  </si>
  <si>
    <t>烧酒;朗姆酒;伏特加酒;⻩酒;威⼠忌;葡萄酒;⽩兰地;果酒（含酒精）;鸡尾酒;⽩酒</t>
  </si>
  <si>
    <t>金提</t>
  </si>
  <si>
    <t>千红秘境</t>
  </si>
  <si>
    <t>葡萄酒;酒精饮料（啤酒除外）;含酒精⽔果饮料;烈酒;果酒;以葡萄酒为主的饮料;露酒;开胃酒;⽩酒;⽩兰地</t>
  </si>
  <si>
    <t>曲珊珊</t>
  </si>
  <si>
    <t>陶氏益农</t>
  </si>
  <si>
    <t>⽩酒;果酒（含酒精）;蒸煮提取物（利⼝酒和烈酒）;⻘稞酒;烧酒;蜂蜜酒;⻩酒;葡萄酒;开胃酒;利⼝酒</t>
  </si>
  <si>
    <t>郝彩梅</t>
  </si>
  <si>
    <t>封古今</t>
  </si>
  <si>
    <t>含⽔果酒精饮料;⽩酒;⽶酒;烧酒;⻩酒;蒸馏饮料;利⼝酒;红葡萄酒;烈酒（饮料）;预先混合的酒精饮料（以啤酒为主的除外）</t>
  </si>
  <si>
    <t>贵州善阳商务咨询有限公司</t>
  </si>
  <si>
    <t>善阳</t>
  </si>
  <si>
    <t>果酒（含酒精）;葡萄酒;酒精饮料浓缩汁;⽶酒;烈酒（饮料）;含⽔果酒精饮料;⽩酒;酒精饮料原汁;酒精饮料（啤酒除外）;预先混合的酒精饮料（以啤酒为主的除外）</t>
  </si>
  <si>
    <t>郭振伟</t>
  </si>
  <si>
    <t>家启蔡香</t>
  </si>
  <si>
    <t>葡萄酒;⽩酒;果酒（含酒精）;烈酒（饮料）;蒸煮提取物（利⼝酒和烈酒）;酒精饮料原汁;⽶酒;烧酒;⻩酒;⾷⽤酒精</t>
  </si>
  <si>
    <t>贡惠春</t>
  </si>
  <si>
    <t>清酒;⽶酒;⽩⼲酒（中国⽩酒）;⽩酒;葡萄酒;开胃酒;果酒（含酒精）;烧酒;⻩酒;烈酒（饮料）</t>
  </si>
  <si>
    <t>陈添龙</t>
  </si>
  <si>
    <t>大美橘洲</t>
  </si>
  <si>
    <t>清酒（⽇本⽶酒）;⽼酒（中国蒸馏烈酒）;果酒;⻘稞酒;梅酒;⾷⽤酒精;含酒精⽔果饮料;⽩酒;酒精饮料原汁;甜酒</t>
  </si>
  <si>
    <t>贵州桓昌烧坊酒业有限公司</t>
  </si>
  <si>
    <t>黔承球</t>
  </si>
  <si>
    <t>薄荷酒;烧酒;⽩酒;果酒（含酒精）;葡萄酒;⽶酒;酒精饮料原汁;清酒（⽇本⽶酒）;烈酒（饮料）;酒精饮料（啤酒除外）</t>
  </si>
  <si>
    <t>湖南欣语电子商务有限公司</t>
  </si>
  <si>
    <t>茨田制药</t>
  </si>
  <si>
    <t>果酒（含酒精）;⽩酒;甜果酒;⽶酒;葡萄汽酒;清酒;果酒;以葡萄酒为主的饮料;⻩酒;⽇式甜⽶酒</t>
  </si>
  <si>
    <t>贵州塞上秋酒业有限公司</t>
  </si>
  <si>
    <t>廖叔</t>
  </si>
  <si>
    <t>苦味酒;利⼝酒;烈酒（饮料）;樱桃酒;⽩兰地;薄荷酒;果酒（含酒精）;茴芹酒（利⼝酒）;蜂蜜酒;⽩酒</t>
  </si>
  <si>
    <t>北京赛夫特平安物业管理有限公司</t>
  </si>
  <si>
    <t>健来酒</t>
  </si>
  <si>
    <t>⽶酒;利⼝酒;开胃酒;蒸煮提取物（利⼝酒和烈酒）;酒精饮料（啤酒除外）;⽩酒;含⽔果酒精饮料;茴⾹酒（利⼝酒）;烧酒;葡萄酒</t>
  </si>
  <si>
    <t>仓冈制药</t>
  </si>
  <si>
    <t>⽩酒;以葡萄酒为主的饮料;⽇式甜⽶酒;甜果酒;⽶酒;果酒;果酒（含酒精）;清酒;葡萄汽酒;⻩酒</t>
  </si>
  <si>
    <t>新疆国顺酒业有限公司</t>
  </si>
  <si>
    <t>香佰露</t>
  </si>
  <si>
    <t>开胃酒;酒精饮料原汁;威⼠忌;含⽔果酒精饮料;烧酒;⽩兰地;⽶酒;葡萄酒;梨酒;⽩酒</t>
  </si>
  <si>
    <t>张倩</t>
  </si>
  <si>
    <t>恒亿兴</t>
  </si>
  <si>
    <t>餐后酒（利⼝酒和烈酒）;酒精饮料（啤酒除外）;⽩酒;果酒（含酒精）;朗姆酒;⽶酒;烧酒;烈酒（饮料）;含⽔果酒精饮料;葡萄酒</t>
  </si>
  <si>
    <t>胡升波</t>
  </si>
  <si>
    <t>舜玉</t>
  </si>
  <si>
    <t>烧酒;威⼠忌;⽩酒</t>
  </si>
  <si>
    <t>贵州哈赫玛企业咨询有限公司</t>
  </si>
  <si>
    <t>彩咭哆</t>
  </si>
  <si>
    <t>⽶酒;伏特加酒;⽩酒;威⼠忌;杜松⼦酒;鸡尾酒;果酒（含酒精）;葡萄酒;朗姆酒;⽩兰地</t>
  </si>
  <si>
    <t>保酩汇（江苏）贸易有限公司</t>
  </si>
  <si>
    <t>莲遇</t>
  </si>
  <si>
    <t>清酒;⽩兰地;果酒;蒸馏饮料;朗姆酒;伏特加酒;⽩酒;酒精饮料（啤酒除外）;威⼠忌;葡萄酒</t>
  </si>
  <si>
    <t>四川古蔺贡香酒业有限公司</t>
  </si>
  <si>
    <t>穿钱坊</t>
  </si>
  <si>
    <t>⽶酒;⽩酒;果酒;开胃酒;含⽔果酒精饮料;⾷⽤酒精</t>
  </si>
  <si>
    <t>忆粮红</t>
  </si>
  <si>
    <t>⻩酒;⽶酒;烧酒;⽩酒;葡萄酒;威⼠忌;鸡尾酒;甜酒;果酒（含酒精）;⽩兰地</t>
  </si>
  <si>
    <t>同醉欢</t>
  </si>
  <si>
    <t>葡萄酒;⽩酒;威⼠忌;⽩兰地;鸡尾酒;⽶酒;甜酒;烧酒;果酒（含酒精）;⻩酒</t>
  </si>
  <si>
    <t>杭州瑞阁电子商务有限公司</t>
  </si>
  <si>
    <t>双仓</t>
  </si>
  <si>
    <t>威⼠忌;烧酒;⽩酒;酒精饮料（啤酒除外）;⽶酒;葡萄酒;⻩酒;果酒（含酒精）;开胃酒;鸡尾酒</t>
  </si>
  <si>
    <t>罗晓应</t>
  </si>
  <si>
    <t>匠九翁</t>
  </si>
  <si>
    <t>⽩酒;烈酒;果酒（含酒精）;开胃酒;葡萄酒;⻩酒;清酒（⽇本⽶酒）;威⼠忌;鸡尾酒;酒精饮料（啤酒除外）</t>
  </si>
  <si>
    <t>浆辰</t>
  </si>
  <si>
    <t>烈酒;酒精饮料（啤酒除外）;⻩酒;⽩酒;威⼠忌;清酒（⽇本⽶酒）;鸡尾酒;葡萄酒;果酒（含酒精）;开胃酒</t>
  </si>
  <si>
    <t>银川金杞源枸杞有限公司</t>
  </si>
  <si>
    <t>鸿杞虹运</t>
  </si>
  <si>
    <t>红葡萄酒;威士忌;米酒;烧酒;果酒（含酒精）;葡萄酒;黄酒;伏特加酒;白兰地;白酒</t>
  </si>
  <si>
    <t>常子哥</t>
  </si>
  <si>
    <t>⻩酒;果酒（含酒精）;蒸馏饮料;酒精饮料（啤酒除外）;⽶酒;⽩酒;葡萄酒;⾷⽤酒精;烧酒;⻘稞酒</t>
  </si>
  <si>
    <t>刘华</t>
  </si>
  <si>
    <t>雅逸福</t>
  </si>
  <si>
    <t>果酒（含酒精）;⽩⼲酒（中国⽩酒）;伏特加酒;⽩兰地;葡萄酒;酒精饮料（啤酒除外）;红葡萄酒;⽩酒;鸡尾酒;⽶酒</t>
  </si>
  <si>
    <t>葡萄酒;含⽔果酒精饮料;⻩酒;⾼粱酒;⽩酒;开胃酒;⽶酒;烧酒;⻘稞酒;⽩⼲酒（中国⽩酒）</t>
  </si>
  <si>
    <t>北京臻曦文化传媒有限公司</t>
  </si>
  <si>
    <t>MOEVIR</t>
  </si>
  <si>
    <t>预先混合的酒精饮料（以啤酒为主的除外）;烈酒（饮料）;⽶酒;酒精饮料原汁;含⽔果酒精饮料;⽩酒;酒精饮料（啤酒除外）;餐后酒（利⼝酒和烈酒）;葡萄酒;威⼠忌</t>
  </si>
  <si>
    <t>刘磊</t>
  </si>
  <si>
    <t>礼束</t>
  </si>
  <si>
    <t>果酒;鸡尾酒;⽩酒;汽酒;威⼠忌;清酒;⻩酒;葡萄酒;⽶酒;酒精饮料（啤酒除外）</t>
  </si>
  <si>
    <t>西咸新区空港新城如瑶妃百货店</t>
  </si>
  <si>
    <t>两帝骄子</t>
  </si>
  <si>
    <t>烧酒;清酒（⽇本⽶酒）;烈酒（饮料）;⽶酒;⻩酒;⾕物制蒸馏酒精饮料;酒精饮料（啤酒除外）;果酒（含酒精）;⽩酒;蜂蜜酒</t>
  </si>
  <si>
    <t>北京惠怡九鼎商务咨询服务有限公司</t>
  </si>
  <si>
    <t>九花山</t>
  </si>
  <si>
    <t>含酒精的饮料（啤酒除外）;⻘稞酒;鸡尾酒;红葡萄酒;烈酒;烈酒（饮料）;果酒;清酒;⽶酒;蜂蜜酒</t>
  </si>
  <si>
    <t>凡身宴</t>
  </si>
  <si>
    <t>含酒精的⽔果鸡尾酒饮料;预先混合的酒精饮料（以啤酒为主的除外）;薄荷酒;威⼠忌;烧酒;⽩兰地;果酒（含酒精）;⽩酒;葡萄酒;酒精饮料（啤酒除外）</t>
  </si>
  <si>
    <t>四川炬鼎酒业有限公司</t>
  </si>
  <si>
    <t>九里乾坤故里</t>
  </si>
  <si>
    <t>果酒（含酒精）;烈酒（饮料）;含⽔果酒精饮料;葡萄酒;伏特加酒;⻩酒;烧酒;汽酒;⽩酒;⻘稞酒</t>
  </si>
  <si>
    <t>王建军</t>
  </si>
  <si>
    <t>源丰秋景</t>
  </si>
  <si>
    <t>蒸馏饮料;酒精饮料（啤酒除外）;⻩酒;果酒（含酒精）;鸡尾酒;烧酒;烈酒（饮料）;⽶酒;⽩酒;葡萄酒</t>
  </si>
  <si>
    <t>郝怀印</t>
  </si>
  <si>
    <t>丹鹤</t>
  </si>
  <si>
    <t>清酒（⽇本⽶酒）;烈酒（饮料）;酒精饮料原汁;⽩酒;酒精饮料（啤酒除外）;⽶酒;鸡尾酒;威⼠忌;葡萄酒;伏特加酒</t>
  </si>
  <si>
    <t>范晓燕</t>
  </si>
  <si>
    <t>福龙潭</t>
  </si>
  <si>
    <t>烈酒;⽩酒;威⼠忌;开胃酒;葡萄酒;果酒;⻩酒;酒精饮料（啤酒除外）;鸡尾酒;清酒</t>
  </si>
  <si>
    <t>泸州顺成和庄园酒业有限公司</t>
  </si>
  <si>
    <t>顺意来</t>
  </si>
  <si>
    <t>果酒;鸡尾酒;⻩酒;烧酒;蒸馏饮料;烈酒（饮料）;⽩酒;⽶酒;清酒（⽇本⽶酒）;酒精饮料（啤酒除外）</t>
  </si>
  <si>
    <t>海南火山红投资有限责任公司</t>
  </si>
  <si>
    <t>华君秋之香</t>
  </si>
  <si>
    <t>梅酒;蜂蜜酒;⽩酒;开胃酒;烈酒（饮料）;烧酒;梨酒;果酒（含酒精）;葡萄酒;⽶酒</t>
  </si>
  <si>
    <t>重庆星盾保安服务有限公司</t>
  </si>
  <si>
    <t>雾都十三捞</t>
  </si>
  <si>
    <t>果酒（含酒精）;蜂蜜酒;苹果酒;鸡尾酒;⽶酒;酒精饮料（啤酒除外）;梨酒;⻩酒;⻘稞酒;⽩酒</t>
  </si>
  <si>
    <t>宗著</t>
  </si>
  <si>
    <t>伏特加酒;朗姆酒;⽩兰地;⾷⽤酒精;果酒（含酒精）;⻩酒;烈酒（饮料）;威⼠忌;葡萄酒;⽩酒</t>
  </si>
  <si>
    <t>范李明</t>
  </si>
  <si>
    <t>义壶</t>
  </si>
  <si>
    <t>⽼酒（中国蒸馏烈酒）;⽩酒;果酒;⽩⼲酒（中国⽩酒）;含酒精的饮料（啤酒除外）;酒精饮料（啤酒除外）;由⾕物蒸馏的⽩酒;烧酒（烈酒）;已调味的蒸馏酒;⾼粱酒</t>
  </si>
  <si>
    <t>爱瑞美禄酒</t>
  </si>
  <si>
    <t>酒精饮料原汁;酸酒（低等葡萄酒）;烈酒（饮料）;烧酒;酒精饮料（啤酒除外）;蒸馏饮料;鸡尾酒;果酒（含酒精）;⽩酒;⽶酒</t>
  </si>
  <si>
    <t>广东岍美农业科技有限公司</t>
  </si>
  <si>
    <t>悦村长</t>
  </si>
  <si>
    <t>⽶酒;⻘稞酒;蜂蜜酒;苹果酒;果酒（含酒精）;含⽔果酒精饮料;⻩酒;烧酒;开胃酒;⽩酒</t>
  </si>
  <si>
    <t>梅花财</t>
  </si>
  <si>
    <t>蒸馏饮料;⻩酒;果酒;⽩酒;鸡尾酒;清酒（⽇本⽶酒）;烈酒（饮料）;⽩⼲酒（中国⽩酒）;酒精饮料（啤酒除外）;果酒（含酒精）</t>
  </si>
  <si>
    <t>卢为刚</t>
  </si>
  <si>
    <t>藏贤台</t>
  </si>
  <si>
    <t>果酒（含酒精）;烈酒（饮料）;清酒（⽇本⽶酒）;鸡尾酒;酒精饮料（啤酒除外）;⻩酒;⽶酒;⽩酒;烧酒;葡萄酒</t>
  </si>
  <si>
    <t>北京普济众康企业管理服务有限公司</t>
  </si>
  <si>
    <t>夷德</t>
  </si>
  <si>
    <t>烧酒;鸡尾酒;清酒;果酒（含酒精）;露酒;梨酒;酒精饮料（啤酒除外）;⽶酒;⽩酒;葡萄酒</t>
  </si>
  <si>
    <t>甘肃玖州观阗下餐饮管理有限公司</t>
  </si>
  <si>
    <t>九州观天下</t>
  </si>
  <si>
    <t>清酒;甜酒;⻩酒;葡萄酒;鸡尾酒;⽩酒;酒精饮料原汁;果酒;烈酒（饮料）;含⽔果酒精饮料</t>
  </si>
  <si>
    <t>四川德窖酒业有限公司</t>
  </si>
  <si>
    <t>德宣公</t>
  </si>
  <si>
    <t>醉九歌</t>
  </si>
  <si>
    <t>烧酒;⽩兰地;⽶酒;葡萄酒;威⼠忌;鸡尾酒;⽩酒;果酒（含酒精）;⻩酒;甜酒</t>
  </si>
  <si>
    <t>穆岚上克</t>
  </si>
  <si>
    <t>果酒（含酒精）;以葡萄酒为主的饮料;葡萄酒;鸡尾酒;⽩酒;烈酒;蒸馏饮料;酒精饮料原汁;含⽔果酒精饮料;酒精饮料（啤酒除外）</t>
  </si>
  <si>
    <t>内蒙古民丰种业有限公司</t>
  </si>
  <si>
    <t>塞宜德</t>
  </si>
  <si>
    <t>酒精饮料（啤酒除外）;鸡尾酒;⽩兰地;清酒（⽇本⽶酒）;果酒（含酒精）;⾕物制蒸馏酒精饮料;含⽔果酒精饮料;伏特加酒;薄荷酒;⽩酒;蒸馏饮料;威⼠忌</t>
  </si>
  <si>
    <t>功夫链（上海）体育文化发展有限公司</t>
  </si>
  <si>
    <t>蒸馏饮料;烈酒（饮料）;酒精饮料（啤酒除外）;果酒（含酒精）;⽼酒（中国蒸馏烈酒）;鸡尾酒;含⽔果酒精饮料;⽶酒;以葡萄酒为主的饮料;薄荷酒</t>
  </si>
  <si>
    <t>李大帅</t>
  </si>
  <si>
    <t>黄金赞歌</t>
  </si>
  <si>
    <t>含酒精的饮料（啤酒除外）;⾼粱酒;果酒（含酒精）;⽶酒;⻩酒;烧酒;含酒精的⽓泡⽔;葡萄酒;⽩酒;⽼酒（中国蒸馏烈酒）</t>
  </si>
  <si>
    <t>王海卫</t>
  </si>
  <si>
    <t>陶泉天保</t>
  </si>
  <si>
    <t>烧酒;酒精饮料浓缩汁;烈酒（饮料）;蒸馏饮料;白酒;含水果酒精饮料;果酒（含酒精）;酒精饮料（啤酒除外）;米酒;葡萄酒</t>
  </si>
  <si>
    <t>黄桃儿</t>
  </si>
  <si>
    <t>古河玺</t>
  </si>
  <si>
    <t>⻩酒;⽶酒;酒精饮料（啤酒除外）;葡萄酒;果酒（含酒精）;酒精饮料原汁;餐后酒（利⼝酒和烈酒）;⽩酒;烈酒（饮料）;烧酒</t>
  </si>
  <si>
    <t>焦作怀天下贸易有限公司</t>
  </si>
  <si>
    <t>翟公坊</t>
  </si>
  <si>
    <t>米酒;青稞酒;酒精饮料（啤酒除外）;黄酒;白酒;含水果酒精饮料;葡萄酒;果酒（含酒精）;烧酒;食用酒精</t>
  </si>
  <si>
    <t>川河令</t>
  </si>
  <si>
    <t>葡萄酒;烈酒（饮料）;果酒（含酒精）;开胃酒;黄酒;酒精饮料（啤酒除外）;鸡尾酒;含水果酒精饮料;白酒;蒸馏饮料</t>
  </si>
  <si>
    <t>石红学</t>
  </si>
  <si>
    <t>黔阡酒</t>
  </si>
  <si>
    <t>⽼酒（中国蒸馏烈酒）;⽩⼲酒（中国⽩酒）;⻩酒;蒸馏⽶酒（泡盛酒）;果酒;⽩酒;⽶酒</t>
  </si>
  <si>
    <t>悦想传承</t>
  </si>
  <si>
    <t>烈酒（饮料）;⽶酒;果酒（含酒精）;⻩酒;葡萄酒;酒精饮料（啤酒除外）;含酒精的饮料（啤酒除外）;烧酒;⽩酒;⽩兰地</t>
  </si>
  <si>
    <t>广州二狗吃喝文化创意有限公司</t>
  </si>
  <si>
    <t>与花行</t>
  </si>
  <si>
    <t>露酒;杜松⼦酒;利⼝酒;⽶酒;⻘梅酒;果酒（含酒精）;杨梅酒;果酒;梅酒;⽇本梅⼦酒</t>
  </si>
  <si>
    <t>蒋志康</t>
  </si>
  <si>
    <t>聿河烧坊</t>
  </si>
  <si>
    <t>以葡萄酒为主的饮料;葡萄酒;威士忌;白酒;米酒;清酒;果酒（含酒精）;烧酒;酒精饮料（啤酒除外）;烧酒（烈酒）</t>
  </si>
  <si>
    <t>鹿康皇</t>
  </si>
  <si>
    <t>果酒（含酒精）;葡萄酒;⽩酒;清酒（⽇本⽶酒）;威⼠忌;鸡尾酒;酒精饮料（啤酒除外）;开胃酒;⻩酒;烈酒</t>
  </si>
  <si>
    <t>王立新</t>
  </si>
  <si>
    <t>郡三十</t>
  </si>
  <si>
    <t>清酒;黄酒;甜酒;高粱酒;烧酒;青稞酒;果酒;烈酒;白酒;露酒</t>
  </si>
  <si>
    <t>悦想庄园</t>
  </si>
  <si>
    <t>烧酒;黄酒;果酒（含酒精）;烈酒（饮料）;葡萄酒;白酒;酒精饮料（啤酒除外）;白兰地;米酒;含酒精的饮料（啤酒除外）</t>
  </si>
  <si>
    <t>悦想传说</t>
  </si>
  <si>
    <t>果酒（含酒精）;烈酒（饮料）;⽩兰地;⽶酒;⻩酒;葡萄酒;酒精饮料（啤酒除外）;含酒精的饮料（啤酒除外）;⽩酒;烧酒</t>
  </si>
  <si>
    <t>北京神奇元力商贸有限公司</t>
  </si>
  <si>
    <t>神奇小霸王</t>
  </si>
  <si>
    <t>汽酒;⽩酒;烧酒;⻩酒;鸡尾酒;葡萄酒;⽩兰地;⾷⽤酒精;⻘稞酒;威⼠忌</t>
  </si>
  <si>
    <t>杭州临平区小芳连锁商场</t>
  </si>
  <si>
    <t>清酒（⽇本⽶酒）;果酒（含酒精）;酒精饮料（啤酒除外）;汽酒;⽶酒;含⽔果酒精饮料;⽩酒;葡萄酒;烧酒;⻩酒</t>
  </si>
  <si>
    <t>富宁唉唛农业服务专业合作社</t>
  </si>
  <si>
    <t>唉唛</t>
  </si>
  <si>
    <t>果酒（含酒精）;⽶酒;葡萄酒;⻩酒;⽩酒;甜酒;烈酒（饮料）;酒精饮料（啤酒除外）;⽢蔗制酒精饮料;鸡尾酒</t>
  </si>
  <si>
    <t>京怀小霸王</t>
  </si>
  <si>
    <t>⽩酒;鸡尾酒;汽酒;⽩兰地;⾷⽤酒精;⻩酒;⻘稞酒;威⼠忌;葡萄酒;烧酒</t>
  </si>
  <si>
    <t>贵州匠中匠酒业有限公司</t>
  </si>
  <si>
    <t>匠中匠狮子关</t>
  </si>
  <si>
    <t>蒸煮提取物（利⼝酒和烈酒）;⽼酒（中国蒸馏烈酒）;烈酒;酒精饮料浓缩汁;烧酒;⽩酒;⾷⽤酒精;⽶酒;⽩⼲酒（中国⽩酒）;酒精饮料（啤酒除外）</t>
  </si>
  <si>
    <t>斟兮科技（江苏）有限公司</t>
  </si>
  <si>
    <t>励鲲</t>
  </si>
  <si>
    <t>由⾕物蒸馏的⽩酒;鸡尾酒;果酒（含酒精）;⻩酒;⽩酒;⽶酒;含⽔果酒精饮料;酒精饮料原汁;预先混合的酒精饮料（以啤酒为主的除外）;⾷⽤酒精</t>
  </si>
  <si>
    <t>金易品牌</t>
  </si>
  <si>
    <t>蒸馏饮料;烈酒（饮料）;酒精饮料（啤酒除外）;含⽔果酒精饮料;果酒（含酒精）;葡萄酒;⻩酒;⾷⽤酒精;混合威⼠忌酒;餐后酒（利⼝酒和烈酒）</t>
  </si>
  <si>
    <t>吕璐</t>
  </si>
  <si>
    <t>百美合</t>
  </si>
  <si>
    <t>⽩酒;佐餐酒;葡萄酒;⻩酒;酒精饮料（啤酒除外）;利⼝酒;开胃酒;⽶酒;鸡尾酒;果酒</t>
  </si>
  <si>
    <t>贺向东</t>
  </si>
  <si>
    <t>泸约</t>
  </si>
  <si>
    <t>烈酒;威⼠忌;果酒（含酒精）;酒精饮料（啤酒除外）;鸡尾酒;清酒（⽇本⽶酒）;葡萄酒;⽩酒;⻘稞酒;⻩酒</t>
  </si>
  <si>
    <t>贺彪</t>
  </si>
  <si>
    <t>裕吉福</t>
  </si>
  <si>
    <t>⽶酒;烧酒;⻩酒;⽩酒;葡萄酒;蒸煮提取物（利⼝酒和烈酒）;果酒（含酒精）;酒精饮料原汁;酒精饮料（啤酒除外）;烈酒（饮料）</t>
  </si>
  <si>
    <t>吴章清</t>
  </si>
  <si>
    <t>禧稻台</t>
  </si>
  <si>
    <t>梅酒;⽩酒;果酒;⽶酒;伏特加酒;果酒（含酒精）;威⼠忌;鸡尾酒;葡萄酒;⻩酒</t>
  </si>
  <si>
    <t>泉州良杰食品有限公司</t>
  </si>
  <si>
    <t>威⼠忌;含酒精的饮料（啤酒除外）;蒸馏饮料;含⽔果酒精饮料;⽶酒;⽩酒;鸡尾酒;⽩兰地;果酒（含酒精）;葡萄酒</t>
  </si>
  <si>
    <t>贵州金酿坊酒业有限公司</t>
  </si>
  <si>
    <t>耀出彩</t>
  </si>
  <si>
    <t>利⼝酒;⽩酒;⾼粱酒;开胃酒;果酒（含酒精）;伏特加酒;威⼠忌;朗姆酒;烈酒;⽩葡萄酒</t>
  </si>
  <si>
    <t>希麦庄园 XIMAIMANOR</t>
  </si>
  <si>
    <t>果酒（含酒精）;⽶酒;烈酒（饮料）;酒精饮料（啤酒除外）;⽩酒;葡萄酒;清酒（⽇本⽶酒）;威⼠忌;烧酒;⻩酒</t>
  </si>
  <si>
    <t>千川南北道</t>
  </si>
  <si>
    <t>⻩酒;果酒（含酒精）;烧酒;⽩酒;酒精饮料（啤酒除外）;⽶酒;预先混合的酒精饮料（以啤酒为主的除外）;含⽔果酒精饮料;葡萄酒;⾕物制蒸馏酒精饮料</t>
  </si>
  <si>
    <t>蕺坊桥</t>
  </si>
  <si>
    <t>果酒（含酒精）;葡萄酒;酒精饮料（啤酒除外）;鸡尾酒;烧酒;烈酒（饮料）;⽩兰地;⽶酒;⽩酒;威⼠忌</t>
  </si>
  <si>
    <t>许冬惠</t>
  </si>
  <si>
    <t>豪礼达</t>
  </si>
  <si>
    <t>烈酒（饮料）;清酒（⽇本⽶酒）;威⼠忌;梅酒;⽩酒;汽酒;⻩酒;⾼粱酒;鸡尾酒;果酒（含酒精）</t>
  </si>
  <si>
    <t>杭州爱创企业管理有限公司</t>
  </si>
  <si>
    <t>凯格丽</t>
  </si>
  <si>
    <t>果酒（含酒精）;葡萄酒;开胃酒;威⼠忌;烧酒;⽩兰地;⾷⽤酒精;鸡尾酒;烈酒（饮料）;⽩酒</t>
  </si>
  <si>
    <t>贵州黔味精华餐饮管理有限公司</t>
  </si>
  <si>
    <t>液榔春</t>
  </si>
  <si>
    <t>松叶酒;⽶酒;鸡尾酒;威⼠忌;葡萄酒;烧酒;利⼝酒;果酒;⽩酒;朗姆酒</t>
  </si>
  <si>
    <t>李军</t>
  </si>
  <si>
    <t>再观山</t>
  </si>
  <si>
    <t>⻩酒;红葡萄酒;混合威⼠忌酒;含酒精⽔果饮料;含酒精的⽔果鸡尾酒饮料;鸡尾酒;调制好的葡萄酒鸡尾酒;含酒精的充⽓饮料（啤酒除外）;⽶酒;果酒（含酒精）</t>
  </si>
  <si>
    <t>北京京盐惠民盐业有限公司</t>
  </si>
  <si>
    <t>甘榖二嫂</t>
  </si>
  <si>
    <t>⽩酒;烈酒（饮料）;餐后酒（利⼝酒和烈酒）;茴⾹酒（利⼝酒）;⾷⽤酒精;蜂蜜酒;鸡尾酒;果酒;酒精饮料（啤酒除外）;开胃酒</t>
  </si>
  <si>
    <t>四川麓山置业有限公司</t>
  </si>
  <si>
    <t>京之缘</t>
  </si>
  <si>
    <t>⻩酒;鸡尾酒;威⼠忌;果酒（含酒精）;利⼝酒;⽶酒;⽩酒;⽩兰地;烈酒（饮料）;葡萄酒</t>
  </si>
  <si>
    <t>果伊伊</t>
  </si>
  <si>
    <t>清酒（⽇本⽶酒）;鸡尾酒;⽩酒;果酒（含酒精）;⻩酒;开胃酒;酒精饮料（啤酒除外）;葡萄酒;烈酒;威⼠忌</t>
  </si>
  <si>
    <t>汤娇娇</t>
  </si>
  <si>
    <t>景烽侯</t>
  </si>
  <si>
    <t>烧酒;⽩⼲酒（中国⽩酒）;苦荞酒;⻩酒;⽶酒;烈酒;⽩酒;果酒（含酒精）;开胃酒;⾼粱酒</t>
  </si>
  <si>
    <t>李六军</t>
  </si>
  <si>
    <t>格尔穆</t>
  </si>
  <si>
    <t>⾼粱酒;酒精饮料（啤酒除外）;烈酒;⽼酒（中国蒸馏烈酒）;⽶酒;⽩酒;⽩兰地;果酒;开胃酒;露酒</t>
  </si>
  <si>
    <t>潮州韩潮苏海文化传播有限公司</t>
  </si>
  <si>
    <t>韩潮苏海</t>
  </si>
  <si>
    <t>果酒（含酒精）;⽩酒;酒精饮料（啤酒除外）;⽶酒;葡萄酒;蒸馏饮料;开胃酒;含⽔果酒精饮料;鸡尾酒;⾷⽤酒精</t>
  </si>
  <si>
    <t>陕西居安之家文化传媒有限公司</t>
  </si>
  <si>
    <t>囍欻欻</t>
  </si>
  <si>
    <t>葡萄酒;开胃酒;以葡萄酒为主的饮料;果酒（含酒精）;由⾕物蒸馏的⽩酒;预先混合的酒精饮料（以啤酒为主的除外）;⽩酒;⽼酒（中国蒸馏烈酒）;⾷⽤酒精;⽶酒</t>
  </si>
  <si>
    <t>河南洁尔雅塑料制品有限公司</t>
  </si>
  <si>
    <t>家得旺</t>
  </si>
  <si>
    <t>烧酒;果酒（含酒精）;威⼠忌;⽩酒;⽶酒;葡萄酒;⻩酒;蒸馏饮料;⽩兰地;鸡尾酒</t>
  </si>
  <si>
    <t>丽人丽妆（上海）电子商务有限公司</t>
  </si>
  <si>
    <t>玉容初</t>
  </si>
  <si>
    <t>葡萄酒;⽩兰地;甜酒;果酒;利⼝酒;⽩酒;⽶酒;威⼠忌;苹果酒;酒精饮料（啤酒除外）</t>
  </si>
  <si>
    <t>王梓铭</t>
  </si>
  <si>
    <t>LINGHUNJIANJIAO</t>
  </si>
  <si>
    <t>烈酒（饮料）;汽酒;⽩酒;果酒（含酒精）;⽩兰地;预先混合的酒精饮料（以啤酒为主的除外）;⽶酒;威⼠忌;⻘稞酒;葡萄酒</t>
  </si>
  <si>
    <t>沈宇庭品牌策划（青岛）有限公司</t>
  </si>
  <si>
    <t>约甘</t>
  </si>
  <si>
    <t>⽩酒;⽶酒;开胃酒;利⼝酒;⾷⽤酒精;果酒（含酒精）;葡萄酒;威⼠忌;朗姆酒;⽩兰地</t>
  </si>
  <si>
    <t>秦勇</t>
  </si>
  <si>
    <t>汉庄君平坊</t>
  </si>
  <si>
    <t>酒精饮料（啤酒除外）;清酒（⽇本⽶酒）;⻩酒;果酒（含酒精）;⾷⽤酒精;⽩酒;鸡尾酒;葡萄酒;⽶酒;蒸馏饮料</t>
  </si>
  <si>
    <t>姚孟能</t>
  </si>
  <si>
    <t>霍元丞</t>
  </si>
  <si>
    <t>蒸馏饮料;酒精饮料（啤酒除外）;⽶酒;⾷⽤酒精;⽩酒;含⽔果酒精饮料;果酒（含酒精）;葡萄酒;威⼠忌;清酒（⽇本⽶酒）</t>
  </si>
  <si>
    <t>永春县绿达盛果蔬专业合作社</t>
  </si>
  <si>
    <t>绿达盛</t>
  </si>
  <si>
    <t>葡萄酒;蒸馏饮料;鸡尾酒;酒精饮料（啤酒除外）;含⽔果酒精饮料;清酒（⽇本⽶酒）;汽酒;⽩酒;⽩兰地;果酒（含酒精）</t>
  </si>
  <si>
    <t>唐君莲</t>
  </si>
  <si>
    <t>威⼠忌;酒精饮料（啤酒除外）;果酒（含酒精）;鸡尾酒;餐后酒（利⼝酒和烈酒）;⽩酒;⻩酒;葡萄酒;⽩兰地;⽶酒</t>
  </si>
  <si>
    <t>银川市裕盛泰餐饮管理服务有限公司</t>
  </si>
  <si>
    <t>澈年</t>
  </si>
  <si>
    <t>⽩酒;酒精饮料（啤酒除外）;葡萄酒;威⼠忌;⻩酒;开胃酒;果酒（含酒精）;烈酒;鸡尾酒;清酒（⽇本⽶酒）</t>
  </si>
  <si>
    <t>贺栏左岸</t>
  </si>
  <si>
    <t>⽩酒;红葡萄酒;⽶酒;含酒精⽔果饮料;葡萄酒;由⾕物蒸馏的⽩酒;烈酒;果酒（含酒精）;含酒精的饮料（啤酒除外）;葡萄汽酒</t>
  </si>
  <si>
    <t>成都市鸿泰包装材料有限公司</t>
  </si>
  <si>
    <t>宏宝莱</t>
  </si>
  <si>
    <t>葡萄酒;鸡尾酒;⽩酒;威⼠忌;⻩酒;⽶酒;朗姆酒;清酒（⽇本⽶酒）;果酒（含酒精）;烈酒（饮料）</t>
  </si>
  <si>
    <t>安徽药材仓供应链管理服务有限公司</t>
  </si>
  <si>
    <t>张保力</t>
  </si>
  <si>
    <t>⽩酒;⻩酒;⾷⽤酒精;清酒;⽶酒;利⼝酒;葡萄酒;果酒（含酒精）;鸡尾酒;露酒</t>
  </si>
  <si>
    <t>苏菲·侯布匈</t>
  </si>
  <si>
    <t>SOPHIE ROBUCHON</t>
  </si>
  <si>
    <t>⽩葡萄酒;葡萄汽酒;含⽔果酒精饮料;起泡⽩葡萄酒;酒精饮料（啤酒除外）;红葡萄酒;起泡红葡萄酒;以葡萄酒为主的饮料;葡萄酒;桃红葡萄酒</t>
  </si>
  <si>
    <t>甄国华</t>
  </si>
  <si>
    <t>桂宾九五至尊</t>
  </si>
  <si>
    <t>烧酒;⽼酒（中国蒸馏烈酒）;⽶酒;果酒（含酒精）;⽩酒;⾼粱酒;由⾕物蒸馏的⽩酒;酒精饮料原汁;⾕物制蒸馏酒精饮料;⽩⼲酒（中国⽩酒）</t>
  </si>
  <si>
    <t>郭江涛</t>
  </si>
  <si>
    <t>果臣</t>
  </si>
  <si>
    <t>烈酒;鸡尾酒;⽩酒;清酒（⽇本⽶酒）;葡萄酒;果酒（含酒精）;⻩酒;开胃酒;威⼠忌;酒精饮料（啤酒除外）</t>
  </si>
  <si>
    <t>上海顺卿实业发展有限公司</t>
  </si>
  <si>
    <t>汉临</t>
  </si>
  <si>
    <t>烧酒;⻩酒;⽶酒;⽩酒;威⼠忌;葡萄酒;含⽔果酒精饮料;⻘稞酒;鸡尾酒;果酒（含酒精）</t>
  </si>
  <si>
    <t>木里县麦地贡尕农牧专业合作社</t>
  </si>
  <si>
    <t>麦帝贡尕</t>
  </si>
  <si>
    <t>蒸煮提取物（利⼝酒和烈酒）;果酒（含酒精）;蒸馏饮料;烈酒（饮料）;以蒸馏酒为主的开胃酒;⽶酒;⾕物制蒸馏酒精饮料;⽩酒;蒸馏⽶酒（泡盛酒）;烧酒</t>
  </si>
  <si>
    <t>张泽天</t>
  </si>
  <si>
    <t>云千岭</t>
  </si>
  <si>
    <t>⽶酒;⻩酒;鸡尾酒;⽩酒;伏特加酒;威⼠忌;葡萄酒;果酒（含酒精）;⽩兰地;烧酒</t>
  </si>
  <si>
    <t>野兽控股有限公司</t>
  </si>
  <si>
    <t>酒精饮料（啤酒除外）;果酒（含酒精）;朗姆酒;伏特加酒;威⼠忌;含⽔果酒精饮料;烈酒;葡萄酒;苹果酒;⽩酒</t>
  </si>
  <si>
    <t>余晓峰</t>
  </si>
  <si>
    <t>酒家德</t>
  </si>
  <si>
    <t>葡萄酒;烧酒;烈酒（饮料）;含⽔果酒精饮料;⽶酒;鸡尾酒;果酒（含酒精）;开胃酒;酒精饮料原汁;⽩酒</t>
  </si>
  <si>
    <t>湖远行网络 HUYUANXING NET HUYUANXING NETWORK</t>
  </si>
  <si>
    <t>⾷⽤酒精;利⼝酒;含⽔果酒精饮料;葡萄酒;⻘稞酒;蒸馏饮料;果酒（含酒精）;鸡尾酒;⽶酒;⽩酒</t>
  </si>
  <si>
    <t>雷松林513021********2173</t>
  </si>
  <si>
    <t>蜀悉</t>
  </si>
  <si>
    <t>⽶酒;酒精饮料（啤酒除外）;⻩酒;葡萄酒;鸡尾酒;果酒（含酒精）;烈酒（饮料）;⽩酒;烧酒;⽢蔗制烈酒</t>
  </si>
  <si>
    <t>申健</t>
  </si>
  <si>
    <t>汇逸</t>
  </si>
  <si>
    <t>烧酒;清酒;果酒（含酒精）;蒸馏饮料;威⼠忌;含⽔果酒精饮料;烈酒（饮料）;酒精饮料原汁;⽩酒;鸡尾酒</t>
  </si>
  <si>
    <t>李德</t>
  </si>
  <si>
    <t>至樽东芳</t>
  </si>
  <si>
    <t>酒精饮料（啤酒除外）;果酒（含酒精）;威⼠忌;开胃酒;葡萄酒;烈酒;⽩酒;⻩酒;清酒（⽇本⽶酒）;鸡尾酒</t>
  </si>
  <si>
    <t>贵州闻宾酒业有限公司</t>
  </si>
  <si>
    <t>曹鸣喜</t>
  </si>
  <si>
    <t>蒸馏饮料;餐后酒（利⼝酒和烈酒）;⾕物制蒸馏酒精饮料;露酒;烈酒（饮料）;⽶酒;苹果酒;葡萄酒;果酒（含酒精）;⽩酒</t>
  </si>
  <si>
    <t>瀚甫赋</t>
  </si>
  <si>
    <t>蒸馏饮料;葡萄酒;威⼠忌;含⽔果酒精饮料;⽩酒;⾷⽤酒精;清酒（⽇本⽶酒）;酒精饮料（啤酒除外）;⽶酒;果酒（含酒精）</t>
  </si>
  <si>
    <t>沈志强</t>
  </si>
  <si>
    <t>伏帝</t>
  </si>
  <si>
    <t>⻩酒;葡萄酒;酒精饮料原汁;伏特加酒;鸡尾酒;烧酒;⽩酒;⽶酒;果酒（含酒精）;威⼠忌</t>
  </si>
  <si>
    <t>程强</t>
  </si>
  <si>
    <t>帝穹</t>
  </si>
  <si>
    <t>开胃酒;鸡尾酒;清酒（⽇本⽶酒）;⽩酒;⻩酒;葡萄酒;威⼠忌;烈酒;果酒（含酒精）;酒精饮料（啤酒除外）</t>
  </si>
  <si>
    <t>明星高尔夫用品(深圳)有限公司</t>
  </si>
  <si>
    <t>金光闪闪</t>
  </si>
  <si>
    <t>葡萄酒;酒精饮料原汁;⽩酒;⽶酒;⻩酒;红葡萄酒;⽼酒（中国蒸馏烈酒）;⽩葡萄酒;果酒</t>
  </si>
  <si>
    <t>贺红转</t>
  </si>
  <si>
    <t>汵清香唐</t>
  </si>
  <si>
    <t>⽶酒;⻩酒;威⼠忌;⽩酒;预先混合的酒精饮料（以啤酒为主的除外）;⽩兰地;酒精饮料（啤酒除外）;果酒（含酒精）;葡萄酒;鸡尾酒</t>
  </si>
  <si>
    <t>徐红旗</t>
  </si>
  <si>
    <t>君尝酎</t>
  </si>
  <si>
    <t>烧酒;果酒（含酒精）;含⽔果酒精饮料;露酒;⽶酒;⽩酒;葡萄酒;威⼠忌;酒精饮料（啤酒除外）;⻩酒</t>
  </si>
  <si>
    <t>石门县全呈福商贸行</t>
  </si>
  <si>
    <t>尚德福 九吾至尊</t>
  </si>
  <si>
    <t>以葡萄酒为主的饮料;⻘梅酒;⽼酒（中国蒸馏烈酒）;葡萄酒;杨梅酒;果酒（含酒精）;鸡尾酒;⽩⼲酒（中国⽩酒）;⾼粱酒;烧酒（烈酒）</t>
  </si>
  <si>
    <t>秦斧（陕西）工业有限公司</t>
  </si>
  <si>
    <t>秦斧</t>
  </si>
  <si>
    <t>樱桃酒;⽶酒;鸡尾酒;⽩兰地;⻩酒;⽩酒;开胃酒;葡萄酒;梨酒;烧酒</t>
  </si>
  <si>
    <t>孙庆华</t>
  </si>
  <si>
    <t>前孙庄福</t>
  </si>
  <si>
    <t>甜酒;清酒（⽇本⽶酒）;酒精饮料（啤酒除外）;⽶酒;烧酒;果酒（含酒精）;烈酒（饮料）;葡萄酒;⻩酒;⽩酒</t>
  </si>
  <si>
    <t>浙江飞信文化传媒有限公司</t>
  </si>
  <si>
    <t>安禧乐</t>
  </si>
  <si>
    <t>酒精饮料（啤酒除外）;蒸馏饮料;⽩酒;烈酒（饮料）;威⼠忌;果酒（含酒精）;烧酒;鸡尾酒;葡萄酒;⽶酒</t>
  </si>
  <si>
    <t>汵州</t>
  </si>
  <si>
    <t>威⼠忌;预先混合的酒精饮料（以啤酒为主的除外）;⻩酒;鸡尾酒;⽩酒;⽶酒;果酒（含酒精）;⽩兰地;酒精饮料（啤酒除外）;葡萄酒</t>
  </si>
  <si>
    <t>合肥尼禾电子商务有限公司</t>
  </si>
  <si>
    <t>程一澈</t>
  </si>
  <si>
    <t>葡萄酒;预先混合的酒精饮料（以啤酒为主的除外）;酒精饮料（啤酒除外）;利⼝酒;⽩酒;朗姆酒;⽩兰地;威⼠忌;含⽔果酒精饮料;蜂蜜酒</t>
  </si>
  <si>
    <t>刘晓政</t>
  </si>
  <si>
    <t>青年神沏</t>
  </si>
  <si>
    <t>威⼠忌;⽶酒;葡萄酒;含酒精的⽔果鸡尾酒饮料;含酒精⽔果饮料;⻘稞酒;开胃酒;⾷⽤酒精;含酒精的饮料（啤酒除外）;⽩酒</t>
  </si>
  <si>
    <t>广东国药医药连锁企业有限公司</t>
  </si>
  <si>
    <t>同暨堂</t>
  </si>
  <si>
    <t>葡萄酒;清酒（⽇本⽶酒）;威⼠忌;⽩酒;⽩兰地;开胃酒;蒸煮提取物（利⼝酒和烈酒）;⻩酒;果酒（含酒精）;⽶酒</t>
  </si>
  <si>
    <t>上海谦丰禧文化传播有限公司</t>
  </si>
  <si>
    <t>谦丰禧</t>
  </si>
  <si>
    <t>烈酒（饮料）;清酒（⽇本⽶酒）;蒸馏饮料;葡萄酒;果酒（含酒精）;苦味酒;鸡尾酒;威⼠忌;酒精饮料（啤酒除外）;利⼝酒</t>
  </si>
  <si>
    <t>王青</t>
  </si>
  <si>
    <t>钻石民</t>
  </si>
  <si>
    <t>⾕物制蒸馏酒精饮料;露酒;餐后酒（利⼝酒和烈酒）;⽩酒;葡萄酒;苹果酒;烈酒（饮料）;⽶酒;果酒（含酒精）;蒸馏饮料</t>
  </si>
  <si>
    <t>四川省西康酒业有限公司</t>
  </si>
  <si>
    <t>叠池</t>
  </si>
  <si>
    <t>⻩酒;⽩酒;利⼝酒;葡萄酒;烈酒（饮料）;酒精饮料（啤酒除外）;朗姆酒;由⾕物蒸馏的⽩酒;果酒（含酒精）;威⼠忌</t>
  </si>
  <si>
    <t>咸丰县土帝溪农副产品商贸有限责任公司</t>
  </si>
  <si>
    <t>土地溪</t>
  </si>
  <si>
    <t>烈酒（饮料）;酒精饮料（啤酒除外）;⾼粱酒;果酒（含酒精）;梅酒;开胃酒;利⼝酒;⽶酒;⽩酒;烧酒</t>
  </si>
  <si>
    <t>上海馥朗戈酒业有限公司</t>
  </si>
  <si>
    <t>CONDE BEL</t>
  </si>
  <si>
    <t>利⼝酒;葡萄酒;烈酒（饮料）</t>
  </si>
  <si>
    <t>庄凯杰</t>
  </si>
  <si>
    <t>相巡</t>
  </si>
  <si>
    <t>⽩酒;葡萄酒;烧酒;鸡尾酒;酒精饮料（啤酒除外）;果酒（含酒精）;⽶酒;⻩酒;清酒（⽇本⽶酒）;烈酒（饮料）</t>
  </si>
  <si>
    <t>杨泽吉</t>
  </si>
  <si>
    <t>粮乡人</t>
  </si>
  <si>
    <t>蜂蜜酒;烧酒;预先混合的酒精饮料（以啤酒为主的除外）;开胃酒;鸡尾酒;⽩酒;清酒（⽇本⽶酒）;⻩酒;葡萄酒;烈酒（饮料）</t>
  </si>
  <si>
    <t>长岛观澜</t>
  </si>
  <si>
    <t>威⼠忌;⽩酒;⽶酒;汽酒;烧酒（烈酒）;伏特加酒;除啤酒外的酒精饮料;鸡尾酒;葡萄酒;⻩酒</t>
  </si>
  <si>
    <t>义乌市程茶旧室贸易有限公司</t>
  </si>
  <si>
    <t>程茶旧室</t>
  </si>
  <si>
    <t>果酒（含酒精）;烈酒（饮料）;清酒（⽇本⽶酒）;鸡尾酒;葡萄酒;⽩酒;酒精饮料（啤酒除外）;⻩酒;烧酒;⽶酒</t>
  </si>
  <si>
    <t>无锡安尔鲜贸易有限公司</t>
  </si>
  <si>
    <t>SIBYCHIANG</t>
  </si>
  <si>
    <t>蒸馏饮料;含酒精的⽓泡⽔;⾷⽤酒精;⽶酒;果酒;甜酒;以葡萄酒为主的饮料;汽酒;⾕物制蒸馏酒精饮料;⽩酒</t>
  </si>
  <si>
    <t>深圳市华装装修设计工程有限公司</t>
  </si>
  <si>
    <t>术洛依</t>
  </si>
  <si>
    <t>⽩酒;果酒（含酒精）;伏特加酒;⽩兰地;⾕物制蒸馏酒精饮料;葡萄酒;烈酒（饮料）;威⼠忌;含⽔果酒精饮料;鸡尾酒</t>
  </si>
  <si>
    <t>呼伦贝尔市古烧酒业有限公司</t>
  </si>
  <si>
    <t>雅鲁河</t>
  </si>
  <si>
    <t>烧酒;⻩酒;⽶酒;开胃酒;烧酒（烈酒）;伏特加酒;汽酒;⽩酒;葡萄酒;含⽔果酒精饮料</t>
  </si>
  <si>
    <t>化证</t>
  </si>
  <si>
    <t>酒精饮料（啤酒除外）;预先混合的酒精饮料（以啤酒为主的除外）;蒸馏饮料;葡萄酒;⽶酒;烧酒;果酒（含酒精）;含⽔果酒精饮料;⽩酒;烈酒</t>
  </si>
  <si>
    <t>篮球风云</t>
  </si>
  <si>
    <t>果酒;威士忌;白酒;烧酒;酒精饮料（啤酒除外）;烈酒;老酒（中国蒸馏烈酒）;鸡尾酒;米酒;葡萄酒</t>
  </si>
  <si>
    <t>台州智远餐饮企业管理有限公司</t>
  </si>
  <si>
    <t>味道喔哩</t>
  </si>
  <si>
    <t>果酒;杨梅酒;葡萄酒;含酒精的气泡水;预先混合的酒精饮料（以啤酒为主的除外）;烧酒;白酒;黄酒;米酒;佐餐酒</t>
  </si>
  <si>
    <t>李涛</t>
  </si>
  <si>
    <t>牛气说</t>
  </si>
  <si>
    <t>⽩酒;烈酒（饮料）;烧酒;葡萄酒;含⽔果酒精饮料;酒精饮料原汁;利⼝酒;⾷⽤酒精;⽼酒（中国蒸馏烈酒）;酒精饮料（啤酒除外）</t>
  </si>
  <si>
    <t>钟千千</t>
  </si>
  <si>
    <t>果酒（含酒精）;开胃酒;鸡尾酒;葡萄酒;含⽔果酒精饮料;⽩酒;⻘稞酒;⽶酒;苹果酒;酒精饮料（啤酒除外）</t>
  </si>
  <si>
    <t>黄春娥</t>
  </si>
  <si>
    <t>美力植</t>
  </si>
  <si>
    <t>开胃酒;汽酒;果酒;甜酒;⻩酒;⽩酒;⽶酒;葡萄酒;清酒;⾷⽤酒精</t>
  </si>
  <si>
    <t>程彬</t>
  </si>
  <si>
    <t>御廷诀</t>
  </si>
  <si>
    <t>苹果酒;烈酒（饮料）;葡萄酒;梨酒;⽩⼲酒（中国⽩酒）;烧酒;果酒（含酒精）;含⽔果酒精饮料;⽶酒;⽩酒</t>
  </si>
  <si>
    <t>李欢芳</t>
  </si>
  <si>
    <t>世海九坊</t>
  </si>
  <si>
    <t>⻩酒;果酒（含酒精）;葡萄酒;⽩兰地;鸡尾酒;酒精饮料（啤酒除外）;烧酒;烈酒;⽩酒;伏特加酒</t>
  </si>
  <si>
    <t>上海自动化工程有限公司</t>
  </si>
  <si>
    <t>飞尊神</t>
  </si>
  <si>
    <t>⽶酒;⻩酒;清酒;烧酒;红葡萄酒;⽩酒;果酒;烈酒;⾼粱酒;杨梅酒</t>
  </si>
  <si>
    <t>刘佳豪</t>
  </si>
  <si>
    <t>香册</t>
  </si>
  <si>
    <t>开胃酒;⽩酒;⾷⽤酒精;汽酒;⽶酒;⻩酒;果酒;葡萄酒;甜酒;清酒</t>
  </si>
  <si>
    <t>恩施市酒儿香商贸有限公司</t>
  </si>
  <si>
    <t>施酩酒儿香</t>
  </si>
  <si>
    <t>果酒（含酒精）;烈酒（饮料）;⾷⽤酒精;⽶酒;⽩酒;苦荞酒;⾼粱酒;鸡尾酒;蜂蜜酒;葡萄酒</t>
  </si>
  <si>
    <t>山东喵物科技有限公司</t>
  </si>
  <si>
    <t>喵物生活</t>
  </si>
  <si>
    <t>鸡尾酒;威⼠忌;⻩酒;蒸馏饮料;⽩酒;预先混合的酒精饮料（以啤酒为主的除外）;果酒（含酒精）;酒精饮料（啤酒除外）;烧酒;⽩兰地</t>
  </si>
  <si>
    <t>四川泸谷酒业有限公司</t>
  </si>
  <si>
    <t>泸谷春</t>
  </si>
  <si>
    <t>含⽔果酒精饮料;⾼粱酒;烧酒;烈酒;果酒;酒精饮料浓缩汁;葡萄酒;⻩酒;酒精饮料（啤酒除外）;⽩酒</t>
  </si>
  <si>
    <t>冯喜鹏</t>
  </si>
  <si>
    <t>鹿坊主</t>
  </si>
  <si>
    <t>开胃酒;⻩酒;果酒;⽶酒;⽩酒;⾷⽤酒精;汽酒;清酒;甜酒;葡萄酒</t>
  </si>
  <si>
    <t>万胜（上海）酒业贸易有限公司</t>
  </si>
  <si>
    <t>九坑公</t>
  </si>
  <si>
    <t>伏特加酒;烧酒;蒸馏饮料;⻩酒;葡萄酒;⽩酒;酒精饮料（啤酒除外）;果酒;鸡尾酒;威⼠忌</t>
  </si>
  <si>
    <t>THE THING</t>
  </si>
  <si>
    <t>蒸馏饮料;果酒（含酒精）;酸酒（低等葡萄酒）;葡萄酒;酒精饮料（啤酒除外）;酒精饮料浓缩汁;利⼝酒;开胃酒;威⼠忌;⽩兰地</t>
  </si>
  <si>
    <t>格特莱姆（海南）贸易有限公司</t>
  </si>
  <si>
    <t>GETLEM</t>
  </si>
  <si>
    <t>葡萄酒;威⼠忌;⽩酒;果酒（含酒精）;⻩酒;酒精饮料原汁;清酒（⽇本⽶酒）;⽶酒;烧酒;鸡尾酒</t>
  </si>
  <si>
    <t>深圳市震禾生物有限公司</t>
  </si>
  <si>
    <t>震禾</t>
  </si>
  <si>
    <t>预先混合的酒精饮料（以啤酒为主的除外）;含⽔果酒精饮料;⽢蔗制酒精饮料;烧酒;⻩酒;酒精饮料（啤酒除外）;汽酒;蜂蜜酒;葡萄酒;⽩酒</t>
  </si>
  <si>
    <t>金诺将</t>
  </si>
  <si>
    <t>清酒（⽇本⽶酒）;葡萄酒;烈酒;⻘稞酒;⽶酒;开胃酒;⽩酒;烧酒;⻩酒;果酒</t>
  </si>
  <si>
    <t>杨志盛</t>
  </si>
  <si>
    <t>⽩酒;⽼酒（中国蒸馏烈酒）;⾼粱酒;烈酒;⻩酒;烧酒;⽶酒;果酒;葡萄酒;酒精饮料（啤酒除外）</t>
  </si>
  <si>
    <t>美味科达食品有限公司</t>
  </si>
  <si>
    <t>畅四方</t>
  </si>
  <si>
    <t>果酒（含酒精）;黄酒;含水果酒精饮料;白兰地;白酒;米酒;食用酒精;鸡尾酒;葡萄酒;酒精饮料（啤酒除外）</t>
  </si>
  <si>
    <t>中瓴</t>
  </si>
  <si>
    <t>清酒（日本米酒）;果酒（含酒精）;酒精饮料（啤酒除外）;烈酒（饮料）;黄酒;白干酒（中国白酒）;白酒;蒸馏饮料;鸡尾酒;果酒</t>
  </si>
  <si>
    <t>陈茜</t>
  </si>
  <si>
    <t>堂中客</t>
  </si>
  <si>
    <t>米酒;白兰地;伏特加酒;威士忌;白酒;烧酒;果酒（含酒精）;烈酒（饮料）;汽酒;葡萄酒</t>
  </si>
  <si>
    <t>金坛区直溪坛丰酒坊（个体工商户）</t>
  </si>
  <si>
    <t>今谈</t>
  </si>
  <si>
    <t>葡萄酒;青稞酒;黄酒;白酒;烧酒;果酒（含酒精）;米酒;食用酒精;烈酒（饮料）;谷物制蒸馏酒精饮料</t>
  </si>
  <si>
    <t>趣品国际贸易（上海）有限公司</t>
  </si>
  <si>
    <t>三老堂大师</t>
  </si>
  <si>
    <t>白兰地;含水果酒精饮料;烈酒（饮料）;黄酒;酒精饮料（啤酒除外）;葡萄酒;白酒;威士忌;烧酒;米酒</t>
  </si>
  <si>
    <t>广西福莱明生物制药有限公司</t>
  </si>
  <si>
    <t>福莱万花园</t>
  </si>
  <si>
    <t>葡萄酒;白酒;黄酒;清酒（日本米酒）;利口酒;蜂蜜酒;含水果酒精饮料;酒精饮料（啤酒除外）;米酒;开胃酒</t>
  </si>
  <si>
    <t>乌龙水</t>
  </si>
  <si>
    <t>白酒;鸡尾酒;酒精饮料（啤酒除外）;米酒;烧酒;清酒（日本米酒）;果酒（含酒精）;烈酒（饮料）;黄酒;葡萄酒</t>
  </si>
  <si>
    <t>吴腊子</t>
  </si>
  <si>
    <t>汉幸</t>
  </si>
  <si>
    <t>黄酒;梅酒;伏特加酒;鸡尾酒;米酒;果酒（含酒精）;白酒;葡萄酒;威士忌;果酒</t>
  </si>
  <si>
    <t>河南鑫甘醇实业有限公司</t>
  </si>
  <si>
    <t>齐武御香</t>
  </si>
  <si>
    <t>白酒;鸡尾酒;果酒（含酒精）;白兰地;含酒精水果饮料;威士忌;米酒;含酒精的饮料（啤酒除外）;烧酒;葡萄酒</t>
  </si>
  <si>
    <t>南京耐特菲姆农业科技有限公司</t>
  </si>
  <si>
    <t>姜贵人</t>
  </si>
  <si>
    <t>⻘稞酒;开胃酒;已调味的⻨芽酿制的酒精饮料（啤酒除外）;⽼酒（中国蒸馏烈酒）;⻩酒;果酒（含酒精）;蒸馏饮料;⽶酒;⽩酒;烧酒</t>
  </si>
  <si>
    <t>四川果叁仟酒业集团有限公司</t>
  </si>
  <si>
    <t>果叁仟</t>
  </si>
  <si>
    <t>果酒（含酒精）;烈酒（饮料）;酒精饮料（啤酒除外）;酒精饮料浓缩汁;烧酒;⽩酒;葡萄酒;含⽔果酒精饮料;⽶酒;⻩酒</t>
  </si>
  <si>
    <t>宿迁悦己者酒业有限公司</t>
  </si>
  <si>
    <t>为欢伯</t>
  </si>
  <si>
    <t>果酒（含酒精）;⽩酒;鸡尾酒;含酒精的⽓泡⽔;含⽔果酒精饮料;⽶酒;⻘稞酒;⻩酒;⾷⽤酒精;汽酒</t>
  </si>
  <si>
    <t>北京清新君子信息科技有限公司</t>
  </si>
  <si>
    <t>清新君子</t>
  </si>
  <si>
    <t>⻩酒;酒精饮料浓缩汁;清酒;酒精饮料（啤酒除外）;蒸煮提取物（利⼝酒和烈酒）;烧酒;果酒（含酒精）;开胃酒;葡萄酒;⽩兰地</t>
  </si>
  <si>
    <t>胡松渊</t>
  </si>
  <si>
    <t>太阳晨曦</t>
  </si>
  <si>
    <t>茴⾹酒（利⼝酒）;蒸煮提取物（利⼝酒和烈酒）;⽶酒;葡萄酒;⽩酒;清酒（⽇本⽶酒）;除啤酒外的酒精饮料;烈酒;烧酒;利⼝酒</t>
  </si>
  <si>
    <t>甲车间</t>
  </si>
  <si>
    <t>⾷⽤酒精;酒精饮料（啤酒除外）;⻩酒;威⼠忌;⽩兰地;果酒（含酒精）;⽶酒;⽩酒;烈酒（饮料）;预先混合的酒精饮料（以啤酒为主的除外）</t>
  </si>
  <si>
    <t>和鹿台金鹿福</t>
  </si>
  <si>
    <t>果酒（含酒精）;葡萄酒;含⽔果酒精饮料;⽶酒;开胃酒;茴⾹酒（利⼝酒）;⻘稞酒;黑覆盆⼦酒;梅酒;⽩酒</t>
  </si>
  <si>
    <t>张燕510521********0761</t>
  </si>
  <si>
    <t>欠屯洞洞</t>
  </si>
  <si>
    <t>葡萄酒;⽩兰地;⻩酒;⽩酒;鸡尾酒;威⼠忌;⽶酒;烧酒;果酒（含酒精）;蒸馏饮料</t>
  </si>
  <si>
    <t>李月娥</t>
  </si>
  <si>
    <t>赢养公式</t>
  </si>
  <si>
    <t>汽酒;清酒;甜酒;⽩酒;⻩酒;⽶酒;果酒;开胃酒;⾷⽤酒精;葡萄酒</t>
  </si>
  <si>
    <t>周浩</t>
  </si>
  <si>
    <t>谷缘西</t>
  </si>
  <si>
    <t>烧酒;⾷⽤酒精;⾕物制蒸馏酒精饮料;⽢蔗制酒精饮料;⻘稞酒;汽酒;以葡萄酒为主的饮料;餐后酒（利⼝酒和烈酒）;⽩酒;⻩酒</t>
  </si>
  <si>
    <t>贵州宏声酒业有限责任公司</t>
  </si>
  <si>
    <t>宏声</t>
  </si>
  <si>
    <t>清酒（⽇本⽶酒）;酒精饮料（啤酒除外）;⽶酒;含⽔果酒精饮料;⻩酒;葡萄酒;烧酒;蜂蜜酒;⽩酒;鸡尾酒</t>
  </si>
  <si>
    <t>河北雄安奇妙港商贸有限公司</t>
  </si>
  <si>
    <t>奇妙港</t>
  </si>
  <si>
    <t>由⾕物蒸馏的⽩酒;果酒（含酒精）;⻩酒;葡萄酒;⽩酒;⾕物制蒸馏酒精饮料;含酒精⽔果饮料;⾼粱酒;⽶酒;蜂蜜酒</t>
  </si>
  <si>
    <t>李长举</t>
  </si>
  <si>
    <t>乐加惠</t>
  </si>
  <si>
    <t>汽酒;⻩酒;开胃酒;果酒;⾷⽤酒精;⽶酒;清酒;⽩酒;葡萄酒;甜酒</t>
  </si>
  <si>
    <t>青岛海利莱国际贸易有限公司</t>
  </si>
  <si>
    <t>海利莱</t>
  </si>
  <si>
    <t>威⼠忌;⽩酒;红葡萄酒;樱桃⽩兰地;⽩兰地;⽢蔗汁酿朗姆酒;阿蒙蒂拉多⽩葡萄酒;果酒（含酒精）;葡萄酒;加烈葡萄酒</t>
  </si>
  <si>
    <t>洪进</t>
  </si>
  <si>
    <t>SOUL JIN JIANG YI LU</t>
  </si>
  <si>
    <t>蒸馏饮料;清酒（⽇本⽶酒）;葡萄酒;威⼠忌;酒精饮料原汁;⽩酒;酒精饮料（啤酒除外）;预先混合的酒精饮料（以啤酒为主的除外）;果酒（含酒精）;⾷⽤酒精</t>
  </si>
  <si>
    <t>陆青松</t>
  </si>
  <si>
    <t>伊碗嚼谷纯</t>
  </si>
  <si>
    <t>⾷⽤酒精;已调味的⻨芽酿制的酒精饮料（啤酒除外）;开胃酒;葡萄酒;⽩酒;鸡尾酒;⻘稞酒;果酒（含酒精）;⽶酒;苹果酒</t>
  </si>
  <si>
    <t>普安县荣富种养殖专业合作社</t>
  </si>
  <si>
    <t>故节热那蒙</t>
  </si>
  <si>
    <t>烧酒;⽩酒;⽶酒;果酒;红葡萄酒;蒸馏⽶酒（泡盛酒）;鸡尾酒;梅酒;烈酒;含酒精⽔果饮料</t>
  </si>
  <si>
    <t>刘任福</t>
  </si>
  <si>
    <t>人人贺</t>
  </si>
  <si>
    <t>开胃酒;甜酒;⽶酒;汽酒;⻩酒;⾷⽤酒精;果酒;清酒;⽩酒;葡萄酒</t>
  </si>
  <si>
    <t>李本健</t>
  </si>
  <si>
    <t>汉草世佳</t>
  </si>
  <si>
    <t>开胃酒;果酒;清酒;汽酒;⻩酒;⽩酒;⽶酒;⾷⽤酒精;葡萄酒;甜酒</t>
  </si>
  <si>
    <t>朱志国</t>
  </si>
  <si>
    <t>响思盼</t>
  </si>
  <si>
    <t>酒精饮料（啤酒除外）;果酒（含酒精）;⽶酒;酒精饮料原汁;⾷⽤酒精;⽩酒;葡萄酒;⻩酒;烧酒;烈酒（饮料）</t>
  </si>
  <si>
    <t>宣新根</t>
  </si>
  <si>
    <t>虬漩</t>
  </si>
  <si>
    <t>蒸馏饮料;⽶酒;⻩酒;果酒（含酒精）;烈酒（饮料）;清酒（⽇本⽶酒）;酒精饮料（啤酒除外）;烧酒;⽩酒;葡萄酒</t>
  </si>
  <si>
    <t>陈淑梅</t>
  </si>
  <si>
    <t>金水桥</t>
  </si>
  <si>
    <t>葡萄酒;⽩酒;由⾕物蒸馏的⽩酒;⽩⼲酒（中国⽩酒）;⻩酒;⽶酒;烈酒（饮料）;酒精饮料（啤酒除外）;⽼酒（中国蒸馏烈酒）;果酒（含酒精）</t>
  </si>
  <si>
    <t>烧酒;清酒（⽇本⽶酒）;酒精饮料浓缩汁;烈酒;⽶酒;开胃酒;葡萄酒;果酒（含酒精）;含酒精的⽓泡⽔;鸡尾酒</t>
  </si>
  <si>
    <t>甘肃汇鑫悦品牌管理有限公司</t>
  </si>
  <si>
    <t>这么川</t>
  </si>
  <si>
    <t>鸡尾酒;苹果酒;⻘稞酒;开胃酒;⻩酒;⽶酒;⽩酒;果酒（含酒精）;⾕物制蒸馏酒精饮料;葡萄酒</t>
  </si>
  <si>
    <t>肖殿美</t>
  </si>
  <si>
    <t>汉贡嘉</t>
  </si>
  <si>
    <t>葡萄酒;⻩酒;果酒;⽶酒;威⼠忌;清酒;⽩兰地;烧酒;汽酒;⽩酒</t>
  </si>
  <si>
    <t>洛阳乐酒畅商贸有限公司</t>
  </si>
  <si>
    <t>乐酒畅</t>
  </si>
  <si>
    <t>⽶酒;⾼粱酒;⻩酒;⽩兰地;⻘稞酒;葡萄酒;蒸煮提取物（利⼝酒和烈酒）;⽩酒;果酒;鸡尾酒</t>
  </si>
  <si>
    <t>冯文彬</t>
  </si>
  <si>
    <t>红秏烧</t>
  </si>
  <si>
    <t>鸡尾酒;⾷⽤酒精;⽩酒;以葡萄酒为主的饮料;含⽔果酒精饮料;酒精饮料（啤酒除外）;葡萄酒;薄荷酒;蒸馏饮料;烧酒</t>
  </si>
  <si>
    <t>苏焕龙</t>
  </si>
  <si>
    <t>华醇广顺</t>
  </si>
  <si>
    <t>除啤酒外的酒精饮料;烧酒;白酒;烈酒;米酒;葡萄酒;果酒;老酒（中国蒸馏烈酒）;威士忌;鸡尾酒</t>
  </si>
  <si>
    <t>冯良子</t>
  </si>
  <si>
    <t>果酒（含酒精）;威⼠忌;⽶酒;清酒;⽩酒;烧酒;鸡尾酒;葡萄酒;⻩酒;朗姆酒</t>
  </si>
  <si>
    <t>贵州天陈贵香酒业有限公司</t>
  </si>
  <si>
    <t>津杰</t>
  </si>
  <si>
    <t>葡萄酒;烈酒;⽶酒;⽩酒;果酒;⽩⼲酒（中国⽩酒）;⾼粱酒;烧酒;⻩酒;⽼酒（中国蒸馏烈酒）</t>
  </si>
  <si>
    <t>江苏百麓酒业有限公司</t>
  </si>
  <si>
    <t>野兽礁 BEAST REEF</t>
  </si>
  <si>
    <t>⻘稞酒;伏特加酒;⽩兰地;威⼠忌;⽩酒;鸡尾酒;酒精饮料（啤酒除外）;薄荷酒;葡萄酒;朗姆酒</t>
  </si>
  <si>
    <t>苏山桥</t>
  </si>
  <si>
    <t>葡萄酒;⽩兰地;⾷⽤酒精;含⽔果酒精饮料;⽶酒;果酒（含酒精）;鸡尾酒;⻩酒;酒精饮料（啤酒除外）;⽩酒</t>
  </si>
  <si>
    <t>淄不小</t>
  </si>
  <si>
    <t>果酒（含酒精）;葡萄酒;⽶酒;⽩酒;⽩兰地;威⼠忌;烧酒;鸡尾酒;⻩酒;烈酒（饮料）</t>
  </si>
  <si>
    <t>广州三易健康科技有限公司</t>
  </si>
  <si>
    <t>东家云上糖酒铺</t>
  </si>
  <si>
    <t>葡萄酒;红葡萄酒;含⽔果酒精饮料;⻩酒;果酒（含酒精）;⾼粱酒;⽩酒;餐后酒（利⼝酒和烈酒）;⽶酒;薄荷酒</t>
  </si>
  <si>
    <t>湖北聚鼎神农农业科技发展有限公司</t>
  </si>
  <si>
    <t>聚鼎神农</t>
  </si>
  <si>
    <t>果酒;蒸馏饮料;⾷⽤酒精;烧酒;含酒精的饮料（啤酒除外）;⽩酒;⽼酒（中国蒸馏烈酒）;⻩酒;⾼粱酒;⽶酒</t>
  </si>
  <si>
    <t>郭素芳</t>
  </si>
  <si>
    <t>御涵轩瑶</t>
  </si>
  <si>
    <t>五加⽪酒（中国混合烈酒）;葡萄酒;杨梅酒;已调味的蒸馏酒;甜酒;⾷⽤酒精;苦荞酒;⻘梅酒;⻘稞酒;蒸煮提取物（利⼝酒和烈酒）</t>
  </si>
  <si>
    <t>贵阳康养职业大学</t>
  </si>
  <si>
    <t>贵康山中来</t>
  </si>
  <si>
    <t>苦味酒;冷冻凝胶状的鸡尾酒;果酒（含酒精）;烧酒;⽶酒;含⽜奶的鸡尾酒;烧酒（烈酒）;茴芹酒（利⼝酒）;含酒精的⽓泡⽔;⽩酒</t>
  </si>
  <si>
    <t>贵将令</t>
  </si>
  <si>
    <t>鸡尾酒;含酒精的饮料（啤酒除外）;烈酒（饮料）;威⼠忌;⽶酒;果酒（含酒精）;⽩酒;烧酒;开胃酒;葡萄酒</t>
  </si>
  <si>
    <t>郭德军</t>
  </si>
  <si>
    <t>视觉朝天</t>
  </si>
  <si>
    <t>⻘稞酒;⻩酒;烧酒;⽩酒;露酒;烈酒;⽶酒;蜂蜜酒;含⽔果酒精饮料;葡萄酒</t>
  </si>
  <si>
    <t>查达桥</t>
  </si>
  <si>
    <t>凤主天下</t>
  </si>
  <si>
    <t>露酒;⾼粱酒;葡萄酒;⽶酒;果酒（含酒精）;⻩酒;⽩酒;餐后酒（利⼝酒和烈酒）;烈酒;烧酒</t>
  </si>
  <si>
    <t>何义成</t>
  </si>
  <si>
    <t>万树藤</t>
  </si>
  <si>
    <t>威⼠忌;鸡尾酒;⽩酒;蜂蜜酒;⽶酒;清酒;葡萄酒;开胃酒;酒精饮料（啤酒除外）;果酒（含酒精）</t>
  </si>
  <si>
    <t>丹克斯新动力</t>
  </si>
  <si>
    <t>⽩酒;鸡尾酒;⽩兰地;开胃酒;烈酒（饮料）;烧酒;预先混合的酒精饮料（以啤酒为主的除外）;威⼠忌;酒精饮料浓缩汁;果酒（含酒精）</t>
  </si>
  <si>
    <t>开胃酒;苹果酒;葡萄酒;果酒（含酒精）;⻩酒;⻘稞酒;⽩酒;⾕物制蒸馏酒精饮料;⽶酒;鸡尾酒</t>
  </si>
  <si>
    <t>天津芦台春酿造有限公司</t>
  </si>
  <si>
    <t>酒精饮料原汁;含⽔果酒精饮料;酒精饮料（啤酒除外）;⽩酒;汽酒;蒸馏饮料;烈酒（饮料）;烧酒;⻩酒;⾷⽤酒精</t>
  </si>
  <si>
    <t>圣罗拉国际贸易（烟台）有限公司</t>
  </si>
  <si>
    <t>TIME JIAJIA BU</t>
  </si>
  <si>
    <t>⽩兰地;葡萄酒;烈酒;利⼝酒;⽩酒;含酒精⽔果饮料;威⼠忌;伏特加酒;⻨芽威⼠忌;果酒</t>
  </si>
  <si>
    <t>袁从鸽</t>
  </si>
  <si>
    <t>维她萃</t>
  </si>
  <si>
    <t>开胃酒;果酒;甜酒;⽩酒;⽶酒;⾷⽤酒精;⻩酒;汽酒;清酒;葡萄酒</t>
  </si>
  <si>
    <t>杨杰</t>
  </si>
  <si>
    <t>得轻</t>
  </si>
  <si>
    <t>开胃酒;⽶酒;汽酒;甜酒;⻩酒;葡萄酒;⾷⽤酒精;果酒;清酒;⽩酒</t>
  </si>
  <si>
    <t>蔡育生</t>
  </si>
  <si>
    <t>一家初行</t>
  </si>
  <si>
    <t>果酒（含酒精）;烈酒;清酒（⽇本⽶酒）;汽酒;葡萄酒;⻩酒;⽩兰地;威⼠忌;鸡尾酒;伏特加酒</t>
  </si>
  <si>
    <t>董诗妍</t>
  </si>
  <si>
    <t>第E女王</t>
  </si>
  <si>
    <t>⾷⽤酒精;果酒;汽酒;⽩酒;⻩酒;清酒;甜酒;⽶酒;开胃酒;葡萄酒</t>
  </si>
  <si>
    <t>河南诚贯商贸有限公司</t>
  </si>
  <si>
    <t>开胃酒;威⼠忌;⽶酒;烧酒;烈酒（饮料）;鸡尾酒;葡萄酒;⻩酒;薄荷酒;⽩酒</t>
  </si>
  <si>
    <t>葡岳国际贸易（江苏）有限公司</t>
  </si>
  <si>
    <t>ALPHA MANOR</t>
  </si>
  <si>
    <t>烈酒（饮料）;红葡萄酒;桑格利亚汽酒;葡萄酒;利⼝酒;伏特加酒;咖啡利⼝酒;⽩兰地;威⼠忌;朗姆酒</t>
  </si>
  <si>
    <t>安徽美酒之家信息科技有限公司</t>
  </si>
  <si>
    <t>古楼明宣</t>
  </si>
  <si>
    <t>果酒（含酒精）;含⽔果酒精饮料;鸡尾酒;葡萄酒;烈酒;⽶酒;⾼粱酒;⻩酒;⽩酒;蜂蜜酒</t>
  </si>
  <si>
    <t>黑杰</t>
  </si>
  <si>
    <t>葡萄酒;烧酒;⾼粱酒;果酒;⽼酒（中国蒸馏烈酒）;⽶酒;⽩⼲酒（中国⽩酒）;⽩酒;⻩酒;烈酒</t>
  </si>
  <si>
    <t>山东世金木水火土文化发展有限公司</t>
  </si>
  <si>
    <t>群人台</t>
  </si>
  <si>
    <t>蜂蜜酒;开胃酒;⽩酒;果酒;含⽔果酒精饮料;茴⾹酒;清酒;⻩酒;⻘稞酒;苦味酒</t>
  </si>
  <si>
    <t>赤峰市赤冰商贸有限公司</t>
  </si>
  <si>
    <t>冰北北</t>
  </si>
  <si>
    <t>果酒（含酒精）;⽶酒;⾕物制蒸馏酒精饮料;⽩酒;汽酒;含⽔果酒精饮料;烧酒;酒精饮料原汁;含酒精蛋奶酒;⻩酒</t>
  </si>
  <si>
    <t>禾小台</t>
  </si>
  <si>
    <t>烧酒;梨酒;果酒（含酒精）;苹果酒;⽶酒;⽩⼲酒（中国⽩酒）;烈酒（饮料）;葡萄酒;含⽔果酒精饮料;⽩酒</t>
  </si>
  <si>
    <t>贵州赛酱仙酒业有限公司</t>
  </si>
  <si>
    <t>王君樾</t>
  </si>
  <si>
    <t>⻩酒;利⼝酒;⽩兰地;葡萄酒;⽩酒;⽶酒;果酒（含酒精）;烈酒（饮料）;烧酒;威⼠忌</t>
  </si>
  <si>
    <t>泉州市丰泽区辰诺百货商行</t>
  </si>
  <si>
    <t>袁韵</t>
  </si>
  <si>
    <t>⽶酒;清酒;烧酒;⻩酒;烈酒;⽼酒（中国蒸馏烈酒）;酒精饮料原汁;⽩⼲酒（中国⽩酒）;果酒;⽩酒</t>
  </si>
  <si>
    <t>植庭酒窖</t>
  </si>
  <si>
    <t>⽩酒;⽩兰地;果酒（含酒精）;烧酒;酒精饮料（啤酒除外）;葡萄酒;含⽔果酒精饮料;汽酒;威⼠忌;⻩酒</t>
  </si>
  <si>
    <t>烈酒;含酒精的⽓泡⽔;酒精饮料浓缩汁;烧酒;清酒（⽇本⽶酒）;果酒（含酒精）;⽶酒;鸡尾酒;开胃酒;葡萄酒</t>
  </si>
  <si>
    <t>清酒（⽇本⽶酒）;葡萄酒;鸡尾酒;开胃酒;含酒精的⽓泡⽔;烈酒;⽶酒;烧酒;果酒（含酒精）;酒精饮料浓缩汁</t>
  </si>
  <si>
    <t>尼利湖食品集团有限公司</t>
  </si>
  <si>
    <t>鹿久鼎</t>
  </si>
  <si>
    <t>⽩兰地;酒精饮料（啤酒除外）;⽶酒;含⽔果酒精饮料;果酒（含酒精）;葡萄酒;⽩酒;鸡尾酒;⾷⽤酒精;⻩酒</t>
  </si>
  <si>
    <t>苏州布姆商贸有限公司</t>
  </si>
  <si>
    <t>武蔵乃</t>
  </si>
  <si>
    <t>烧酒;清酒;清酒（⽇本⽶酒）;鸡尾酒;梅酒;威⼠忌;⽩兰地;除啤酒外的酒精饮料;葡萄酒;⽶酒</t>
  </si>
  <si>
    <t>蔡迎迎</t>
  </si>
  <si>
    <t>东槐红</t>
  </si>
  <si>
    <t>⽩酒;葡萄酒;汽酒;⻘稞酒;⽶酒;预先混合的酒精饮料（以啤酒为主的除外）;伏特加酒;⽩兰地;⻩酒;烧酒</t>
  </si>
  <si>
    <t>京杰</t>
  </si>
  <si>
    <t>⽶酒;烧酒;⽼酒（中国蒸馏烈酒）;果酒;烈酒;⽩酒;⽩⼲酒（中国⽩酒）;⾼粱酒;葡萄酒;⻩酒</t>
  </si>
  <si>
    <t>福建省德化雾里云创维网络科技有限公司</t>
  </si>
  <si>
    <t>腾岑</t>
  </si>
  <si>
    <t xml:space="preserve">	含水果酒精饮料; 威士忌; 白酒; 酒精饮料（啤酒除外）; 烧酒; 果酒（含酒精）; 烈酒（饮料）; 酒精饮料原汁; 蒸馏饮料; 葡萄酒</t>
  </si>
  <si>
    <t>四川饮酒有道信息科技有限公司</t>
  </si>
  <si>
    <t>青我</t>
  </si>
  <si>
    <t>酒精饮料（啤酒除外）;含⽔果酒精饮料;⻩酒;蒸馏饮料;⽩酒;烈酒（饮料）;⽶酒;果酒（含酒精）;烧酒;鸡尾酒</t>
  </si>
  <si>
    <t>烈酒（饮料）;⻩酒;⽶酒;烧酒;酒精饮料（啤酒除外）;含⽔果酒精饮料;⽩酒;果酒（含酒精）;酒精饮料浓缩汁;葡萄酒</t>
  </si>
  <si>
    <t>丰县宗富酒商行</t>
  </si>
  <si>
    <t>渡轩</t>
  </si>
  <si>
    <t>⽩酒;果酒（含酒精）;⽶酒;葡萄酒;酒精饮料浓缩汁;果酒;含酒精的饮料（啤酒除外）;烧酒;酒精饮料原汁;⽼酒（中国蒸馏烈酒）</t>
  </si>
  <si>
    <t>何双六</t>
  </si>
  <si>
    <t>大青树</t>
  </si>
  <si>
    <t>伏特加酒;烈酒（饮料）;⽶酒;威⼠忌;⽩酒;葡萄酒;清酒（⽇本⽶酒）;酒精饮料原汁;鸡尾酒;酒精饮料（啤酒除外）</t>
  </si>
  <si>
    <t>华裕天下（北京）商贸有限公司</t>
  </si>
  <si>
    <t>KING WINGS</t>
  </si>
  <si>
    <t>⽩酒;汽酒;葡萄酒;⻩酒;佐餐酒;果酒（含酒精）;鸡尾酒;预调甜酒;甜果酒;烈酒</t>
  </si>
  <si>
    <t>李国利</t>
  </si>
  <si>
    <t>主尚</t>
  </si>
  <si>
    <t>葡萄酒;开胃酒;果酒（含酒精）;蒸馏饮料;烈酒（饮料）;威⼠忌;酒精饮料（啤酒除外）;⽩酒;鸡尾酒;⽩兰地</t>
  </si>
  <si>
    <t>莫钧松</t>
  </si>
  <si>
    <t>聚龙洞</t>
  </si>
  <si>
    <t>⽩酒;⽶酒;烧酒;⻩酒;⽩⼲酒（中国⽩酒）;果酒（含酒精）;由⾕物蒸馏的⽩酒</t>
  </si>
  <si>
    <t>尹德香</t>
  </si>
  <si>
    <t>诗雅清缘</t>
  </si>
  <si>
    <t>白兰地;食用酒精;果酒（含酒精）;清酒;白酒;酒精饮料（啤酒除外）;黄酒;青稞酒;米酒;葡萄酒</t>
  </si>
  <si>
    <t>佳木斯郊区长胜合源酒厂</t>
  </si>
  <si>
    <t>灿豆</t>
  </si>
  <si>
    <t>⽶酒;酒精饮料（啤酒除外）;烧酒;烈酒（饮料）;⽩酒;果酒（含酒精）;蒸馏饮料;葡萄酒;⻩酒;蒸煮提取物（利⼝酒和烈酒）</t>
  </si>
  <si>
    <t>董仙莉</t>
  </si>
  <si>
    <t>每添享</t>
  </si>
  <si>
    <t>米酒;黄酒;汽酒;甜酒;食用酒精;清酒;果酒;白酒;葡萄酒;开胃酒</t>
  </si>
  <si>
    <t>何龙悦</t>
  </si>
  <si>
    <t>摘夏</t>
  </si>
  <si>
    <t>⽩酒;⽶酒;汽酒;果酒;⻩酒;开胃酒;甜酒;葡萄酒;⾷⽤酒精;清酒</t>
  </si>
  <si>
    <t>四川省天府粮仓建设发展集团有限公司</t>
  </si>
  <si>
    <t>果酒（含酒精）;蒸馏饮料;烧酒;开胃酒;⽩酒;⻩酒;烈酒（饮料）;酒精饮料浓缩汁;含⽔果酒精饮料;利⼝酒</t>
  </si>
  <si>
    <t>乌龙液</t>
  </si>
  <si>
    <t>葡萄酒;烈酒（饮料）;⽶酒;果酒（含酒精）;⻩酒;⽩酒;清酒（⽇本⽶酒）;酒精饮料（啤酒除外）;鸡尾酒;烧酒</t>
  </si>
  <si>
    <t>万梦浩</t>
  </si>
  <si>
    <t>心良缘</t>
  </si>
  <si>
    <t>蒸馏饮料;鸡尾酒;⽩酒;含酒精⽔果饮料;⾕物制蒸馏酒精饮料;蜂蜜酒;⽶酒;果酒（含酒精）;⽩兰地;葡萄酒</t>
  </si>
  <si>
    <t>河南煜琪酒业有限公司</t>
  </si>
  <si>
    <t>瀑臻</t>
  </si>
  <si>
    <t>果酒（含酒精）;利⼝酒;酒精饮料浓缩汁;⽩酒;除啤酒外的酒精饮料;含酒精的饮料（啤酒除外）;清酒;以葡萄酒为主的饮料;⽩⼲酒（中国⽩酒）;含酒精⽔果饮料</t>
  </si>
  <si>
    <t>启创未来文化发展有限公司</t>
  </si>
  <si>
    <t>诗书画百人</t>
  </si>
  <si>
    <t>葡萄酒;清酒;⽶酒;⽇本梅⼦酒;烧酒（烈酒）;⽩酒;鸡尾酒;烈酒（饮料）;⽩兰地;威⼠忌</t>
  </si>
  <si>
    <t>品慧堂（上海）酒业有限公司</t>
  </si>
  <si>
    <t>烧酒;清酒（⽇本⽶酒）;预先混合的酒精饮料（以啤酒为主的除外）;⽩酒;威⼠忌;酒精饮料（啤酒除外）;⻘稞酒;⾷⽤酒精;汽酒;⻩酒</t>
  </si>
  <si>
    <t>合水县云上雁农产品农民专业合作社</t>
  </si>
  <si>
    <t>唐Q大队 TANG QI DA DUI</t>
  </si>
  <si>
    <t>⽶酒;⾼粱酒;⽩酒;果酒;⾕物制蒸馏酒精饮料;⻩酒;⻘稞酒;含酒精的⽓泡⽔;葡萄酒;酒精饮料原汁</t>
  </si>
  <si>
    <t>深圳市麦迪姆斯酒业有限公司</t>
  </si>
  <si>
    <t>贝奈萨</t>
  </si>
  <si>
    <t>果酒（含酒精）;白兰地;威士忌;烈酒（饮料）;白酒;汽酒;鸡尾酒;葡萄酒;酒精饮料（啤酒除外）;利口酒</t>
  </si>
  <si>
    <t>京知事</t>
  </si>
  <si>
    <t>食用酒精;烈酒（饮料）;谷物制蒸馏酒精饮料;老酒（中国蒸馏烈酒）;以葡萄酒为主的开胃酒;黄酒;葡萄酒;高粱酒;白酒;果酒</t>
  </si>
  <si>
    <t>东莞市耀盛酒业有限公司</t>
  </si>
  <si>
    <t>耀盛玖业</t>
  </si>
  <si>
    <t>由⾕物蒸馏的⽩酒;⽩⼲酒（中国⽩酒）;⽩酒;以蒸馏酒为主的开胃酒;已调味的蒸馏酒;露酒;烧酒（烈酒）;果酒;红葡萄酒;⽼酒（中国蒸馏烈酒）</t>
  </si>
  <si>
    <t>烟台贵福酒业有限公司</t>
  </si>
  <si>
    <t>迎时</t>
  </si>
  <si>
    <t>含水果酒精饮料; 白兰地; 利口酒; 葡萄酒; 伏特加酒; 威士忌; 朗姆酒; 预先混合的酒精饮料（以啤酒为主的除外）; 白酒; 酒精饮料（啤酒除外）</t>
  </si>
  <si>
    <t>叶正杰</t>
  </si>
  <si>
    <t>突燃</t>
  </si>
  <si>
    <t>⾷⽤酒精;开胃酒;汽酒;⽩酒;甜酒;⻩酒;果酒;清酒;葡萄酒;⽶酒</t>
  </si>
  <si>
    <t>山西杏花源酒业有限公司</t>
  </si>
  <si>
    <t>綩清</t>
  </si>
  <si>
    <t>葡萄酒;利⼝酒;酒精饮料原汁;清酒;露酒;烧酒;果酒（含酒精）;⽶酒;⽩酒;鸡尾酒</t>
  </si>
  <si>
    <t>上海金在手品牌管理有限公司</t>
  </si>
  <si>
    <t>浦江在手</t>
  </si>
  <si>
    <t>葡萄酒; 米酒; 清酒（日本米酒）; 白酒; 威士忌; 黄酒; 鸡尾酒; 谷物制蒸馏酒精饮料; 果酒（含酒精）; 烈酒（饮料）</t>
  </si>
  <si>
    <t>罗彩红</t>
  </si>
  <si>
    <t>丽溪金</t>
  </si>
  <si>
    <t>薄荷酒; 鸡尾酒; 葡萄酒; 烈酒（饮料）; 白酒; 果酒（含酒精）; 威士忌; 烧酒; 食用酒精; 米酒</t>
  </si>
  <si>
    <t>贵州云哲酱商贸有限公司</t>
  </si>
  <si>
    <t>嘉福顺</t>
  </si>
  <si>
    <t xml:space="preserve">	食用酒精; 烧酒; 蒸馏饮料; 白酒; 鸡尾酒; 米酒; 葡萄酒; 果酒（含酒精）; 青稞酒; 酒精饮料（啤酒除外）</t>
  </si>
  <si>
    <t>吴龙燕</t>
  </si>
  <si>
    <t>民淳俗匠</t>
  </si>
  <si>
    <t>⻩酒;⽩酒;⽩⼲酒（中国⽩酒）;烧酒;⽩葡萄酒;⽼酒（中国蒸馏烈酒）;汽酒;⻘稞酒;⾷⽤酒精;甜酒</t>
  </si>
  <si>
    <t>贵州秘味坊酒业有限公司</t>
  </si>
  <si>
    <t>液台赋</t>
  </si>
  <si>
    <t>烧酒;伏特加酒;⽼酒（中国蒸馏烈酒）;蒸煮提取物（利⼝酒和烈酒）;⽩酒;果酒;清酒;⻩酒;⾼粱酒;已调味的蒸馏酒</t>
  </si>
  <si>
    <t>苏在在</t>
  </si>
  <si>
    <t>烈酒（饮料）;⻩酒;威⼠忌;清酒（⽇本⽶酒）;鸡尾酒;葡萄酒;开胃酒;⽩酒;酒精饮料（啤酒除外）;果酒（含酒精）</t>
  </si>
  <si>
    <t>韦先芝</t>
  </si>
  <si>
    <t>北水山</t>
  </si>
  <si>
    <t>⻩酒;鸡尾酒;果酒（含酒精）;杜松⼦酒;清酒（⽇本⽶酒）;烈酒（饮料）;威⼠忌;⽩酒;葡萄酒;酒精饮料（啤酒除外）</t>
  </si>
  <si>
    <t>黄石仙岛湖旅游建设有限公司</t>
  </si>
  <si>
    <t>仙岛湖</t>
  </si>
  <si>
    <t>除啤酒外的酒精饮料;⽶酒;鸡尾酒;⻩酒;清酒;⽩兰地;⽩酒;烈酒;果酒;威⼠忌</t>
  </si>
  <si>
    <t>寻农良品（山东）电子商务有限公司</t>
  </si>
  <si>
    <t>博半生</t>
  </si>
  <si>
    <t>果酒;清酒;葡萄酒;⽶酒;烧酒;⽩兰地;⽩酒;威⼠忌;梅酒;朗姆酒</t>
  </si>
  <si>
    <t>田海燕420202********0449</t>
  </si>
  <si>
    <t>艾你无界</t>
  </si>
  <si>
    <t>⽩兰地;威⼠忌;⻘稞酒;葡萄酒;⽩酒;果酒（含酒精）;鸡尾酒;烧酒;烈酒;⻩酒</t>
  </si>
  <si>
    <t>河南源之尚生物科技有限公司</t>
  </si>
  <si>
    <t>恬寿堂</t>
  </si>
  <si>
    <t>果酒（含酒精）;开胃酒;蒸馏饮料;葡萄酒;预先混合的酒精饮料（以啤酒为主的除外）;⻩酒;⽩酒;⽶酒;酒精饮料（啤酒除外）;清酒</t>
  </si>
  <si>
    <t>洛阳茂林商贸有限公司</t>
  </si>
  <si>
    <t>神都佳好</t>
  </si>
  <si>
    <t>利⼝酒;果酒（含酒精）;葡萄酒;⻘稞酒;⾷⽤酒精;⽶酒;⽩酒;蒸馏饮料;烧酒;酒精饮料（啤酒除外）</t>
  </si>
  <si>
    <t>富优仓诚</t>
  </si>
  <si>
    <t>鸡尾酒;葡萄酒;酒精饮料原汁;含⽔果酒精饮料;酒精饮料（啤酒除外）;⽶酒;烧酒;威⼠忌;果酒（含酒精）;⻩酒</t>
  </si>
  <si>
    <t>北京三其林餐饮管理有限公司</t>
  </si>
  <si>
    <t>三其凌</t>
  </si>
  <si>
    <t>蜂蜜酒;酒精饮料（啤酒除外）;果酒（含酒精）;⽩酒;⻩酒;苹果酒;清酒（⽇本⽶酒）;樱桃酒;葡萄酒;⽶酒</t>
  </si>
  <si>
    <t>柯善聪</t>
  </si>
  <si>
    <t>汉唐笑</t>
  </si>
  <si>
    <t>葡萄酒;餐后酒（利⼝酒和烈酒）;烈酒（饮料）;酒精饮料（啤酒除外）;⻩酒;⽩酒;果酒（含酒精）;酒精饮料原汁;⽶酒;烧酒</t>
  </si>
  <si>
    <t>杠梁山</t>
  </si>
  <si>
    <t>⽩酒;鸡尾酒;果酒（含酒精）;葡萄酒;⽶酒;⾕物制蒸馏酒精饮料;蒸馏饮料;烈酒（饮料）;⻩酒;烧酒</t>
  </si>
  <si>
    <t>精彩贵粮</t>
  </si>
  <si>
    <t>伏特加酒;薄荷酒;⽩兰地;果酒（含酒精）;⽩酒;鸡尾酒;⽶酒;朗姆酒;葡萄酒;威⼠忌</t>
  </si>
  <si>
    <t>厚政</t>
  </si>
  <si>
    <t>葡萄酒;⽩酒;烧酒;果酒（含酒精）;⾕物制蒸馏酒精饮料;烈酒（饮料）;清酒（⽇本⽶酒）;⽶酒;汽酒;⻩酒</t>
  </si>
  <si>
    <t>杭州光合植造食品科技有限公司</t>
  </si>
  <si>
    <t>光合植造</t>
  </si>
  <si>
    <t>含⽔果酒精饮料;烈酒;⽩酒;⽩兰地;葡萄酒;鸡尾酒;⻩酒;果酒;烧酒;⾷⽤酒精</t>
  </si>
  <si>
    <t>夏津硕森生物科技有限公司</t>
  </si>
  <si>
    <t>鸿寿安</t>
  </si>
  <si>
    <t>酒精饮料（啤酒除外）;⻩酒;蒸馏饮料;⽩酒;烧酒;汽酒;开胃酒;果酒（含酒精）;烈酒;鸡尾酒</t>
  </si>
  <si>
    <t>新疆越隆达再生资源科技有限公司</t>
  </si>
  <si>
    <t>越隆达</t>
  </si>
  <si>
    <t>果酒;蜂蜜酒;⽩酒;由⾕物蒸馏的⽩酒;葡萄酒;⽶酒;含⽔果酒精饮料;烧酒;⾼粱酒;蒸馏饮料</t>
  </si>
  <si>
    <t>贵州正香酒业有限公司</t>
  </si>
  <si>
    <t>正龘香</t>
  </si>
  <si>
    <t>利⼝酒;⾷⽤酒精;⾼粱酒;烈酒;⽩酒;⽶酒;果酒;⽼酒（中国蒸馏烈酒）;由⾕物蒸馏的⽩酒;蒸馏饮料</t>
  </si>
  <si>
    <t>揭阳市港忠电子商务有限公司</t>
  </si>
  <si>
    <t>华医元祖</t>
  </si>
  <si>
    <t>樱桃酒;葡萄酒;酒精饮料浓缩汁;开胃酒;⻩酒;⽩兰地;汽酒;⽶酒;蜂蜜酒;清酒（⽇本⽶酒）</t>
  </si>
  <si>
    <t>巴吾</t>
  </si>
  <si>
    <t>⽩兰地;清酒（⽇本⽶酒）;酒精饮料（啤酒除外）;⽶酒;利⼝酒;果酒（含酒精）;威⼠忌;⻩酒;葡萄酒;⽩酒</t>
  </si>
  <si>
    <t>晨露贸易有限公司</t>
  </si>
  <si>
    <t>梅溢口</t>
  </si>
  <si>
    <t>⾷⽤酒精;葡萄酒;⽩兰地;鸡尾酒;⽩酒;含⽔果酒精饮料;⽶酒;果酒（含酒精）;梅酒;酒精饮料（啤酒除外）</t>
  </si>
  <si>
    <t>海南香念沉香实业发展有限公司</t>
  </si>
  <si>
    <t>苏仙岁</t>
  </si>
  <si>
    <t>葡萄酒;烧酒;酒精饮料（啤酒除外）;蒸煮提取物（利⼝酒和烈酒）;蒸馏饮料;⽩酒;⽶酒;果酒（含酒精）;烈酒;⽩兰地</t>
  </si>
  <si>
    <t>戚连新</t>
  </si>
  <si>
    <t>狼洞岭</t>
  </si>
  <si>
    <t>⽩酒;蒸馏饮料;⽶酒;烧酒;梨酒;葡萄酒;⽩兰地;果酒（含酒精）;苹果酒;⻩酒</t>
  </si>
  <si>
    <t>山东多美未来酒业有限公司</t>
  </si>
  <si>
    <t>多美来</t>
  </si>
  <si>
    <t>鸡尾酒;开胃酒;含酒精的鸡尾酒混合饮品;酒精饮料（啤酒除外）;含⽜奶的鸡尾酒;利⼝酒;苹果酒;奶油利⼝酒;咖啡利⼝酒;含酒精的⽔果鸡尾酒饮料</t>
  </si>
  <si>
    <t>卢国基</t>
  </si>
  <si>
    <t>零甲香王</t>
  </si>
  <si>
    <t>⽼酒（中国蒸馏烈酒）;伏特加酒;⾷⽤酒精;清酒;⾼粱酒;烧酒;⽶酒;含酒精的饮料（啤酒除外）;⽩酒;果酒（含酒精）</t>
  </si>
  <si>
    <t>李玉海</t>
  </si>
  <si>
    <t>拾巢</t>
  </si>
  <si>
    <t>果酒（含酒精）;⽶酒;烈酒;⽩酒;烧酒;葡萄酒;含酒精的饮料（啤酒除外）;⻨芽威⼠忌;⻩酒;酒精饮料原汁</t>
  </si>
  <si>
    <t>贵州省仁怀市醉一回酒业销售有限公司</t>
  </si>
  <si>
    <t>中阂</t>
  </si>
  <si>
    <t>烈酒（饮料）;蒸馏饮料;蜂蜜酒;⾷⽤酒精;⽩兰地;⽩酒;葡萄酒;⻩酒;开胃酒;烧酒</t>
  </si>
  <si>
    <t>湖北稻花香酒业股份有限公司</t>
  </si>
  <si>
    <t>星耀年代</t>
  </si>
  <si>
    <t>⻩酒;⽩酒;⽶酒;开胃酒;烧酒;烈酒;果酒（含酒精）;葡萄酒;酒精饮料原汁;酒精饮料（啤酒除外）</t>
  </si>
  <si>
    <t>状元渡</t>
  </si>
  <si>
    <t>葡萄酒;⻩酒;清酒（⽇本⽶酒）;酒精饮料（啤酒除外）;威⼠忌;烈酒;开胃酒;果酒（含酒精）;鸡尾酒;⽩酒</t>
  </si>
  <si>
    <t>YINGSI</t>
  </si>
  <si>
    <t>含⽔果酒精饮料;烈酒（饮料）;酒精饮料（啤酒除外）;果酒（含酒精）;葡萄酒;鸡尾酒;⾕物制蒸馏酒精饮料;伏特加酒;威⼠忌;朗姆酒</t>
  </si>
  <si>
    <t>杨正昌</t>
  </si>
  <si>
    <t>佤布莱</t>
  </si>
  <si>
    <t>蜂蜜酒;⽶酒;烈酒;果酒;⾼粱酒;⽩酒;葡萄酒;⽩⼲酒（中国⽩酒）;威⼠忌;酒精饮料原汁</t>
  </si>
  <si>
    <t>杜志斌</t>
  </si>
  <si>
    <t>杜半城</t>
  </si>
  <si>
    <t>鸡尾酒;⽶酒;⾼粱酒;果酒（含酒精）;⽩葡萄酒;⽩兰地;威⼠忌;⻩酒;红葡萄酒;⽩酒</t>
  </si>
  <si>
    <t>娄嘉诚</t>
  </si>
  <si>
    <t>华牌万</t>
  </si>
  <si>
    <t>⽶酒;烧酒;甜酒;烈酒;果酒;⻩酒;⽩酒;酒精饮料（啤酒除外）;⽼酒（中国蒸馏烈酒）;汽酒</t>
  </si>
  <si>
    <t>上海戈卢宝电子商务有限公司</t>
  </si>
  <si>
    <t>歌芦宝</t>
  </si>
  <si>
    <t>伏特加酒;清酒（⽇本⽶酒）;⽩兰地;⽩酒;威⼠忌;葡萄酒;⾕物制蒸馏酒精饮料;酒精饮料原汁;⻘稞酒;⽶酒</t>
  </si>
  <si>
    <t>上海岐阳餐饮管理有限公司</t>
  </si>
  <si>
    <t>在木星</t>
  </si>
  <si>
    <t>烈酒;威⼠忌;预先混合的酒精饮料（以啤酒为主的除外）;混合威⼠忌酒;⽔果汽酒;开胃酒;⾼粱酒;烈酒（饮料）;⽶酒;蒸馏⽶酒（泡盛酒）</t>
  </si>
  <si>
    <t>河南慧群商贸有限公司</t>
  </si>
  <si>
    <t>好柿野</t>
  </si>
  <si>
    <t>蒸馏饮料;⽶酒;烧酒;酒精饮料浓缩汁;含⽔果酒精饮料;果酒（含酒精）;烈酒（饮料）;酒精饮料（啤酒除外）;葡萄酒;⽩酒</t>
  </si>
  <si>
    <t>绍兴华冠金虞酒业有限公司</t>
  </si>
  <si>
    <t>虞宾酒</t>
  </si>
  <si>
    <t>果酒（含酒精）;黄酒;烈酒;谷物制蒸馏酒精饮料;白干酒（中国白酒）;老酒（中国蒸馏烈酒）;烈酒（饮料）;米酒;含酒精的饮料（啤酒除外）;烧酒</t>
  </si>
  <si>
    <t>廖娟</t>
  </si>
  <si>
    <t>荆农余</t>
  </si>
  <si>
    <t>⻩酒;蒸馏饮料;葡萄酒;苦味酒;汽酒;鸡尾酒;果酒;⾷⽤酒精;酒精饮料（啤酒除外）;⽩酒</t>
  </si>
  <si>
    <t>安徽省嘉益宝农牧科技开发有限公司</t>
  </si>
  <si>
    <t>偕老福</t>
  </si>
  <si>
    <t>葡萄酒;杜松⼦酒;果酒（含酒精）;⻩酒;蒸馏饮料;鸡尾酒;汽酒;酒精饮料原汁;⽩酒;含⽔果酒精饮料</t>
  </si>
  <si>
    <t>乌鲁木齐市德锦康盛商贸有限公司</t>
  </si>
  <si>
    <t>伽吾哈尔</t>
  </si>
  <si>
    <t>果酒（含酒精）;⻩酒;开胃酒;⽶酒;葡萄酒;⽩酒;蒸馏饮料;汽酒;烧酒;含⽔果酒精饮料</t>
  </si>
  <si>
    <t>艾必倍</t>
  </si>
  <si>
    <t>果酒（含酒精）;蒸馏饮料;⻩酒;开胃酒;⽩酒;葡萄酒;烧酒;含⽔果酒精饮料;汽酒;⽶酒</t>
  </si>
  <si>
    <t>扬州法克福国际贸易有限公司</t>
  </si>
  <si>
    <t>咔富比</t>
  </si>
  <si>
    <t>威⼠忌;⽩兰地;果酒（含酒精）;伏特加酒;鸡尾酒;葡萄酒;预先混合的酒精饮料（以啤酒为主的除外）;含⽔果酒精饮料;蒸煮提取物（利⼝酒和烈酒）;汽酒</t>
  </si>
  <si>
    <t>北建功</t>
  </si>
  <si>
    <t>葡萄酒;酒精饮料（啤酒除外）;黄酒;白酒;烧酒;清酒（日本米酒）;果酒（含酒精）;米酒;鸡尾酒;烈酒（饮料）</t>
  </si>
  <si>
    <t>日勒斯</t>
  </si>
  <si>
    <t>果酒（含酒精）;利⼝酒;酒精饮料（啤酒除外）;⽶酒;烈酒（饮料）;开胃酒;烧酒;鸡尾酒;葡萄酒;⽩酒</t>
  </si>
  <si>
    <t>周银</t>
  </si>
  <si>
    <t>金窖启</t>
  </si>
  <si>
    <t>⾼粱酒;⻘稞酒;⽶酒;薄荷酒;烧酒;烈酒;含酒精⽔果饮料;⽩⼲酒（中国⽩酒）;酒精饮料（啤酒除外）;⽩酒</t>
  </si>
  <si>
    <t>涡阳县果香果商贸有限公司</t>
  </si>
  <si>
    <t>GUOXIANGHONG</t>
  </si>
  <si>
    <t>烈酒（饮料）;含⽔果酒精饮料;⻩酒;果酒（含酒精）;烈酒;⽩兰地;威⼠忌;预先混合的酒精饮料（以啤酒为主的除外）;⽩酒;开胃酒</t>
  </si>
  <si>
    <t>稻花香星耀年代</t>
  </si>
  <si>
    <t>酒精饮料原汁;⽶酒;⻩酒;酒精饮料（啤酒除外）;烈酒;开胃酒;葡萄酒;⽩酒;烧酒;果酒（含酒精）</t>
  </si>
  <si>
    <t>仁怀一二九八七酱酒电子商务有限公司</t>
  </si>
  <si>
    <t>华锦宴酒知己</t>
  </si>
  <si>
    <t>米酒; 白酒; 青稞酒; 葡萄酒; 烧酒; 甜果酒; 黄酒; 高粱酒; 果酒; 烈酒</t>
  </si>
  <si>
    <t>寻世明</t>
  </si>
  <si>
    <t>稻尺</t>
  </si>
  <si>
    <t>清酒;果酒（含酒精）;白酒;烧酒;食用酒精;高粱酒;葡萄酒;谷物制蒸馏酒精饮料;黄酒;烈酒</t>
  </si>
  <si>
    <t>杨垚</t>
  </si>
  <si>
    <t>益希山</t>
  </si>
  <si>
    <t>开胃酒;⽩兰地;⻩酒;葡萄酒;⽩酒;果酒;清酒;以葡萄酒为主的饮料;餐后酒（利⼝酒和烈酒）;⽶酒</t>
  </si>
  <si>
    <t>艾迪威登</t>
  </si>
  <si>
    <t>酒精饮料（啤酒除外）;威士忌;汽酒;果酒（含酒精）;白兰地;利口酒;烈酒（饮料）;白酒;鸡尾酒;葡萄酒</t>
  </si>
  <si>
    <t>零甲</t>
  </si>
  <si>
    <t>⽩酒;烧酒;⾼粱酒;含酒精的饮料（啤酒除外）;伏特加酒;清酒;⽶酒;⾷⽤酒精;果酒（含酒精）;⽼酒（中国蒸馏烈酒）</t>
  </si>
  <si>
    <t>安徽有无酒业有限公司</t>
  </si>
  <si>
    <t>洒海</t>
  </si>
  <si>
    <t>白酒; 老酒（中国蒸馏烈酒）; 威士忌; 黄酒; 白兰地; 露酒; 葡萄酒; 米酒; 烈酒; 清酒</t>
  </si>
  <si>
    <t>贵州美钰传媒有限公司</t>
  </si>
  <si>
    <t>微腾花</t>
  </si>
  <si>
    <t>酒精饮料（啤酒除外）;青稞酒;果酒（含酒精）;葡萄酒;烧酒;含水果酒精饮料;黄酒;白酒;米酒;烈酒（饮料）</t>
  </si>
  <si>
    <t>惠东县平山街道碧山股份经济合作联合社</t>
  </si>
  <si>
    <t>碧山大松望</t>
  </si>
  <si>
    <t>果酒（含酒精）;威⼠忌;⽶酒;清酒;葡萄酒;汽酒;⽩酒;伏特加酒;⻩酒;⽼酒（中国蒸馏烈酒）</t>
  </si>
  <si>
    <t>摇野酒业（杭州）有限公司</t>
  </si>
  <si>
    <t>司母辛</t>
  </si>
  <si>
    <t>果酒（含酒精）;⽩酒;酒精饮料（啤酒除外）;葡萄酒;鸡尾酒;威⼠忌;⽶酒;⻩酒;烧酒</t>
  </si>
  <si>
    <t>杭州禄宸商贸有限公司</t>
  </si>
  <si>
    <t>鹰彣登极者</t>
  </si>
  <si>
    <t>开胃酒;烈酒（饮料）;清酒（⽇本⽶酒）;⽩酒;烧酒;⻩酒;果酒（含酒精）;鸡尾酒;威⼠忌;利⼝酒</t>
  </si>
  <si>
    <t>宁夏盛世辰阳商贸有限公司</t>
  </si>
  <si>
    <t>DP</t>
  </si>
  <si>
    <t>含酒精的⽓泡⽔;⽶酒;蜂蜜酒;开胃酒;烈酒（饮料）;以葡萄酒为主的饮料;⽩酒;⻩酒;⾷⽤酒精;威⼠忌</t>
  </si>
  <si>
    <t>巴顿谷（烟台）供应链管理有限公司</t>
  </si>
  <si>
    <t>巴顿谷</t>
  </si>
  <si>
    <t>威⼠忌;梅酒;露酒;利⼝酒;烈酒;杜松⼦酒;⽩兰地;果酒;伏特加酒;朗姆酒</t>
  </si>
  <si>
    <t>山西鹏云端文化传媒有限公司</t>
  </si>
  <si>
    <t>晋品老雷的菜</t>
  </si>
  <si>
    <t>烧酒;⽩酒;露酒;⾼粱酒;苦荞酒;烈酒;⽶酒;⻩酒;果酒;葡萄酒</t>
  </si>
  <si>
    <t>浩瀚鸿雁</t>
  </si>
  <si>
    <t>果酒（含酒精）;酒精饮料（啤酒除外）;⻘稞酒;葡萄酒;⽩酒;含⽔果酒精饮料;⽶酒;烧酒;⻩酒;烈酒（饮料）</t>
  </si>
  <si>
    <t>河南万圣达文化发展有限公司</t>
  </si>
  <si>
    <t>一武决</t>
  </si>
  <si>
    <t>佐餐酒;⽩酒;烈酒（饮料）;⾷⽤酒精;甜酒;含酒精的⽓泡⽔;果酒;清酒;⽶酒;鸡尾酒</t>
  </si>
  <si>
    <t>户平花</t>
  </si>
  <si>
    <t>东岳泰城宴</t>
  </si>
  <si>
    <t>烈酒;⽶酒;果酒;葡萄酒;餐后酒（利⼝酒和烈酒）;⾕物制蒸馏酒精饮料;开胃酒;蒸馏饮料;烧酒;蜂蜜酒</t>
  </si>
  <si>
    <t>贵州莫停杯酒业有限公司</t>
  </si>
  <si>
    <t>年翻</t>
  </si>
  <si>
    <t>果酒（含酒精）;烈酒（饮料）;酒精饮料（啤酒除外）;葡萄酒;⽩酒;酒精饮料原汁;蒸煮提取物（利⼝酒和烈酒）;酒精饮料浓缩汁;预先混合的酒精饮料（以啤酒为主的除外）;烧酒</t>
  </si>
  <si>
    <t>黔王仙</t>
  </si>
  <si>
    <t>餐后酒（利⼝酒和烈酒）;果酒（含酒精）;⽶酒;蒸馏饮料;苹果酒;烈酒（饮料）;露酒;葡萄酒;⾕物制蒸馏酒精饮料;⽩酒</t>
  </si>
  <si>
    <t>誉流</t>
  </si>
  <si>
    <t>开胃酒;葡萄酒;清酒（⽇本⽶酒）;⻩酒;威⼠忌;⽩酒;果酒（含酒精）;鸡尾酒;烈酒;酒精饮料（啤酒除外）</t>
  </si>
  <si>
    <t>龙源</t>
  </si>
  <si>
    <t>飞台龙鉴</t>
  </si>
  <si>
    <t>葡萄酒;⻩酒;⽶酒;利⼝酒;果酒（含酒精）;烈酒（饮料）;⽩酒;烧酒;预先混合的酒精饮料（以啤酒为主的除外）;威⼠忌</t>
  </si>
  <si>
    <t>成都智澳博洛贸易有限公司</t>
  </si>
  <si>
    <t>苏格米诺</t>
  </si>
  <si>
    <t>以葡萄酒为主的饮料;葡萄酒;酒精饮料（啤酒除外）;烈酒（饮料）;⽶酒;⽩兰地;果酒（含酒精）;威⼠忌;鸡尾酒;⽩酒</t>
  </si>
  <si>
    <t>海南风寸酒业经营管理有限公司</t>
  </si>
  <si>
    <t>鸡尾酒;清酒（⽇本⽶酒）;⽩酒;烧酒;伏特加酒;酒精饮料原汁;葡萄酒;威⼠忌;⽶酒;⻩酒</t>
  </si>
  <si>
    <t>刘必凤</t>
  </si>
  <si>
    <t>亿鑫佳</t>
  </si>
  <si>
    <t>利⼝酒;⽩酒;含⽔果酒精饮料;果酒;⻘稞酒;清酒;威⼠忌;⻩酒;⽶酒;葡萄酒</t>
  </si>
  <si>
    <t>王晋锋</t>
  </si>
  <si>
    <t>印驹城</t>
  </si>
  <si>
    <t>⾼粱酒;果酒;清酒;烧酒（烈酒）;烈酒浓缩汁;露酒;草莓酒;开胃酒;⽩酒;烈酒</t>
  </si>
  <si>
    <t>鸣九天</t>
  </si>
  <si>
    <t>四川云背篓食品集团有限公司</t>
  </si>
  <si>
    <t>戎品集</t>
  </si>
  <si>
    <t>果酒;⻩酒;烧酒;⽶酒;甜酒;烈酒（饮料）;清酒（⽇本⽶酒）;葡萄酒;⽩酒;蜂蜜酒</t>
  </si>
  <si>
    <t>斛太守</t>
  </si>
  <si>
    <t>酒精饮料（啤酒除外）;烧酒;果酒;葡萄酒;清酒;⽶酒;⽩酒;烈酒（饮料）;威⼠忌;利⼝酒</t>
  </si>
  <si>
    <t>中国文化遗产研究院</t>
  </si>
  <si>
    <t>果酒（含酒精）;预先混合的酒精饮料（以啤酒为主的除外）;以葡萄酒为主的饮料;⽩酒;起泡⽩葡萄酒;鸡尾酒;含⽔果酒精饮料;含酒精的⽔果鸡尾酒饮料;酒精饮料（啤酒除外）;葡萄酒</t>
  </si>
  <si>
    <t>杨道毛</t>
  </si>
  <si>
    <t>崒禄</t>
  </si>
  <si>
    <t>果酒（含酒精）;⻩酒;露酒;⽶酒;⾷⽤酒精;⽩酒;烧酒;蜂蜜酒;鸡尾酒;酒精饮料（啤酒除外）</t>
  </si>
  <si>
    <t>山东卓益技术服务有限公司</t>
  </si>
  <si>
    <t>昱见春天</t>
  </si>
  <si>
    <t>起泡红葡萄酒;含酒精的饮料（啤酒除外）;⽼酒（中国蒸馏烈酒）;⾼粱酒;葡萄酒;已调味的⻨芽酿制的酒精饮料（啤酒除外）;⽩酒;烧酒;以葡萄酒为主的饮料;⽩⼲酒（中国⽩酒）</t>
  </si>
  <si>
    <t>成都市少许酒业有限公司</t>
  </si>
  <si>
    <t>吞卜吞</t>
  </si>
  <si>
    <t>果酒（含酒精）;葡萄酒;⽩兰地;含⽔果酒精饮料;⻘梅酒;露酒;⾼粱酒;已调味的蒸馏酒;⽩酒;⽶酒</t>
  </si>
  <si>
    <t>甘振钊</t>
  </si>
  <si>
    <t>亚甘甘泉</t>
  </si>
  <si>
    <t>⽶酒;薄荷酒;朗姆酒;朝鲜族⽶酒;开胃酒;⻩酒;⾷⽤酒精;⽩酒;烧酒;⻘稞酒</t>
  </si>
  <si>
    <t>代宇航</t>
  </si>
  <si>
    <t>疆物志</t>
  </si>
  <si>
    <t>⻘稞酒;⾷⽤酒精;⽩酒;果酒（含酒精）;葡萄酒;鸡尾酒;清酒（⽇本⽶酒）;⽶酒;烧酒;⻩酒</t>
  </si>
  <si>
    <t>青岛上合文旅产业有限公司</t>
  </si>
  <si>
    <t>蒸馏饮料;⻩酒;葡萄酒;威⼠忌;烈酒（饮料）;⽶酒;⽩兰地;酒精饮料（啤酒除外）;果酒（含酒精）;⽩酒</t>
  </si>
  <si>
    <t>温鑫</t>
  </si>
  <si>
    <t>鲁宾河</t>
  </si>
  <si>
    <t>⽶酒;⻩酒;⽩酒;薄荷酒;⾷⽤酒精;鸡尾酒;葡萄酒;威⼠忌;烧酒;开胃酒</t>
  </si>
  <si>
    <t>黔王传承</t>
  </si>
  <si>
    <t>⽩酒;餐后酒（利⼝酒和烈酒）;蒸馏饮料;烈酒（饮料）;葡萄酒;果酒（含酒精）;苹果酒;露酒;⽶酒;⾕物制蒸馏酒精饮料</t>
  </si>
  <si>
    <t>四川盛和富饮料有限公司</t>
  </si>
  <si>
    <t>盛和富</t>
  </si>
  <si>
    <t>含酒精⽔果饮料;酒精饮料（啤酒除外）;葡萄酒;果酒;⽢蔗制酒精饮料;汽酒;开胃酒;鸡尾酒;⽩兰地;薄荷酒</t>
  </si>
  <si>
    <t>河源市润龙农业发展有限公司</t>
  </si>
  <si>
    <t>WEIYIYAN</t>
  </si>
  <si>
    <t>果酒（含酒精）;葡萄酒;⾕物制蒸馏酒精饮料;烧酒;酒精饮料浓缩汁;含⽔果酒精饮料;⽩酒;⽶酒;蒸馏饮料;⻩酒</t>
  </si>
  <si>
    <t>玩糖的猫</t>
  </si>
  <si>
    <t>威⼠忌;清酒（⽇本⽶酒）;酒精饮料（啤酒除外）;⽩酒;鸡尾酒;⻩酒;开胃酒;果酒（含酒精）;烈酒（饮料）;葡萄酒</t>
  </si>
  <si>
    <t>厦门市翎翎厚投资控股有限公司</t>
  </si>
  <si>
    <t>HOPEXITOWN</t>
  </si>
  <si>
    <t>葡萄酒;⽶酒;⽩酒;烈酒;蒸馏饮料;酒精饮料（啤酒除外）;⻩酒;蜂蜜酒;果酒;烧酒</t>
  </si>
  <si>
    <t>交稻</t>
  </si>
  <si>
    <t>⾕物制蒸馏酒精饮料;⽩酒;⾼粱酒;烈酒;清酒;⾷⽤酒精;葡萄酒;烧酒;⻩酒;果酒（含酒精）</t>
  </si>
  <si>
    <t>天门市老泉湖酒厂坊（个人独资）</t>
  </si>
  <si>
    <t>天渔老泉湖</t>
  </si>
  <si>
    <t>果酒（含酒精）;酒精饮料（啤酒除外）;⻩酒;开胃酒;⽶酒;⽩酒;葡萄酒;蒸煮提取物（利⼝酒和烈酒）;烧酒;烈酒（饮料）</t>
  </si>
  <si>
    <t>GUOXIANGLONG</t>
  </si>
  <si>
    <t>威⼠忌;含⽔果酒精饮料;预先混合的酒精饮料（以啤酒为主的除外）;⻩酒;⽩酒;烈酒;果酒（含酒精）;开胃酒;烈酒（饮料）;⽩兰地</t>
  </si>
  <si>
    <t>果酒;⾼粱酒;⽶酒;⽩⼲酒（中国⽩酒）;⻩酒;⽩酒;烧酒;⾷⽤酒精;⽼酒（中国蒸馏烈酒）;烈酒</t>
  </si>
  <si>
    <t>马荣仔</t>
  </si>
  <si>
    <t>誉华蓉颜</t>
  </si>
  <si>
    <t>烈酒（饮料）;⽩酒;五加⽪酒（中国混合烈酒）;⻩酒;⽼酒（中国蒸馏烈酒）;烧酒;清酒;⾕物制蒸馏酒精饮料;果酒（含酒精）;葡萄酒</t>
  </si>
  <si>
    <t>山东清平酒业有限公司</t>
  </si>
  <si>
    <t>常牛</t>
  </si>
  <si>
    <t>烈酒（饮料）;⾼粱酒;甜酒;烧酒;酒精饮料（啤酒除外）;清酒;⽶酒;含⽔果酒精饮料;果酒;⽩酒</t>
  </si>
  <si>
    <t>贵州义实健康产业发展有限公司</t>
  </si>
  <si>
    <t>如母同心</t>
  </si>
  <si>
    <t>⻩酒;果酒（含酒精）;酒精饮料（啤酒除外）;含⽔果酒精饮料;⽩酒;威⼠忌;开胃酒;蒸馏饮料;薄荷酒;葡萄酒</t>
  </si>
  <si>
    <t>尤洪华</t>
  </si>
  <si>
    <t>鑫蒙阳</t>
  </si>
  <si>
    <t>⽩酒;⻩酒;鸡尾酒;开胃酒;酒精饮料（啤酒除外）;⽶酒;威⼠忌;酒精饮料原汁;果酒（含酒精）;葡萄酒</t>
  </si>
  <si>
    <t>四川省宜宾市荔枝绿酒业有限公司</t>
  </si>
  <si>
    <t>宜鸿韵</t>
  </si>
  <si>
    <t>⽩兰地;⻩酒;威⼠忌;⽶酒;⽩酒;烧酒;鸡尾酒;伏特加酒;果酒（含酒精）;葡萄酒</t>
  </si>
  <si>
    <t>巛八</t>
  </si>
  <si>
    <t>果酒（含酒精）;⽩兰地;酒精饮料（啤酒除外）;烧酒;伏特加酒;威⼠忌;葡萄酒;开胃酒;鸡尾酒;利⼝酒</t>
  </si>
  <si>
    <t>康甲佳人</t>
  </si>
  <si>
    <t>利⼝酒;烈酒（饮料）;葡萄酒;⾷⽤酒精;果酒（含酒精）;⽶酒;烧酒;⻩酒;蒸煮提取物（利⼝酒和烈酒）;⽩酒</t>
  </si>
  <si>
    <t>张小丽</t>
  </si>
  <si>
    <t>燚尚茗</t>
  </si>
  <si>
    <t>酒精饮料（啤酒除外）;果酒（含酒精）;烈酒（饮料）;蜂蜜酒;葡萄酒;⽩酒;开胃酒;⾷⽤酒精;清酒;烧酒</t>
  </si>
  <si>
    <t>广明大健康产业集团有限公司</t>
  </si>
  <si>
    <t>广明神大夫</t>
  </si>
  <si>
    <t>葡萄酒;酒精饮料原汁;餐后酒（利⼝酒和烈酒）;烈酒（饮料）;预先混合的酒精饮料（以啤酒为主的除外）;⻩酒;果酒（含酒精）;⾕物制蒸馏酒精饮料;烧酒;酒精饮料（啤酒除外）</t>
  </si>
  <si>
    <t>龙微微(房县)艺术工作室</t>
  </si>
  <si>
    <t>向阳院的故事</t>
  </si>
  <si>
    <t>果酒（含酒精）;⻘梅酒;含酒精的⽓泡⽔;清酒（⽇本⽶酒）;混合威⼠忌酒;⽶酒;⻩酒;⽩酒;威⼠忌;酒精饮料（啤酒除外）</t>
  </si>
  <si>
    <t>五韵名</t>
  </si>
  <si>
    <t>鸡尾酒;⻘稞酒;酒精饮料（啤酒除外）;⽩酒;葡萄酒;烧酒;果酒（含酒精）;⾷⽤酒精;蒸馏饮料;⽶酒</t>
  </si>
  <si>
    <t>肖一帆</t>
  </si>
  <si>
    <t>楚山韵浓</t>
  </si>
  <si>
    <t>⽩酒;⽶酒;⻩酒;烧酒;汽酒;烈酒;葡萄酒;酒精饮料（啤酒除外）;果酒;鸡尾酒</t>
  </si>
  <si>
    <t>青岛保斐丽进出口贸易有限公司</t>
  </si>
  <si>
    <t>拾温</t>
  </si>
  <si>
    <t>果酒;威⼠忌;葡萄酒;⽩兰地;清酒;伏特加酒;烈酒;鸡尾酒;酒精饮料（啤酒除外）;⽩酒</t>
  </si>
  <si>
    <t>贵州茅匠酒业供应链管理有限公司</t>
  </si>
  <si>
    <t>匠心爱卡</t>
  </si>
  <si>
    <t>⽩酒;开胃酒;⽶酒;预先混合的酒精饮料（以啤酒为主的除外）;⻩酒;⾼粱酒;葡萄酒;⾷⽤酒精;果酒（含酒精）;汽酒</t>
  </si>
  <si>
    <t>贵州鸿基鼎盛酒业有限公司</t>
  </si>
  <si>
    <t>匠人浔</t>
  </si>
  <si>
    <t>苹果酒;烈酒（饮料）;露酒;⽩酒;蒸馏饮料;葡萄酒;⽶酒;⾕物制蒸馏酒精饮料;果酒（含酒精）;餐后酒（利⼝酒和烈酒）</t>
  </si>
  <si>
    <t>龙概</t>
  </si>
  <si>
    <t>烧酒;烈酒;葡萄酒;威⼠忌;清酒;⽩酒;⾼粱酒;⻩酒;梅酒;朗姆酒</t>
  </si>
  <si>
    <t>徐豪</t>
  </si>
  <si>
    <t>沂江优选</t>
  </si>
  <si>
    <t>⻩酒;鸡尾酒;⾷⽤酒精;果酒（含酒精）;葡萄酒;烧酒;蜂蜜酒;⽩酒;⽶酒</t>
  </si>
  <si>
    <t>廖军</t>
  </si>
  <si>
    <t>蓝宋</t>
  </si>
  <si>
    <t>威⼠忌;⽶酒;⻩酒;酒精饮料（啤酒除外）;⽩酒;果酒（含酒精）;葡萄酒;鸡尾酒;清酒（⽇本⽶酒）;⻘稞酒</t>
  </si>
  <si>
    <t>鹰潭市月湖区川外楼餐饮店(个体工商户)</t>
  </si>
  <si>
    <t>宗哈</t>
  </si>
  <si>
    <t>⾼粱酒;⽶酒;烧酒;⽩酒;⻩酒;混合威⼠忌酒;葡萄酒;⽩兰地;鸡尾酒;果酒</t>
  </si>
  <si>
    <t>贵州享梦酒业有限公司</t>
  </si>
  <si>
    <t>逢露长江水</t>
  </si>
  <si>
    <t>葡萄酒;果酒（含酒精）;梨酒;含酒精的⽓泡⽔;⾕物制蒸馏酒精饮料;开胃酒;蜂蜜酒;樱桃酒;⽶酒;⽩酒</t>
  </si>
  <si>
    <t>广东川润影视传播有限公司</t>
  </si>
  <si>
    <t>贰沙一号</t>
  </si>
  <si>
    <t>红葡萄酒;果酒;酒精饮料（啤酒除外）;⻩酒;起泡红葡萄酒;⽩酒;鸡尾酒;起泡⽩葡萄酒;⽩葡萄酒;葡萄酒</t>
  </si>
  <si>
    <t>爱论卡坛</t>
  </si>
  <si>
    <t>含酒精的鸡尾酒混合饮品;⽩⼲酒（中国⽩酒）;果酒（含酒精）;开胃酒;酒精饮料（啤酒除外）;⽼酒（中国蒸馏烈酒）;⽩酒;烈酒（饮料）;利⼝酒;葡萄酒</t>
  </si>
  <si>
    <t>牛俊裕</t>
  </si>
  <si>
    <t>锅铁牛</t>
  </si>
  <si>
    <t>⾷⽤酒精;⽩酒;开胃酒;果酒（含酒精）;烧酒;⽼酒（中国蒸馏烈酒）;蒸馏饮料;葡萄酒;酒精饮料（啤酒除外）;烈酒（饮料）</t>
  </si>
  <si>
    <t>郑州尊驾酒业有限公司</t>
  </si>
  <si>
    <t>数界醇香</t>
  </si>
  <si>
    <t>烧酒;烈酒（饮料）;⽶酒;⻩酒;⽩酒;利⼝酒;果酒（含酒精）;⾕物制蒸馏酒精饮料;⾷⽤酒精;蒸馏饮料</t>
  </si>
  <si>
    <t>梁远发</t>
  </si>
  <si>
    <t>窑尊</t>
  </si>
  <si>
    <t>鸡尾酒;酒精饮料（啤酒除外）;清酒（⽇本⽶酒）;葡萄酒;开胃酒;⽩酒;果酒（含酒精）;威⼠忌;⻩酒;烈酒</t>
  </si>
  <si>
    <t>黄剑林</t>
  </si>
  <si>
    <t>观陀</t>
  </si>
  <si>
    <t>⽶酒;酒精饮料原汁;开胃酒;⻩酒;⾷⽤酒精;餐后酒（利⼝酒和烈酒）;烧酒;⽩酒;⽼酒（中国蒸馏烈酒）;⾼粱酒</t>
  </si>
  <si>
    <t>李圆圆</t>
  </si>
  <si>
    <t>牧清仙</t>
  </si>
  <si>
    <t>蒸馏饮料;烧酒;葡萄酒;⾷⽤酒精;开胃酒;果酒;⻩酒;酒精饮料（啤酒除外）;⽩酒;⽶酒</t>
  </si>
  <si>
    <t>阳新县鹿之源养殖专业合作社</t>
  </si>
  <si>
    <t>六鹿顺</t>
  </si>
  <si>
    <t>五加⽪酒（中国混合烈酒）;⽇式甜⽶酒;⽩葡萄酒;清酒（⽇本⽶酒）;⽩酒;鸡尾酒;⽶酒;汽酒;露酒;果酒（含酒精）</t>
  </si>
  <si>
    <t>李晓艳</t>
  </si>
  <si>
    <t>双市晓艳</t>
  </si>
  <si>
    <t>清酒;烈酒（饮料）;除啤酒外的酒精饮料;果酒（含酒精）;⽩酒;⻩酒;烧酒;酒精饮料（啤酒除外）;⽶酒;葡萄酒</t>
  </si>
  <si>
    <t>高微微</t>
  </si>
  <si>
    <t>鮨穗</t>
  </si>
  <si>
    <t>鸡尾酒;威⼠忌;果酒（含酒精）;葡萄酒;⽩兰地;伏特加酒;⽩酒;含⽔果酒精饮料;⽶酒;烧酒</t>
  </si>
  <si>
    <t>⽩酒;含⽔果酒精饮料;开胃酒;蒸馏饮料;⻩酒;果酒（含酒精）;葡萄酒;威⼠忌;酒精饮料（啤酒除外）;薄荷酒</t>
  </si>
  <si>
    <t>康甲天尊</t>
  </si>
  <si>
    <t>烧酒;葡萄酒;果酒（含酒精）;⽩酒;⾷⽤酒精;烈酒（饮料）;⽶酒;利⼝酒;⻩酒;蒸煮提取物（利⼝酒和烈酒）</t>
  </si>
  <si>
    <t>魏县绿源实业有限公司</t>
  </si>
  <si>
    <t>签度</t>
  </si>
  <si>
    <t>汽酒;烧酒;⻩酒;酒精饮料（啤酒除外）;⾷⽤酒精;⽶酒;⽩酒;烈酒（饮料）;开胃酒;蒸馏饮料</t>
  </si>
  <si>
    <t>郴州创乐科技有限公司</t>
  </si>
  <si>
    <t>乐虚</t>
  </si>
  <si>
    <t>⽶酒;⻩酒;⾼粱酒;烧酒;含酒精的饮料（啤酒除外）;含酒精⽔果饮料;果酒（含酒精）;含⽔果酒精饮料;⽩酒;甜酒</t>
  </si>
  <si>
    <t>中易万达（北京）贸易有限公司</t>
  </si>
  <si>
    <t>程勋楷</t>
  </si>
  <si>
    <t>果酒（含酒精）;葡萄酒;⽩兰地;⽶酒;⽩酒;鸡尾酒;烈酒（饮料）;威⼠忌;⻩酒;酒精饮料（啤酒除外）</t>
  </si>
  <si>
    <t>元江县林鑫酒坊</t>
  </si>
  <si>
    <t>方林忠</t>
  </si>
  <si>
    <t>⾕物制蒸馏酒精饮料;烧酒;烈酒;⽩酒;⽩⼲酒（中国⽩酒）;⽢蔗制烈酒;清酒;烧酒（烈酒）;由⾕物蒸馏的⽩酒;⾼粱酒</t>
  </si>
  <si>
    <t>西安堡贝侠餐饮管理有限公司</t>
  </si>
  <si>
    <t>堡贝侠</t>
  </si>
  <si>
    <t>薄荷酒;⻩酒;⽶酒;开胃酒;⾼粱酒;烧酒;⻘稞酒;葡萄酒;⽩酒;鸡尾酒</t>
  </si>
  <si>
    <t>广州市天滋优生物科技有限公司</t>
  </si>
  <si>
    <t>天滋优</t>
  </si>
  <si>
    <t>果酒（含酒精）;清酒（⽇本⽶酒）;⻩酒;⾷⽤酒精;以葡萄酒为主的饮料;烈酒（饮料）;蒸馏饮料;烧酒;酒精饮料（啤酒除外）;⽶酒</t>
  </si>
  <si>
    <t>北京中职商鉴教育科技中心</t>
  </si>
  <si>
    <t>元悟空</t>
  </si>
  <si>
    <t>葡萄酒;威⼠忌;甜果酒;果酒（含酒精）;⽩⼲酒（中国⽩酒）;⽩酒;⻩酒;⾼粱酒;清酒;伏特加酒</t>
  </si>
  <si>
    <t>长沙市六朝松企业管理有限公司</t>
  </si>
  <si>
    <t>桑梓星火</t>
  </si>
  <si>
    <t>果酒（含酒精）;汽酒;⽶酒;烧酒;烧酒（烈酒）;⻘稞酒;⽩酒;葡萄酒;⽩⼲酒（中国⽩酒）;⾼粱酒</t>
  </si>
  <si>
    <t>义乌市素微电子商务商行</t>
  </si>
  <si>
    <t>米小贝</t>
  </si>
  <si>
    <t>威⼠忌;⾷⽤酒精;鸡尾酒;酒精饮料（啤酒除外）;⻩酒;⽶酒;⽩兰地;⽩酒;葡萄酒;烈酒（饮料）</t>
  </si>
  <si>
    <t>义乌市伟龙肉制品有限公司</t>
  </si>
  <si>
    <t>金义都</t>
  </si>
  <si>
    <t>⽶酒;酒精饮料（啤酒除外）;鸡尾酒;清酒;威⼠忌;⽩酒;烧酒;葡萄酒;烈酒（饮料）;利⼝酒</t>
  </si>
  <si>
    <t>丽朗博兰酒业（香港）有限公司</t>
  </si>
  <si>
    <t>快味亭</t>
  </si>
  <si>
    <t>葡萄酒;伏特加酒;果酒;威⼠忌;含⽔果酒精饮料;蒸煮提取物（利⼝酒和烈酒）;清酒;⽩兰地;预先混合的酒精饮料（以啤酒为主的除外）;⽩酒</t>
  </si>
  <si>
    <t>四川绵州印象茶业有限公司</t>
  </si>
  <si>
    <t>寡二</t>
  </si>
  <si>
    <t>烧酒;葡萄酒;酒精饮料原汁;果酒（含酒精）;酒精饮料（啤酒除外）;蒸煮提取物（利⼝酒和烈酒）;含⽔果酒精饮料;⽩酒;烈酒（饮料）;蒸馏饮料</t>
  </si>
  <si>
    <t>浙江好溢笙生物科技有限公司</t>
  </si>
  <si>
    <t>蝉小宝</t>
  </si>
  <si>
    <t>蒸馏饮料;⽩酒;威⼠忌;⻩酒;葡萄酒;开胃酒;酒精饮料（啤酒除外）;含⽔果酒精饮料;薄荷酒;果酒（含酒精）</t>
  </si>
  <si>
    <t>常耘华</t>
  </si>
  <si>
    <t>安心贝比</t>
  </si>
  <si>
    <t>果酒（含酒精）;烈酒（饮料）;⽶酒;⽩酒;酒精饮料（啤酒除外）;酒精饮料原汁;烧酒;⾷⽤酒精;⾼粱酒;威⼠忌</t>
  </si>
  <si>
    <t>宝丰酒业有限公司</t>
  </si>
  <si>
    <t>天清云舒</t>
  </si>
  <si>
    <t>葡萄酒;⻩酒;果酒;开胃酒;⽶酒;⽩酒;鸡尾酒;酒精饮料（啤酒除外）;蒸馏⽶酒（泡盛酒）;烧酒</t>
  </si>
  <si>
    <t>山东厚德上医生命科学有限公司</t>
  </si>
  <si>
    <t>酣口</t>
  </si>
  <si>
    <t>含酒精的饮料（啤酒除外）;⽶酒;烧酒;果酒;鸡尾酒;⽩酒;开胃酒;利⼝酒;葡萄酒;威⼠忌</t>
  </si>
  <si>
    <t>小荼仙（广东）酒业有限公司</t>
  </si>
  <si>
    <t>罗家花</t>
  </si>
  <si>
    <t>朗姆酒;酒精饮料（啤酒除外）;⽶酒;葡萄酒;⽩兰地;果酒（含酒精）;烈酒（饮料）;苹果酒;⻩酒;烧酒</t>
  </si>
  <si>
    <t>素问真要</t>
  </si>
  <si>
    <t>⽩兰地;⻩酒;蒸煮提取物（利⼝酒和烈酒）;果酒（含酒精）;⽩酒;葡萄酒;开胃酒;蒸馏饮料;⽶酒;威⼠忌</t>
  </si>
  <si>
    <t>杨佳</t>
  </si>
  <si>
    <t>暖城草原</t>
  </si>
  <si>
    <t>预先混合的酒精饮料（以啤酒为主的除外）;由⾕物蒸馏的⽩酒;鸡尾酒;烧酒（烈酒）;⽼酒（中国蒸馏烈酒）;⽩酒;威⼠忌;酒精饮料原汁;红葡萄酒;开胃酒</t>
  </si>
  <si>
    <t>付刚勇</t>
  </si>
  <si>
    <t>斛健元</t>
  </si>
  <si>
    <t>烧酒;烈酒（饮料）;酒精饮料（啤酒除外）;⽶酒;⻩酒;葡萄酒;开胃酒;果酒（含酒精）;⽩酒;鸡尾酒</t>
  </si>
  <si>
    <t>觅雾</t>
  </si>
  <si>
    <t>烈酒;葡萄酒;酒精饮料（啤酒除外）;威⼠忌;伏特加酒;果酒;⽩兰地;⽩酒;清酒;鸡尾酒</t>
  </si>
  <si>
    <t>友八</t>
  </si>
  <si>
    <t>葡萄酒;开胃酒;烧酒;利⼝酒;鸡尾酒;威⼠忌;伏特加酒;果酒（含酒精）;酒精饮料（啤酒除外）;⽩兰地</t>
  </si>
  <si>
    <t>原河洞</t>
  </si>
  <si>
    <t>⽶酒;⽩酒;果酒（含酒精）;烧酒;⻩酒;⾼粱酒;果酒;⾷⽤酒精;酒精饮料（啤酒除外）;烈酒（饮料）</t>
  </si>
  <si>
    <t>陈德钦</t>
  </si>
  <si>
    <t>赤酒人</t>
  </si>
  <si>
    <t>开胃酒;清酒（⽇本⽶酒）;烧酒;⽩酒;⻩酒;蜂蜜酒;预先混合的酒精饮料（以啤酒为主的除外）;鸡尾酒;烈酒（饮料）;葡萄酒</t>
  </si>
  <si>
    <t>山西杏花万福源酒厂股份有限公司</t>
  </si>
  <si>
    <t>晋龙樽</t>
  </si>
  <si>
    <t>开胃酒;⻩酒;⽩酒;蒸馏饮料;果酒;蜂蜜酒;烧酒;葡萄酒;烈酒（饮料）;⽶酒</t>
  </si>
  <si>
    <t>深圳市粿条先生餐饮管理有限公司</t>
  </si>
  <si>
    <t>MISS.HOFUN</t>
  </si>
  <si>
    <t>⽶酒;朗姆酒;威⼠忌;葡萄酒;果酒;⽩酒;梅酒;⽩兰地;烧酒;清酒</t>
  </si>
  <si>
    <t>深圳市峰时代汽车有限公司</t>
  </si>
  <si>
    <t>风涨</t>
  </si>
  <si>
    <t>葡萄酒;烧酒;清酒（⽇本⽶酒）;果酒;⽶酒;⻩酒;⽩酒;⻘稞酒;预先混合的酒精饮料（以啤酒为主的除外）;酒精饮料（啤酒除外）</t>
  </si>
  <si>
    <t>孟青松</t>
  </si>
  <si>
    <t>九燚缘</t>
  </si>
  <si>
    <t>开胃酒;葡萄酒;⽩酒;鸡尾酒;⽶酒;果酒（含酒精）;含⽔果酒精饮料;蒸馏饮料;酒精饮料（啤酒除外）;烧酒</t>
  </si>
  <si>
    <t>何冬平</t>
  </si>
  <si>
    <t>食正坊</t>
  </si>
  <si>
    <t>烈酒（饮料）;烧酒;蒸煮提取物（利⼝酒和烈酒）;⽶酒;酒精饮料（啤酒除外）;⽩酒;葡萄酒;⻩酒;威⼠忌;果酒（含酒精）</t>
  </si>
  <si>
    <t>泸州洪梦酒业有限公司</t>
  </si>
  <si>
    <t>万蔺</t>
  </si>
  <si>
    <t>⾷⽤酒精;⽩酒;蒸馏饮料;⽶酒;葡萄酒;预先混合的酒精饮料（以啤酒为主的除外）;开胃酒;酒精饮料（啤酒除外）;鸡尾酒;果酒（含酒精）</t>
  </si>
  <si>
    <t>任宝存</t>
  </si>
  <si>
    <t>版懐</t>
  </si>
  <si>
    <t>烈酒（饮料）;⻩酒;酒精饮料（啤酒除外）;⽶酒;葡萄酒;清酒（⽇本⽶酒）;果酒（含酒精）;烧酒;⽩酒;鸡尾酒</t>
  </si>
  <si>
    <t>宿州市驰名商贸有限公司</t>
  </si>
  <si>
    <t>果酒（含酒精）;⾷⽤酒精;酒精饮料（啤酒除外）;开胃酒;⽩酒;⽩兰地;清酒（⽇本⽶酒）;利⼝酒;烧酒;葡萄酒</t>
  </si>
  <si>
    <t>幸馨</t>
  </si>
  <si>
    <t>君睿澜</t>
  </si>
  <si>
    <t>⽶酒;⽩⼲酒（中国⽩酒）;⽩酒;烈酒（饮料）;清酒;果酒;⽼酒（中国蒸馏烈酒）;葡萄酒;⾼粱酒;烧酒（烈酒）</t>
  </si>
  <si>
    <t>庄修齐</t>
  </si>
  <si>
    <t>奇芯视界</t>
  </si>
  <si>
    <t>威⼠忌;酒精饮料（啤酒除外）;⻩酒;葡萄酒;⽩酒;酒精饮料原汁;含⽔果酒精饮料;果酒（含酒精）;烧酒;⽶酒</t>
  </si>
  <si>
    <t>杨邦发</t>
  </si>
  <si>
    <t>密香盛世</t>
  </si>
  <si>
    <t>烈酒（饮料）;⻩酒;预先混合的酒精饮料（以啤酒为主的除外）;⽩兰地;酒精饮料（啤酒除外）;蜂蜜酒;威⼠忌;⽩酒;果酒（含酒精）;葡萄酒</t>
  </si>
  <si>
    <t>广州迎龙国际贸易有限责任公司</t>
  </si>
  <si>
    <t>诚友量</t>
  </si>
  <si>
    <t>鸡尾酒;⾷⽤酒精;烧酒;⽩酒;⽶酒;⻩酒;葡萄酒;含⽔果酒精饮料;蒸馏饮料;果酒（含酒精）</t>
  </si>
  <si>
    <t>远瞰</t>
  </si>
  <si>
    <t>葡萄酒;威⼠忌;⽩酒;烧酒;蒸馏饮料;烈酒（饮料）;餐后酒（利⼝酒和烈酒）;开胃酒;清酒（⽇本⽶酒）;薄荷酒</t>
  </si>
  <si>
    <t>吉林省木林工艺品有限公司</t>
  </si>
  <si>
    <t>乾坤守财</t>
  </si>
  <si>
    <t>威⼠忌;鸡尾酒;葡萄酒;蒸馏饮料;酒精饮料（啤酒除外）;⽩酒;烈酒（饮料）;烧酒;果酒（含酒精）;⽶酒</t>
  </si>
  <si>
    <t>合肥便利侠城市环境服务有限公司</t>
  </si>
  <si>
    <t>便利侠</t>
  </si>
  <si>
    <t>餐后酒（利⼝酒和烈酒）;含⽔果酒精饮料;威⼠忌;⻩酒;⽩酒;烈酒（饮料）;⽶酒;葡萄酒;烈酒;⽼酒（中国蒸馏烈酒）</t>
  </si>
  <si>
    <t>沈阳卡萨欧罗商贸有限公司</t>
  </si>
  <si>
    <t>CHESTE</t>
  </si>
  <si>
    <t>不起泡葡萄酒;起泡红葡萄酒;含酒精的⽔果鸡尾酒饮料;葡萄汽酒;调制好的葡萄酒鸡尾酒;桃红葡萄酒;葡萄酒;⽩葡萄酒;红葡萄酒;起泡⽩葡萄酒</t>
  </si>
  <si>
    <t>罗氏花</t>
  </si>
  <si>
    <t>烧酒;烈酒（饮料）;⻩酒;酒精饮料（啤酒除外）;果酒（含酒精）;苹果酒;葡萄酒;⽶酒;朗姆酒;⽩兰地</t>
  </si>
  <si>
    <t>福州市仓山区珺乐食品商行</t>
  </si>
  <si>
    <t>义知音</t>
  </si>
  <si>
    <t>⽩酒;⽩兰地;⽶酒;烧酒;伏特加酒;烈酒（饮料）;葡萄酒;含⽔果酒精饮料;朗姆酒;威⼠忌</t>
  </si>
  <si>
    <t>康甲大众</t>
  </si>
  <si>
    <t>烈酒（饮料）;⽶酒;葡萄酒;蒸煮提取物（利⼝酒和烈酒）;⻩酒;⾷⽤酒精;利⼝酒;烧酒;果酒（含酒精）;⽩酒</t>
  </si>
  <si>
    <t>河南多朴酒业有限公司</t>
  </si>
  <si>
    <t>LAOYI</t>
  </si>
  <si>
    <t>⽶酒;⽩兰地;伏特加酒;果酒（含酒精）;朗姆酒;蒸馏饮料;清酒（⽇本⽶酒）;⻩酒;⽩酒;威⼠忌</t>
  </si>
  <si>
    <t>烟台市华夏文化艺术中心</t>
  </si>
  <si>
    <t>暖露</t>
  </si>
  <si>
    <t>葡萄酒;清酒（⽇本⽶酒）;果酒;⻩酒;⽩酒;酒精饮料（啤酒除外）;酒精饮料浓缩汁;⽩兰地;梨酒;⾕物制蒸馏酒精饮料</t>
  </si>
  <si>
    <t>崔志东</t>
  </si>
  <si>
    <t>童味苗家</t>
  </si>
  <si>
    <t>⽩酒;⻩酒;烈酒（饮料）;葡萄酒;果酒（含酒精）;酒精饮料（啤酒除外）;烧酒;威⼠忌;⽶酒;鸡尾酒</t>
  </si>
  <si>
    <t>延边小茹食品经营店</t>
  </si>
  <si>
    <t>延小茹</t>
  </si>
  <si>
    <t>葡萄酒;酒精饮料（啤酒除外）;⽩酒;果酒（含酒精）;含⽔果酒精饮料;蒸馏饮料;⽶酒;烈酒;烧酒;预先混合的酒精饮料（以啤酒为主的除外）</t>
  </si>
  <si>
    <t>贵州一带一酱酒业有限责任公司</t>
  </si>
  <si>
    <t>含酒精⽔果饮料;⽩葡萄酒;含酒精的饮料（啤酒除外）;⽩⼲酒（中国⽩酒）;⽩酒;由⾕物蒸馏的⽩酒;⽼酒（中国蒸馏烈酒）</t>
  </si>
  <si>
    <t>暖城爱</t>
  </si>
  <si>
    <t>开胃酒;⽼酒（中国蒸馏烈酒）;由⾕物蒸馏的⽩酒;鸡尾酒;预先混合的酒精饮料（以啤酒为主的除外）;⽩酒;威⼠忌;酒精饮料原汁;红葡萄酒;烧酒（烈酒）</t>
  </si>
  <si>
    <t>贵州如一高定酒业有限公司</t>
  </si>
  <si>
    <t>聂永</t>
  </si>
  <si>
    <t>果酒（含酒精）;烧酒（烈酒）;含酒精的饮料（啤酒除外）;烈酒（饮料）;⽼酒（中国蒸馏烈酒）;由⾕物蒸馏的⽩酒;⽶酒;露酒;利⼝酒;⽩酒</t>
  </si>
  <si>
    <t>康甲帝乐</t>
  </si>
  <si>
    <t>⽩酒;葡萄酒;⾷⽤酒精;利⼝酒;蒸煮提取物（利⼝酒和烈酒）;烧酒;⽶酒;果酒（含酒精）;⻩酒;烈酒（饮料）</t>
  </si>
  <si>
    <t>济南市汶水谣农牧有限公司</t>
  </si>
  <si>
    <t>红秋烨</t>
  </si>
  <si>
    <t xml:space="preserve">	谷物制蒸馏酒精饮料; 由谷物蒸馏的白酒; 蜂蜜酒; 老酒（中国蒸馏烈酒）; 果酒; 以葡萄酒为主的饮料; 烧酒; 果酒（含酒精）; 白酒; 米酒</t>
  </si>
  <si>
    <t>李明聪</t>
  </si>
  <si>
    <t>华珩</t>
  </si>
  <si>
    <t>烧酒;⾷⽤酒精;⽼酒（中国蒸馏烈酒）;蒸馏饮料;⽩酒;葡萄酒;果酒（含酒精）;烈酒（饮料）;⽶酒;⽩⼲酒（中国⽩酒）</t>
  </si>
  <si>
    <t>许谱152827********3911</t>
  </si>
  <si>
    <t>许粮山</t>
  </si>
  <si>
    <t>葡萄酒;⻩酒;果酒（含酒精）;威⼠忌;以葡萄酒为主的开胃酒;⽶酒;⽩酒;除啤酒外的酒精饮料;鸡尾酒;含⽔果酒精饮料</t>
  </si>
  <si>
    <t>凌碧华</t>
  </si>
  <si>
    <t>汉页</t>
  </si>
  <si>
    <t>威⼠忌;清酒（⽇本⽶酒）;⽩酒;⻩酒;葡萄酒;开胃酒;鸡尾酒;烈酒;酒精饮料（啤酒除外）;果酒（含酒精）</t>
  </si>
  <si>
    <t>康甲龙尊</t>
  </si>
  <si>
    <t>烧酒;蒸煮提取物（利⼝酒和烈酒）;利⼝酒;⻩酒;果酒（含酒精）;⽩酒;烈酒（饮料）;⽶酒;葡萄酒;⾷⽤酒精</t>
  </si>
  <si>
    <t>康甲喜乐</t>
  </si>
  <si>
    <t>⽩酒;⻩酒;果酒（含酒精）;烈酒（饮料）;⾷⽤酒精;蒸煮提取物（利⼝酒和烈酒）;利⼝酒;烧酒;⽶酒;葡萄酒</t>
  </si>
  <si>
    <t>徐建</t>
  </si>
  <si>
    <t>卡泰驰</t>
  </si>
  <si>
    <t>⻘稞酒;果酒（含酒精）;鸡尾酒;⽩酒;含⽔果酒精饮料;⽶酒;烧酒;葡萄酒;酒精饮料（啤酒除外）;⻩酒</t>
  </si>
  <si>
    <t>朱艳</t>
  </si>
  <si>
    <t>季品特秘</t>
  </si>
  <si>
    <t>汽酒;酒精饮料原汁;⽼酒（中国蒸馏烈酒）;果酒;露酒;⽩酒;⻩酒;⽶酒;⾼粱酒;含酒精的饮料（啤酒除外）</t>
  </si>
  <si>
    <t>河南献民茶业有限公司</t>
  </si>
  <si>
    <t>卢翘红</t>
  </si>
  <si>
    <t>鸡尾酒;⾼粱酒;甜酒;葡萄酒;清酒;含酒精⽔果饮料;混合威⼠忌酒;烈酒（饮料）;⻩酒;果酒</t>
  </si>
  <si>
    <t>南充叮准科技有限公司</t>
  </si>
  <si>
    <t>叮准</t>
  </si>
  <si>
    <t>⽶酒;⽼酒（中国蒸馏烈酒）;蒸煮提取物（利⼝酒和烈酒）;⽩⼲酒（中国⽩酒）;⻩酒;以葡萄酒为主的饮料;⾼粱酒;⽩酒;红葡萄酒;⾕物制蒸馏酒精饮料</t>
  </si>
  <si>
    <t>吉林省永合鹿业有限公司</t>
  </si>
  <si>
    <t>金鹿乡伴</t>
  </si>
  <si>
    <t>清酒;果酒（含酒精）;利⼝酒;酒精饮料（啤酒除外）;⽶酒;烧酒;汽酒;烈酒（饮料）;酒精饮料原汁;⻩酒</t>
  </si>
  <si>
    <t>帝贡壶</t>
  </si>
  <si>
    <t>汽酒;清酒;⽩兰地;⽩酒;烧酒;⻩酒;果酒;威⼠忌;⽶酒;葡萄酒</t>
  </si>
  <si>
    <t>匠王渡</t>
  </si>
  <si>
    <t>⽩兰地;烧酒;葡萄酒;清酒;威⼠忌;⽩酒;⻩酒;汽酒;果酒;⽶酒</t>
  </si>
  <si>
    <t>孙嘉荣耀</t>
  </si>
  <si>
    <t>清酒;果酒（含酒精）;⽩酒;酒精饮料（啤酒除外）;烧酒;鸡尾酒;⽩兰地;含⽔果酒精饮料;⽶酒;葡萄酒</t>
  </si>
  <si>
    <t>宋河 宋陆</t>
  </si>
  <si>
    <t>葡萄酒;果酒（含酒精）;烈酒（饮料）;⽶酒;鸡尾酒;蒸馏饮料;⽩酒;烧酒;⻩酒;酒精饮料（啤酒除外）</t>
  </si>
  <si>
    <t>昱见(北京)商贸有限公司</t>
  </si>
  <si>
    <t>昱见醉京华</t>
  </si>
  <si>
    <t>果酒（含酒精）;清酒（⽇本⽶酒）;⽶酒;蒸馏饮料;果酒;⽩酒;⾼粱酒;威⼠忌;烧酒;朗姆酒</t>
  </si>
  <si>
    <t>武乡县厚泰福酒业有限公司</t>
  </si>
  <si>
    <t>板山窑露</t>
  </si>
  <si>
    <t>⽩酒;由⾕物蒸馏的⽩酒;⽩⼲酒（中国⽩酒）;⾼粱酒;⾷⽤酒精;⽼酒（中国蒸馏烈酒）;已调味的蒸馏酒;已调味的⻨芽酿制的酒精饮料（啤酒除外）;果酒（含酒精）;红葡萄酒</t>
  </si>
  <si>
    <t>杭州康生园生命科技有限公司</t>
  </si>
  <si>
    <t>西溪海</t>
  </si>
  <si>
    <t>⻩酒;含⽔果酒精饮料;烧酒（烈酒）;烈性⼲酒;⾷⽤酒精;烧酒;果酒（含酒精）;以葡萄酒为主的开胃酒;⽩酒;烈酒（饮料）</t>
  </si>
  <si>
    <t>关向东</t>
  </si>
  <si>
    <t>叠见</t>
  </si>
  <si>
    <t>⽩酒;开胃酒;蒸煮提取物（利⼝酒和烈酒）;蜂蜜酒;蒸馏饮料;⽶酒;甜果酒;柑⾹酒;⻩酒;果酒（含酒精）</t>
  </si>
  <si>
    <t>熊建</t>
  </si>
  <si>
    <t>酒都画境</t>
  </si>
  <si>
    <t>⽶酒;⽼酒（中国蒸馏烈酒）;⻩酒;葡萄酒;清酒;烧酒;由⾕物蒸馏的⽩酒;⾼粱酒;⽩酒;苹果酒</t>
  </si>
  <si>
    <t>⽩酒;⽶酒;含⽔果酒精饮料;开胃酒;烈酒（饮料）;酒精饮料（啤酒除外）;烧酒;⻩酒;鸡尾酒;葡萄酒</t>
  </si>
  <si>
    <t>张浩友</t>
  </si>
  <si>
    <t>九黔龙</t>
  </si>
  <si>
    <t>蒸馏饮料;⽶酒;清酒（⽇本⽶酒）;⻘稞酒;⾷⽤酒精;⽩酒;葡萄酒;果酒（含酒精）;酒精饮料（啤酒除外）;⻩酒</t>
  </si>
  <si>
    <t>张家口怀谷庄园葡萄酒有限公司</t>
  </si>
  <si>
    <t>怀谷庄园</t>
  </si>
  <si>
    <t>梨酒;烧酒;苹果酒;烈酒（饮料）;葡萄酒;酒精饮料浓缩汁;含⽔果酒精饮料;⽩酒;汽酒;果酒</t>
  </si>
  <si>
    <t>何公花</t>
  </si>
  <si>
    <t>烧酒;葡萄酒;⻩酒;酒精饮料（啤酒除外）;⽩兰地;朗姆酒;果酒（含酒精）;⽶酒;苹果酒;烈酒（饮料）</t>
  </si>
  <si>
    <t>嘉荫县兴嘉农林综合开发有限责任公司</t>
  </si>
  <si>
    <t>XINGANJIAPIN</t>
  </si>
  <si>
    <t>果酒;烧酒;烈酒;⽩酒;⽔果汽酒;蒸馏饮料;⽶酒;蜂蜜酒;酒精饮料（啤酒除外）;葡萄酒</t>
  </si>
  <si>
    <t>中科汇能有限公司</t>
  </si>
  <si>
    <t>休憩即悟 方柱</t>
  </si>
  <si>
    <t>⾼粱酒;⻩酒;⽩酒;烧酒;烈酒;⻘稞酒;⽩兰地;五加⽪酒（中国混合烈酒）;⽶酒;清酒</t>
  </si>
  <si>
    <t>北京等距线科技有限公司</t>
  </si>
  <si>
    <t>赤河水金山</t>
  </si>
  <si>
    <t>蜂蜜酒;鸡尾酒;⽩酒;果酒（含酒精）;⻩酒;葡萄酒;汽酒;烈酒（饮料）;⽶酒;酒精饮料（啤酒除外）</t>
  </si>
  <si>
    <t>福安市富兴强茶业有限公司</t>
  </si>
  <si>
    <t>陆羽峰</t>
  </si>
  <si>
    <t>伏特加酒;酒精饮料（啤酒除外）;鸡尾酒;⻩酒;葡萄酒;⽩兰地;⽩酒;果酒（含酒精）;⽶酒;威⼠忌</t>
  </si>
  <si>
    <t>万杰</t>
  </si>
  <si>
    <t>福嘉秀秀</t>
  </si>
  <si>
    <t>汽酒;果酒（含酒精）;⻩酒;⽶酒;蒸馏饮料;烧酒;⽩酒;酒精饮料（啤酒除外）;葡萄酒;蜂蜜酒</t>
  </si>
  <si>
    <t>山西杏花国宾酒业有限公司</t>
  </si>
  <si>
    <t>杏桐年份</t>
  </si>
  <si>
    <t>⾷⽤酒精;开胃酒;烧酒;⻩酒;⻘稞酒;利⼝酒;⽩酒;烈酒（饮料）;杜松⼦酒;蒸煮提取物（利⼝酒和烈酒）</t>
  </si>
  <si>
    <t>果酒（含酒精）;⽩酒;露酒;⽩兰地;⻩酒;清酒;⾼粱酒;含⽔果酒精饮料;汽酒;烧酒</t>
  </si>
  <si>
    <t>张钦杰</t>
  </si>
  <si>
    <t>火老师</t>
  </si>
  <si>
    <t>⽩酒;⽶酒;伏特加酒;烧酒;果酒（含酒精）;烈酒（饮料）;酒精饮料（啤酒除外）;鸡尾酒;⻩酒;开胃酒</t>
  </si>
  <si>
    <t>戈壁神话</t>
  </si>
  <si>
    <t>果酒（含酒精）;⽶酒;葡萄酒;⽩酒;酒精饮料（啤酒除外）;红葡萄酒;含⽔果酒精饮料;甜酒;开胃酒;烧酒</t>
  </si>
  <si>
    <t>贵州洪氏惠民酒业有限公司</t>
  </si>
  <si>
    <t>情义胜</t>
  </si>
  <si>
    <t>烧酒;⾼粱酒;蒸馏饮料;⽶酒;⾷⽤酒精;葡萄酒;威⼠忌;⽩酒;⻩酒;果酒（含酒精）</t>
  </si>
  <si>
    <t>孙先勇</t>
  </si>
  <si>
    <t>齐墨大夫田种首</t>
  </si>
  <si>
    <t>蒸馏饮料;⽩酒;酒精饮料（啤酒除外）;⽶酒;⽼酒（中国蒸馏烈酒）;⻩酒;⾷⽤酒精;清酒（⽇本⽶酒）;烧酒;果酒（含酒精）</t>
  </si>
  <si>
    <t>成都市嘉泰青禾供应链管理有限公司</t>
  </si>
  <si>
    <t>嘉泰青禾</t>
  </si>
  <si>
    <t>果酒（含酒精）;蒸馏饮料;利⼝酒;酒精饮料浓缩汁;烧酒;⽩酒;含⽔果酒精饮料;⻩酒;开胃酒;烈酒（饮料）</t>
  </si>
  <si>
    <t>湖南海通臻选科技有限公司</t>
  </si>
  <si>
    <t>密荐拾玖窖</t>
  </si>
  <si>
    <t>鸡尾酒;葡萄酒;威⼠忌;酒精饮料（啤酒除外）;梅酒;⽩酒;果酒（含酒精）;⽶酒;⾼粱酒;⻩酒</t>
  </si>
  <si>
    <t>广西产康科技有限公司</t>
  </si>
  <si>
    <t>LAST CALL</t>
  </si>
  <si>
    <t>鸡尾酒;葡萄酒;威⼠忌;伏特加酒;⽶酒;⾷⽤酒精;苹果酒;⽩兰地;果酒（含酒精）</t>
  </si>
  <si>
    <t>贵州源力酒业有限公司</t>
  </si>
  <si>
    <t>源力U能</t>
  </si>
  <si>
    <t>酒精饮料（啤酒除外）;⻩酒;露酒;草莓酒;⽩酒;⽶酒;葡萄酒;已调味的蒸馏酒;果酒（含酒精）;薄荷酒</t>
  </si>
  <si>
    <t>成都市融禾嘉泰现代农业发展有限公司</t>
  </si>
  <si>
    <t>融禾嘉泰</t>
  </si>
  <si>
    <t>开胃酒;⽩酒;果酒（含酒精）;利⼝酒;蒸馏饮料;含⽔果酒精饮料;烧酒;⻩酒;烈酒（饮料）;酒精饮料浓缩汁</t>
  </si>
  <si>
    <t>榆林利雅新商贸有限公司</t>
  </si>
  <si>
    <t>富柯丽</t>
  </si>
  <si>
    <t>⽩酒;⽶酒;烧酒;葡萄酒;鸡尾酒;⽢蔗制烈酒;烈酒;⾼粱酒;⽩⼲酒（中国⽩酒）;⻩酒</t>
  </si>
  <si>
    <t>正窖天下</t>
  </si>
  <si>
    <t>⽩⼲酒（中国⽩酒）;⽼酒（中国蒸馏烈酒）;⾼粱酒;⻩酒;⽩酒;⽶酒;烧酒（烈酒）;烧酒;⾷⽤酒精;果酒</t>
  </si>
  <si>
    <t>宋勇勇</t>
  </si>
  <si>
    <t>茬烧</t>
  </si>
  <si>
    <t>蒸煮提取物（利⼝酒和烈酒）;烧酒;酒精饮料（啤酒除外）;烈酒（饮料）;⾷⽤酒精;利⼝酒;⽩酒;含⽔果酒精饮料;果酒（含酒精）;⽶酒</t>
  </si>
  <si>
    <t>汪双雄</t>
  </si>
  <si>
    <t>耘香村</t>
  </si>
  <si>
    <t>葡萄酒;烈酒（饮料）;⽶酒;⽩葡萄酒;⻩酒;汽酒;⽩酒;果酒（含酒精）;酒精饮料原汁;烧酒</t>
  </si>
  <si>
    <t>玉频液</t>
  </si>
  <si>
    <t>葡萄酒;梨酒;⽶酒;含⽔果酒精饮料;⽩兰地;酒精饮料原汁;烧酒;开胃酒;威⼠忌;⽩酒</t>
  </si>
  <si>
    <t>三顾友</t>
  </si>
  <si>
    <t>⽩酒;果酒（含酒精）;清酒（⽇本⽶酒）;开胃酒;烈酒;酒精饮料（啤酒除外）;鸡尾酒;葡萄酒;⻩酒;威⼠忌</t>
  </si>
  <si>
    <t>哈尔滨市红齐投资有限公司</t>
  </si>
  <si>
    <t>管玉瑶</t>
  </si>
  <si>
    <t>含酒精的鸡尾酒混合饮品;含⽔果酒精饮料;果酒（含酒精）;⽩兰地;伏特加酒;烧酒;红葡萄酒;⽩酒;鸡尾酒;威⼠忌</t>
  </si>
  <si>
    <t>广州腾度实业有限公司</t>
  </si>
  <si>
    <t>腾度</t>
  </si>
  <si>
    <t>威⼠忌;⽶酒;果酒（含酒精）;⻩酒;⽩酒;烧酒;烈酒;葡萄酒;鸡尾酒;⽩兰地</t>
  </si>
  <si>
    <t>江苏玖玖惠众贸易有限公司</t>
  </si>
  <si>
    <t>黄泗祈福</t>
  </si>
  <si>
    <t>果酒（含酒精）;烈酒（饮料）;清酒（⽇本⽶酒）;酒精饮料（啤酒除外）;葡萄酒;鸡尾酒;⻩酒;⽩酒;烧酒;⽶酒</t>
  </si>
  <si>
    <t>六盘水建发伟业商贸有限公司</t>
  </si>
  <si>
    <t>沐春台</t>
  </si>
  <si>
    <t>⽶酒;威⼠忌;伏特加酒;⾼粱酒;⻩酒;薄荷酒;⽩兰地;果酒（含酒精）;清酒（⽇本⽶酒）;⽩酒</t>
  </si>
  <si>
    <t>北京三两酒有限公司</t>
  </si>
  <si>
    <t>百川东</t>
  </si>
  <si>
    <t>⽩⼲酒（中国⽩酒）;由⾕物蒸馏的⽩酒;⽶酒;⾼粱酒;烧酒;⽼酒（中国蒸馏烈酒）;清酒;⻩酒;⽩酒;烧酒（烈酒）</t>
  </si>
  <si>
    <t>消费把关（广州）科技中心</t>
  </si>
  <si>
    <t>把之</t>
  </si>
  <si>
    <t>⾷⽤酒精;果酒（含酒精）;蒸馏饮料;葡萄酒;⽶酒;⽩酒;含酒精的充⽓饮料（啤酒除外）;⽩兰地;威⼠忌;酒精饮料（啤酒除外）</t>
  </si>
  <si>
    <t>著和文化</t>
  </si>
  <si>
    <t>⽩酒;葡萄酒;清酒（⽇本⽶酒）;酒精饮料（啤酒除外）;果酒（含酒精）;⻩酒;含⽔果酒精饮料;烈酒（饮料）;⽶酒;烧酒</t>
  </si>
  <si>
    <t>容城县容美清洁服务有限公司</t>
  </si>
  <si>
    <t>牛鼻子</t>
  </si>
  <si>
    <t>调制好的葡萄酒鸡尾酒;含酒精⽔果饮料;含酒精的鸡尾酒混合饮品;蒸煮提取物（利⼝酒和烈酒）;⽶酒;酒精饮料（啤酒除外）;果酒（含酒精）;利⼝酒;⽩酒;以朗姆酒为主的饮料</t>
  </si>
  <si>
    <t>四川省五液浓香酒庄管理有限公司</t>
  </si>
  <si>
    <t>僰都春</t>
  </si>
  <si>
    <t>⽩酒;清酒;甜酒;鸡尾酒;烈酒;葡萄酒;⻩酒;果酒;⽶酒;酒精饮料（啤酒除外）</t>
  </si>
  <si>
    <t>贵州国醴电商有限公司</t>
  </si>
  <si>
    <t>醴电</t>
  </si>
  <si>
    <t>⽩酒;酒精饮料（啤酒除外）;开胃酒;烈酒（饮料）;烧酒;果酒（含酒精）;葡萄酒;清酒（⽇本⽶酒）;威⼠忌;⽶酒</t>
  </si>
  <si>
    <t>稻花赞</t>
  </si>
  <si>
    <t>⽶酒;烧酒;⽩酒;烈酒;⻩酒;葡萄酒;开胃酒;酒精饮料原汁;酒精饮料（啤酒除外）;果酒（含酒精）</t>
  </si>
  <si>
    <t>浙江九丰鼎文化发展有限公司</t>
  </si>
  <si>
    <t>JIU FENG DING</t>
  </si>
  <si>
    <t>烧酒;⽩酒;汽酒;⽶酒;⻘稞酒;含⽔果酒精饮料;开胃酒;⻩酒;葡萄酒;果酒(含酒精）</t>
  </si>
  <si>
    <t>黔君渡</t>
  </si>
  <si>
    <t>⽩酒;⻩酒;⽩兰地;鸡尾酒;威⼠忌;葡萄酒;甜酒;烧酒;果酒（含酒精）;⽶酒</t>
  </si>
  <si>
    <t>忻人老味</t>
  </si>
  <si>
    <t>含⽔果酒精饮料;⽩酒;酒精饮料（啤酒除外）;梅酒;红葡萄酒;⽼酒（中国蒸馏烈酒）;果酒（含酒精）;⽶酒;含酒精⽔果饮料;⾼粱酒</t>
  </si>
  <si>
    <t>唐雪</t>
  </si>
  <si>
    <t>鱼洋人</t>
  </si>
  <si>
    <t>⽩酒;汽酒;⽼酒（中国蒸馏烈酒）;烈酒（饮料）;酒精饮料（啤酒除外）;⽶酒;烧酒;蒸馏饮料;果酒（含酒精）;⻩酒</t>
  </si>
  <si>
    <t>浙江益哥环境科技有限公司</t>
  </si>
  <si>
    <t>醉幸福时分</t>
  </si>
  <si>
    <t>⽶酒;烧酒;⽩酒;果酒（含酒精）;⻩酒;烈酒;葡萄酒;含⽔果酒精饮料;汽酒</t>
  </si>
  <si>
    <t>大方县猫场镇群联养殖农民专业合作社</t>
  </si>
  <si>
    <t>魅力箐口</t>
  </si>
  <si>
    <t>⽼酒（中国蒸馏烈酒）;⽶酒;烧酒;葡萄酒;果酒（含酒精）;⾷⽤酒精;汽酒;⽩酒;烈酒（饮料）;清酒</t>
  </si>
  <si>
    <t>闻吉莲</t>
  </si>
  <si>
    <t>叶四嫂</t>
  </si>
  <si>
    <t>⽩酒;果酒;⽼酒（中国蒸馏烈酒）;含酒精的充⽓饮料（啤酒除外）;⻩酒;⽩⼲酒（中国⽩酒）;⽶酒;鸡尾酒;葡萄酒;烈酒</t>
  </si>
  <si>
    <t>吉林禾康医疗器械有限公司</t>
  </si>
  <si>
    <t>山予之</t>
  </si>
  <si>
    <t>樱桃酒;利⼝酒;果酒;梨酒;蒸馏饮料;松叶酒;开胃酒;五加⽪酒（中国混合烈酒）;⾼粱酒;葡萄酒</t>
  </si>
  <si>
    <t>毛国栋</t>
  </si>
  <si>
    <t>大甩甄选</t>
  </si>
  <si>
    <t>苹果酒;葡萄酒;威⼠忌;⽶酒;⻩酒;鸡尾酒;酒精饮料（啤酒除外）;⽩酒;果酒（含酒精）;烧酒</t>
  </si>
  <si>
    <t>吕梁越亮科技有限公司</t>
  </si>
  <si>
    <t>珏滋</t>
  </si>
  <si>
    <t>⽶酒;⽩酒;露酒;葡萄酒;烈酒（饮料）;鸡尾酒;苦荞酒;烧酒;梨酒;果酒（含酒精）</t>
  </si>
  <si>
    <t>酒霄云阅</t>
  </si>
  <si>
    <t>威⼠忌;杜松⼦酒;伏特加酒;⽩酒;酒精饮料（啤酒除外）;葡萄酒;⽩兰地;利⼝酒;鸡尾酒;朗姆酒</t>
  </si>
  <si>
    <t>山西海建宏基商贸有限公司</t>
  </si>
  <si>
    <t>名匠花青</t>
  </si>
  <si>
    <t>由⾕物蒸馏的⽩酒;苦荞酒;酒精饮料（啤酒除外）;⻩酒;⽼酒（中国蒸馏烈酒）;烧酒;⾼粱酒;汽酒;⽩酒;露酒</t>
  </si>
  <si>
    <t>郑州醉翁酒业有限公司</t>
  </si>
  <si>
    <t>德超阳</t>
  </si>
  <si>
    <t>⽶酒;果酒;含⽔果酒精饮料;⽩酒;⾼粱酒;⾕物制蒸馏酒精饮料;⽩⼲酒（中国⽩酒）;⻩酒;烧酒;酒精饮料（啤酒除外）</t>
  </si>
  <si>
    <t>青岛召德圣迪纳酒业有限公司</t>
  </si>
  <si>
    <t>真召德</t>
  </si>
  <si>
    <t>鸡尾酒;⽩兰地;酒精饮料原汁;酒精饮料（啤酒除外）;⻩酒;果酒（含酒精）;⾷⽤酒精;⽶酒;葡萄酒;⽩酒</t>
  </si>
  <si>
    <t>郑维强</t>
  </si>
  <si>
    <t>维稻</t>
  </si>
  <si>
    <t>开胃酒;⽶酒;烧酒;⻩酒;伏特加酒;⽩酒;果酒（含酒精）;威⼠忌;酒精饮料浓缩汁;烈酒（饮料）</t>
  </si>
  <si>
    <t>王湖宝</t>
  </si>
  <si>
    <t>沙沙星火山</t>
  </si>
  <si>
    <t>蒸馏饮料;葡萄酒;蜂蜜酒;⽩酒;果酒（含酒精）;薄荷酒;烈酒（饮料）;⽶酒;⻩酒;⽩⼲酒（中国⽩酒）</t>
  </si>
  <si>
    <t>杨帆贺岚</t>
  </si>
  <si>
    <t>开胃酒;⽩兰地;露酒;以葡萄酒为主的饮料;烈酒;果酒;酒精饮料（啤酒除外）;葡萄酒;⽩酒;含酒精⽔果饮料</t>
  </si>
  <si>
    <t>曹强</t>
  </si>
  <si>
    <t>长田农</t>
  </si>
  <si>
    <t>⾼粱酒;葡萄酒;⽩酒;甜酒;鸡尾酒;⽶酒;烧酒;⻘稞酒;⻩酒;果酒（含酒精）</t>
  </si>
  <si>
    <t>著荷</t>
  </si>
  <si>
    <t>⽩酒;葡萄酒;⻩酒;清酒（⽇本⽶酒）;果酒（含酒精）;⽶酒;烧酒;含⽔果酒精饮料;烈酒（饮料）;酒精饮料（啤酒除外）</t>
  </si>
  <si>
    <t>义乌市客晗化妆品有限公司</t>
  </si>
  <si>
    <t>中意内</t>
  </si>
  <si>
    <t>果酒（含酒精）;⽩酒;开胃酒;伏特加酒;蒸馏饮料;⻩酒;蜂蜜酒;烧酒;餐后酒（利⼝酒和烈酒）;鸡尾酒</t>
  </si>
  <si>
    <t>绵竹市君德贸易有限责任公司</t>
  </si>
  <si>
    <t>圣唐蜀源</t>
  </si>
  <si>
    <t>葡萄酒;⽩酒;⻘稞酒;烈酒（饮料）;伏特加酒;清酒（⽇本⽶酒）;含⽔果酒精饮料;酒精饮料（啤酒除外）;果酒（含酒精）;⽶酒</t>
  </si>
  <si>
    <t>陈留邦</t>
  </si>
  <si>
    <t>DYNAMIC FLYING</t>
  </si>
  <si>
    <t>⽩酒;⽩兰地;葡萄酒;含酒精⽔果饮料;威⼠忌;果酒（含酒精）;汽酒;混合威⼠忌酒;露酒;鸡尾酒</t>
  </si>
  <si>
    <t>邑泽（厦门）酒业有限公司</t>
  </si>
  <si>
    <t>辉佑</t>
  </si>
  <si>
    <t>朗姆酒;蒸煮提取物（利⼝酒和烈酒）;果酒;伏特加酒;鸡尾酒;威⼠忌;⽩兰地;葡萄酒;酒精饮料浓缩汁;酒精饮料（啤酒除外）</t>
  </si>
  <si>
    <t>岭南记忆（广州）食品有限公司</t>
  </si>
  <si>
    <t>认渴</t>
  </si>
  <si>
    <t>酒精饮料（啤酒除外）;葡萄酒;烈酒（饮料）;开胃酒;⽶酒;⽩酒;⽩兰地;烧酒;果酒（含酒精）;蒸馏饮料</t>
  </si>
  <si>
    <t>李光灿</t>
  </si>
  <si>
    <t>水浒酉铺</t>
  </si>
  <si>
    <t>⽩酒;蒸馏饮料;薄荷酒;威⼠忌;果酒（含酒精）;葡萄酒;⻩酒;酒精饮料（啤酒除外）;开胃酒;含⽔果酒精饮料</t>
  </si>
  <si>
    <t>东莞市锦悦餐饮管理服务有限公司</t>
  </si>
  <si>
    <t>含酒精的充⽓饮料（啤酒除外）;红葡萄酒;鸡尾酒;果酒（含酒精）;开胃酒;起泡⽩葡萄酒;⽶酒;混合威⼠忌酒;以葡萄酒为主的开胃酒;⽩酒</t>
  </si>
  <si>
    <t>郭聚炜</t>
  </si>
  <si>
    <t>御连天</t>
  </si>
  <si>
    <t>⽩酒;⻩酒;威⼠忌;烈酒;果酒;烧酒;含⽔果酒精饮料;⽔果汽酒;葡萄酒;⽶酒</t>
  </si>
  <si>
    <t>姚敏缤</t>
  </si>
  <si>
    <t>小耘乡</t>
  </si>
  <si>
    <t>⽩酒;酒精饮料原汁;烧酒;汽酒;⽶酒;烈酒（饮料）;⽩葡萄酒;果酒（含酒精）;葡萄酒;⻩酒</t>
  </si>
  <si>
    <t>吕功新</t>
  </si>
  <si>
    <t>井遂红</t>
  </si>
  <si>
    <t>⻩酒;清酒;露酒;⽩酒;⽼酒（中国蒸馏烈酒）;果酒;⽶酒;烧酒（烈酒）;葡萄酒;⾼粱酒</t>
  </si>
  <si>
    <t>青岛第二杯贸易有限公司</t>
  </si>
  <si>
    <t>奥哈克</t>
  </si>
  <si>
    <t>鸡尾酒;⽩兰地;清酒;⽩酒;威⼠忌;伏特加酒;⻩酒;果酒;葡萄酒;朗姆酒</t>
  </si>
  <si>
    <t>仁德叁零</t>
  </si>
  <si>
    <t>⻩酒;葡萄酒;伏特加酒;清酒;鸡尾酒;酒精饮料原汁;⻘稞酒;果酒（含酒精）;⽶酒;⽩酒</t>
  </si>
  <si>
    <t>仁义贰零</t>
  </si>
  <si>
    <t>清酒;⻘稞酒;⽩酒;⻩酒;鸡尾酒;⽶酒;酒精饮料原汁;葡萄酒;伏特加酒;果酒（含酒精）</t>
  </si>
  <si>
    <t>刘传记</t>
  </si>
  <si>
    <t>益刘</t>
  </si>
  <si>
    <t>葡萄酒;利⼝酒;苹果酒;烧酒;酒精饮料（啤酒除外）;清酒（⽇本⽶酒）;⽩酒;果酒（含酒精）;开胃酒;亚⼒酒</t>
  </si>
  <si>
    <t>五莲县晶磊石材有限公司</t>
  </si>
  <si>
    <t>富顶山</t>
  </si>
  <si>
    <t>餐后酒（利⼝酒和烈酒）;烧酒;⾼粱酒;朝鲜烧酒;⽶酒;朝鲜族⽶酒;⽼酒（中国蒸馏烈酒）;酒精饮料（啤酒除外）;开胃酒;红葡萄酒</t>
  </si>
  <si>
    <t>贵州省仁怀市掌神商贸有限公司</t>
  </si>
  <si>
    <t>郭领</t>
  </si>
  <si>
    <t>开胃酒;⽩酒;利⼝酒;烧酒;⽼酒（中国蒸馏烈酒）;烈酒（饮料）;⾼粱酒;果酒（含酒精）;葡萄酒;⻩酒</t>
  </si>
  <si>
    <t>青岛琛蓝健康产业集团有限公司</t>
  </si>
  <si>
    <t>琛蓝尊</t>
  </si>
  <si>
    <t>葡萄酒;利⼝酒;梨酒;露酒;清酒（⽇本⽶酒）;⽩酒;果酒;⽶酒;⻩酒;烧酒</t>
  </si>
  <si>
    <t>疆夏红</t>
  </si>
  <si>
    <t>酒精饮料（啤酒除外）;果酒（含酒精）;⽶酒;葡萄酒;红葡萄酒;甜酒;开胃酒;含⽔果酒精饮料;烧酒;⽩酒</t>
  </si>
  <si>
    <t>贵州青酒酒厂有限公司</t>
  </si>
  <si>
    <t>奋斗青</t>
  </si>
  <si>
    <t>葡萄酒;烈酒（饮料）;伏特加酒;蒸煮提取物（利⼝酒和烈酒）;酒精饮料（啤酒除外）;酒精饮料原汁;⽶酒;⽩酒;⽩兰地;果酒（含酒精）</t>
  </si>
  <si>
    <t>千红之红</t>
  </si>
  <si>
    <t>葡萄酒;⽩兰地;酒精饮料（啤酒除外）;⽩酒;露酒;开胃酒;以葡萄酒为主的饮料;果酒;含酒精⽔果饮料;烈酒</t>
  </si>
  <si>
    <t>毛湘锫</t>
  </si>
  <si>
    <t>迷人时刻</t>
  </si>
  <si>
    <t>开胃酒;果酒;甜酒;⻩酒;⾷⽤酒精;葡萄酒;清酒;⽶酒;⽩酒;汽酒</t>
  </si>
  <si>
    <t>苏日银</t>
  </si>
  <si>
    <t>赤漠台</t>
  </si>
  <si>
    <t>⻩酒;开胃酒;威⼠忌;酒精饮料（啤酒除外）;果酒（含酒精）;⽩酒;清酒（⽇本⽶酒）;鸡尾酒;葡萄酒;烈酒</t>
  </si>
  <si>
    <t>今航</t>
  </si>
  <si>
    <t>果酒（含酒精）;汽酒;⽼酒（中国蒸馏烈酒）;蒸馏饮料;⽩酒;酒精饮料（啤酒除外）;⽶酒;烧酒;⻩酒;烈酒（饮料）</t>
  </si>
  <si>
    <t>武汉汉和瑞商贸有限公司</t>
  </si>
  <si>
    <t>参荐</t>
  </si>
  <si>
    <t>葡萄酒;酒精饮料（啤酒除外）;⽩酒;蒸馏饮料;果酒;伏特加酒;威⼠忌;烈酒;烧酒;鸡尾酒</t>
  </si>
  <si>
    <t>过奇</t>
  </si>
  <si>
    <t>威⼠忌;⽶酒;汽酒;酒精饮料（啤酒除外）;开胃酒;薄荷酒;烈酒（饮料）;⽩酒;葡萄酒;果酒（含酒精）</t>
  </si>
  <si>
    <t>暹囍 礼宾窖酒囍暹 礼宾宴酒囍馔</t>
  </si>
  <si>
    <t>⽶酒;⽼酒（中国蒸馏烈酒）;葡萄酒;酒精饮料（啤酒除外）;烈酒;清酒;果酒;烧酒;⻩酒;⽩酒</t>
  </si>
  <si>
    <t>丽水博缘贸易有限公司</t>
  </si>
  <si>
    <t>威蒂拉克</t>
  </si>
  <si>
    <t>威⼠忌;⽶酒;烧酒;⽩兰地;果酒;葡萄酒;⻩酒;⾷⽤酒精;鸡尾酒;⽩酒</t>
  </si>
  <si>
    <t>郭海洋</t>
  </si>
  <si>
    <t>酌域</t>
  </si>
  <si>
    <t>⽩酒;开胃酒;清酒（⽇本⽶酒）;威⼠忌;⻩酒;果酒（含酒精）;鸡尾酒;葡萄酒;烈酒;酒精饮料（啤酒除外）</t>
  </si>
  <si>
    <t>九儿十八里红钻</t>
  </si>
  <si>
    <t>⽩酒;⾷⽤酒精;⽶酒;葡萄酒;烧酒;⽩兰地;⻘稞酒;酒精饮料（啤酒除外）;⻩酒;果酒（含酒精）</t>
  </si>
  <si>
    <t>安徽同富共强生态农业股份有限公司</t>
  </si>
  <si>
    <t>莎吉王</t>
  </si>
  <si>
    <t>餐后酒（利⼝酒和烈酒）;酒精饮料（啤酒除外）;⻘稞酒;⻩酒;清酒（⽇本⽶酒）;⾕物制蒸馏酒精饮料;果酒（含酒精）;烈酒（饮料）;亚⼒酒;⾷⽤酒精</t>
  </si>
  <si>
    <t>德品道</t>
  </si>
  <si>
    <t>葡萄酒;⽩酒;苹果酒;蒸馏饮料;⾕物制蒸馏酒精饮料;餐后酒（利⼝酒和烈酒）;果酒（含酒精）;烈酒（饮料）;⽶酒;露酒</t>
  </si>
  <si>
    <t>宁波瑀昕果蔬贸易有限公司</t>
  </si>
  <si>
    <t>菁点稚禾</t>
  </si>
  <si>
    <t>蜂蜜酒;利⼝酒;果酒（含酒精）;葡萄酒;杨梅酒;威⼠忌;含⽔果酒精饮料;⽩酒;⽶酒;⽔果汽酒</t>
  </si>
  <si>
    <t>忻朋友</t>
  </si>
  <si>
    <t>梅酒;⾼粱酒;含⽔果酒精饮料;⽶酒;酒精饮料（啤酒除外）;含酒精⽔果饮料;红葡萄酒;⽩酒;⽼酒（中国蒸馏烈酒）;果酒（含酒精）</t>
  </si>
  <si>
    <t>田乃荣</t>
  </si>
  <si>
    <t>极满家</t>
  </si>
  <si>
    <t>汽酒;清酒;葡萄酒;⽩酒;⾷⽤酒精;⻩酒;果酒;甜酒;⽶酒;开胃酒</t>
  </si>
  <si>
    <t>蚌埠市吉食颂餐饮管理有限公司</t>
  </si>
  <si>
    <t>京川惠涮烤</t>
  </si>
  <si>
    <t>⾼粱酒;葡萄酒;酒精饮料原汁;含⽔果酒精饮料;⻩酒;果酒;⽩酒;鸡尾酒;已调味的蒸馏酒;⽶酒</t>
  </si>
  <si>
    <t>山西济民调味食品有限公司</t>
  </si>
  <si>
    <t>奕有料</t>
  </si>
  <si>
    <t>薄荷酒;以葡萄酒为主的饮料;⽢蔗制烈酒;酸酒（低等葡萄酒）;天然汽酒;蜂蜜酒;⾕物制蒸馏酒精饮料;烈酒浓缩汁;开胃酒;蒸馏饮料</t>
  </si>
  <si>
    <t>吴先琼</t>
  </si>
  <si>
    <t>悍狮</t>
  </si>
  <si>
    <t>清酒（⽇本⽶酒）;葡萄酒;鸡尾酒;烈酒;果酒（含酒精）;威⼠忌;开胃酒;酒精饮料（啤酒除外）;⽩酒;⻩酒</t>
  </si>
  <si>
    <t>琛蓝金</t>
  </si>
  <si>
    <t>葡萄酒;利⼝酒;烧酒;果酒;⽩酒;露酒;⽶酒;⻩酒;梨酒;清酒（⽇本⽶酒）</t>
  </si>
  <si>
    <t>望粱川</t>
  </si>
  <si>
    <t>葡萄酒;清酒（⽇本⽶酒）;⽩酒;⻩酒;烈酒;威⼠忌;果酒（含酒精）;开胃酒;鸡尾酒;酒精饮料（啤酒除外）</t>
  </si>
  <si>
    <t>山西浩然成业供应链管理有限公司</t>
  </si>
  <si>
    <t>唐明园</t>
  </si>
  <si>
    <t>⻩酒;蒸馏饮料;⻘稞酒;含酒精的⽓泡⽔;葡萄酒;⽩酒;烧酒;果酒;酒精饮料（啤酒除外）;鸡尾酒</t>
  </si>
  <si>
    <t>北京南诏梨火农业科技有限公司</t>
  </si>
  <si>
    <t>南诏梨火</t>
  </si>
  <si>
    <t>鸡尾酒;梨酒;酒精饮料（啤酒除外）;含⽔果酒精饮料;⽶酒;⽩兰地;威⼠忌;葡萄酒;果酒（含酒精）;⽩酒</t>
  </si>
  <si>
    <t>汉也</t>
  </si>
  <si>
    <t>⽩酒;⾷⽤酒精;烧酒;烈酒（饮料）;⻩酒;酒精饮料（啤酒除外）;果酒（含酒精）;葡萄酒;清酒（⽇本⽶酒）;除啤酒外的酒精饮料</t>
  </si>
  <si>
    <t>上海圆容企业发展有限公司</t>
  </si>
  <si>
    <t>幸福波蒂</t>
  </si>
  <si>
    <t>葡萄酒;鸡尾酒;⽩酒;酒精饮料（啤酒除外）;汽酒;蒸馏饮料;预先混合的酒精饮料（以啤酒为主的除外）;⽶酒;果酒（含酒精）;以葡萄酒为主的饮料</t>
  </si>
  <si>
    <t>波蒂泡泡</t>
  </si>
  <si>
    <t>以葡萄酒为主的饮料;预先混合的酒精饮料（以啤酒为主的除外）;汽酒;酒精饮料（啤酒除外）;果酒（含酒精）;蒸馏饮料;⽩酒;葡萄酒;⽶酒;鸡尾酒</t>
  </si>
  <si>
    <t>宋云彩</t>
  </si>
  <si>
    <t>岷州集萃</t>
  </si>
  <si>
    <t>烧酒;果酒（含酒精）;蒸馏饮料;葡萄酒;⽶酒;含酒精的⽔果鸡尾酒饮料;⽩酒;蜂蜜酒;烈酒;⻘稞酒</t>
  </si>
  <si>
    <t>北京三丰投资咨询有限公司</t>
  </si>
  <si>
    <t>SANFORE</t>
  </si>
  <si>
    <t>果酒（含酒精）;利⼝酒;威⼠忌;⽩酒;烈酒（饮料）;葡萄酒;⾕物制蒸馏酒精饮料;鸡尾酒;薄荷酒;⽶酒</t>
  </si>
  <si>
    <t>常州淅予餐饮文化发展有限公司</t>
  </si>
  <si>
    <t>SEE SHARE</t>
  </si>
  <si>
    <t>威⼠忌;⽶酒;清酒;含⽔果酒精饮料;⾷⽤酒精;葡萄酒;含酒精的饮料（啤酒除外）;果酒（含酒精）;⽩酒;含酒精的⽓泡⽔</t>
  </si>
  <si>
    <t>天湖情</t>
  </si>
  <si>
    <t>梨酒;⽩酒;烧酒;⽶酒;⽩兰地;酒精饮料原汁;威⼠忌;含⽔果酒精饮料;葡萄酒;开胃酒</t>
  </si>
  <si>
    <t>福韵似海</t>
  </si>
  <si>
    <t>葡萄酒;果酒（含酒精）;蒸馏饮料;⾕物制蒸馏酒精饮料;烈酒（饮料）;餐后酒（利⼝酒和烈酒）;⽩酒;⽶酒;苹果酒;露酒</t>
  </si>
  <si>
    <t>杨学成</t>
  </si>
  <si>
    <t>胖老马</t>
  </si>
  <si>
    <t>葡萄酒;⻩酒;烧酒;⽩兰地;⻘稞酒;⽶酒;果酒（含酒精）;伏特加酒;汽酒;⽩酒</t>
  </si>
  <si>
    <t>张云锋</t>
  </si>
  <si>
    <t>亚明江南</t>
  </si>
  <si>
    <t>果酒（含酒精）;伏特加酒;烧酒;威⼠忌;葡萄酒;酒精饮料（啤酒除外）;⽩酒;⽶酒;开胃酒;⽩兰地</t>
  </si>
  <si>
    <t>⽩兰地;伏特加酒;以葡萄酒为主的饮料;烧酒;⾕物制蒸馏酒精饮料;⽩酒;果酒（含酒精）;威⼠忌;清酒（⽇本⽶酒）;预先混合的酒精饮料（以啤酒为主的除外）</t>
  </si>
  <si>
    <t>深圳市亿润丰电子有限公司</t>
  </si>
  <si>
    <t>贺丁席</t>
  </si>
  <si>
    <t>酒精饮料原汁;⻩酒;⾷⽤酒精;葡萄酒;⽩兰地;果酒（含酒精）;烧酒;⽩酒;开胃酒;烈酒（饮料）</t>
  </si>
  <si>
    <t>武夷山市皇龙袍茶业有限公司</t>
  </si>
  <si>
    <t>岩首</t>
  </si>
  <si>
    <t>⽶酒;果酒;烧酒;汽酒;⾼粱酒;⻩酒;葡萄酒;⾕物制蒸馏酒精饮料;⽩酒;含酒精的饮料（啤酒除外）</t>
  </si>
  <si>
    <t>黑龙江大荒龙农产品销售有限公司</t>
  </si>
  <si>
    <t>⽩酒;葡萄酒;烧酒;含酒精的⽓泡⽔;酒精饮料（啤酒除外）;⻩酒;果酒（含酒精）;⻘稞酒;⽩⼲酒（中国⽩酒）;由⾕物蒸馏的⽩酒</t>
  </si>
  <si>
    <t>著鹤</t>
  </si>
  <si>
    <t>烧酒;清酒（⽇本⽶酒）;酒精饮料（啤酒除外）;⻩酒;果酒（含酒精）;⽩酒;葡萄酒;烈酒（饮料）;⽶酒;含⽔果酒精饮料</t>
  </si>
  <si>
    <t>著和时刻</t>
  </si>
  <si>
    <t>清酒（⽇本⽶酒）;果酒（含酒精）;⽩酒;葡萄酒;含⽔果酒精饮料;烈酒（饮料）;酒精饮料（啤酒除外）;⽶酒;烧酒;⻩酒</t>
  </si>
  <si>
    <t>贵州遵仁台酒业有限公司</t>
  </si>
  <si>
    <t>遵·仁·台</t>
  </si>
  <si>
    <t>⽶酒;薄荷酒;烈酒（饮料）;⽩兰地;⻩酒;⽩酒;果酒（含酒精）;开胃酒;鸡尾酒;威⼠忌</t>
  </si>
  <si>
    <t>南京一壶酒业有限公司</t>
  </si>
  <si>
    <t>佰佲匠</t>
  </si>
  <si>
    <t>果酒;⻩酒;⽶酒;酒精饮料（啤酒除外）;葡萄酒;鸡尾酒;烧酒;⽩酒;⽼酒（中国蒸馏烈酒）;烈酒</t>
  </si>
  <si>
    <t>百乐夜</t>
  </si>
  <si>
    <t>⽶酒;酒精饮料浓缩汁;⽩酒;葡萄酒;酒精饮料原汁;预先混合的酒精饮料（以啤酒为主的除外）;鸡尾酒;威⼠忌;酒精饮料（啤酒除外）;⽩兰地</t>
  </si>
  <si>
    <t>相勉</t>
  </si>
  <si>
    <t>葡萄酒;酒精饮料（啤酒除外）;⾷⽤酒精;蒸馏饮料;开胃酒;⻩酒;⽩酒;含⽔果酒精饮料;烧酒;果酒（含酒精）</t>
  </si>
  <si>
    <t>成都大气创宇文化传媒有限公司</t>
  </si>
  <si>
    <t>杂顽芽</t>
  </si>
  <si>
    <t>伏特加酒;威⼠忌;朗姆酒;⻩酒;果酒（含酒精）;葡萄酒;鸡尾酒;酒精饮料（啤酒除外）;⽶酒;⽩酒</t>
  </si>
  <si>
    <t>七彩青</t>
  </si>
  <si>
    <t>酒精饮料（啤酒除外）;⽶酒;果酒（含酒精）;烈酒（饮料）;蒸煮提取物（利⼝酒和烈酒）;⽩酒;葡萄酒;⽩兰地;酒精饮料原汁;伏特加酒</t>
  </si>
  <si>
    <t>斗青</t>
  </si>
  <si>
    <t>⽶酒;伏特加酒;蒸煮提取物（利⼝酒和烈酒）;葡萄酒;⽩酒;酒精饮料（啤酒除外）;果酒（含酒精）;酒精饮料原汁;烈酒（饮料）;⽩兰地</t>
  </si>
  <si>
    <t>域夏红</t>
  </si>
  <si>
    <t>含⽔果酒精饮料;红葡萄酒;葡萄酒;甜酒;开胃酒;果酒（含酒精）;酒精饮料（啤酒除外）;⽩酒;烧酒;⽶酒</t>
  </si>
  <si>
    <t>孙艳</t>
  </si>
  <si>
    <t>新茨泉</t>
  </si>
  <si>
    <t>鸡尾酒;烈酒（饮料）;⽩酒;葡萄酒;威⼠忌;⽶酒;烧酒;酒精饮料（啤酒除外）;果酒（含酒精）;蒸馏饮料</t>
  </si>
  <si>
    <t>动感飞翔</t>
  </si>
  <si>
    <t>混合威⼠忌酒;⽩酒;鸡尾酒;汽酒;葡萄酒;⽩兰地;含酒精⽔果饮料;威⼠忌;果酒（含酒精）;露酒</t>
  </si>
  <si>
    <t>贵州世纪荣和酒业有限公司</t>
  </si>
  <si>
    <t>馆阁</t>
  </si>
  <si>
    <t>烈酒（饮料）;含⽔果酒精饮料;开胃酒;酒精饮料（啤酒除外）;烧酒;鸡尾酒;⻩酒;⽶酒;葡萄酒;⽩酒</t>
  </si>
  <si>
    <t>周土生</t>
  </si>
  <si>
    <t>烧酒;烈酒;清酒;果酒;鸡尾酒;含酒精的饮料（啤酒除外）;葡萄酒;⽶酒;⽩酒;以葡萄酒为主的饮料</t>
  </si>
  <si>
    <t>刘英</t>
  </si>
  <si>
    <t>厨飞</t>
  </si>
  <si>
    <t>⽩酒;果酒（含酒精）;烧酒;酒精饮料（啤酒除外）;烈酒（饮料）;餐后酒（利⼝酒和烈酒）;⾕物制蒸馏酒精饮料;⻩酒;⽶酒;葡萄酒</t>
  </si>
  <si>
    <t>云南橄轻品牌管理有限公司</t>
  </si>
  <si>
    <t>橄轻</t>
  </si>
  <si>
    <t>杜松⼦酒;烧酒;清酒;⻘稞酒;露酒;苦荞酒;⽶酒;红葡萄酒;威末酒;⽼酒（中国蒸馏烈酒）</t>
  </si>
  <si>
    <t>梅淇</t>
  </si>
  <si>
    <t>河珠峰</t>
  </si>
  <si>
    <t>烈酒;⽩酒;烧酒;⻩酒;利⼝酒;鸡尾酒;汽酒;果酒;⽶酒;⽩兰地</t>
  </si>
  <si>
    <t>绩溪县日日福销售有限公司</t>
  </si>
  <si>
    <t>百坑</t>
  </si>
  <si>
    <t>果酒（含酒精）;酒精饮料（啤酒除外）;⽶酒;⽩酒;威⼠忌;⽩兰地;伏特加酒;⻩酒;烈酒（饮料）;葡萄酒</t>
  </si>
  <si>
    <t>王鑫</t>
  </si>
  <si>
    <t>锦泉古</t>
  </si>
  <si>
    <t>烧酒;烈酒（饮料）;⾼粱酒;⾷⽤酒精;烈酒浓缩汁;葡萄酒;⻩酒;⽩酒;蒸煮提取物（利⼝酒和烈酒）;⽩⼲酒（中国⽩酒）</t>
  </si>
  <si>
    <t>上海神气十足酒业有限公司</t>
  </si>
  <si>
    <t>合合万通</t>
  </si>
  <si>
    <t>⻩酒;果酒（含酒精）;葡萄酒;⽩兰地;⽇本梅⼦酒;清酒（⽇本⽶酒）;⽶酒;烧酒;鸡尾酒;⽩酒</t>
  </si>
  <si>
    <t>四川华宜嘉科技有限公司</t>
  </si>
  <si>
    <t>采采芣</t>
  </si>
  <si>
    <t>樱桃酒;⽶酒;⻘稞酒;果酒;蜂蜜酒;苹果酒;⻩酒;葡萄酒;含酒精的鸡尾酒混合饮品;⽩酒</t>
  </si>
  <si>
    <t>井开区宰洲百货店</t>
  </si>
  <si>
    <t>贵漆</t>
  </si>
  <si>
    <t>葡萄酒;酒精饮料（啤酒除外）;⽩酒;⾷⽤酒精;蒸馏饮料;⽶酒;果酒（含酒精）;⻘稞酒;⻩酒;烧酒</t>
  </si>
  <si>
    <t>黄汉尧</t>
  </si>
  <si>
    <t>古沙</t>
  </si>
  <si>
    <t>苹果酒;⽩⼲酒（中国⽩酒）;酒精饮料（啤酒除外）;⽩酒;五加⽪酒（中国混合烈酒）;⽼酒（中国蒸馏烈酒）;餐后酒（利⼝酒和烈酒）;露酒;苦荞酒;⾼粱酒</t>
  </si>
  <si>
    <t>吴小利</t>
  </si>
  <si>
    <t>吴禹呈</t>
  </si>
  <si>
    <t>开胃酒;葡萄酒;⽶酒;⽩酒;⾼粱酒;果酒（含酒精）;⽼酒（中国蒸馏烈酒）;露酒;甜酒;烧酒（烈酒）</t>
  </si>
  <si>
    <t>尹钧台</t>
  </si>
  <si>
    <t>烧酒;⽩酒;⻘稞酒;鸡尾酒;⻩酒;威⼠忌;⽶酒;烈酒;⽩兰地;葡萄酒</t>
  </si>
  <si>
    <t>杨朝翠</t>
  </si>
  <si>
    <t>SAINTVINCENTISCASTLE 名梵圣爵城堡</t>
  </si>
  <si>
    <t>烈酒（饮料）;伏特加酒;⽩兰地;威⼠忌;利⼝酒;葡萄酒;除啤酒外的酒精饮料;甜果酒;朗姆酒;鸡尾酒</t>
  </si>
  <si>
    <t>许梦娜</t>
  </si>
  <si>
    <t>识她</t>
  </si>
  <si>
    <t>烧酒;⽩酒;烈酒（饮料）;葡萄酒;⽶酒;果酒;清酒;含酒精的饮料（啤酒除外）;鸡尾酒;⾼粱酒</t>
  </si>
  <si>
    <t>刘霖辉</t>
  </si>
  <si>
    <t>王谷谷</t>
  </si>
  <si>
    <t>果酒（含酒精）;鸡尾酒;⻩酒;葡萄酒;酒精饮料原汁;⽩兰地;酒精饮料（啤酒除外）;⽩酒;威⼠忌;蒸煮提取物（利⼝酒和烈酒）</t>
  </si>
  <si>
    <t>桂平市露棠酒业有限公司</t>
  </si>
  <si>
    <t>露棠</t>
  </si>
  <si>
    <t>甜酒;果酒;⽶酒;⽩酒;露酒;⽼酒（中国蒸馏烈酒）;开胃酒;烧酒;⾼粱酒;烈酒</t>
  </si>
  <si>
    <t>陈贵会</t>
  </si>
  <si>
    <t>丹心寸意</t>
  </si>
  <si>
    <t>清酒（⽇本⽶酒）;⽩酒;⽶酒;⻘稞酒;葡萄酒;果酒（含酒精）;蒸馏饮料;酒精饮料（啤酒除外）;烧酒;⾷⽤酒精</t>
  </si>
  <si>
    <t>文雯</t>
  </si>
  <si>
    <t>盖多兰迪</t>
  </si>
  <si>
    <t>葡萄酒;鸡尾酒;果酒（含酒精）;⽶酒;烧酒;酒精饮料（啤酒除外）;烈酒（饮料）;威⼠忌;开胃酒;⽩酒</t>
  </si>
  <si>
    <t>张辉</t>
  </si>
  <si>
    <t>季窝客</t>
  </si>
  <si>
    <t>甜酒;葡萄酒;酒精饮料（啤酒除外）;⽩酒;梅酒;果酒;汽酒;⽶酒;清酒;⻩酒</t>
  </si>
  <si>
    <t>兵果(北京)科技有限公司</t>
  </si>
  <si>
    <t>宫御良方</t>
  </si>
  <si>
    <t>果酒; 烈酒; 烧酒（烈酒）; 露酒; 青梅酒; 黄酒; 谷物制蒸馏酒精饮料; 白酒; 佐餐酒; 含酒精的气泡水</t>
  </si>
  <si>
    <t>初壹互动（山东）文化传媒有限公司</t>
  </si>
  <si>
    <t>古蜀文井·佳酿</t>
  </si>
  <si>
    <t>由⾕物蒸馏的⽩酒;含酒精的饮料（啤酒除外）;⽩酒;以蒸馏酒为主的开胃酒;⾼粱酒;⽼酒（中国蒸馏烈酒）;五加⽪酒（中国混合烈酒）;⽩⼲酒（中国⽩酒）;酒精饮料（啤酒除外）;⻩酒</t>
  </si>
  <si>
    <t>橘洲荣耀</t>
  </si>
  <si>
    <t>⽩酒;含酒精⽔果饮料;酒精饮料原汁;清酒（⽇本⽶酒）;⾷⽤酒精;果酒;梅酒;甜酒;⽼酒（中国蒸馏烈酒）;⻘稞酒</t>
  </si>
  <si>
    <t>万荣上河商贸有限公司</t>
  </si>
  <si>
    <t>⽩酒;⾼粱酒;鸡尾酒;葡萄酒;威⼠忌;⻩酒;果酒;⽶酒;⽩兰地;酒精饮料（啤酒除外）</t>
  </si>
  <si>
    <t>仲羿</t>
  </si>
  <si>
    <t>⽶酒;鸡尾酒;⽩酒;葡萄酒;烧酒;⻘稞酒;烈酒;⽩兰地;⻩酒;威⼠忌</t>
  </si>
  <si>
    <t>王海龙</t>
  </si>
  <si>
    <t>王帅家</t>
  </si>
  <si>
    <t>威⼠忌;⽶酒;烧酒;⾷⽤酒精;鸡尾酒;红葡萄酒;葡萄酒;⻩酒;⽩酒;果酒（含酒精）</t>
  </si>
  <si>
    <t>张龙飞</t>
  </si>
  <si>
    <t>张小然</t>
  </si>
  <si>
    <t>果酒（含酒精）;葡萄酒;威⼠忌;⽶酒;开胃酒;鸡尾酒;⽩兰地;清酒;⽩酒;酒精饮料（啤酒除外）</t>
  </si>
  <si>
    <t>陈爱美</t>
  </si>
  <si>
    <t>君胜意</t>
  </si>
  <si>
    <t>⽼酒（中国蒸馏烈酒）;酒精饮料（啤酒除外）;茴⾹酒（利⼝酒）;甜酒;⽶酒;烧酒;⻩酒;⽩酒;以蒸馏酒为主的开胃酒;利⼝酒</t>
  </si>
  <si>
    <t>长沙礼美达贸易有限公司</t>
  </si>
  <si>
    <t>果美达</t>
  </si>
  <si>
    <t>利⼝酒;⽶酒;开胃酒;⽩酒;酒精饮料原汁;鸡尾酒;⾷⽤酒精;果酒（含酒精）;⽩兰地;葡萄酒</t>
  </si>
  <si>
    <t>济南昊昱汽车服务有限公司</t>
  </si>
  <si>
    <t>鑫昊昱</t>
  </si>
  <si>
    <t>葡萄酒;⻩酒;⽩酒;鸡尾酒;⽶酒;⾷⽤酒精;蒸馏饮料;果酒;烧酒;酒精饮料（啤酒除外）</t>
  </si>
  <si>
    <t>青岛茁禾康霖酒业有限公司</t>
  </si>
  <si>
    <t>上品观</t>
  </si>
  <si>
    <t>蒸馏饮料;酒精饮料（啤酒除外）;⽶酒;果酒（含酒精）;⽩⼲酒（中国⽩酒）;烧酒;⾕物制蒸馏酒精饮料;⽩酒;清酒（⽇本⽶酒）;鸡尾酒</t>
  </si>
  <si>
    <t>惠州市天下乐器有限公司</t>
  </si>
  <si>
    <t>古翎</t>
  </si>
  <si>
    <t>葡萄酒;清酒（⽇本⽶酒）;威⼠忌;⽼酒（中国蒸馏烈酒）;⾼粱酒;⽶酒;果酒（含酒精）;烈酒（饮料）;⽩酒;酒精饮料（啤酒除外）</t>
  </si>
  <si>
    <t>尹猛</t>
  </si>
  <si>
    <t>佰客爽BAKSAP</t>
  </si>
  <si>
    <t>威⼠忌;葡萄酒;果酒（含酒精）;伏特加酒;露酒;⽩兰地;利⼝酒;朗姆酒;⽩酒;果酒</t>
  </si>
  <si>
    <t>息烽李老七天锅酒厂</t>
  </si>
  <si>
    <t>石硐窖</t>
  </si>
  <si>
    <t>开胃酒;苦味酒;苹果酒;⽶酒;烈酒;⻩酒;⽩酒;利⼝酒;甜酒;汽酒</t>
  </si>
  <si>
    <t>重庆金万福商贸有限公司</t>
  </si>
  <si>
    <t>⽼酒（中国蒸馏烈酒）;已调味的蒸馏酒;果酒;蒸煮提取物（利⼝酒和烈酒）;葡萄酒;⽩⼲酒（中国⽩酒）;烈酒浓缩汁;蒸馏⽶酒（泡盛酒）;利⼝酒;以蒸馏酒为主的开胃酒</t>
  </si>
  <si>
    <t>湘酒原</t>
  </si>
  <si>
    <t>⽩⼲酒（中国⽩酒）;葡萄酒;蒸煮提取物（利⼝酒和烈酒）;⽶酒;预先混合的酒精饮料（以啤酒为主的除外）;⻘稞酒;甜酒;⽩兰地;威⼠忌;⻩酒</t>
  </si>
  <si>
    <t>沂江生鲜</t>
  </si>
  <si>
    <t>薄荷酒;果酒（含酒精）;苦味酒;⻩酒;开胃酒;⽩酒;⽶酒;伏特加酒;鸡尾酒;⾷⽤酒精</t>
  </si>
  <si>
    <t>中凰超总（汕头）电子商务有限公司</t>
  </si>
  <si>
    <t>DESBOLANDOR</t>
  </si>
  <si>
    <t>以葡萄酒为主的开胃酒;果酒;以葡萄酒为主的饮料;葡萄酒</t>
  </si>
  <si>
    <t>泉州市浮云电子商务有限公司</t>
  </si>
  <si>
    <t>爱马树</t>
  </si>
  <si>
    <t>烧酒;烈酒（饮料）;⽩酒;葡萄酒;蒸馏饮料;⾷⽤酒精;威⼠忌;⽶酒;果酒（含酒精）;鸡尾酒</t>
  </si>
  <si>
    <t>杭州拼仓猫供应链管理有限公司</t>
  </si>
  <si>
    <t>珮宛食记</t>
  </si>
  <si>
    <t>含⽔果酒精饮料;酒精饮料（啤酒除外）;鸡尾酒;果酒（含酒精）;⻩酒;⽩酒;威⼠忌;⽶酒;汽酒;烈酒（饮料）</t>
  </si>
  <si>
    <t>重庆六阖之医疗器械有限公司</t>
  </si>
  <si>
    <t>护年</t>
  </si>
  <si>
    <t>薄荷酒;烧酒;⽩⼲酒（中国⽩酒）;梅酒;烈酒;⾼粱酒;露酒;⻩酒;⽶酒;⽩酒</t>
  </si>
  <si>
    <t>河南旷古商贸有限公司</t>
  </si>
  <si>
    <t>小凤大</t>
  </si>
  <si>
    <t>⽩酒;烧酒;⻩酒;清酒（⽇本⽶酒）;⽶酒;⽩兰地;⻘稞酒;果酒（含酒精）;葡萄酒;酒精饮料（啤酒除外）</t>
  </si>
  <si>
    <t>LOUISHANDSOMEDINI 路易帅帝尼</t>
  </si>
  <si>
    <t>苹果酒;含⽔果酒精饮料;伏特加酒;⽩兰地;朗姆酒;烈酒（饮料）;利⼝酒;葡萄酒;鸡尾酒;威⼠忌</t>
  </si>
  <si>
    <t>湖南中视星火影视文化传媒有限公司</t>
  </si>
  <si>
    <t>橘柒</t>
  </si>
  <si>
    <t>⽶酒;鸡尾酒;果酒（含酒精）;葡萄酒;烧酒;烈酒（饮料）;⻩酒;⽩酒;清酒（⽇本⽶酒）;利⼝酒</t>
  </si>
  <si>
    <t>山西阳熙农业科技有限公司</t>
  </si>
  <si>
    <t>熙芝韵</t>
  </si>
  <si>
    <t>烧酒;葡萄酒;苦荞酒;⽩酒;果酒（含酒精）;鸡尾酒;露酒;烈酒（饮料）;⽶酒;梨酒</t>
  </si>
  <si>
    <t>⽩⼲酒（中国⽩酒）;⽩酒;⾼粱酒;苹果酒;⽼酒（中国蒸馏烈酒）;餐后酒（利⼝酒和烈酒）;苦荞酒;五加⽪酒（中国混合烈酒）;露酒;酒精饮料（啤酒除外）</t>
  </si>
  <si>
    <t>温州龙津农业专业合作社</t>
  </si>
  <si>
    <t>元丰石珪 YOUFINGUI</t>
  </si>
  <si>
    <t>⾕物制蒸馏酒精饮料;蒸馏⽶酒（泡盛酒）;⽶酒;⻩酒;甜果酒;含酒精⽔果饮料;果酒;葡萄酒;杨梅酒;酒精饮料（啤酒除外）</t>
  </si>
  <si>
    <t>王慧</t>
  </si>
  <si>
    <t>兰朋竹友</t>
  </si>
  <si>
    <t>⽩酒;果酒;葡萄酒;⻩酒;果酒（含酒精）;⽼酒（中国蒸馏烈酒）;⾷⽤酒精;含酒精⽔果饮料;清酒（⽇本⽶酒）;酒精饮料（啤酒除外）;威⼠忌;⽶酒</t>
  </si>
  <si>
    <t>乌拉特前旗荣生大地玄得醇酒业有限公司</t>
  </si>
  <si>
    <t>玄得醇</t>
  </si>
  <si>
    <t>烈酒（饮料）;⽶酒;⾕物制蒸馏酒精饮料;烧酒;预先混合的酒精饮料（以啤酒为主的除外）;⽩酒;葡萄酒;酒精饮料（啤酒除外）;酒精饮料原汁;⾷⽤酒精</t>
  </si>
  <si>
    <t>河南旺之佳商贸有限公司</t>
  </si>
  <si>
    <t>合瀛</t>
  </si>
  <si>
    <t>酒精饮料（啤酒除外）;⽶酒;⽩酒;葡萄酒;⻘稞酒;果酒（含酒精）;⻩酒;以葡萄酒为主的饮料;⽼酒（中国蒸馏烈酒）;朗姆酒</t>
  </si>
  <si>
    <t>彭龙</t>
  </si>
  <si>
    <t>岁月尽欢</t>
  </si>
  <si>
    <t>清酒（⽇本⽶酒）;⽶酒;葡萄酒;汽酒;威⼠忌;酒精饮料（啤酒除外）;果酒（含酒精）;烈酒;蒸馏饮料;⽩酒</t>
  </si>
  <si>
    <t>黔啸台</t>
  </si>
  <si>
    <t>葡萄酒;⽩兰地;⽩酒;烈酒;烧酒;⻩酒;⽶酒;鸡尾酒;⻘稞酒;威⼠忌</t>
  </si>
  <si>
    <t>贵皿</t>
  </si>
  <si>
    <t>鸡尾酒;⻘稞酒;葡萄酒;威⼠忌;⽶酒;⽩兰地;⻩酒;⽩酒;烈酒;烧酒</t>
  </si>
  <si>
    <t>上粹</t>
  </si>
  <si>
    <t>酒精饮料（啤酒除外）;⽩酒;葡萄酒;烈酒;威⼠忌;鸡尾酒;⻩酒;开胃酒;果酒（含酒精）;清酒（⽇本⽶酒）</t>
  </si>
  <si>
    <t>佛山市集味味智慧膳食管理有限公司</t>
  </si>
  <si>
    <t>含⽔果酒精饮料;⽶酒;烧酒;⻩酒;⽩兰地;果酒（含酒精）;葡萄酒;预先混合的酒精饮料（以啤酒为主的除外）;蒸馏饮料;⽩酒</t>
  </si>
  <si>
    <t>战鼓烧坊</t>
  </si>
  <si>
    <t>烈酒（饮料）;⽩兰地;⽩酒;果酒（含酒精）;⾷⽤酒精;酒精饮料（啤酒除外）;清酒（⽇本⽶酒）;威⼠忌;⾕物制蒸馏酒精饮料;葡萄酒</t>
  </si>
  <si>
    <t>KNIGHTDIMONESTATE 骑士迪蒙庄园</t>
  </si>
  <si>
    <t>烈酒（饮料）;⽩兰地;甜果酒;葡萄酒;威⼠忌;利⼝酒;除啤酒外的酒精饮料;鸡尾酒;伏特加酒;朗姆酒</t>
  </si>
  <si>
    <t>王亚枚</t>
  </si>
  <si>
    <t>俱猛</t>
  </si>
  <si>
    <t>烈酒;⽩酒;葡萄酒;开胃酒;清酒（⽇本⽶酒）;鸡尾酒;果酒（含酒精）;酒精饮料（啤酒除外）;威⼠忌;⻩酒</t>
  </si>
  <si>
    <t>青岛柯扬仕图酒业有限公司</t>
  </si>
  <si>
    <t>京逢春</t>
  </si>
  <si>
    <t>⾕物制蒸馏酒精饮料;⽩⼲酒（中国⽩酒）;烧酒;清酒（⽇本⽶酒）;鸡尾酒;⽶酒;⽩酒;果酒（含酒精）;蒸馏饮料;酒精饮料（啤酒除外）</t>
  </si>
  <si>
    <t>廷好(海南)投资控股有限公司</t>
  </si>
  <si>
    <t>幻妃</t>
  </si>
  <si>
    <t>清酒（⽇本⽶酒）;蜂蜜酒;果酒（含酒精）;开胃酒;⽩酒;鸡尾酒;葡萄酒;酒精饮料（啤酒除外）;⾕物制蒸馏酒精饮料;⽶酒</t>
  </si>
  <si>
    <t>代云龙</t>
  </si>
  <si>
    <t>花溪情</t>
  </si>
  <si>
    <t>果酒（含酒精）;开胃酒;清酒（⽇本⽶酒）;蒸馏饮料;⽶酒;酒精饮料（啤酒除外）;含⽔果酒精饮料;葡萄酒;⽩酒;鸡尾酒</t>
  </si>
  <si>
    <t>青岛冠佑贝诺酒业销售有限公司</t>
  </si>
  <si>
    <t>闽辞</t>
  </si>
  <si>
    <t>果酒（含酒精）;蒸馏饮料;⾕物制蒸馏酒精饮料;清酒（⽇本⽶酒）;⽶酒;⽩⼲酒（中国⽩酒）;⽩酒;鸡尾酒;酒精饮料（啤酒除外）;烧酒</t>
  </si>
  <si>
    <t>贵州迷伊萝生物科技有限公司</t>
  </si>
  <si>
    <t>玉珀塞隆</t>
  </si>
  <si>
    <t>⽩⼲酒（中国⽩酒）;烧酒（烈酒）;蒸煮提取物（利⼝酒和烈酒）;烈酒（饮料）;⻩酒;⽩酒;烈性⼲酒;烧酒;餐后酒（利⼝酒和烈酒）;由⾕物蒸馏的⽩酒</t>
  </si>
  <si>
    <t>黔怀师</t>
  </si>
  <si>
    <t>⽩酒;⽩兰地;⻘稞酒;烧酒;⻩酒;⽶酒;鸡尾酒;葡萄酒;烈酒;威⼠忌</t>
  </si>
  <si>
    <t>安徽省老贡酒业有限公司</t>
  </si>
  <si>
    <t>老贡 小贡酒</t>
  </si>
  <si>
    <t>⽩酒;⻩酒;鸡尾酒;⽶酒;清酒（⽇本⽶酒）;葡萄酒;威⼠忌;酒精饮料（啤酒除外）;烧酒;果酒（含酒精）</t>
  </si>
  <si>
    <t>罗皓</t>
  </si>
  <si>
    <t>听草</t>
  </si>
  <si>
    <t>果酒（含酒精）;烧酒;⻩酒;⽩酒;⾷⽤酒精;葡萄酒;酒精饮料（啤酒除外）;汽酒;⽶酒;鸡尾酒</t>
  </si>
  <si>
    <t>楚华</t>
  </si>
  <si>
    <t>蒸婆婆</t>
  </si>
  <si>
    <t>鸡尾酒;清酒;果酒（含酒精）;⽶酒;⽩葡萄酒;酒精饮料（啤酒除外）;烧酒;⻩酒;⽩酒;葡萄酒</t>
  </si>
  <si>
    <t>贵州省华牌电子商务有限公司</t>
  </si>
  <si>
    <t>居夷</t>
  </si>
  <si>
    <t>清酒;⽶酒;烧酒;⻩酒;汽酒;葡萄酒;利⼝酒;⽩酒;果酒</t>
  </si>
  <si>
    <t>佰客爽</t>
  </si>
  <si>
    <t>利⼝酒;朗姆酒;⽩兰地;⽩酒;露酒;果酒;葡萄酒;伏特加酒;威⼠忌;果酒（含酒精）</t>
  </si>
  <si>
    <t>BAKSAP</t>
  </si>
  <si>
    <t>利⼝酒;果酒;⽩酒;果酒（含酒精）;露酒;威⼠忌;朗姆酒;葡萄酒;⽩兰地;伏特加酒</t>
  </si>
  <si>
    <t>岁月秦怀</t>
  </si>
  <si>
    <t>酒精饮料（啤酒除外）;汽酒;蒸馏饮料;⽶酒;威⼠忌;⽩酒;烈酒;果酒（含酒精）;清酒（⽇本⽶酒）;葡萄酒</t>
  </si>
  <si>
    <t>祝远山</t>
  </si>
  <si>
    <t>鸡尾酒;⽩⼲酒（中国⽩酒）;烧酒;果酒（含酒精）;酒精饮料（啤酒除外）;⾕物制蒸馏酒精饮料;⽩酒;蒸馏饮料;清酒（⽇本⽶酒）;⽶酒</t>
  </si>
  <si>
    <t>温菊</t>
  </si>
  <si>
    <t>竺粱</t>
  </si>
  <si>
    <t>烧酒;清酒;鸡尾酒;果酒;⻩酒;葡萄酒;酒精饮料（啤酒除外）;⽶酒;⽩酒;⾼粱酒</t>
  </si>
  <si>
    <t>中球联合国际认证（北京）有限公司</t>
  </si>
  <si>
    <t>ZQA</t>
  </si>
  <si>
    <t>果酒（含酒精）;利⼝酒;含⽔果酒精饮料;葡萄酒;鸡尾酒;⽩兰地;威⼠忌;⽩酒;烈酒（饮料）;苹果酒</t>
  </si>
  <si>
    <t>张伦伦</t>
  </si>
  <si>
    <t>槐之韵</t>
  </si>
  <si>
    <t>伏特加酒;⻩酒;朗姆酒;烈酒（饮料）;⾷⽤酒精;威⼠忌;果酒（含酒精）;⽩兰地;葡萄酒;⽩酒</t>
  </si>
  <si>
    <t>二总管</t>
  </si>
  <si>
    <t>⽩酒;果酒（含酒精）;开胃酒;葡萄酒;甜酒;⽶酒;露酒;⾼粱酒;⽼酒（中国蒸馏烈酒）;烧酒（烈酒）</t>
  </si>
  <si>
    <t>彭华土</t>
  </si>
  <si>
    <t>玖春吟</t>
  </si>
  <si>
    <t>清酒（⽇本⽶酒）;鸡尾酒;烈酒;⻩酒;果酒（含酒精）;威⼠忌;⽩酒;葡萄酒;开胃酒;酒精饮料（啤酒除外）</t>
  </si>
  <si>
    <t>⾷⽤酒精;苦味酒;由⾕物蒸馏的⽩酒;蜂蜜酒;⽶酒;开胃酒;烈酒;⻩酒;⾼粱酒;⽩酒</t>
  </si>
  <si>
    <t>胡勇</t>
  </si>
  <si>
    <t>囍䲜</t>
  </si>
  <si>
    <t>葡萄酒;⽼酒（中国蒸馏烈酒）;烧酒;⻩酒;⽩酒;酒精饮料（啤酒除外）;鸡尾酒;烈酒（饮料）;⽶酒;果酒（含酒精）</t>
  </si>
  <si>
    <t>喜上仙</t>
  </si>
  <si>
    <t>⽩兰地;⻩酒;威⼠忌;⽶酒;果酒（含酒精）;甜酒;烧酒;鸡尾酒;⽩酒;葡萄酒</t>
  </si>
  <si>
    <t>飞花临</t>
  </si>
  <si>
    <t>果酒（含酒精）;威⼠忌;⽶酒;葡萄酒;甜酒;烧酒;⽩酒;⽩兰地;⻩酒;鸡尾酒</t>
  </si>
  <si>
    <t>义乌迪迈朗电子商务有限公司</t>
  </si>
  <si>
    <t>迪迈朗</t>
  </si>
  <si>
    <t>酒精饮料（啤酒除外）;⽶酒;蒸馏饮料;汽酒;烈酒（饮料）;预先混合的酒精饮料（以啤酒为主的除外）;酒精饮料浓缩汁;⽩酒;果酒（含酒精）;⾕物制蒸馏酒精饮料</t>
  </si>
  <si>
    <t>广西炮龙投资有限公司</t>
  </si>
  <si>
    <t>芭咖姆</t>
  </si>
  <si>
    <t>蒸馏饮料;伏特加酒;鸡尾酒;⽢蔗制酒精饮料;杜松⼦酒;利⼝酒;⽩兰地;以葡萄酒为主的饮料;预先混合的酒精饮料（以啤酒为主的除外）;烧酒;餐后酒（利⼝酒和烈酒）;威⼠忌</t>
  </si>
  <si>
    <t>小炮龙泉</t>
  </si>
  <si>
    <t>杜松⼦酒;利⼝酒;伏特加酒;⽩兰地;威⼠忌;烧酒;蒸馏饮料;鸡尾酒;餐后酒（利⼝酒和烈酒）;预先混合的酒精饮料（以啤酒为主的除外）;⽢蔗制酒精饮料;以葡萄酒为主的饮料</t>
  </si>
  <si>
    <t>义乌市赫考电子商务商行</t>
  </si>
  <si>
    <t>沪上十里红</t>
  </si>
  <si>
    <t>清酒;⽶酒;⽩葡萄酒;⽩兰地;⻩酒;烧酒;蜂蜜酒;甜酒;⽩酒;果酒（含酒精）</t>
  </si>
  <si>
    <t>商丘市汇能电子科技有限公司</t>
  </si>
  <si>
    <t>饥呡</t>
  </si>
  <si>
    <t>含酒精⽔果饮料;⽩酒;红葡萄酒;含⽔果酒精饮料;清酒;含酒精的⽔果鸡尾酒饮料;樱桃酒;⾼粱酒;果酒;甜果酒</t>
  </si>
  <si>
    <t>贵州省仁怀市龙马升腾酒业有限公司</t>
  </si>
  <si>
    <t>含⽔果酒精饮料;烧酒;果酒（含酒精）;⾷⽤酒精;汽酒;烈酒（饮料）;⽶酒;⽩酒;威⼠忌;葡萄酒</t>
  </si>
  <si>
    <t>深圳市乐芭智慧健康管理有限公司</t>
  </si>
  <si>
    <t>齐小鹤</t>
  </si>
  <si>
    <t>⾕物制蒸馏酒精饮料;含⽔果酒精饮料;⽩酒;果酒（含酒精）;⻩酒;葡萄酒;酒精饮料（啤酒除外）;烈酒（饮料）;⾷⽤酒精;鸡尾酒</t>
  </si>
  <si>
    <t>伊春市三庆森林食品有限公司</t>
  </si>
  <si>
    <t>森林盛宴</t>
  </si>
  <si>
    <t>烈酒（饮料）;⻩酒;⽩酒;开胃酒;含酒精⽔果饮料;⽶酒;⻘稞酒;果酒（含酒精）;酒精饮料（啤酒除外）;葡萄酒</t>
  </si>
  <si>
    <t>东亿泽</t>
  </si>
  <si>
    <t>⽶酒;朗姆酒;酒精饮料（啤酒除外）;果酒（含酒精）;餐后酒（利⼝酒和烈酒）;烈酒（饮料）;含⽔果酒精饮料;烧酒;⽩酒;葡萄酒</t>
  </si>
  <si>
    <t>上海中视国际广告有限公司</t>
  </si>
  <si>
    <t>央小满</t>
  </si>
  <si>
    <t>威⼠忌;烈酒（饮料）;果酒（含酒精）;葡萄酒;⻘稞酒;清酒（⽇本⽶酒）;⽩酒;烧酒;⽩兰地;⽶酒</t>
  </si>
  <si>
    <t>佛山市必然花开家具有限公司</t>
  </si>
  <si>
    <t>MUSTBLOOM</t>
  </si>
  <si>
    <t>⽩酒;葡萄酒;清酒;酒精饮料（啤酒除外）;伏特加酒;⾷⽤酒精;⽩兰地;果酒;威⼠忌;含酒精的⽓泡⽔</t>
  </si>
  <si>
    <t>笑江福</t>
  </si>
  <si>
    <t>⾼粱酒;⽶酒;烈酒（饮料）;⻩酒;⽩酒;葡萄酒;果酒;烧酒;⽩兰地;含酒精的⽔果鸡尾酒饮料</t>
  </si>
  <si>
    <t>杨斌</t>
  </si>
  <si>
    <t>峨眉问鼎</t>
  </si>
  <si>
    <t>烈酒（饮料）;餐后酒（利⼝酒和烈酒）;⽩酒;苹果酒;葡萄酒;⾕物制蒸馏酒精饮料;露酒;果酒（含酒精）;蒸馏饮料;⽶酒</t>
  </si>
  <si>
    <t>鹿邑县悦道信息咨询工作室(个体工商户)</t>
  </si>
  <si>
    <t>古可道</t>
  </si>
  <si>
    <t>蜂蜜酒;酒精饮料原汁;含酒精的⽓泡⽔;⻩酒;由⾕物蒸馏的⽩酒;葡萄酒;含⽔果酒精饮料;果酒（含酒精）;⽼酒（中国蒸馏烈酒）;⽩酒</t>
  </si>
  <si>
    <t>延津县延茅酒业有限公司</t>
  </si>
  <si>
    <t>丹汐窖</t>
  </si>
  <si>
    <t>烧酒;⽩酒;⻩酒;⽼酒（中国蒸馏烈酒）;葡萄酒;⾼粱酒;果酒;鸡尾酒;⽶酒;清酒</t>
  </si>
  <si>
    <t>建平县源丰有机杂粮有限公司</t>
  </si>
  <si>
    <t>乘禾</t>
  </si>
  <si>
    <t>果酒（含酒精）;蒸煮提取物（利⼝酒和烈酒）;⾕物制蒸馏酒精饮料;烈酒（饮料）;烧酒;酒精饮料（啤酒除外）;⽶酒;酒精饮料原汁;⽩酒;⻘稞酒</t>
  </si>
  <si>
    <t>石浩</t>
  </si>
  <si>
    <t>祖贰零</t>
  </si>
  <si>
    <t>烧酒;⽩酒;由⾕物蒸馏的⽩酒;⽩⼲酒（中国⽩酒）;⾷⽤酒精;烧酒（烈酒）;⾼粱酒;露酒;⽼酒（中国蒸馏烈酒）</t>
  </si>
  <si>
    <t>贵州汝诚盛世文化传播发展有限公司</t>
  </si>
  <si>
    <t>汝诚</t>
  </si>
  <si>
    <t>含酒精的⽓泡⽔;⽩酒;果酒（含酒精）;苹果酒;⽶酒;⻩酒;葡萄酒;威⼠忌;开胃酒;烧酒</t>
  </si>
  <si>
    <t>爱瑞美财酒</t>
  </si>
  <si>
    <t>酒精饮料原汁;果酒（含酒精）;烈酒（饮料）;烧酒;⽩酒;酸酒（低等葡萄酒）;鸡尾酒;蒸馏饮料;酒精饮料（啤酒除外）;⽶酒</t>
  </si>
  <si>
    <t>李楷</t>
  </si>
  <si>
    <t>醇闻</t>
  </si>
  <si>
    <t>⽩酒;酒精饮料（啤酒除外）;清酒（⽇本⽶酒）;鸡尾酒;果酒（含酒精）;⻩酒;开胃酒;威⼠忌;烈酒;葡萄酒</t>
  </si>
  <si>
    <t>王竹康</t>
  </si>
  <si>
    <t>谷如是</t>
  </si>
  <si>
    <t>以朗姆酒为主的饮料;⽩酒;烈酒;威⼠忌;酒精饮料（啤酒除外）;蒸煮提取物（利⼝酒和烈酒）;含⽔果酒精饮料;酒精饮料浓缩汁;烧酒;果酒</t>
  </si>
  <si>
    <t>杨翠琴</t>
  </si>
  <si>
    <t>酉汣醉好</t>
  </si>
  <si>
    <t>葡萄酒;⻘梅酒;果酒;⽩⼲酒（中国⽩酒）;杨梅酒;由⾕物蒸馏的⽩酒;已调味的蒸馏酒;⾼粱酒;⽼酒（中国蒸馏烈酒）;⽩酒</t>
  </si>
  <si>
    <t>铜陵名祖贸易有限公司</t>
  </si>
  <si>
    <t>启公坊</t>
  </si>
  <si>
    <t>⽩兰地;威⼠忌;以葡萄酒为主的饮料;葡萄酒;⽩酒;⻩酒;蒸馏饮料;鸡尾酒;⽶酒;伏特加酒</t>
  </si>
  <si>
    <t>四川夏多利酒业有限公司</t>
  </si>
  <si>
    <t>生燕</t>
  </si>
  <si>
    <t>⾷⽤酒精;⽩酒;⾕物制蒸馏酒精饮料;⻩酒;酒精饮料（啤酒除外）</t>
  </si>
  <si>
    <t>常德中源德景健康管理有限公司</t>
  </si>
  <si>
    <t>洞庭珺</t>
  </si>
  <si>
    <t>⻩酒;葡萄酒;⽩酒;果酒（含酒精）</t>
  </si>
  <si>
    <t>宁夏麦尔乐食品股份有限公司</t>
  </si>
  <si>
    <t>AAKERY</t>
  </si>
  <si>
    <t>⽶酒;⽩酒;⽔果汽酒;葡萄酒;含酒精⽔果饮料;梅酒;⾼粱酒;果酒（含酒精）;鸡尾酒;⻩酒</t>
  </si>
  <si>
    <t>景品一</t>
  </si>
  <si>
    <t>利⼝酒;⽩酒;⻩酒;蜂蜜酒;烧酒;葡萄酒;果酒;汽酒;⽶酒;蒸馏饮料</t>
  </si>
  <si>
    <t>兰州葛氏名品商贸有限公司</t>
  </si>
  <si>
    <t>俏金城</t>
  </si>
  <si>
    <t>果酒（含酒精）;⽩酒;⻩酒;亚⼒酒;⾷⽤酒精;清酒（⽇本⽶酒）;烧酒（烈酒）;⽶酒;葡萄酒;利⼝酒</t>
  </si>
  <si>
    <t>温州市中色号商贸有限公司</t>
  </si>
  <si>
    <t>荷阁千金</t>
  </si>
  <si>
    <t>果酒（含酒精）;酒精饮料（啤酒除外）;⻘稞酒;⾷⽤酒精;⽶酒;烧酒;葡萄酒;⻩酒;⽩酒;鸡尾酒</t>
  </si>
  <si>
    <t>古泊酒业（江苏）有限公司</t>
  </si>
  <si>
    <t>鸷山</t>
  </si>
  <si>
    <t>果酒（含酒精）;⻩酒;汽酒;⽩酒;酒精饮料（啤酒除外）;蒸馏饮料;⽶酒;鸡尾酒;葡萄酒;烧酒</t>
  </si>
  <si>
    <t>北京鼎尚国际贸易有限公司</t>
  </si>
  <si>
    <t>桥见津门</t>
  </si>
  <si>
    <t>葡萄酒;清酒;⻘稞酒;酒精饮料（啤酒除外）;⽩酒;⽶酒;果酒（含酒精）;⾷⽤酒精;⻩酒;⽩兰地</t>
  </si>
  <si>
    <t>段大华</t>
  </si>
  <si>
    <t>贵上贵</t>
  </si>
  <si>
    <t>果酒（含酒精）;⽶酒;⾼粱酒;甜酒;烈酒（饮料）;葡萄酒;鸡尾酒;酒精饮料（啤酒除外）;含⽔果酒精饮料;⽩酒</t>
  </si>
  <si>
    <t>王庆霞</t>
  </si>
  <si>
    <t>正东名</t>
  </si>
  <si>
    <t>⻩酒;烈酒（饮料）;蒸馏饮料;⽶酒;⽩酒;葡萄酒;利⼝酒;果酒（含酒精）;伏特加酒;苹果酒</t>
  </si>
  <si>
    <t>晓姿化妆品（上海）有限公司</t>
  </si>
  <si>
    <t>AXXZIA</t>
  </si>
  <si>
    <t>⽩酒;含⽔果酒精饮料;烈酒（饮料）;⽇本梅⼦酒;果酒（含酒精）;开胃酒;预先混合的酒精饮料（以啤酒为主的除外）;酒精饮料（啤酒除外）;清酒（⽇本⽶酒）;烧酒</t>
  </si>
  <si>
    <t>昭通丰园婚庆有限责任公司</t>
  </si>
  <si>
    <t>天芝瑶</t>
  </si>
  <si>
    <t>蒸馏饮料;烧酒;⽩酒;葡萄酒;⾷⽤酒精;清酒;果酒;含⽔果酒精饮料;鸡尾酒;⽶酒</t>
  </si>
  <si>
    <t>云南左宜右有餐饮服务有限公司</t>
  </si>
  <si>
    <t>卜鹊</t>
  </si>
  <si>
    <t>⽶酒;开胃酒;烈酒（饮料）;蒸馏饮料;葡萄酒;⻩酒;果酒（含酒精）;威⼠忌;⽩酒;酒精饮料（啤酒除外）</t>
  </si>
  <si>
    <t>五华区问魁百货店</t>
  </si>
  <si>
    <t>魏帝骄子</t>
  </si>
  <si>
    <t>威⼠忌;葡萄酒;开胃酒;烈酒;⻩酒;果酒（含酒精）;清酒（⽇本⽶酒）;⽩酒;酒精饮料（啤酒除外）;鸡尾酒</t>
  </si>
  <si>
    <t>乐高源（北京）文化旅游有限公司</t>
  </si>
  <si>
    <t>嘉德利</t>
  </si>
  <si>
    <t>清酒;威⼠忌;⻩酒;⽶酒;酒精饮料（啤酒除外）;鸡尾酒;烧酒;葡萄酒;⽩酒;果酒</t>
  </si>
  <si>
    <t>佛山市禅城区三餸一生餐饮管理有限公司</t>
  </si>
  <si>
    <t>HEOI HAANG GAAI</t>
  </si>
  <si>
    <t>⽶酒;酒精饮料（啤酒除外）;开胃酒;⽩酒;⻩酒;葡萄酒;烧酒;果酒（含酒精）;烈酒（饮料）;⻘稞酒</t>
  </si>
  <si>
    <t>胡稳霞</t>
  </si>
  <si>
    <t>贵江月</t>
  </si>
  <si>
    <t>烧酒;⽩酒;预先混合的酒精饮料（以啤酒为主的除外）;利⼝酒;⽶酒;⻘稞酒;烈酒（饮料）;酒精饮料（啤酒除外）;蒸馏饮料;餐后酒（利⼝酒和烈酒）</t>
  </si>
  <si>
    <t>付小川</t>
  </si>
  <si>
    <t>正德人和</t>
  </si>
  <si>
    <t>开胃酒;烈酒（饮料）;酒精饮料（啤酒除外）;葡萄酒;果酒（含酒精）;鸡尾酒;威⼠忌;⽩酒;⻩酒;清酒（⽇本⽶酒）</t>
  </si>
  <si>
    <t>希睿科技（河南）有限公司</t>
  </si>
  <si>
    <t>溯食耕</t>
  </si>
  <si>
    <t>含⽔果酒精饮料;烧酒;果酒（含酒精）;⽩酒;⽶酒;⽩兰地;蒸馏饮料;鸡尾酒;伏特加酒;威⼠忌</t>
  </si>
  <si>
    <t>陈实</t>
  </si>
  <si>
    <t>研凤湘詹</t>
  </si>
  <si>
    <t>酒精饮料（啤酒除外）;果酒;酒精饮料原汁;含⽔果酒精饮料;开胃酒;预先混合的酒精饮料（以啤酒为主的除外）;含酒精⽔果饮料;⽶酒;⽩酒;葡萄酒</t>
  </si>
  <si>
    <t>冯铖</t>
  </si>
  <si>
    <t>桃月居</t>
  </si>
  <si>
    <t>⽇式甜⽶酒;酒精饮料原汁;含酒精的⽓泡⽔;甜果酒;酒精饮料浓缩汁;果酒（含酒精）;蒸馏饮料;⽶酒;甜酒;⽔果汽酒</t>
  </si>
  <si>
    <t>云南春韵广告装璜工程有限公司</t>
  </si>
  <si>
    <t>可爱的啰呼</t>
  </si>
  <si>
    <t>酒精饮料（啤酒除外）;利⼝酒;葡萄酒;⽶酒;甜酒;⻩酒;⽩酒;果酒（含酒精）;烧酒（烈酒）;烈酒（饮料）</t>
  </si>
  <si>
    <t>贵州探台酒业有限公司</t>
  </si>
  <si>
    <t>君饮黔</t>
  </si>
  <si>
    <t>烈酒;烧酒;⽶酒;葡萄酒;⻩酒;果酒;⽼酒（中国蒸馏烈酒）;酒精饮料（啤酒除外）;⽩酒;⾼粱酒</t>
  </si>
  <si>
    <t>广汉市湔江古酿文化传播工作室（个体工商户）</t>
  </si>
  <si>
    <t>鑫湔江</t>
  </si>
  <si>
    <t>⽶酒;果酒;⽩酒;烧酒;威⼠忌;烈酒;开胃酒;预先混合的酒精饮料（以啤酒为主的除外）;葡萄酒;酒精饮料（啤酒除外）</t>
  </si>
  <si>
    <t>缙云县石笕生态强村集体经济发展有限公司</t>
  </si>
  <si>
    <t>时笕</t>
  </si>
  <si>
    <t>⻩酒;杨梅酒;葡萄酒;⽶酒;含酒精的饮料（啤酒除外）;果酒（含酒精）;果酒;⽼酒（中国蒸馏烈酒）;烧酒;⽩酒</t>
  </si>
  <si>
    <t>萨日朗（北京）文化传播交流有限公司</t>
  </si>
  <si>
    <t>雪龙腾</t>
  </si>
  <si>
    <t>⽶酒;烈酒（饮料）;含⽔果酒精饮料;⾕物制蒸馏酒精饮料;餐后酒（利⼝酒和烈酒）;葡萄酒;开胃酒;⽩酒;果酒（含酒精）;酒精饮料（啤酒除外）</t>
  </si>
  <si>
    <t>贵州中立酒业有限公司</t>
  </si>
  <si>
    <t>老莺山</t>
  </si>
  <si>
    <t>蒸煮提取物（利⼝酒和烈酒）;果酒（含酒精）;⽩酒;清酒（⽇本⽶酒）;⻩酒;酒精饮料（啤酒除外）;葡萄酒;威⼠忌;⽶酒;烈酒（饮料）</t>
  </si>
  <si>
    <t>威海中星智慧信息产业有限公司</t>
  </si>
  <si>
    <t>泊于</t>
  </si>
  <si>
    <t>餐后酒（利⼝酒和烈酒）;含⽔果酒精饮料;果酒（含酒精）;汽酒;威⼠忌;⽩兰地;酒精饮料（啤酒除外）;开胃酒;⽩酒;葡萄酒</t>
  </si>
  <si>
    <t>冯治华</t>
  </si>
  <si>
    <t>糯果醉梦</t>
  </si>
  <si>
    <t>⽶酒;烧酒;⽩酒;葡萄酒;酒精饮料（啤酒除外）;⾷⽤酒精;果酒（含酒精）;鸡尾酒;⻩酒;酒精饮料原汁</t>
  </si>
  <si>
    <t>东莞星镒智能科技有限公司</t>
  </si>
  <si>
    <t>欲晚歌行</t>
  </si>
  <si>
    <t>果酒（含酒精）;葡萄酒;⽩酒;果酒;含酒精的充⽓饮料（啤酒除外）;威⼠忌;⽶酒;⾼粱酒;⻩酒;鸡尾酒</t>
  </si>
  <si>
    <t>郑玲</t>
  </si>
  <si>
    <t>粟宇</t>
  </si>
  <si>
    <t>果酒（含酒精）;威⼠忌;烈酒（饮料）;葡萄酒;酒精饮料（啤酒除外）;开胃酒;⽶酒;蒸馏饮料;汽酒;⽩酒</t>
  </si>
  <si>
    <t>李艳春</t>
  </si>
  <si>
    <t>满关山</t>
  </si>
  <si>
    <t>烧酒;⽩酒;果酒（含酒精）;威⼠忌;⽩兰地;鸡尾酒;⽶酒;⻩酒;葡萄酒;蒸馏饮料</t>
  </si>
  <si>
    <t>孙飞龙</t>
  </si>
  <si>
    <t>七彩雪域</t>
  </si>
  <si>
    <t>⽶酒;葡萄酒;⽩酒;伏特加酒;威⼠忌;烧酒;果酒（含酒精）;鸡尾酒;⻩酒;⻘稞酒</t>
  </si>
  <si>
    <t>税欣</t>
  </si>
  <si>
    <t>畅飓</t>
  </si>
  <si>
    <t>威⼠忌;酒精饮料原汁;含⽔果酒精饮料;烧酒;果酒（含酒精）;鸡尾酒;烈酒（饮料）;蒸馏饮料;清酒;⽩酒</t>
  </si>
  <si>
    <t>项城市小和和商贸有限公司</t>
  </si>
  <si>
    <t>味小永</t>
  </si>
  <si>
    <t>薄荷酒;酒精饮料原汁;梅酒;⽩酒;杨梅酒;⻩酒;⽶酒;果酒（含酒精）;烧酒;葡萄酒</t>
  </si>
  <si>
    <t>赣榆区班庄镇蒋氏酿酒厂</t>
  </si>
  <si>
    <t>长香岭</t>
  </si>
  <si>
    <t>葡萄酒;果酒（含酒精）;烈酒（饮料）;⽶酒;露酒;⽩酒;酒精饮料（啤酒除外）;⾼粱酒;烧酒;⻩酒</t>
  </si>
  <si>
    <t>天津京尼科技有限公司</t>
  </si>
  <si>
    <t>膳德喜</t>
  </si>
  <si>
    <t>果酒（含酒精）;⽩酒;葡萄酒;烧酒;⽶酒;威⼠忌;含⽔果酒精饮料;⻩酒;⾷⽤酒精;烈酒（饮料）</t>
  </si>
  <si>
    <t>郑州国垦绿色食品有限公司</t>
  </si>
  <si>
    <t>垦区地</t>
  </si>
  <si>
    <t>酒精饮料（啤酒除外）;含⽔果酒精饮料;果酒（含酒精）;利⼝酒;烧酒;烈酒（饮料）;⽩酒;鸡尾酒;葡萄酒;开胃酒</t>
  </si>
  <si>
    <t>杭州临安区横畈供销合作社</t>
  </si>
  <si>
    <t>横畈</t>
  </si>
  <si>
    <t>烈酒（饮料）;⻩酒;果酒;含酒精的饮料（啤酒除外）;酒精饮料（啤酒除外）;⽶酒;含⽔果酒精饮料;杨梅酒;葡萄酒;⽩酒</t>
  </si>
  <si>
    <t>浙江省人民大会堂</t>
  </si>
  <si>
    <t>爵堂</t>
  </si>
  <si>
    <t>葡萄酒;⻩酒;鸡尾酒;开胃酒;⽩酒;⽩兰地;果酒（含酒精）;威⼠忌;朗姆酒;⽶酒</t>
  </si>
  <si>
    <t>味雀</t>
  </si>
  <si>
    <t>蒸馏饮料;黄酒;酒精饮料（啤酒除外）;预先混合的酒精饮料（以啤酒为主的除外）;烈酒（饮料）;白酒;果酒（含酒精）;烧酒;蒸煮提取物（利口酒和烈酒）;开胃酒</t>
  </si>
  <si>
    <t>越驰探界</t>
  </si>
  <si>
    <t>含⽔果酒精饮料;酒精饮料（啤酒除外）;开胃酒;蒸馏饮料;鸡尾酒;⾷⽤酒精;果酒（含酒精）;⽩酒;葡萄酒;⽶酒</t>
  </si>
  <si>
    <t>杨文斌</t>
  </si>
  <si>
    <t>冷庐</t>
  </si>
  <si>
    <t>以葡萄酒为主的饮料;⽩酒;鸡尾酒;⽶酒;清酒（⽇本⽶酒）;汽酒;酒精饮料（啤酒除外）;薄荷酒;亚⼒酒;⽢蔗制酒精饮料</t>
  </si>
  <si>
    <t>宁夏兰风牧尔科技有限公司</t>
  </si>
  <si>
    <t>大牛远夏</t>
  </si>
  <si>
    <t>鸡尾酒;含⽔果酒精饮料;⽩酒;蜂蜜酒;⽩葡萄酒;葡萄酒;酸酒（低等葡萄酒）;梅酒;果酒（含酒精）;红葡萄酒</t>
  </si>
  <si>
    <t>张恩次</t>
  </si>
  <si>
    <t>全岁堂</t>
  </si>
  <si>
    <t>清酒;⽩酒;葡萄酒;汽酒;⽶酒;⾷⽤酒精;⻩酒;开胃酒;果酒;甜酒</t>
  </si>
  <si>
    <t>杨鹏飞</t>
  </si>
  <si>
    <t>尊彩山</t>
  </si>
  <si>
    <t>汽酒;伏特加酒;烧酒;烈酒（饮料）;威⼠忌;⽩兰地;⽩酒;利⼝酒;朗姆酒;葡萄酒</t>
  </si>
  <si>
    <t>张延杰</t>
  </si>
  <si>
    <t>三里春堤</t>
  </si>
  <si>
    <t>⽔果汽酒;⽩⼲酒（中国⽩酒）;含酒精的充⽓饮料（啤酒除外）;红葡萄酒;含酒精⽔果饮料;含酒精的饮料（啤酒除外）;⽩酒;⽩葡萄酒;除啤酒外的酒精饮料;⾼粱酒</t>
  </si>
  <si>
    <t>李付红</t>
  </si>
  <si>
    <t>健花</t>
  </si>
  <si>
    <t>⽩酒;烧酒;⽶酒;鸡尾酒;烈酒（饮料）;葡萄酒;⻩酒;酒精饮料（啤酒除外）;清酒（⽇本⽶酒）;果酒（含酒精）</t>
  </si>
  <si>
    <t>战鼓酒</t>
  </si>
  <si>
    <t>果酒（含酒精）;葡萄酒;烈酒（饮料）;⽩兰地;酒精饮料（啤酒除外）;清酒（⽇本⽶酒）;威⼠忌;⾕物制蒸馏酒精饮料;⾷⽤酒精;⽩酒</t>
  </si>
  <si>
    <t>林巍</t>
  </si>
  <si>
    <t>开胃酒;⽶酒;果酒（含酒精）;蒸馏饮料;⻩酒;酒精饮料浓缩汁;酒精饮料（啤酒除外）;朗姆酒;鸡尾酒;清酒（⽇本⽶酒）</t>
  </si>
  <si>
    <t>王莉</t>
  </si>
  <si>
    <t>品黔与蜀</t>
  </si>
  <si>
    <t>烧酒;蒸馏饮料;葡萄酒;威⼠忌;酒精饮料（啤酒除外）;⽩酒;开胃酒;⾷⽤酒精;⽶酒;烈酒（饮料）</t>
  </si>
  <si>
    <t>晋永强</t>
  </si>
  <si>
    <t>阳仁</t>
  </si>
  <si>
    <t>⽩兰地;⽩酒;果酒（含酒精）;鸡尾酒;葡萄酒;⽶酒;⻩酒;烈酒（饮料）;薄荷酒;烧酒</t>
  </si>
  <si>
    <t>葡萄酒;⽩酒;烧酒（烈酒）;开胃酒;⾼粱酒;甜酒;果酒（含酒精）;⽶酒;⽼酒（中国蒸馏烈酒）;露酒</t>
  </si>
  <si>
    <t>吴俊柠</t>
  </si>
  <si>
    <t>果酒（含酒精）;葡萄酒;⽶酒;甜酒;烧酒（烈酒）;⾼粱酒;开胃酒;⽩酒;露酒;⽼酒（中国蒸馏烈酒）</t>
  </si>
  <si>
    <t>匠心百盛祥</t>
  </si>
  <si>
    <t>⽶酒;⾼粱酒;果酒（含酒精）;⻩酒;⽩酒;汽酒;⾷⽤酒精;开胃酒;葡萄酒;预先混合的酒精饮料（以啤酒为主的除外）</t>
  </si>
  <si>
    <t>BAIKESHUANG</t>
  </si>
  <si>
    <t>葡萄酒;利⼝酒;⽩酒;蜂蜜酒;威⼠忌;伏特加酒;果酒;露酒;果酒（含酒精）;⽩兰地</t>
  </si>
  <si>
    <t>狼女士</t>
  </si>
  <si>
    <t>烈性⼲酒;烧酒;⽩⼲酒（中国⽩酒）;⾼粱酒;烧酒（烈酒）;清酒;已调味的蒸馏酒;烈酒;⻩酒;⽩酒</t>
  </si>
  <si>
    <t>刘森</t>
  </si>
  <si>
    <t>虔城三先生</t>
  </si>
  <si>
    <t>鸡尾酒;蜂蜜酒;酒精饮料原汁;开胃酒;⾷⽤酒精;⽩酒;⽶酒;果酒（含酒精）;预先混合的酒精饮料（以啤酒为主的除外）;酒精饮料浓缩汁</t>
  </si>
  <si>
    <t>上海克洛美化妆品有限公司</t>
  </si>
  <si>
    <t>美壹堂</t>
  </si>
  <si>
    <t>葡萄酒;⽩兰地;利⼝酒;⽩酒;苹果酒;⽶酒;威⼠忌;酒精饮料（啤酒除外）;果酒;甜酒</t>
  </si>
  <si>
    <t>玉织（上海）实业有限公司</t>
  </si>
  <si>
    <t>玉织</t>
  </si>
  <si>
    <t>烈酒（饮料）;酒精饮料原汁;汽酒;薄荷酒;酒精饮料（啤酒除外）;葡萄酒;清酒（⽇本⽶酒）;预先混合的酒精饮料（以啤酒为主的除外）;果酒（含酒精）;开胃酒</t>
  </si>
  <si>
    <t>保定壮园树农业有限公司</t>
  </si>
  <si>
    <t>壮园树</t>
  </si>
  <si>
    <t>含⽔果酒精饮料;果酒（含酒精）;葡萄酒;威⼠忌;⻩酒;⽩酒;鸡尾酒;⽶酒;伏特加酒;利⼝酒</t>
  </si>
  <si>
    <t>淄博君盈网络科技有限公司</t>
  </si>
  <si>
    <t>堰蕾</t>
  </si>
  <si>
    <t>葡萄酒;烈酒（饮料）;果酒;含酒精⽔果饮料;汽酒;苹果酒;樱桃酒;酒精饮料（啤酒除外）;含⽔果酒精饮料;⽩酒</t>
  </si>
  <si>
    <t>山东国山酒业有限公司</t>
  </si>
  <si>
    <t>幸运数字七 XINYUNSHUZIQI</t>
  </si>
  <si>
    <t>⽶酒;葡萄酒;果酒（含酒精）;⽩酒;清酒;烧酒;鸡尾酒;⻩酒;预先混合的酒精饮料（以啤酒为主的除外）;酒精饮料（啤酒除外）</t>
  </si>
  <si>
    <t>徐州和苏生物科技有限公司</t>
  </si>
  <si>
    <t>和苏活力</t>
  </si>
  <si>
    <t>含酒精的饮料（啤酒除外）;酒精饮料原汁;甜酒;葡萄酒;⽩⼲酒（中国⽩酒）;烈酒;酒精饮料（啤酒除外）;果酒;⽶酒;蒸馏饮料</t>
  </si>
  <si>
    <t>匠河玺</t>
  </si>
  <si>
    <t>酒精饮料（啤酒除外）;葡萄酒;果酒（含酒精）;鸡尾酒;⽩酒;酒精饮料原汁;⻩酒;⽩兰地;蒸煮提取物（利⼝酒和烈酒）;威⼠忌</t>
  </si>
  <si>
    <t>山东潍县景艺酒业有限公司</t>
  </si>
  <si>
    <t>余氏聚金</t>
  </si>
  <si>
    <t>葡萄酒;⻩酒;⽩酒;威⼠忌;朗姆酒;果酒（含酒精）;⽩兰地;酒精饮料（啤酒除外）;⽶酒;⾷⽤酒精</t>
  </si>
  <si>
    <t>徐勇</t>
  </si>
  <si>
    <t>茭陵春</t>
  </si>
  <si>
    <t>苹果酒;葡萄酒;⽩⼲酒（中国⽩酒）;已调味的蒸馏酒;⾼粱酒;⽩葡萄酒;⽼酒（中国蒸馏烈酒）;由⾕物蒸馏的⽩酒;⽩酒;汽酒</t>
  </si>
  <si>
    <t>陕西儒韵文化产业研究开发有限公司</t>
  </si>
  <si>
    <t>儒韵德选</t>
  </si>
  <si>
    <t>烧酒;⻩酒;预先混合的酒精饮料（以啤酒为主的除外）;威⼠忌;烈酒（饮料）;⽩酒;含⽔果酒精饮料;开胃酒;⽩兰地;果酒（含酒精）</t>
  </si>
  <si>
    <t>南京麦稼农业生物科技有限公司</t>
  </si>
  <si>
    <t>麦威瑟 MAXWISER</t>
  </si>
  <si>
    <t>开胃酒;⽩兰地;威⼠忌;酒精饮料（啤酒除外）;葡萄酒;果酒;鸡尾酒;餐后酒（利⼝酒和烈酒）;⽩酒;清酒</t>
  </si>
  <si>
    <t>壹贰伍文化创意（北京）有限公司</t>
  </si>
  <si>
    <t>TWOI DESIGN LAB</t>
  </si>
  <si>
    <t>烧酒;⻩酒;⽶酒;威⼠忌;烧酒（烈酒）;果酒（含酒精）;⽩酒;朗姆酒;开胃酒;伏特加酒</t>
  </si>
  <si>
    <t>EXEX</t>
  </si>
  <si>
    <t>利⼝酒;⽩酒;苹果酒;葡萄酒;酒精饮料（啤酒除外）;威⼠忌;果酒;⽶酒;⽩兰地;甜酒</t>
  </si>
  <si>
    <t>深圳市京赢电子商务有限公司</t>
  </si>
  <si>
    <t>JWING</t>
  </si>
  <si>
    <t>酒精饮料（啤酒除外）;果酒;红葡萄酒;⻩酒;⽩酒;由⾕物蒸馏的⽩酒;⽶酒;梅酒;⾼粱酒;⾷⽤酒精</t>
  </si>
  <si>
    <t>长白山保护开发区呦呦鹿鸣电子商务有限公司</t>
  </si>
  <si>
    <t>麓篱</t>
  </si>
  <si>
    <t>果酒（含酒精）;餐后酒（利⼝酒和烈酒）;酒精饮料（啤酒除外）;伏特加酒;利⼝酒;汽酒;蜂蜜酒;预先混合的酒精饮料（以啤酒为主的除外）;⽩酒;朝鲜族⽶酒</t>
  </si>
  <si>
    <t>张琴</t>
  </si>
  <si>
    <t>将梦令</t>
  </si>
  <si>
    <t>果酒（含酒精）;鸡尾酒;威⼠忌;酒精饮料原汁;蒸煮提取物（利⼝酒和烈酒）;⽩酒;葡萄酒;⽩兰地;酒精饮料（啤酒除外）;⻩酒</t>
  </si>
  <si>
    <t>符宏辉</t>
  </si>
  <si>
    <t>固斯拉</t>
  </si>
  <si>
    <t>酒精饮料（啤酒除外）;⻩酒;⽼酒（中国蒸馏烈酒）;清酒（⽇本⽶酒）;⽶酒;⽩酒;威⼠忌;果酒（含酒精）;葡萄酒;烧酒</t>
  </si>
  <si>
    <t>张凤美</t>
  </si>
  <si>
    <t>潼花顺</t>
  </si>
  <si>
    <t>蒸煮提取物（利⼝酒和烈酒）;⻩酒;鸡尾酒;葡萄酒;酒精饮料原汁;酒精饮料（啤酒除外）;⽩酒;果酒（含酒精）;威⼠忌;⽩兰地</t>
  </si>
  <si>
    <t>赵波</t>
  </si>
  <si>
    <t>初漠</t>
  </si>
  <si>
    <t>鸡尾酒;⽩兰地;酒精饮料（啤酒除外）;⽩酒;⻩酒;果酒（含酒精）;葡萄酒;酒精饮料原汁;蒸煮提取物（利⼝酒和烈酒）;威⼠忌</t>
  </si>
  <si>
    <t>陕西鼎味臻餐饮运营服务有限公司</t>
  </si>
  <si>
    <t>⾷⽤酒精;⽩酒;清酒;烈酒（饮料）;鸡尾酒;⽶酒;烧酒;汽酒;葡萄酒;⻩酒</t>
  </si>
  <si>
    <t>聊城柒沐网络科技有限公司</t>
  </si>
  <si>
    <t>柒沐良田</t>
  </si>
  <si>
    <t>⻩酒;含酒精的⽓泡⽔;⽶酒;⽩酒;果酒（含酒精）;⾕物制蒸馏酒精饮料;酒精饮料（啤酒除外）;已调味的⻨芽酿制的酒精饮料（啤酒除外）</t>
  </si>
  <si>
    <t>虎鹊</t>
  </si>
  <si>
    <t>伏特加酒;汽酒;威⼠忌;除啤酒外的酒精饮料;烧酒（烈酒）;⽩酒;鸡尾酒;葡萄酒;⽶酒;⻩酒</t>
  </si>
  <si>
    <t>商丘市禾生九穗农业科技开发有限责任公司</t>
  </si>
  <si>
    <t>伏鹿寿</t>
  </si>
  <si>
    <t>清酒;⽼酒（中国蒸馏烈酒）;烧酒;⻩酒;葡萄酒;烈酒;甜酒;果酒;⾼粱酒;⽩酒</t>
  </si>
  <si>
    <t>桦心</t>
  </si>
  <si>
    <t>利⼝酒;蜂蜜酒;预先混合的酒精饮料（以啤酒为主的除外）;朝鲜族⽶酒;果酒（含酒精）;伏特加酒;汽酒;⽩酒;酒精饮料（啤酒除外）;餐后酒（利⼝酒和烈酒）</t>
  </si>
  <si>
    <t>茭陵</t>
  </si>
  <si>
    <t>蒸馏⽶酒（泡盛酒）;⽩⼲酒（中国⽩酒）;⽩酒;以葡萄酒为主的饮料;红葡萄酒;⽼酒（中国蒸馏烈酒）;由⾕物蒸馏的⽩酒;蒸煮提取物（利⼝酒和烈酒）;果酒;⾼粱酒</t>
  </si>
  <si>
    <t>桦芯</t>
  </si>
  <si>
    <t>餐后酒（利⼝酒和烈酒）;利⼝酒;伏特加酒;预先混合的酒精饮料（以啤酒为主的除外）;⽩酒;汽酒;酒精饮料（啤酒除外）;蜂蜜酒;果酒（含酒精）;朝鲜族⽶酒</t>
  </si>
  <si>
    <t>何金霞</t>
  </si>
  <si>
    <t>翁兰韭</t>
  </si>
  <si>
    <t>鸡尾酒;蜂蜜酒;⽶酒;⻩酒;酒精饮料（啤酒除外）;⽩酒;果酒（含酒精）;苹果酒;烧酒;葡萄酒</t>
  </si>
  <si>
    <t>黄海军</t>
  </si>
  <si>
    <t>裕兴旺</t>
  </si>
  <si>
    <t>鸡尾酒;⻘稞酒;露酒;葡萄酒;含酒精的饮料（啤酒除外）;清酒;烧酒;⾼粱酒;果酒;⽩酒</t>
  </si>
  <si>
    <t>康达天下（北京）健康科技有限公司</t>
  </si>
  <si>
    <t>自康力</t>
  </si>
  <si>
    <t>餐后酒（利⼝酒和烈酒）;含⽔果酒精饮料;⽩酒;蜂蜜酒;烈酒（饮料）;露酒;果酒（含酒精）;葡萄酒;⽶酒</t>
  </si>
  <si>
    <t>湖北省北斗星农业发展有限公司</t>
  </si>
  <si>
    <t>⻩酒;⾼粱酒;果酒;⽩酒;⽼酒（中国蒸馏烈酒）;鸡尾酒;烧酒;⽶酒;露酒;葡萄酒</t>
  </si>
  <si>
    <t>何冰</t>
  </si>
  <si>
    <t>鹤仙人</t>
  </si>
  <si>
    <t>烧酒;葡萄酒;⽩酒;⻩酒;⾼粱酒;甜酒;果酒;佐餐酒;烈性⼲酒;⽶酒</t>
  </si>
  <si>
    <t>龙晓玲</t>
  </si>
  <si>
    <t>万家来</t>
  </si>
  <si>
    <t>开胃酒;葡萄酒;⽩酒;⽩⼲酒（中国⽩酒）;果酒;鸡尾酒;烧酒;含酒精的⽔果鸡尾酒饮料;⾼粱酒;⽶酒</t>
  </si>
  <si>
    <t>云南百蜜斋供应链管理有限公司</t>
  </si>
  <si>
    <t>森蜜蜂语</t>
  </si>
  <si>
    <t>酒精饮料（啤酒除外）;烧酒;⽩酒;鸡尾酒;葡萄酒;清酒;⾷⽤酒精;果酒（含酒精）;⻩酒;含⽔果酒精饮料</t>
  </si>
  <si>
    <t>福建建州酒厂有限公司</t>
  </si>
  <si>
    <t>闽桥苜莉青</t>
  </si>
  <si>
    <t>威⼠忌;酒精饮料（啤酒除外）;烧酒;蒸煮提取物（利⼝酒和烈酒）;蒸馏饮料;清酒（⽇本⽶酒）;⻩酒;葡萄酒;⽩酒;鸡尾酒</t>
  </si>
  <si>
    <t>斛骄子</t>
  </si>
  <si>
    <t>清酒（⽇本⽶酒）;酒精饮料（啤酒除外）;鸡尾酒;⻩酒;烈酒;⽩酒;葡萄酒;威⼠忌;果酒（含酒精）;开胃酒</t>
  </si>
  <si>
    <t>成都金纬度酿酒技术研究所</t>
  </si>
  <si>
    <t>纬派</t>
  </si>
  <si>
    <t>⽶酒;酒精饮料原汁;葡萄酒;⽩酒;梨酒;露酒;⽩兰地;⻩酒;果酒（含酒精）;⻘稞酒</t>
  </si>
  <si>
    <t>永乐高山</t>
  </si>
  <si>
    <t>⽩酒;威⼠忌;开胃酒;葡萄酒;果酒（含酒精）;烈酒（饮料）;⻩酒;⽶酒;鸡尾酒;酒精饮料（啤酒除外）</t>
  </si>
  <si>
    <t>盛晓静</t>
  </si>
  <si>
    <t>沃妃元</t>
  </si>
  <si>
    <t>果酒（含酒精）;开胃酒;⽩⼲酒（中国⽩酒）;⾼粱酒;烧酒;⻩酒;⽶酒;苦荞酒;⽩酒;烈酒</t>
  </si>
  <si>
    <t>河北奥赛罗密封材料有限公司</t>
  </si>
  <si>
    <t>明朝皇家酒道</t>
  </si>
  <si>
    <t>清酒;⽶酒;鸡尾酒;⽩酒;朗姆酒（酒精饮料）;含酒精⽔果饮料;⾼粱酒;含酒精的饮料（啤酒除外）;含酒精的⽓泡⽔;果酒</t>
  </si>
  <si>
    <t>鸿碌冢</t>
  </si>
  <si>
    <t>蒸馏饮料;酒精饮料（啤酒除外）;⽶酒;⽩酒;⾷⽤酒精;含⽔果酒精饮料;葡萄酒;果酒（含酒精）;威⼠忌;清酒（⽇本⽶酒）</t>
  </si>
  <si>
    <t>汾阳市杏林酒业有限公司</t>
  </si>
  <si>
    <t>杏林仁</t>
  </si>
  <si>
    <t>清酒（⽇本⽶酒）;烧酒;⽶酒;烈酒（饮料）;酒精饮料（啤酒除外）;果酒（含酒精）;鸡尾酒;⻩酒;葡萄酒;⽩酒</t>
  </si>
  <si>
    <t>谭龙</t>
  </si>
  <si>
    <t>青天把问</t>
  </si>
  <si>
    <t>鸡尾酒;葡萄酒;酒精饮料（啤酒除外）;烧酒;⽩兰地;果酒（含酒精）;烈酒（饮料）;蒸煮提取物（利⼝酒和烈酒）;⽩酒;⽶酒</t>
  </si>
  <si>
    <t>吉林省鸿翔农业集团幸福电子商务有限公司</t>
  </si>
  <si>
    <t>果子别跑</t>
  </si>
  <si>
    <t>⽼酒（中国蒸馏烈酒）;薄荷酒;果酒（含酒精）;甜果酒;酒精饮料原汁;开胃酒;⽩兰地;⻩酒;烧酒;蜂蜜酒</t>
  </si>
  <si>
    <t>凰馗</t>
  </si>
  <si>
    <t>果酒（含酒精）;⽩⼲酒（中国⽩酒）;⽩酒;开胃酒;苦荞酒;烧酒;烈酒;⾼粱酒;⻩酒;⽶酒</t>
  </si>
  <si>
    <t>千禧泰盛</t>
  </si>
  <si>
    <t>开胃酒;利⼝酒;⽶酒;汽酒;果酒（含酒精）;蒸馏饮料;⽩酒;烈酒（饮料）;⻩酒;烧酒</t>
  </si>
  <si>
    <t>贵州省仁怀市老库坊酿酒作坊</t>
  </si>
  <si>
    <t>云峰顾</t>
  </si>
  <si>
    <t>烧酒;⽩酒;⽼酒（中国蒸馏烈酒）;果酒;⽩⼲酒（中国⽩酒）;烈酒;鸡尾酒;⽶酒;⻩酒;酒精饮料（啤酒除外）</t>
  </si>
  <si>
    <t>世舶控股（青岛）有限公司</t>
  </si>
  <si>
    <t>密粱</t>
  </si>
  <si>
    <t>葡萄酒;⽩酒;烈酒（饮料）;果酒;⻘稞酒;清酒;⽶酒;鸡尾酒;⻩酒;⽩兰地</t>
  </si>
  <si>
    <t>五华区烈燕百货店</t>
  </si>
  <si>
    <t>朱雀骄子</t>
  </si>
  <si>
    <t>⽩酒;⽶酒;清酒（⽇本⽶酒）;烧酒;酒精饮料（啤酒除外）;鸡尾酒;开胃酒;果酒（含酒精）;⽩兰地;葡萄酒</t>
  </si>
  <si>
    <t>贝贝猫</t>
  </si>
  <si>
    <t>烧酒;果酒（含酒精）;⽩酒;⻩酒;伏特加酒;鸡尾酒;葡萄酒;⻘稞酒;威⼠忌;⽶酒</t>
  </si>
  <si>
    <t>贵州卿酿市场管理有限公司</t>
  </si>
  <si>
    <t>君宵醉</t>
  </si>
  <si>
    <t>白酒;鸡尾酒;烈酒（饮料）;葡萄酒;果酒（含酒精）;烧酒;酒精饮料（啤酒除外）;米酒;清酒（日本米酒）;黄酒</t>
  </si>
  <si>
    <t>西咸新区空港新城海特凯百货店</t>
  </si>
  <si>
    <t>泉之骄子</t>
  </si>
  <si>
    <t>果酒（含酒精）;烈酒（饮料）;谷物制蒸馏酒精饮料;白酒;黄酒;酒精饮料（啤酒除外）;清酒（日本米酒）;烧酒;蜂蜜酒;米酒</t>
  </si>
  <si>
    <t>余洋</t>
  </si>
  <si>
    <t>科豹堂</t>
  </si>
  <si>
    <t>果酒（含酒精）;酒精饮料原汁;蒸馏饮料;鸡尾酒;清酒;烈酒（饮料）;威士忌;烧酒;白酒;含水果酒精饮料</t>
  </si>
  <si>
    <t>衡昌咏流传</t>
  </si>
  <si>
    <t>开胃酒;含⽔果酒精饮料;⽩酒;烧酒;⾼粱酒;⻩酒;⽩⼲酒（中国⽩酒）;⻘稞酒;蒸煮提取物（利⼝酒和烈酒）;⽶酒</t>
  </si>
  <si>
    <t>陈政华</t>
  </si>
  <si>
    <t>雪中悍刀行</t>
  </si>
  <si>
    <t>汽酒;清酒;葡萄酒;黄酒;鸡尾酒;果酒;青稞酒;白酒;米酒;白兰地</t>
  </si>
  <si>
    <t>小糊涂仙酒业(集团)有限公司</t>
  </si>
  <si>
    <t>普神</t>
  </si>
  <si>
    <t>开胃酒;清酒（⽇本⽶酒）;烧酒;葡萄酒;⽩酒;⽶酒;酒精饮料（啤酒除外）;⻩酒;果酒;⽩兰地</t>
  </si>
  <si>
    <t>龙行达达(武汉市)商贸有限公司</t>
  </si>
  <si>
    <t>龙行达达</t>
  </si>
  <si>
    <t>预先混合的酒精饮料（以啤酒为主的除外）;以葡萄酒为主的饮料;含⽔果酒精饮料;⽩酒;含酒精的充⽓饮料（啤酒除外）;已调味的⻨芽酿制的酒精饮料（啤酒除外）;⽢蔗制酒精饮料;含酒精的⽓泡⽔;果酒（含酒精）;⽶酒</t>
  </si>
  <si>
    <t>西咸新区空港新城仁强傲百货店</t>
  </si>
  <si>
    <t>驾御骄子</t>
  </si>
  <si>
    <t>果酒（含酒精）;烧酒;⽶酒;酒精饮料（啤酒除外）;⾕物制蒸馏酒精饮料;清酒（⽇本⽶酒）;烈酒（饮料）;⽩酒;蜂蜜酒;⻩酒</t>
  </si>
  <si>
    <t>盅小立</t>
  </si>
  <si>
    <t>烈酒（饮料）;酒精饮料（啤酒除外）;⽶酒;蒸煮提取物（利⼝酒和烈酒）;⻩酒;⽩酒;清酒（⽇本⽶酒）;葡萄酒;果酒（含酒精）;威⼠忌</t>
  </si>
  <si>
    <t>贵州天朝上品酒业运营管理有限公司</t>
  </si>
  <si>
    <t>中事</t>
  </si>
  <si>
    <t>烧酒;含⽔果酒精饮料;果酒（含酒精）;葡萄酒;清酒;⾷⽤酒精;⻩酒;含酒精的饮料（啤酒除外）;⽩酒;烈酒（饮料）</t>
  </si>
  <si>
    <t>周柳萍</t>
  </si>
  <si>
    <t>鼎莱</t>
  </si>
  <si>
    <t>清酒;烧酒;蒸馏饮料;酒精饮料原汁;鸡尾酒;⽩酒;果酒（含酒精）;烈酒（饮料）;威⼠忌;含⽔果酒精饮料</t>
  </si>
  <si>
    <t>刘钊</t>
  </si>
  <si>
    <t>西湖画卷</t>
  </si>
  <si>
    <t>⻩酒;含⽔果酒精饮料;葡萄酒;酒精饮料（啤酒除外）;⽩酒;⽶酒;利⼝酒;清酒（⽇本⽶酒）;烧酒;果酒（含酒精）</t>
  </si>
  <si>
    <t>湖南中健国康健康管理有限公司</t>
  </si>
  <si>
    <t>愉弘健</t>
  </si>
  <si>
    <t>酒精饮料浓缩汁;烧酒;薄荷酒;含⽔果酒精饮料;杜松⼦酒;⽶酒;葡萄酒;果酒（含酒精）</t>
  </si>
  <si>
    <t>臻月唐</t>
  </si>
  <si>
    <t>⽩酒;清酒;烧酒;烧酒（烈酒）;⽶酒;果酒（含酒精）;酒精饮料（啤酒除外）;葡萄酒;威⼠忌;以葡萄酒为主的饮料</t>
  </si>
  <si>
    <t>聿井</t>
  </si>
  <si>
    <t>酒精饮料（啤酒除外）;烧酒（烈酒）;以葡萄酒为主的饮料;⽩酒;⽶酒;果酒（含酒精）;威⼠忌;清酒;葡萄酒;烧酒</t>
  </si>
  <si>
    <t>神奇小雄霸</t>
  </si>
  <si>
    <t>⽩酒;⾷⽤酒精;⻘稞酒;⽩兰地;葡萄酒;威⼠忌;烧酒;汽酒;鸡尾酒;⻩酒</t>
  </si>
  <si>
    <t>李德印</t>
  </si>
  <si>
    <t>土泥坑</t>
  </si>
  <si>
    <t>⽶酒;⽩酒;烧酒;⻩酒;清酒（⽇本⽶酒）;酒精饮料（啤酒除外）;果酒（含酒精）;鸡尾酒;葡萄酒;烈酒（饮料）</t>
  </si>
  <si>
    <t>祁寿伟</t>
  </si>
  <si>
    <t>奉天鼎亿豊</t>
  </si>
  <si>
    <t>清酒（⽇本⽶酒）;烈酒;酒精饮料原汁;鸡尾酒;⽩酒;果酒（含酒精）;⽶酒;开胃酒;葡萄酒;蒸馏饮料</t>
  </si>
  <si>
    <t>河南甭力食品有限公司</t>
  </si>
  <si>
    <t>云上洛洛</t>
  </si>
  <si>
    <t>⽶酒;⾷⽤酒精;含酒精⽔果饮料;果酒;酒精饮料（啤酒除外）;⻩酒;鸡尾酒;葡萄酒;⽩酒;汽酒</t>
  </si>
  <si>
    <t>赵爽</t>
  </si>
  <si>
    <t>光辉黔隆御</t>
  </si>
  <si>
    <t>⽩酒;除啤酒外的酒精饮料;甜酒;开胃酒;汽酒;⻩酒;葡萄酒;果酒;⽶酒;鸡尾酒</t>
  </si>
  <si>
    <t>杞硕（宁夏）农业科技有限公司</t>
  </si>
  <si>
    <t>茨使</t>
  </si>
  <si>
    <t>烧酒;鸡尾酒;伏特加酒;威⼠忌;⽩兰地;果酒（含酒精）;酒精饮料原汁;⽩酒;葡萄酒;⾷⽤酒精</t>
  </si>
  <si>
    <t>赵红波</t>
  </si>
  <si>
    <t>轮滑六六</t>
  </si>
  <si>
    <t>葡萄酒;⽩⼲酒（中国⽩酒）;⽶酒;⾼粱酒;伏特加酒;⽩酒;露酒;由⾕物蒸馏的⽩酒;⻩酒;⽼酒（中国蒸馏烈酒）</t>
  </si>
  <si>
    <t>贵州省仁怀市尘世间商贸有限公司</t>
  </si>
  <si>
    <t>创始雍</t>
  </si>
  <si>
    <t>鸡尾酒;烈酒（饮料）;威⼠忌;⻩酒;⽼酒（中国蒸馏烈酒）;烧酒;⽶酒;果酒（含酒精）;葡萄酒;⽩酒</t>
  </si>
  <si>
    <t>四川省千和祥科技发展有限公司</t>
  </si>
  <si>
    <t>奇路先锋</t>
  </si>
  <si>
    <t>清酒（⽇本⽶酒）;酒精饮料浓缩汁;酒精饮料（啤酒除外）;⾷⽤酒精;葡萄酒;蒸馏饮料;烈酒（饮料）;酒精饮料原汁;果酒（含酒精）;⽩酒</t>
  </si>
  <si>
    <t>金正爱</t>
  </si>
  <si>
    <t>古仙泽</t>
  </si>
  <si>
    <t>清酒（⽇本⽶酒）;⽩兰地;蜂蜜酒;果酒（含酒精）;葡萄酒;⽩酒;⽶酒;⻩酒;烧酒;甜酒</t>
  </si>
  <si>
    <t>王艳霞</t>
  </si>
  <si>
    <t>晋裕昌</t>
  </si>
  <si>
    <t>烧酒;葡萄酒;⽩酒;酒精饮料（啤酒除外）;⾷⽤酒精;汽酒;烈酒（饮料）;⻩酒;⽶酒;果酒（含酒精）</t>
  </si>
  <si>
    <t>沈阳鑫韵传媒有限公司</t>
  </si>
  <si>
    <t>雯雨</t>
  </si>
  <si>
    <t>⽶酒;⽩酒;果酒;酒精饮料（啤酒除外）;清酒;⻘稞酒;⻩酒;烧酒;⾼粱酒;葡萄酒</t>
  </si>
  <si>
    <t>钟佳佳</t>
  </si>
  <si>
    <t>茶班荟</t>
  </si>
  <si>
    <t>鸡尾酒;果酒（含酒精）;⾷⽤酒精;清酒;⽩酒;含⽔果酒精饮料;朗姆酒;⽩兰地;葡萄酒;威⼠忌</t>
  </si>
  <si>
    <t>娄底竫宸商贸有限公司</t>
  </si>
  <si>
    <t>竫宸</t>
  </si>
  <si>
    <t>鸡尾酒;葡萄酒;⾕物制蒸馏酒精饮料;烧酒（烈酒）;果酒（含酒精）;以葡萄酒为主的开胃酒;⻩酒;威⼠忌;⽩酒;⽩兰地</t>
  </si>
  <si>
    <t>黄达芬</t>
  </si>
  <si>
    <t>义愿</t>
  </si>
  <si>
    <t>威⼠忌;⽩酒;果酒（含酒精）;酒精饮料（啤酒除外）;葡萄酒;开胃酒;烈酒（饮料）;清酒（⽇本⽶酒）;烧酒;⽶酒</t>
  </si>
  <si>
    <t>邯郸市优梨酒业有限公司</t>
  </si>
  <si>
    <t>郸宋</t>
  </si>
  <si>
    <t>烧酒;果酒;⻩酒;威⼠忌;蒸馏饮料;⽩酒;鸡尾酒;葡萄酒;⽩兰地;⽶酒</t>
  </si>
  <si>
    <t>惠州市天恩丰赐生态科技有限公司</t>
  </si>
  <si>
    <t>狮子莉优</t>
  </si>
  <si>
    <t>苹果酒;鸡尾酒;酒精饮料（啤酒除外）;威士忌;酒精饮料浓缩汁;酒精饮料原汁;伏特加酒;利口酒;果酒（含酒精）;烈酒（饮料）</t>
  </si>
  <si>
    <t>呈凤富祥</t>
  </si>
  <si>
    <t>开胃酒;⽶酒;烈酒（饮料）;⽩兰地;葡萄酒;⽩酒;⻩酒;利⼝酒;含⽔果酒精饮料;烧酒</t>
  </si>
  <si>
    <t>福建昕佳辰投资控股有限公司</t>
  </si>
  <si>
    <t>沃沃猫 WOWOCAT</t>
  </si>
  <si>
    <t>清酒（⽇本⽶酒）;⽩酒;酒精饮料（啤酒除外）;果酒（含酒精）;葡萄酒;烈酒（饮料）;⻘稞酒;⻩酒;蒸馏饮料;鸡尾酒</t>
  </si>
  <si>
    <t>唐山金晨旭阳餐饮管理有限公司</t>
  </si>
  <si>
    <t>金晨旭阳</t>
  </si>
  <si>
    <t>果酒（含酒精）;葡萄酒;⽩兰地;威⼠忌;烧酒;⻘稞酒;伏特加酒;酒精饮料（啤酒除外）;鸡尾酒;⽩酒</t>
  </si>
  <si>
    <t>天津粤唯鲜文化产业投资有限公司</t>
  </si>
  <si>
    <t>粤唯鲜古董菜</t>
  </si>
  <si>
    <t>含⽔果酒精饮料;烈酒（饮料）;鸡尾酒;开胃酒;汽酒;果酒（含酒精）;葡萄酒;清酒（⽇本⽶酒）;⽩酒;蒸馏饮料</t>
  </si>
  <si>
    <t>水晶豆</t>
  </si>
  <si>
    <t>果酒（含酒精）;酒精饮料浓缩汁;烧酒;酒精饮料（啤酒除外）;⻩酒;⽩酒;葡萄酒;烈酒（饮料）;含⽔果酒精饮料;⽶酒</t>
  </si>
  <si>
    <t>任邦良</t>
  </si>
  <si>
    <t>堰初开</t>
  </si>
  <si>
    <t>伏特加酒;清酒（⽇本⽶酒）;威⼠忌;烈酒（饮料）;鸡尾酒;⽶酒;葡萄酒;酒精饮料（啤酒除外）;酒精饮料原汁;⽩酒</t>
  </si>
  <si>
    <t>杨孝</t>
  </si>
  <si>
    <t>缘料</t>
  </si>
  <si>
    <t>⽶酒;⻩酒;梅酒;果酒（含酒精）;葡萄酒;威⼠忌;⽩酒;果酒;鸡尾酒;伏特加酒</t>
  </si>
  <si>
    <t>深圳巨人天下网络科技有限公司</t>
  </si>
  <si>
    <t>醉暑庄</t>
  </si>
  <si>
    <t>⻩酒;露酒;烈酒;甜酒;葡萄酒;果酒;⽩酒;鸡尾酒;佐餐酒;含酒精的饮料（啤酒除外）</t>
  </si>
  <si>
    <t>山西方寸文化传播有限公司</t>
  </si>
  <si>
    <t>芝草乡</t>
  </si>
  <si>
    <t>苦荞酒;烈酒（饮料）;⽩酒;烧酒;⽶酒;鸡尾酒;葡萄酒;露酒;果酒（含酒精）;梨酒</t>
  </si>
  <si>
    <t>北京御品格亚品牌管理有限公司</t>
  </si>
  <si>
    <t>中礼格亚</t>
  </si>
  <si>
    <t>⽩酒;⻘稞酒;⽶酒;清酒</t>
  </si>
  <si>
    <t>李美培</t>
  </si>
  <si>
    <t>花梦令</t>
  </si>
  <si>
    <t>葡萄酒;⽩兰地;酒精饮料（啤酒除外）;蒸煮提取物（利⼝酒和烈酒）;果酒（含酒精）;酒精饮料原汁;⻩酒;⽩酒;威⼠忌;鸡尾酒</t>
  </si>
  <si>
    <t>秦皇岛星联电子科技发展有限公司</t>
  </si>
  <si>
    <t>天秦</t>
  </si>
  <si>
    <t>⾷⽤酒精;威⼠忌;烧酒;果酒（含酒精）;⽩酒;⽩兰地;葡萄酒;酒精饮料（啤酒除外）;伏特加酒;烈酒（饮料）</t>
  </si>
  <si>
    <t>四川众鸿商贸有限公司</t>
  </si>
  <si>
    <t>水赋传</t>
  </si>
  <si>
    <t>⽩酒;烧酒（烈酒）;⻘稞酒;⻩酒;⽶酒;⾷⽤酒精;烧酒;⾼粱酒;⽼酒（中国蒸馏烈酒）;果酒</t>
  </si>
  <si>
    <t>卿启国</t>
  </si>
  <si>
    <t>卿师黔味</t>
  </si>
  <si>
    <t>⽩酒;蒸馏饮料;葡萄酒;开胃酒;⽶酒;清酒（⽇本⽶酒）;⻩酒;果酒（含酒精）;鸡尾酒;烈酒（饮料）</t>
  </si>
  <si>
    <t>喜松坡</t>
  </si>
  <si>
    <t>⻩酒;⽶酒;⽼酒（中国蒸馏烈酒）;⽩酒;鸡尾酒;葡萄酒;⾼粱酒;果酒;露酒;烧酒</t>
  </si>
  <si>
    <t>黄永波</t>
  </si>
  <si>
    <t>蒙江玺</t>
  </si>
  <si>
    <t>樱桃酒;葡萄酒;威⼠忌;果酒（含酒精）;利⼝酒;⽶酒;烧酒;烈酒（饮料）;酒精饮料（啤酒除外）;⽩酒</t>
  </si>
  <si>
    <t>黄林彬</t>
  </si>
  <si>
    <t>将湖情</t>
  </si>
  <si>
    <t>果酒（含酒精）;威⼠忌;⻩酒;⽩酒;酒精饮料（啤酒除外）;葡萄酒;⽩兰地;酒精饮料原汁;蒸煮提取物（利⼝酒和烈酒）;鸡尾酒</t>
  </si>
  <si>
    <t>四川赤盛酒业有限公司</t>
  </si>
  <si>
    <t>景德玲珑</t>
  </si>
  <si>
    <t>⻩酒;⽩酒;果酒（含酒精）;烈酒（饮料）;预先混合的酒精饮料（以啤酒为主的除外）;葡萄酒;利⼝酒;烧酒;威⼠忌;⽶酒</t>
  </si>
  <si>
    <t>河南捎点酒商贸有限公司</t>
  </si>
  <si>
    <t>一株红</t>
  </si>
  <si>
    <t>含⽔果酒精饮料;预先混合的酒精饮料（以啤酒为主的除外）;⽩酒;果酒（含酒精）;⻩酒;葡萄酒;开胃酒;烈酒（饮料）;⽶酒;鸡尾酒</t>
  </si>
  <si>
    <t>四川省东圣酒业股份有限公司</t>
  </si>
  <si>
    <t>东圣酒坊</t>
  </si>
  <si>
    <t>果酒（含酒精）;餐后酒（利⼝酒和烈酒）;酒精饮料（啤酒除外）;烧酒;⽩⼲酒（中国⽩酒）;⽩酒;⽼酒（中国蒸馏烈酒）;烈酒;蒸煮提取物（利⼝酒和烈酒）;⾷⽤酒精</t>
  </si>
  <si>
    <t>屈耿龙</t>
  </si>
  <si>
    <t>粲匠</t>
  </si>
  <si>
    <t>⽩酒;利⼝酒;⽶酒;开胃酒;⻩酒;⻘稞酒;梨酒;烧酒;清酒（⽇本⽶酒）;葡萄酒</t>
  </si>
  <si>
    <t>匠王台酒业销售有限公司</t>
  </si>
  <si>
    <t>匠王神</t>
  </si>
  <si>
    <t>⻩酒;酒精饮料（啤酒除外）;⽩酒;烧酒;⻘稞酒;葡萄酒;威⼠忌;果酒（含酒精）;露酒;⽶酒</t>
  </si>
  <si>
    <t>杨勇</t>
  </si>
  <si>
    <t>维芸秘果</t>
  </si>
  <si>
    <t>果酒（含酒精）;葡萄酒;预先混合的酒精饮料（以啤酒为主的除外）;汽酒;⻩酒;鸡尾酒;含⽔果酒精饮料;⽶酒;⾷⽤酒精;⽩酒</t>
  </si>
  <si>
    <t>泰和伊颜堂生物科技有限公司</t>
  </si>
  <si>
    <t>常久健</t>
  </si>
  <si>
    <t>果酒（含酒精）;⾷⽤酒精;⽶酒;汽酒;含⽔果酒精饮料;清酒;⽩酒;葡萄酒;酒精饮料（啤酒除外）;⻩酒</t>
  </si>
  <si>
    <t>水悦唐</t>
  </si>
  <si>
    <t>⽶酒;⻩酒;酒精饮料（啤酒除外）;⽩酒;含⽔果酒精饮料;⾷⽤酒精;果酒（含酒精）;葡萄酒;汽酒;清酒</t>
  </si>
  <si>
    <t>湖南湘窖酒业有限公司</t>
  </si>
  <si>
    <t>湘窖龙匠龙耀九州</t>
  </si>
  <si>
    <t>⽩酒;利⼝酒;威⼠忌;果酒（含酒精）;⻩酒;烈酒（饮料）;⽶酒;酒精饮料（啤酒除外）;葡萄酒;预先混合的酒精饮料（以啤酒为主的除外）</t>
  </si>
  <si>
    <t>安徽辉泰生物科技有限公司</t>
  </si>
  <si>
    <t>最仁堂</t>
  </si>
  <si>
    <t>朗姆酒;果酒（含酒精）;汽酒;蒸馏饮料;⽩酒;烧酒;⻩酒;⽶酒;葡萄酒;开胃酒</t>
  </si>
  <si>
    <t>贵州省仁怀市大宽张酒业有限公司</t>
  </si>
  <si>
    <t>陈氏风云</t>
  </si>
  <si>
    <t>果酒（含酒精）;⽩酒;蒸馏饮料;蜂蜜酒;开胃酒;含酒精的⽔果鸡尾酒饮料;⽶酒;⻩酒;烧酒;葡萄酒</t>
  </si>
  <si>
    <t>内蒙古国荣甄选供应链管理有限公司</t>
  </si>
  <si>
    <t>蒙源康宝</t>
  </si>
  <si>
    <t>酒精饮料原汁;⽶酒;果酒（含酒精）;烧酒;⻩酒;伏特加酒;调制好的葡萄酒鸡尾酒;葡萄酒;⽩酒;烈酒（饮料）</t>
  </si>
  <si>
    <t>凌楠</t>
  </si>
  <si>
    <t>信江郡</t>
  </si>
  <si>
    <t>预先混合的酒精饮料（以啤酒为主的除外）;烈酒（饮料）;酒精饮料（啤酒除外）;开胃酒;鸡尾酒;葡萄酒;果酒;⽩酒;蒸煮提取物（利⼝酒和烈酒）;酒精饮料原汁</t>
  </si>
  <si>
    <t>奥罗拉公司</t>
  </si>
  <si>
    <t>E. LEON JIMENES</t>
  </si>
  <si>
    <t>朗姆酒</t>
  </si>
  <si>
    <t>宜舞泸舞</t>
  </si>
  <si>
    <t>⾷⽤酒精;⽩酒;⻩酒;酒精饮料（啤酒除外）;⾕物制蒸馏酒精饮料</t>
  </si>
  <si>
    <t>杭州容聚品牌管理有限公司</t>
  </si>
  <si>
    <t>薄荷酒;果酒（含酒精）;⽩兰地;利⼝酒;朗姆酒;烧酒;清酒（⽇本⽶酒）;⽩酒;葡萄酒;⻩酒</t>
  </si>
  <si>
    <t>新疆果丽谷食品科技有限公司</t>
  </si>
  <si>
    <t>GULLUG</t>
  </si>
  <si>
    <t>鸡尾酒;已调味的⻨芽酿制的酒精饮料（啤酒除外）;果酒（含酒精）;薄荷酒;开胃酒;⽩兰地;⽶酒;预先混合的酒精饮料（以啤酒为主的除外）;含酒精的⽓泡⽔;葡萄酒</t>
  </si>
  <si>
    <t>李俭枫430811********0051</t>
  </si>
  <si>
    <t>李憨憨</t>
  </si>
  <si>
    <t>鸡尾酒;酒精饮料（啤酒除外）;⽶酒;果酒;烈酒;葡萄酒;⽩酒;清酒;利⼝酒;开胃酒</t>
  </si>
  <si>
    <t>贵州子仁酒业有限公司</t>
  </si>
  <si>
    <t>丞朝</t>
  </si>
  <si>
    <t>果酒;果酒（含酒精）;开胃酒;葡萄酒;威⼠忌;⻘稞酒;朗姆酒;烧酒;⻩酒;⽩酒</t>
  </si>
  <si>
    <t>清北育医教科技（广州）有限公司</t>
  </si>
  <si>
    <t>颂劲</t>
  </si>
  <si>
    <t>⽶酒;果酒;清酒;⽩⼲酒（中国⽩酒）;⻩酒;⽩酒;⾼粱酒;⽩兰地;烧酒;露酒</t>
  </si>
  <si>
    <t>心悠然 放怀天地间 心净自悠然</t>
  </si>
  <si>
    <t>果酒;烧酒;开胃酒;⽩兰地;⽩酒;⻩酒;葡萄酒;清酒（⽇本⽶酒）;酒精饮料（啤酒除外）;⽶酒</t>
  </si>
  <si>
    <t>林家英</t>
  </si>
  <si>
    <t>赫潭</t>
  </si>
  <si>
    <t>鸡尾酒;⽶酒;果酒（含酒精）;⻩酒;烈酒（饮料）;⽩⼲酒（中国⽩酒）;葡萄酒;⽩酒;⾼粱酒;威⼠忌</t>
  </si>
  <si>
    <t>河南益硕元品商贸有限公司</t>
  </si>
  <si>
    <t>静贵人</t>
  </si>
  <si>
    <t>樱桃酒;⽶酒;葡萄酒;蜂蜜酒;苹果酒;果酒;⻩酒;清酒;⽩酒;含⽔果酒精饮料</t>
  </si>
  <si>
    <t>山西广益森文化旅游开发有限公司</t>
  </si>
  <si>
    <t>⽩酒;葡萄酒;清酒（⽇本⽶酒）;酒精饮料（啤酒除外）;烧酒;利⼝酒;烈酒（饮料）;开胃酒;⻩酒;⾷⽤酒精</t>
  </si>
  <si>
    <t>山东盈游文化传媒有限公司</t>
  </si>
  <si>
    <t>墨攻盈</t>
  </si>
  <si>
    <t>烧酒;烈酒（饮料）;⽩酒;⽶酒;威⼠忌;果酒（含酒精）;薄荷酒;葡萄酒;⽩兰地;⻩酒</t>
  </si>
  <si>
    <t>湖南省沽匠贸易有限公司</t>
  </si>
  <si>
    <t>沽匠沁蕴</t>
  </si>
  <si>
    <t>酒精饮料原汁;葡萄酒;⽩兰地;⽩酒;伏特加酒;开胃酒;鸡尾酒;烈酒（饮料）;朗姆酒;威⼠忌</t>
  </si>
  <si>
    <t>亳州徽之兴商贸有限公司</t>
  </si>
  <si>
    <t>万春秋 年份青花</t>
  </si>
  <si>
    <t>清酒（日本米酒）; 果酒（含酒精）; 朗姆酒; 烧酒; 酒精饮料原汁; 米酒; 酒精饮料（啤酒除外）; 白兰地; 葡萄酒; 白酒</t>
  </si>
  <si>
    <t>周娟范</t>
  </si>
  <si>
    <t>指尖呱呱</t>
  </si>
  <si>
    <t>果酒（含酒精）;含⽔果酒精饮料;⽶酒;⽩酒;烧酒;酒精饮料（啤酒除外）;鸡尾酒;⾕物制蒸馏酒精饮料;⻩酒;葡萄酒</t>
  </si>
  <si>
    <t>临沂叶友商贸有限公司</t>
  </si>
  <si>
    <t>临民</t>
  </si>
  <si>
    <t>果酒;⻩酒;⾼粱酒;⽶酒;烧酒（烈酒）;鸡尾酒;⽩酒;⽼酒（中国蒸馏烈酒）;⽩⼲酒（中国⽩酒）;葡萄酒</t>
  </si>
  <si>
    <t>甘孜县达清河酒业有限责任公司</t>
  </si>
  <si>
    <t>卓达拉</t>
  </si>
  <si>
    <t>⽩⼲酒（中国⽩酒）;烧酒;⽶酒;⻘稞酒;汽酒;酒精饮料（啤酒除外）;果酒（含酒精）;⽩酒;葡萄酒;烈酒（饮料）</t>
  </si>
  <si>
    <t>咭麸</t>
  </si>
  <si>
    <t>预先混合的酒精饮料（以啤酒为主的除外）;⾕物制蒸馏酒精饮料;已调味的⻨芽酿制的酒精饮料（啤酒除外）;含酒精的充⽓饮料（啤酒除外）;含酒精的鸡尾酒混合饮品;混合威⼠忌酒;朗姆酒（酒精饮料）;果酒（含酒精）;除啤酒外的酒精饮料;清酒（⽇本⽶酒）</t>
  </si>
  <si>
    <t>王孝龙</t>
  </si>
  <si>
    <t>茂甜甜</t>
  </si>
  <si>
    <t>汽酒;⽩酒;清酒（⽇本⽶酒）;鸡尾酒;烈酒（饮料）;含⽔果酒精饮料;果酒（含酒精）;蒸馏饮料;利⼝酒;⽩兰地</t>
  </si>
  <si>
    <t>厦门福鉴商贸有限公司</t>
  </si>
  <si>
    <t>忘归途</t>
  </si>
  <si>
    <t>⽩兰地;⾷⽤酒精;威⼠忌;朗姆酒;伏特加酒;烈酒（饮料）;果酒（含酒精）;⽩酒;葡萄酒;⻩酒</t>
  </si>
  <si>
    <t>海南飞将军网络科技有限公司</t>
  </si>
  <si>
    <t>斟浓</t>
  </si>
  <si>
    <t>酒精饮料（啤酒除外）;开胃酒;⻩酒;果酒（含酒精）;鸡尾酒;清酒（⽇本⽶酒）;葡萄酒;威⼠忌;烈酒;⽩酒</t>
  </si>
  <si>
    <t>金尊科技发展（重庆）有限公司</t>
  </si>
  <si>
    <t>JINRESPECT-T</t>
  </si>
  <si>
    <t>⽩⼲酒（中国⽩酒）;⽩酒;五加⽪酒（中国混合烈酒）;葡萄酒;果酒（含酒精）;由⾕物蒸馏的⽩酒;黑覆盆⼦酒;刺五加酒;薄荷酒;⾼粱酒</t>
  </si>
  <si>
    <t>龙牌食品股份有限公司</t>
  </si>
  <si>
    <t>吴恒泰龙牌</t>
  </si>
  <si>
    <t>含⽔果酒精饮料;蒸煮提取物（利⼝酒和烈酒）;烧酒;鸡尾酒;⽶酒;⾷⽤酒精;⽩酒;果酒（含酒精）;葡萄酒;除啤酒外的酒精饮料</t>
  </si>
  <si>
    <t>陈三光</t>
  </si>
  <si>
    <t>光奉</t>
  </si>
  <si>
    <t>餐后酒（利⼝酒和烈酒）;葡萄酒;⽩酒;威⼠忌;果酒（含酒精）;杨梅酒;⾷⽤酒精;开胃酒;⾕物制蒸馏酒精饮料;梨酒</t>
  </si>
  <si>
    <t>山西晋生堂土特产进出口有限公司</t>
  </si>
  <si>
    <t>晋亨裕</t>
  </si>
  <si>
    <t>⾼粱酒;⽼酒（中国蒸馏烈酒）;⽶酒;混合威⼠忌酒;清酒（⽇本⽶酒）;烧酒;果酒（含酒精）;⽩酒;烈酒（饮料）;⽩⼲酒（中国⽩酒）</t>
  </si>
  <si>
    <t>辽宁敬军爱君网络科技有限公司</t>
  </si>
  <si>
    <t>亿君赢</t>
  </si>
  <si>
    <t>果酒（含酒精）;⻩酒;葡萄酒;预先混合的酒精饮料（以啤酒为主的除外）;⽶酒;开胃酒;鸡尾酒;⽩酒;烧酒;烈酒（饮料）</t>
  </si>
  <si>
    <t>甄升</t>
  </si>
  <si>
    <t>甄郧坊</t>
  </si>
  <si>
    <t>果酒（含酒精）;酒精饮料（啤酒除外）;蜂蜜酒;酒精饮料浓缩汁;⽶酒;⻩酒;酒精饮料原汁;葡萄酒;含⽔果酒精饮料;⽩酒</t>
  </si>
  <si>
    <t>江西鄱韵酒业有限公司</t>
  </si>
  <si>
    <t>鄱韵延宾</t>
  </si>
  <si>
    <t>鸡尾酒;开胃酒;葡萄酒;⽩⼲酒（中国⽩酒）;汽酒;⽩酒;果酒（含酒精）;⻘稞酒;甜果酒;⾕物制蒸馏酒精饮料</t>
  </si>
  <si>
    <t>曹丽鹏</t>
  </si>
  <si>
    <t>万醉山</t>
  </si>
  <si>
    <t>清酒（⽇本⽶酒）;烈酒;葡萄酒;⻩酒;威⼠忌;鸡尾酒;果酒（含酒精）;⽩酒;开胃酒;酒精饮料（啤酒除外）</t>
  </si>
  <si>
    <t>读赢</t>
  </si>
  <si>
    <t>果酒（含酒精）;烧酒;⾷⽤酒精;⽩酒;烈酒;⾼粱酒;葡萄酒;⾕物制蒸馏酒精饮料;⻩酒;清酒</t>
  </si>
  <si>
    <t>徐艳琴</t>
  </si>
  <si>
    <t>衍初堂</t>
  </si>
  <si>
    <t>⽶酒;伏特加酒;含⽔果酒精饮料;葡萄酒;⻩酒;⽩酒;清酒;烧酒;酒精饮料（啤酒除外）;烈酒（饮料）</t>
  </si>
  <si>
    <t>杜应尧14230********6231X</t>
  </si>
  <si>
    <t>响潭谷</t>
  </si>
  <si>
    <t>鸡尾酒;葡萄酒;含⽔果酒精饮料;⽶酒;烈酒（饮料）;⽩酒;柑⾹酒;烧酒;果酒（含酒精）;⻩酒</t>
  </si>
  <si>
    <t>陈博</t>
  </si>
  <si>
    <t>義门世帝仁</t>
  </si>
  <si>
    <t>开江剑辉白酒坊</t>
  </si>
  <si>
    <t>达城剑辉</t>
  </si>
  <si>
    <t>葡萄酒;鸡尾酒;威⼠忌;⻘稞酒;⾷⽤酒精;伏特加酒;果酒（含酒精）;⽩酒;⻩酒;⽶酒</t>
  </si>
  <si>
    <t>四川理华酒业集团有限公司</t>
  </si>
  <si>
    <t>理华</t>
  </si>
  <si>
    <t>⽩酒;⾼粱酒;葡萄酒;⻩酒;⽶酒;烈酒;烧酒;⽼酒（中国蒸馏烈酒）;甜酒;威⼠忌</t>
  </si>
  <si>
    <t>夏艳红</t>
  </si>
  <si>
    <t>匠王驾到</t>
  </si>
  <si>
    <t>薄荷酒;⽩酒;酒精饮料（啤酒除外）;含⽔果酒精饮料;果酒（含酒精）;蒸馏饮料;葡萄酒;⻩酒;开胃酒;威⼠忌</t>
  </si>
  <si>
    <t>深圳市深港投资有限公司</t>
  </si>
  <si>
    <t>原村绿叶</t>
  </si>
  <si>
    <t>开胃酒;⻩酒;蒸馏饮料;葡萄酒;⽩酒;酒精饮料（啤酒除外）;鸡尾酒;⽶酒;⾕物制蒸馏酒精饮料;清酒（⽇本⽶酒）</t>
  </si>
  <si>
    <t>翟孟佳</t>
  </si>
  <si>
    <t>暗花</t>
  </si>
  <si>
    <t>⻩酒;⽩酒;葡萄酒;⾼粱酒;烈酒;⻘稞酒;⽶酒;烧酒;果酒;鸡尾酒</t>
  </si>
  <si>
    <t>盐城达玺酒业商贸有限公司</t>
  </si>
  <si>
    <t>蓦钟</t>
  </si>
  <si>
    <t>葡萄酒;清酒（⽇本⽶酒）;酒精饮料（啤酒除外）;⾕物制蒸馏酒精饮料;⾷⽤酒精;⽩酒;果酒（含酒精）;⻩酒;⽩兰地;鸡尾酒</t>
  </si>
  <si>
    <t>上海融珂投资咨询有限公司</t>
  </si>
  <si>
    <t>琴小鲜</t>
  </si>
  <si>
    <t>果酒（含酒精）;伏特加酒;⽩酒;⽼酒（中国蒸馏烈酒）;威⼠忌;⻩酒;酒精饮料（啤酒除外）;⽶酒;⽩兰地;葡萄酒</t>
  </si>
  <si>
    <t>山西汾州府酒业集团有限公司</t>
  </si>
  <si>
    <t>郡府晋勤王</t>
  </si>
  <si>
    <t>⾼粱酒;烧酒;⽼酒（中国蒸馏烈酒）;⽶酒;⽩酒;葡萄酒;威⼠忌;酒精饮料（啤酒除外）;鸡尾酒;⻩酒</t>
  </si>
  <si>
    <t>FLECHAZO</t>
  </si>
  <si>
    <t>蒸煮提取物（利⼝酒和烈酒）;⽩兰地;酒精饮料（啤酒除外）;含⽔果酒精饮料;⻩酒;开胃酒;鸡尾酒;威⼠忌;葡萄酒;果酒（含酒精）</t>
  </si>
  <si>
    <t>尹传清</t>
  </si>
  <si>
    <t>逍遥当歌</t>
  </si>
  <si>
    <t>威⼠忌;⽶酒;烈酒;⽩酒;清酒（⽇本⽶酒）;果酒（含酒精）;酒精饮料（啤酒除外）;汽酒;蒸馏饮料;葡萄酒</t>
  </si>
  <si>
    <t>墨规文化（北京）有限公司</t>
  </si>
  <si>
    <t>三山鹤</t>
  </si>
  <si>
    <t>⽶酒;烧酒（烈酒）;果酒;清酒;⻩酒;汽酒;含酒精⽔果饮料;烧酒;⽩酒;葡萄酒</t>
  </si>
  <si>
    <t>孙大为</t>
  </si>
  <si>
    <t>⽩兰地;⽶酒;⻩酒;⽩酒;开胃酒;汽酒;酒精饮料（啤酒除外）;果酒（含酒精）;烧酒;烈酒</t>
  </si>
  <si>
    <t>黑龙江完达山酒业有限责任公司</t>
  </si>
  <si>
    <t>完达山和谐天下</t>
  </si>
  <si>
    <t>烈酒（饮料）;鸡尾酒;酒精饮料（啤酒除外）;⻩酒;⽩酒;⾷⽤酒精;果酒（含酒精）;葡萄酒;预先混合的酒精饮料（以啤酒为主的除外）;⽶酒</t>
  </si>
  <si>
    <t>陈国英</t>
  </si>
  <si>
    <t>荆监义门堂</t>
  </si>
  <si>
    <t>杜松⼦酒;开胃酒;烧酒;⽩酒;果酒（含酒精）;⻘稞酒;⻩酒;⽶酒;蒸煮提取物（利⼝酒和烈酒）;茴⾹酒（利⼝酒）</t>
  </si>
  <si>
    <t>黔龙关</t>
  </si>
  <si>
    <t>威士忌; 黄酒; 烈酒; 果酒（含酒精）; 白酒; 开胃酒; 酒精饮料（啤酒除外）; 鸡尾酒; 葡萄酒; 清酒（日本米酒）</t>
  </si>
  <si>
    <t>黄山翁</t>
  </si>
  <si>
    <t>⽩⼲酒（中国⽩酒）;⽶酒;烧酒;⻩酒;汽酒;佐餐酒;含酒精的饮料（啤酒除外）;果酒;⽩酒;葡萄酒</t>
  </si>
  <si>
    <t>上海金醉潭酒业有限公司</t>
  </si>
  <si>
    <t>三仙岛</t>
  </si>
  <si>
    <t>⽩兰地;薄荷酒;朗姆酒;鸡尾酒;果酒（含酒精）;威⼠忌;苹果酒;⻩酒;葡萄酒;⽩酒</t>
  </si>
  <si>
    <t>吴建腾</t>
  </si>
  <si>
    <t>肇十二带</t>
  </si>
  <si>
    <t>⽩酒;烧酒;⽶酒;⽩兰地;⾕物制蒸馏酒精饮料;威⼠忌;烈酒（饮料）;葡萄酒;⻩酒;果酒（含酒精）</t>
  </si>
  <si>
    <t>山西五泉山纯粮白酒酿造有限公司</t>
  </si>
  <si>
    <t>柳渠醉</t>
  </si>
  <si>
    <t>清酒（⽇本⽶酒）;⽶酒;⻘稞酒;⻩酒;烧酒;梅酒;果酒（含酒精）;葡萄酒;⽼酒（中国蒸馏烈酒）;⽩酒</t>
  </si>
  <si>
    <t>焦作天瀑云台王廷酒业有限公司</t>
  </si>
  <si>
    <t>卯伯</t>
  </si>
  <si>
    <t>餐后酒（利⼝酒和烈酒）;果酒（含酒精）;含⽔果酒精饮料;葡萄酒;鸡尾酒;苦味酒;⽶酒;伏特加酒;⻩酒;烈酒（饮料）</t>
  </si>
  <si>
    <t>康乐爷</t>
  </si>
  <si>
    <t>葡萄酒;⽶酒;伏特加酒;威⼠忌;⻩酒;鸡尾酒;酒精饮料（啤酒除外）;⽩酒;烧酒;果酒（含酒精）</t>
  </si>
  <si>
    <t>陈绍松</t>
  </si>
  <si>
    <t>⽶酒;果酒;含⽔果酒精饮料;已调味的蒸馏酒;⾕物制蒸馏酒精饮料;含酒精的饮料（啤酒除外）;⽇式甜⽶酒;蒸煮提取物（利⼝酒和烈酒）;甜酒;⽩酒</t>
  </si>
  <si>
    <t>肖韶琳</t>
  </si>
  <si>
    <t>蜀道川</t>
  </si>
  <si>
    <t>烈酒（饮料）;⽩酒;开胃酒;葡萄酒;烧酒;⻩酒;果酒（含酒精）;伏特加酒;⽶酒;汽酒</t>
  </si>
  <si>
    <t>哈尔滨龙江龙和兴酒业有限公司</t>
  </si>
  <si>
    <t>和兴龙</t>
  </si>
  <si>
    <t>果酒（含酒精）;葡萄酒;清酒（⽇本⽶酒）;⽩酒;⽶酒;酒精饮料（啤酒除外）;⻩酒;烧酒;鸡尾酒;烈酒（饮料）</t>
  </si>
  <si>
    <t>武夷山沐春至和生态茶业有限公司</t>
  </si>
  <si>
    <t>福涧好韵</t>
  </si>
  <si>
    <t>⻩酒;酒精饮料（啤酒除外）;果酒（含酒精）;清酒（⽇本⽶酒）;⽩酒;葡萄酒;开胃酒;烧酒;蒸煮提取物（利⼝酒和烈酒）;⽶酒</t>
  </si>
  <si>
    <t>江阴市宝壶斋茶文化发展有限公司</t>
  </si>
  <si>
    <t>壶林阁</t>
  </si>
  <si>
    <t>⽩酒;酒精饮料原汁;⽶酒;⻩酒;鸡尾酒;清酒;烈酒（饮料）;果酒;梅酒;葡萄酒</t>
  </si>
  <si>
    <t>河南原谷原麦餐饮管理有限公司</t>
  </si>
  <si>
    <t>果酒（含酒精）;⽶酒;⻩酒;⽩酒;酒精饮料（啤酒除外）;葡萄酒;预先混合的酒精饮料（以啤酒为主的除外）;鸡尾酒;清酒（⽇本⽶酒）;蒸馏饮料</t>
  </si>
  <si>
    <t>君品珍酿酒业有限公司</t>
  </si>
  <si>
    <t>窖皇子</t>
  </si>
  <si>
    <t>烧酒;开胃酒;⻩酒;利⼝酒;⻘稞酒;葡萄酒;⽩酒;梨酒;清酒（⽇本⽶酒）;⽶酒</t>
  </si>
  <si>
    <t>山西晋牧春酒业有限公司</t>
  </si>
  <si>
    <t>晋牧春</t>
  </si>
  <si>
    <t>甜果酒;鸡尾酒;烈酒（饮料）;果酒（含酒精）;葡萄酒;⽩酒;酒精饮料（啤酒除外）;烧酒;⾷⽤酒精;⽶酒</t>
  </si>
  <si>
    <t>蔡江</t>
  </si>
  <si>
    <t>东箭南金</t>
  </si>
  <si>
    <t>烧酒;朗姆酒;薄荷酒;果酒（含酒精）;酒精饮料（啤酒除外）;威⼠忌;⽩酒;葡萄酒;利⼝酒;鸡尾酒</t>
  </si>
  <si>
    <t>安徽裕箐生态农业科技有限公司</t>
  </si>
  <si>
    <t>淠河爱</t>
  </si>
  <si>
    <t>酒精饮料（啤酒除外）;⽩酒;果酒;利⼝酒;苦艾酒;烧酒;甜酒;⾼粱酒;⻩酒;⽶酒</t>
  </si>
  <si>
    <t>粮阿爷</t>
  </si>
  <si>
    <t>开胃酒;烈酒;⻩酒;⽩酒;鸡尾酒;葡萄酒;清酒（⽇本⽶酒）;威⼠忌;酒精饮料（啤酒除外）;果酒（含酒精）</t>
  </si>
  <si>
    <t>陈洪铭</t>
  </si>
  <si>
    <t>平安湄洲</t>
  </si>
  <si>
    <t>⽶酒;红葡萄酒;鸡尾酒;伏特加酒;葡萄酒;⽩酒;烈酒;烧酒（烈酒）;烧酒;⻩酒</t>
  </si>
  <si>
    <t>阳谷老陈张酒业有限公司</t>
  </si>
  <si>
    <t>老陈张</t>
  </si>
  <si>
    <t>烧酒;已调味的蒸馏酒;由⾕物蒸馏的⽩酒;甜酒;⽩酒;葡萄酒;红葡萄酒;⽩葡萄酒;⽼酒（中国蒸馏烈酒）;⾼粱酒</t>
  </si>
  <si>
    <t>陈氏重逢</t>
  </si>
  <si>
    <t>烧酒;蜂蜜酒;含酒精的⽔果鸡尾酒饮料;⽶酒;蒸馏饮料;开胃酒;果酒（含酒精）;葡萄酒;⽩酒;⻩酒</t>
  </si>
  <si>
    <t>山西杏露酒业有限公司</t>
  </si>
  <si>
    <t>宁道</t>
  </si>
  <si>
    <t>⽩酒;酒精饮料浓缩汁;⽩⼲酒（中国⽩酒）;⽶酒;⾼粱酒;酒精饮料原汁;由⾕物蒸馏的⽩酒;果酒（含酒精）;烈酒;烧酒</t>
  </si>
  <si>
    <t>安庆公厨网科技有限公司</t>
  </si>
  <si>
    <t>百坛芳</t>
  </si>
  <si>
    <t>⽩酒;酒精饮料（啤酒除外）;清酒（⽇本⽶酒）;烈酒;鸡尾酒;果酒（含酒精）;开胃酒;威⼠忌;⻩酒;葡萄酒</t>
  </si>
  <si>
    <t>涂真利</t>
  </si>
  <si>
    <t>银丰三兄弟</t>
  </si>
  <si>
    <t>酒精饮料（啤酒除外）;⽩酒;⽶酒;烈酒;葡萄酒;⾼粱酒;⻩酒;果酒;⽼酒（中国蒸馏烈酒）;烧酒</t>
  </si>
  <si>
    <t>赏礼</t>
  </si>
  <si>
    <t>开胃酒;⽩酒;⽶酒;葡萄酒;烧酒;⻩酒;⻘稞酒;利⼝酒;清酒（⽇本⽶酒）;梨酒</t>
  </si>
  <si>
    <t>山东唯属坊酒业有限公司</t>
  </si>
  <si>
    <t>唯属坊</t>
  </si>
  <si>
    <t>烧酒;果酒（含酒精）;清酒（⽇本⽶酒）;威⼠忌;⻩酒;鸡尾酒;葡萄酒;⽶酒;伏特加酒;⽩酒</t>
  </si>
  <si>
    <t>仁怀市暹泰酒业有限公司</t>
  </si>
  <si>
    <t>黔灵源</t>
  </si>
  <si>
    <t>烈酒（饮料）;酒精饮料（啤酒除外）;烈酒;⾼粱酒;⽼酒（中国蒸馏烈酒）;⽩酒;葡萄酒;⽩⼲酒（中国⽩酒）;果酒;鸡尾酒</t>
  </si>
  <si>
    <t>贵州源头酱香酒业有限公司</t>
  </si>
  <si>
    <t>福曜云天</t>
  </si>
  <si>
    <t>果酒（含酒精）;开胃酒;汽酒;鸡尾酒;⽩酒;烧酒;葡萄酒;烈酒（饮料）;⽶酒;含⽔果酒精饮料</t>
  </si>
  <si>
    <t>巴中市天一实业有限公司</t>
  </si>
  <si>
    <t>美信全程</t>
  </si>
  <si>
    <t>烈酒（饮料）;伏特加酒;⽩兰地;威⼠忌;⽩酒;烧酒;鸡尾酒;果酒;葡萄酒;⽶酒</t>
  </si>
  <si>
    <t>贵州省仁怀市富龙酒业有限公司</t>
  </si>
  <si>
    <t>富龙美</t>
  </si>
  <si>
    <t xml:space="preserve">	果酒（含酒精）; 烈酒; 烧酒（烈酒）; 烈酒（饮料）; 谷物制蒸馏酒精饮料; 含水果酒精饮料; 高粱酒; 食用酒精; 葡萄酒; 白酒</t>
  </si>
  <si>
    <t>北京吉香酒业有限公司</t>
  </si>
  <si>
    <t>吉香酒业</t>
  </si>
  <si>
    <t>⽩酒;甜果酒;葡萄酒;⽼酒（中国蒸馏烈酒）;除啤酒外的酒精饮料;烈酒;威⼠忌;⻩酒;利⼝酒;清酒</t>
  </si>
  <si>
    <t>山西杏源汾酒业有限公司</t>
  </si>
  <si>
    <t>咏杏昌</t>
  </si>
  <si>
    <t>⽶酒;⽩酒;开胃酒;葡萄酒;⻩酒;烈酒;⻘稞酒;利⼝酒;烧酒;⾼粱酒</t>
  </si>
  <si>
    <t>福曜古金</t>
  </si>
  <si>
    <t>鸡尾酒;含⽔果酒精饮料;烈酒（饮料）;烧酒;葡萄酒;⽩酒;开胃酒;⽶酒;果酒（含酒精）;汽酒</t>
  </si>
  <si>
    <t>党张敏</t>
  </si>
  <si>
    <t>伊鉴春</t>
  </si>
  <si>
    <t>梨酒;蒸煮提取物（利⼝酒和烈酒）;苹果酒;⽩兰地;果酒（含酒精）;汽酒;樱桃酒;开胃酒;葡萄酒;⽶酒</t>
  </si>
  <si>
    <t>安徽八两文化科技有限公司</t>
  </si>
  <si>
    <t>烧酒;⻩酒;除啤酒外的酒精饮料;⽩酒;⽩兰地;⾼粱酒;葡萄酒;⽶酒;朗姆酒;含酒精的⽔果鸡尾酒饮料</t>
  </si>
  <si>
    <t>杜崇辉</t>
  </si>
  <si>
    <t>乳香草原</t>
  </si>
  <si>
    <t>酒精饮料（啤酒除外）;果酒（含酒精）;烧酒;⻩酒;乳清酒;⽩酒;⽶酒;葡萄酒;鸡尾酒;清酒（⽇本⽶酒）</t>
  </si>
  <si>
    <t>贵州零启酒业有限公司</t>
  </si>
  <si>
    <t>众君顺</t>
  </si>
  <si>
    <t>⽶酒;餐后酒（利⼝酒和烈酒）;烈酒（饮料）;蒸馏饮料;⽩酒;葡萄酒;⾕物制蒸馏酒精饮料;露酒;果酒（含酒精）;苹果酒</t>
  </si>
  <si>
    <t>深圳富业酒堡酒业有限公司</t>
  </si>
  <si>
    <t>梅宝隆</t>
  </si>
  <si>
    <t>⽩兰地;蒸馏饮料;伏特加酒;葡萄酒;蒸煮提取物（利⼝酒和烈酒）;朗姆酒;威⼠忌;鸡尾酒;含⽔果酒精饮料;果酒（含酒精）</t>
  </si>
  <si>
    <t>奥古斯丁马奈</t>
  </si>
  <si>
    <t>含酒精的鸡尾酒混合饮品;烈酒（饮料）;起泡⽩葡萄酒;起泡红葡萄酒;含酒精⽔果饮料;利⼝酒;⽩兰地;威⼠忌;⻨芽威⼠忌;朗姆酒</t>
  </si>
  <si>
    <t>圆梦门</t>
  </si>
  <si>
    <t>⾷⽤酒精;清酒;⾼粱酒;葡萄酒;果酒（含酒精）;⽩酒;烧酒;⻩酒;烈酒;⾕物制蒸馏酒精饮料</t>
  </si>
  <si>
    <t>李虎生</t>
  </si>
  <si>
    <t>龙正喜</t>
  </si>
  <si>
    <t>薄荷酒;⽩酒;清酒（⽇本⽶酒）;烈酒;⻩酒;果酒（含酒精）;⽔果汽酒;杨梅酒;⻘稞酒;⽩葡萄酒</t>
  </si>
  <si>
    <t>营口市丝得宝蚕丝家纺有限责任公司</t>
  </si>
  <si>
    <t>丝得宝</t>
  </si>
  <si>
    <t>⽶酒;酒精饮料（啤酒除外）;⻩酒;威⼠忌;⽩酒;葡萄酒;伏特加酒;果酒（含酒精）;烈酒（饮料）;鸡尾酒</t>
  </si>
  <si>
    <t>深圳市汇聚设计科技有限公司</t>
  </si>
  <si>
    <t>深设</t>
  </si>
  <si>
    <t>汽酒;果酒;⽶酒;烧酒（烈酒）;烈性⼲酒;⽩酒;含酒精的饮料（啤酒除外）;清酒;葡萄酒;⽩⼲酒（中国⽩酒）</t>
  </si>
  <si>
    <t>五韵鼎</t>
  </si>
  <si>
    <t>威⼠忌;⻩酒;清酒;果酒;汽酒;葡萄酒;⽩兰地;⽶酒;⽩酒;烧酒</t>
  </si>
  <si>
    <t>烧酒;⻩酒;葡萄酒;烈酒（饮料）;⻘稞酒;⽩酒;果酒（含酒精）;⽶酒;酒精饮料（啤酒除外）;清酒</t>
  </si>
  <si>
    <t>上海天脉信息技术有限公司</t>
  </si>
  <si>
    <t>仙溯</t>
  </si>
  <si>
    <t>烈酒（饮料）;葡萄酒;⻘稞酒;含酒精的饮料（啤酒除外）;果酒（含酒精）;⾷⽤酒精;烧酒;⽩酒;⽶酒;⻩酒</t>
  </si>
  <si>
    <t>鄂尔多斯市万普膳坊食品有限公司</t>
  </si>
  <si>
    <t>万普全食</t>
  </si>
  <si>
    <t>酒精饮料（啤酒除外）;⽩酒;⻩酒;⽶酒;开胃酒;鸡尾酒;汽酒;葡萄酒;⽩兰地;亚⼒酒</t>
  </si>
  <si>
    <t>竹中王</t>
  </si>
  <si>
    <t>含⽔果酒精饮料;红葡萄酒;⽩酒;预先混合的酒精饮料（以啤酒为主的除外）;烧酒;利⼝酒;烈酒（饮料）;⻩酒;⽶酒;蒸馏饮料</t>
  </si>
  <si>
    <t>安徽天浆地露生物科技有限公司</t>
  </si>
  <si>
    <t>天汇南香</t>
  </si>
  <si>
    <t>苦味酒;蒸馏饮料;烈酒（饮料）;烧酒;威⼠忌;⾕物制蒸馏酒精饮料;⾷⽤酒精;酒精饮料原汁;⽩兰地;鸡尾酒</t>
  </si>
  <si>
    <t>姜琼</t>
  </si>
  <si>
    <t>茶朋客</t>
  </si>
  <si>
    <t>鸡尾酒;蜂蜜酒;梨酒;⽶酒;⽩酒;含⽔果酒精饮料;葡萄酒;果酒（含酒精）;蒸馏饮料;⾕物制蒸馏酒精饮料</t>
  </si>
  <si>
    <t>晏胜全</t>
  </si>
  <si>
    <t>胜泉夷水</t>
  </si>
  <si>
    <t>果酒（含酒精）;⽩⼲酒（中国⽩酒）;⾼粱酒;含酒精的饮料（啤酒除外）;烈酒;蜂蜜酒;烧酒;⻩酒;⽩酒;由⾕物蒸馏的⽩酒</t>
  </si>
  <si>
    <t>杨光临</t>
  </si>
  <si>
    <t>遂影</t>
  </si>
  <si>
    <t>蒸馏饮料;蜂蜜酒;酒精饮料（啤酒除外）;⽶酒;柑⾹酒;烈酒（饮料）;⽩酒;蒸煮提取物（利⼝酒和烈酒）;⽩兰地;果酒（含酒精）</t>
  </si>
  <si>
    <t>厦门大懋建筑科技有限公司</t>
  </si>
  <si>
    <t>大懋岩瑶</t>
  </si>
  <si>
    <t>鸡尾酒;蒸馏饮料;⻩酒;烈酒（饮料）;开胃酒;葡萄酒;⽩酒;以葡萄酒为主的饮料;苹果酒;⽶酒</t>
  </si>
  <si>
    <t>仁怀市周旦酒业有限公司</t>
  </si>
  <si>
    <t>长斛泉</t>
  </si>
  <si>
    <t>酒精饮料（啤酒除外）;⽶酒;⻘稞酒;开胃酒;⽩酒;蒸馏饮料;葡萄酒;烈酒（饮料）;烧酒;⻩酒</t>
  </si>
  <si>
    <t>常州喜顺酒业有限公司</t>
  </si>
  <si>
    <t>沈滩</t>
  </si>
  <si>
    <t>果酒（含酒精）;⽶酒;⽩酒;利⼝酒;酒精饮料（啤酒除外）;清酒（⽇本⽶酒）;葡萄酒;烈酒（饮料）;威⼠忌;烧酒</t>
  </si>
  <si>
    <t>瓷都天青过雨</t>
  </si>
  <si>
    <t>⽶酒;预先混合的酒精饮料（以啤酒为主的除外）;烧酒;葡萄酒;⻩酒;烈酒（饮料）;利⼝酒;威⼠忌;⽩酒;果酒（含酒精）</t>
  </si>
  <si>
    <t>重庆盈恩商贸有限公司</t>
  </si>
  <si>
    <t>醉玄盈</t>
  </si>
  <si>
    <t>含⽔果酒精饮料;清酒（⽇本⽶酒）;烧酒;果酒（含酒精）;⻩酒;酒精饮料（啤酒除外）;⽩酒;预先混合的酒精饮料（以啤酒为主的除外）;⽶酒;葡萄酒</t>
  </si>
  <si>
    <t>烟台海市葡萄酒有限公司</t>
  </si>
  <si>
    <t>彩虹考拉</t>
  </si>
  <si>
    <t>⽩兰地;果酒（含酒精）;伏特加酒;利⼝酒;烈酒（饮料）;朗姆酒;酒精饮料（啤酒除外）;鸡尾酒;威⼠忌;葡萄酒</t>
  </si>
  <si>
    <t>江苏茅粉之家贸易有限公司</t>
  </si>
  <si>
    <t>紫虎</t>
  </si>
  <si>
    <t>⽶酒;除啤酒外的酒精饮料;⻩酒;威⼠忌;烧酒（烈酒）;汽酒;鸡尾酒;葡萄酒;⽩酒;伏特加酒</t>
  </si>
  <si>
    <t>何雪</t>
  </si>
  <si>
    <t>珍活悦</t>
  </si>
  <si>
    <t>果酒;甜酒;⽩酒;葡萄酒;清酒;开胃酒;汽酒;⽶酒;⻩酒;⾷⽤酒精</t>
  </si>
  <si>
    <t>滘怀</t>
  </si>
  <si>
    <t>果酒（含酒精）;烈酒;酒精饮料（啤酒除外）;⽩酒;葡萄酒;清酒（⽇本⽶酒）;鸡尾酒;⻩酒;威⼠忌;开胃酒</t>
  </si>
  <si>
    <t>武安市七步沟风景区旅游开发有限公司</t>
  </si>
  <si>
    <t>七步沟</t>
  </si>
  <si>
    <t>果酒（含酒精）;开胃酒;⾷⽤酒精;⽩兰地;⽶酒;烧酒;威⼠忌;葡萄酒;⽩酒;酒精饮料（啤酒除外）</t>
  </si>
  <si>
    <t>BRENDAN JERREN</t>
  </si>
  <si>
    <t>⽩兰地;烈酒（饮料）;威⼠忌;利⼝酒;伏特加酒;杜松⼦酒;餐后酒（利⼝酒和烈酒）;葡萄酒;朗姆酒;樱桃酒</t>
  </si>
  <si>
    <t>贵州仁者酒业有限公司</t>
  </si>
  <si>
    <t>仁者心酿</t>
  </si>
  <si>
    <t>⾕物制蒸馏酒精饮料;⽩酒;⽶酒;餐后酒（利⼝酒和烈酒）;葡萄酒;烈酒（饮料）;蒸馏饮料;果酒（含酒精）;苹果酒;露酒</t>
  </si>
  <si>
    <t>燃蓝</t>
  </si>
  <si>
    <t>威⼠忌;清酒;⽶酒;⻘梅酒;⻩酒;蜂蜜酒;酒精饮料（啤酒除外）;⽩酒;果酒（含酒精）;葡萄酒;酒精饮料原汁</t>
  </si>
  <si>
    <t>五华区构纤百货店</t>
  </si>
  <si>
    <t>龟凤堂</t>
  </si>
  <si>
    <t>开胃酒;果酒（含酒精）;烈酒;葡萄酒;鸡尾酒;⻩酒;威⼠忌;清酒（⽇本⽶酒）;酒精饮料（啤酒除外）;⽩酒</t>
  </si>
  <si>
    <t>李林</t>
  </si>
  <si>
    <t>ZHISHAI</t>
  </si>
  <si>
    <t>⽶酒;⻩酒;⽩酒;⽩兰地;⾕物制蒸馏酒精饮料;苹果酒;威⼠忌;酒精饮料（啤酒除外）;葡萄酒;烧酒</t>
  </si>
  <si>
    <t>刘金财</t>
  </si>
  <si>
    <t>享糍福</t>
  </si>
  <si>
    <t>酒精饮料（啤酒除外）;葡萄酒;⻩酒;含⽔果酒精饮料;开胃酒;烈酒（饮料）;⽶酒;⾕物制蒸馏酒精饮料;⾷⽤酒精;⽩酒</t>
  </si>
  <si>
    <t>宁夏芒刻葡萄酒贸易有限公司</t>
  </si>
  <si>
    <t>芒刻</t>
  </si>
  <si>
    <t>以葡萄酒为主的开胃酒;葡萄酒;起泡红葡萄酒;⽩葡萄酒;葡萄汽酒;桃红葡萄酒;朗姆酒;以葡萄酒为主的饮料;红葡萄酒;⽩兰地</t>
  </si>
  <si>
    <t>山西喜羊羊食品有限公司</t>
  </si>
  <si>
    <t>晋欢老南郊</t>
  </si>
  <si>
    <t>⽶酒;烧酒;⾼粱酒;葡萄酒;烈酒（饮料）;酒精饮料（啤酒除外）;⽩酒;果酒（含酒精）;鸡尾酒;⻩酒</t>
  </si>
  <si>
    <t>丑伯</t>
  </si>
  <si>
    <t>果酒（含酒精）;烈酒（饮料）;⽶酒;葡萄酒;⻩酒;鸡尾酒;餐后酒（利⼝酒和烈酒）;含⽔果酒精饮料;伏特加酒;苦味酒</t>
  </si>
  <si>
    <t>贵州晶广禾农业发展有限公司</t>
  </si>
  <si>
    <t>晶广禾</t>
  </si>
  <si>
    <t>汽酒;⾷⽤酒精;果酒（含酒精）;⽩酒;⻩酒;⽶酒;烈酒（饮料）;烧酒;葡萄酒;酒精饮料（啤酒除外）</t>
  </si>
  <si>
    <t>齐春光</t>
  </si>
  <si>
    <t>汇元康圣坊</t>
  </si>
  <si>
    <t>⾷⽤酒精;果酒（含酒精）;含⽔果酒精饮料;⽶酒;⽩酒;露酒;酒精饮料（啤酒除外）;⻘稞酒;预先混合的酒精饮料（以啤酒为主的除外）;⻩酒</t>
  </si>
  <si>
    <t>樊斌</t>
  </si>
  <si>
    <t>共饮天承</t>
  </si>
  <si>
    <t>葡萄酒;清酒（⽇本⽶酒）;⽶酒;汽酒;烈酒（饮料）;酒精饮料（啤酒除外）;⽩酒;果酒（含酒精）;蒸馏饮料;⾷⽤酒精</t>
  </si>
  <si>
    <t>贵州叁茅品牌管理有限公司</t>
  </si>
  <si>
    <t>贾伯昭</t>
  </si>
  <si>
    <t>威⼠忌;薄荷酒;含⽔果酒精饮料;⽶酒;烧酒;⾷⽤酒精;果酒（含酒精）;鸡尾酒;葡萄酒;⽩酒</t>
  </si>
  <si>
    <t>吉香</t>
  </si>
  <si>
    <t>⻩酒;利⼝酒;⽼酒（中国蒸馏烈酒）;除啤酒外的酒精饮料;甜果酒;葡萄酒;⽩酒;清酒;烈酒;威⼠忌</t>
  </si>
  <si>
    <t>北京淡雅京酒业有限公司</t>
  </si>
  <si>
    <t>范曾题</t>
  </si>
  <si>
    <t>泉州市铭酒轩供应链管理有限公司</t>
  </si>
  <si>
    <t>蒂艾诺</t>
  </si>
  <si>
    <t>果酒（含酒精）;酒精饮料（啤酒除外）;⽩⼲酒（中国⽩酒）;⽶酒;清酒（⽇本⽶酒）;⾕物制蒸馏酒精饮料;⽩酒;葡萄酒;⽩兰地;鸡尾酒</t>
  </si>
  <si>
    <t>东圣烧坊</t>
  </si>
  <si>
    <t>果酒（含酒精）;酒精饮料（啤酒除外）;⽩酒;蒸煮提取物（利⼝酒和烈酒）;⾷⽤酒精;餐后酒（利⼝酒和烈酒）;⽩⼲酒（中国⽩酒）;烈酒;烧酒;⽼酒（中国蒸馏烈酒）</t>
  </si>
  <si>
    <t>周正彪</t>
  </si>
  <si>
    <t>贵宋鼎</t>
  </si>
  <si>
    <t>⽶酒;烧酒;甜酒;⻩酒;果酒;汽酒;烈酒;葡萄酒;⽩酒;酒精饮料（啤酒除外）</t>
  </si>
  <si>
    <t>河南酒逸道商贸有限公司</t>
  </si>
  <si>
    <t>叙侠客</t>
  </si>
  <si>
    <t>⻩酒;烧酒;烈酒（饮料）;葡萄酒;⽩酒;⽶酒;酒精饮料原汁;清酒;利⼝酒;酒精饮料（啤酒除外）</t>
  </si>
  <si>
    <t>厦门南庆建材科技有限公司</t>
  </si>
  <si>
    <t>优速福</t>
  </si>
  <si>
    <t>⽩酒;烈酒;混合威⼠忌酒;⻨芽威⼠忌;⽩⼲酒（中国⽩酒）;威⼠忌;⽩兰地;⽶酒;烧酒;葡萄酒</t>
  </si>
  <si>
    <t>北京金谷安润生物医药科技有限公司</t>
  </si>
  <si>
    <t>康合森</t>
  </si>
  <si>
    <t>含酒精⽔果饮料;⾼粱酒;⼲型苹果酒;含酒精的⽔果鸡尾酒饮料;蒸馏⽶酒（泡盛酒）;刺五加酒;含酒精的饮料（啤酒除外）;朗姆酒（酒精饮料）;果酒;尼⽡（以⽢蔗为主的酒精饮料）</t>
  </si>
  <si>
    <t>北京德瑞恩钻石有限公司</t>
  </si>
  <si>
    <t>⻩酒;清酒;葡萄酒;烧酒;开胃酒;⽶酒;汽酒;烈酒（饮料）;⽩兰地;果酒（含酒精）</t>
  </si>
  <si>
    <t>四川时光鉴证酒业有限公司</t>
  </si>
  <si>
    <t>拂悦</t>
  </si>
  <si>
    <t>葡萄酒;⽶酒;⽩酒;利⼝酒;开胃酒;蜂蜜酒;烧酒;威⼠忌;果酒;鸡尾酒</t>
  </si>
  <si>
    <t>召德原</t>
  </si>
  <si>
    <t>鸡尾酒;酒精饮料原汁;葡萄酒;酒精饮料（啤酒除外）;⽩酒;⽶酒;果酒（含酒精）;⾷⽤酒精;⽩兰地;⻩酒</t>
  </si>
  <si>
    <t>阳诺节能科技（江苏）有限公司</t>
  </si>
  <si>
    <t>阳诺</t>
  </si>
  <si>
    <t>果酒;鸡尾酒;⻩酒;⽩酒;含⽔果酒精饮料;烧酒;葡萄酒;酒精饮料（啤酒除外）;⽶酒;清酒（⽇本⽶酒）</t>
  </si>
  <si>
    <t>四川茅溪粮香酒业有限公司</t>
  </si>
  <si>
    <t>慧至臻</t>
  </si>
  <si>
    <t>蒸馏饮料;鸡尾酒;葡萄酒;⽩酒;果酒;烈酒（饮料）;⽶酒;烧酒;⾼粱酒;⻩酒</t>
  </si>
  <si>
    <t>西安奥龙新能源集团有限公司</t>
  </si>
  <si>
    <t>奥龙秦泉</t>
  </si>
  <si>
    <t>含酒精⽔果饮料;烈酒（饮料）;果酒（含酒精）;红葡萄酒;⽶酒;⽩酒;威⼠忌;葡萄酒;酒精饮料（啤酒除外）;含酒精的⽓泡⽔</t>
  </si>
  <si>
    <t>李洪菊</t>
  </si>
  <si>
    <t>和光堂</t>
  </si>
  <si>
    <t>葡萄酒;果酒（含酒精）;⽶酒;⽩酒;鸡尾酒;烧酒;清酒（⽇本⽶酒）;酒精饮料（啤酒除外）;⻩酒;⽔果汽酒</t>
  </si>
  <si>
    <t>河南发发牛农业有限公司</t>
  </si>
  <si>
    <t>牛圣洁</t>
  </si>
  <si>
    <t>⻘稞酒;汽酒;⾷⽤酒精;烈酒;餐后酒（利⼝酒和烈酒）;⻩酒;⽩酒;伏特加酒;威⼠忌;葡萄酒</t>
  </si>
  <si>
    <t>陈文胜342128********2358</t>
  </si>
  <si>
    <t>验草堂</t>
  </si>
  <si>
    <t>葡萄酒;⽩酒;⽶酒;威⼠忌;含⽔果酒精饮料;烧酒;果酒（含酒精）;⽩兰地;开胃酒;酒精饮料（啤酒除外）</t>
  </si>
  <si>
    <t>上海芯果科技有限公司</t>
  </si>
  <si>
    <t>好特迈</t>
  </si>
  <si>
    <t>果酒（含酒精）;葡萄酒;⽩兰地;烧酒;⽩酒;⻩酒;薄荷酒;朗姆酒;利⼝酒;清酒（⽇本⽶酒）</t>
  </si>
  <si>
    <t>WAYEBIO维百欧</t>
  </si>
  <si>
    <t>蒸馏饮料;⻨芽威⼠忌;露酒;⾷⽤酒精;⻩酒;⽼酒（中国蒸馏烈酒）;⻘梅酒;含⽔果酒精饮料;⽩酒;鸡尾酒</t>
  </si>
  <si>
    <t>湘窖龙耀九州</t>
  </si>
  <si>
    <t>酒精饮料（啤酒除外）;⻩酒;葡萄酒;利⼝酒;预先混合的酒精饮料（以啤酒为主的除外）;⽩酒;烈酒（饮料）;威⼠忌;果酒（含酒精）;⽶酒</t>
  </si>
  <si>
    <t>东莞市荣森供应链有限公司</t>
  </si>
  <si>
    <t>福禧乐液乐</t>
  </si>
  <si>
    <t>果酒（含酒精）;开胃酒;⾷⽤酒精;烈酒（饮料）;含⽔果酒精饮料;烧酒;⽩酒;蒸馏饮料;酒精饮料原汁;酒精饮料（啤酒除外）</t>
  </si>
  <si>
    <t>辉辰</t>
  </si>
  <si>
    <t>果酒;⽩兰地;葡萄酒;鸡尾酒;酒精饮料（啤酒除外）;朗姆酒;蒸煮提取物（利⼝酒和烈酒）;酒精饮料浓缩汁;威⼠忌;伏特加酒</t>
  </si>
  <si>
    <t>贵州仁赤源酒业有限公司</t>
  </si>
  <si>
    <t>御金匠</t>
  </si>
  <si>
    <t>⻩酒;葡萄酒;清酒（⽇本⽶酒）;鸡尾酒;烈酒;果酒（含酒精）;威⼠忌;⽩酒;开胃酒;酒精饮料（啤酒除外）</t>
  </si>
  <si>
    <t>渔箭滩</t>
  </si>
  <si>
    <t>⽩兰地;⽩酒;薄荷酒;⽶酒;⻘梅酒;鸡尾酒;威⼠忌;苹果酒;葡萄酒;烧酒</t>
  </si>
  <si>
    <t>刘吉</t>
  </si>
  <si>
    <t>亲和大地</t>
  </si>
  <si>
    <t>果酒（含酒精）;蒸馏饮料;葡萄酒;酒精饮料原汁;⻩酒;预先混合的酒精饮料（以啤酒为主的除外）;酒精饮料浓缩汁;⽩酒;酒精饮料（啤酒除外）;⽶酒</t>
  </si>
  <si>
    <t>和酣一窖</t>
  </si>
  <si>
    <t>餐后酒（利⼝酒和烈酒）;露酒;烈酒（饮料）;⽶酒;⽩酒;苹果酒;⾕物制蒸馏酒精饮料;葡萄酒;蒸馏饮料;果酒（含酒精）</t>
  </si>
  <si>
    <t>同一个地球文化艺术传播（北京）中心</t>
  </si>
  <si>
    <t>易济财</t>
  </si>
  <si>
    <t>鸡尾酒;烈酒（饮料）;⽩酒;果酒（含酒精）;⾷⽤酒精;酒精饮料（啤酒除外）;⽶酒;预先混合的酒精饮料（以啤酒为主的除外）;⻩酒;葡萄酒</t>
  </si>
  <si>
    <t>上海菲越天餐饮管理有限公司</t>
  </si>
  <si>
    <t>梅九里</t>
  </si>
  <si>
    <t>威⼠忌;果酒;⻩酒;⽩酒;⽶酒;烧酒（烈酒）;含酒精⽔果饮料;鸡尾酒;伏特加酒;葡萄酒</t>
  </si>
  <si>
    <t>成长盈</t>
  </si>
  <si>
    <t>葡萄酒;⽶酒;果酒（含酒精）;烈酒（饮料）;威⼠忌;⻩酒;薄荷酒;烧酒;⽩兰地;⽩酒</t>
  </si>
  <si>
    <t>罗贵洪</t>
  </si>
  <si>
    <t>福来梧林</t>
  </si>
  <si>
    <t>⽩兰地;伏特加酒;烧酒;葡萄酒;⽩酒;⽶酒;果酒（含酒精）;威⼠忌;朗姆酒;⻩酒</t>
  </si>
  <si>
    <t>夷鹭香随</t>
  </si>
  <si>
    <t>⽶酒;葡萄酒;酒精饮料（啤酒除外）;⻩酒;蒸煮提取物（利⼝酒和烈酒）;果酒（含酒精）;清酒（⽇本⽶酒）;烧酒;⽩酒;开胃酒</t>
  </si>
  <si>
    <t>武汉美味淘商业管理有限公司</t>
  </si>
  <si>
    <t>落花峰</t>
  </si>
  <si>
    <t>葡萄酒;酒精饮料（啤酒除外）;⽶酒;果酒（含酒精）;杨梅酒;蒸馏饮料;烈酒（饮料）;含⽔果酒精饮料;⻘梅酒;烧酒</t>
  </si>
  <si>
    <t>胡建财</t>
  </si>
  <si>
    <t>开胃酒;⽶酒;⽩酒;蜂蜜酒;葡萄酒;烈酒;烧酒;果酒;⻩酒;⾕物制蒸馏酒精饮料</t>
  </si>
  <si>
    <t>哈尔滨精哈食品有限公司</t>
  </si>
  <si>
    <t>⽩酒;葡萄酒;⽶酒;烧酒;果酒（含酒精）;汽酒;酒精饮料（啤酒除外）;开胃酒;利⼝酒;⾷⽤酒精</t>
  </si>
  <si>
    <t>孙贺</t>
  </si>
  <si>
    <t>祛安堂</t>
  </si>
  <si>
    <t>葡萄酒;酒精饮料原汁;清酒;酒精饮料（啤酒除外）;含⽔果酒精饮料;鸡尾酒;预先混合的酒精饮料（以啤酒为主的除外）;果酒;利⼝酒;⽩酒</t>
  </si>
  <si>
    <t>程江浩410326********0019</t>
  </si>
  <si>
    <t>龙门潇潇</t>
  </si>
  <si>
    <t>⽶酒;由⾕物蒸馏的⽩酒;⽩⼲酒（中国⽩酒）;⽩酒;酒精饮料原汁;已调味的蒸馏酒;⽼酒（中国蒸馏烈酒）;含酒精的饮料（啤酒除外）;烧酒（烈酒）;⻘稞酒</t>
  </si>
  <si>
    <t>莱西市德禄面粉加工厂</t>
  </si>
  <si>
    <t>三都河</t>
  </si>
  <si>
    <t>蒸馏饮料;⽶酒;以葡萄酒为主的饮料;⽩酒;⾕物制蒸馏酒精饮料;烈酒（饮料）;⻩酒;葡萄酒;含⽔果酒精饮料;果酒（含酒精）</t>
  </si>
  <si>
    <t>黔明星</t>
  </si>
  <si>
    <t>烧酒;清酒（⽇本⽶酒）;⽩酒;利⼝酒;⽶酒;开胃酒;葡萄酒;⻘稞酒;梨酒;⻩酒</t>
  </si>
  <si>
    <t>四川万蔚利亨餐饮有限责任公司</t>
  </si>
  <si>
    <t>何为川</t>
  </si>
  <si>
    <t>果酒（含酒精）;鸡尾酒;葡萄酒;⽶酒;伏特加酒;清酒（⽇本⽶酒）;⽩酒;威⼠忌;酒精饮料（啤酒除外）;⽩兰地</t>
  </si>
  <si>
    <t>商丘市北库酒业有限公司</t>
  </si>
  <si>
    <t>归德府</t>
  </si>
  <si>
    <t>⾷⽤酒精;烧酒;⻩酒;酒精饮料（啤酒除外）;⽶酒;葡萄酒;果酒;⾼粱酒;⽩酒;清酒</t>
  </si>
  <si>
    <t>杭州云谷科技股份有限公司</t>
  </si>
  <si>
    <t>ENGRIO</t>
  </si>
  <si>
    <t>餐后酒（利⼝酒和烈酒）;葡萄酒;威⼠忌;含⽔果酒精饮料;烧酒;⻩酒;⽩酒;果酒（含酒精）;汽酒;鸡尾酒</t>
  </si>
  <si>
    <t>山东葛仙医药业有限公司</t>
  </si>
  <si>
    <t>葛仙医</t>
  </si>
  <si>
    <t>鸡尾酒;烈酒（饮料）;果酒（含酒精）;⽶酒;⻩酒;烧酒;蜂蜜酒;酒精饮料（啤酒除外）;⽩酒;葡萄酒</t>
  </si>
  <si>
    <t>杨光福</t>
  </si>
  <si>
    <t>苗动力</t>
  </si>
  <si>
    <t>⽩酒;开胃酒;烧酒;⽶酒;烈酒;预先混合的酒精饮料（以啤酒为主的除外）;含酒精⽔果饮料;果酒;蒸煮提取物（利⼝酒和烈酒）;葡萄酒</t>
  </si>
  <si>
    <t>乔治昌</t>
  </si>
  <si>
    <t>基大力</t>
  </si>
  <si>
    <t>果酒（含酒精）;烈酒;烧酒（烈酒）;烈酒（饮料）;⾕物制蒸馏酒精饮料;含⽔果酒精饮料;⾼粱酒;⾷⽤酒精;葡萄酒;⽩酒</t>
  </si>
  <si>
    <t>江苏馥寿生物科技有限公司</t>
  </si>
  <si>
    <t>馥寿</t>
  </si>
  <si>
    <t>⻩酒;果酒（含酒精）;含⽔果酒精饮料;⽶酒;⾷⽤酒精;酒精饮料（啤酒除外）;清酒（⽇本⽶酒）;葡萄酒;⽩酒;预先混合的酒精饮料（以啤酒为主的除外）</t>
  </si>
  <si>
    <t>深圳市金玖樽酒业有限公司</t>
  </si>
  <si>
    <t>何几金玖樽</t>
  </si>
  <si>
    <t>果酒;蒸馏饮料;葡萄酒;酒精饮料（啤酒除外）;⽩酒;烧酒;⻘稞酒;利⼝酒;⻩酒;⽶酒</t>
  </si>
  <si>
    <t>贵州睿智通达商贸有限公司</t>
  </si>
  <si>
    <t>睿智通达</t>
  </si>
  <si>
    <t>果酒（含酒精）;蒸馏饮料;葡萄酒;清酒（⽇本⽶酒）;⾷⽤酒精;威⼠忌;酒精饮料（啤酒除外）;酒精饮料原汁;预先混合的酒精饮料（以啤酒为主的除外）;⽩酒</t>
  </si>
  <si>
    <t>陈聪</t>
  </si>
  <si>
    <t>如意令</t>
  </si>
  <si>
    <t>开胃酒;清酒（⽇本⽶酒）;葡萄酒;蜂蜜酒;烈酒（饮料）;鸡尾酒;⻩酒;烧酒;⽩酒;预先混合的酒精饮料（以啤酒为主的除外）</t>
  </si>
  <si>
    <t>东圣酒庄</t>
  </si>
  <si>
    <t>果酒（含酒精）;餐后酒（利⼝酒和烈酒）;⽩酒;烧酒;⽩⼲酒（中国⽩酒）;烈酒;酒精饮料（啤酒除外）;蒸煮提取物（利⼝酒和烈酒）;⽼酒（中国蒸馏烈酒）;⾷⽤酒精</t>
  </si>
  <si>
    <t>南京云蜂供应链有限公司</t>
  </si>
  <si>
    <t>乾日礼</t>
  </si>
  <si>
    <t>威⼠忌;果酒（含酒精）;清酒（⽇本⽶酒）;⻩酒;⽩酒;葡萄酒;烈酒;鸡尾酒;开胃酒;酒精饮料（啤酒除外）</t>
  </si>
  <si>
    <t>廖东东</t>
  </si>
  <si>
    <t>虔歌</t>
  </si>
  <si>
    <t>⽩酒;清酒;⽼酒（中国蒸馏烈酒）;葡萄酒;烈酒（饮料）;⻩酒;果酒;⽶酒;甜酒;烧酒</t>
  </si>
  <si>
    <t>哈唐网络科技(上海)有限公司</t>
  </si>
  <si>
    <t>王卫尉</t>
  </si>
  <si>
    <t>⽩兰地;⽩酒;酒精饮料（啤酒除外）;伏特加酒;葡萄酒;蒸馏饮料;果酒（含酒精）;威⼠忌;⾷⽤酒精;⽶酒</t>
  </si>
  <si>
    <t>史光丽</t>
  </si>
  <si>
    <t>华衢</t>
  </si>
  <si>
    <t>⽩酒;⻩酒;果酒（含酒精）;烈酒（饮料）;威⼠忌;⽶酒;开胃酒;伏特加酒;葡萄酒;⽩兰地</t>
  </si>
  <si>
    <t>盛超</t>
  </si>
  <si>
    <t>二月情话</t>
  </si>
  <si>
    <t>酒精饮料（啤酒除外）;⻩酒;蒸馏饮料;⽶酒;威⼠忌;⽩酒;鸡尾酒;葡萄酒;果酒;含⽔果酒精饮料</t>
  </si>
  <si>
    <t>广东贺天下酒业有限公司</t>
  </si>
  <si>
    <t>智谋</t>
  </si>
  <si>
    <t>汽酒;含酒精的⽔果鸡尾酒饮料;⽩兰地;⽩酒;⽔果汽酒;清酒;果酒;含酒精⽔果饮料;果酒（含酒精）;鸡尾酒</t>
  </si>
  <si>
    <t>静德久</t>
  </si>
  <si>
    <t>樱桃酒;⽶酒;蜂蜜酒;⻩酒;葡萄酒;果酒;清酒;⽩酒;含⽔果酒精饮料;苹果酒</t>
  </si>
  <si>
    <t>宝清县宇辰酒业有限公司</t>
  </si>
  <si>
    <t>巷水楼</t>
  </si>
  <si>
    <t>果酒（含酒精）;⽶酒;⻩酒;清酒;露酒;烧酒;⽩酒;⾼粱酒;含酒精的饮料（啤酒除外）;葡萄酒</t>
  </si>
  <si>
    <t>陈红梅</t>
  </si>
  <si>
    <t>瑾麟翁</t>
  </si>
  <si>
    <t>⽶酒;果酒（含酒精）;⻩酒;酒精饮料浓缩汁;⾷⽤酒精;烧酒;⽩酒;⾕物制蒸馏酒精饮料;葡萄酒;⻘稞酒</t>
  </si>
  <si>
    <t>马云</t>
  </si>
  <si>
    <t>马文兵</t>
  </si>
  <si>
    <t>⽶酒;烈酒（饮料）;烧酒;汽酒;薄荷酒;鸡尾酒;开胃酒;葡萄酒;果酒（含酒精）;⽩酒</t>
  </si>
  <si>
    <t>安徽汤泉汇品牌运营管理有限公司</t>
  </si>
  <si>
    <t>战阳关</t>
  </si>
  <si>
    <t>葡萄酒;威⼠忌;⻩酒;⽩酒;清酒（⽇本⽶酒）;开胃酒;酒精饮料（啤酒除外）;鸡尾酒;果酒（含酒精）;烈酒</t>
  </si>
  <si>
    <t>灰虎</t>
  </si>
  <si>
    <t>⽶酒;烧酒（烈酒）;鸡尾酒;⻩酒;汽酒;伏特加酒;⽩酒;葡萄酒;除啤酒外的酒精饮料;威⼠忌</t>
  </si>
  <si>
    <t>上海长宏峰国际贸易有限公司</t>
  </si>
  <si>
    <t>晓斐</t>
  </si>
  <si>
    <t>⽶酒;鸡尾酒;烧酒;葡萄酒;酒精饮料（啤酒除外）;⽩酒;⻩酒;威⼠忌;果酒（含酒精）;烈酒（饮料）</t>
  </si>
  <si>
    <t>葡萄酒;蒸馏饮料;⽶酒;⾼粱酒;⽩酒;烧酒;烈酒（饮料）;⻩酒;果酒;鸡尾酒</t>
  </si>
  <si>
    <t>辉者</t>
  </si>
  <si>
    <t>烧酒;⻩酒;葡萄酒;⾷⽤酒精;清酒;果酒（含酒精）;烈酒;⾕物制蒸馏酒精饮料;⽩酒;⾼粱酒</t>
  </si>
  <si>
    <t>浙江全民猫电子商务有限公司</t>
  </si>
  <si>
    <t>墁塘臻霏</t>
  </si>
  <si>
    <t>清酒（⽇本⽶酒）;⻩酒;⾷⽤酒精;威⼠忌;甜酒;起泡红葡萄酒;含酒精的鸡尾酒混合饮品;果酒（含酒精）;烧酒;⽩酒</t>
  </si>
  <si>
    <t>山西醉香坊佳酿酒业有限公司</t>
  </si>
  <si>
    <t>怡合樽</t>
  </si>
  <si>
    <t>烧酒;开胃酒;利⼝酒;蒸煮提取物（利⼝酒和烈酒）;⻩酒;葡萄酒;酒精饮料（啤酒除外）;⽩酒;⽩兰地;果酒（含酒精）</t>
  </si>
  <si>
    <t>佛山市尚茶餐饮管理有限公司</t>
  </si>
  <si>
    <t>热曙</t>
  </si>
  <si>
    <t>⽶酒;加烈葡萄酒;⽩酒;桃红葡萄酒;调制好的葡萄酒鸡尾酒;葡萄汽酒;加⾹料的热葡萄酒;葡萄酒;酒精饮料浓缩汁;以葡萄酒为主的饮料</t>
  </si>
  <si>
    <t>金拉杆</t>
  </si>
  <si>
    <t>⽶酒;⾼粱酒;果酒;⾷⽤酒精;烧酒;烧酒（烈酒）;⻩酒;⽩酒;葡萄酒;⽩⼲酒（中国⽩酒）</t>
  </si>
  <si>
    <t>云南九零电子商务有限公司</t>
  </si>
  <si>
    <t>滇朋</t>
  </si>
  <si>
    <t>⾷⽤酒精;⽶酒;葡萄酒;⽩酒;烈酒（饮料）;烧酒;果酒（含酒精）;开胃酒;⻩酒;鸡尾酒</t>
  </si>
  <si>
    <t>河南秉坊商贸有限公司</t>
  </si>
  <si>
    <t>君和兴</t>
  </si>
  <si>
    <t>果酒（含酒精）;汽酒;烧酒;酒精饮料原汁;⽶酒;⽩酒;开胃酒;鸡尾酒;葡萄酒;含⽔果酒精饮料</t>
  </si>
  <si>
    <t>马国辉</t>
  </si>
  <si>
    <t>梅洽</t>
  </si>
  <si>
    <t>开胃酒;⻘梅酒;含酒精的鸡尾酒混合饮品;杨梅酒;梅酒;鸡尾酒;果酒（含酒精）;⽇本梅⼦酒;⽩酒;⽔果汽酒</t>
  </si>
  <si>
    <t>山东齐国砚文化产业开发有限公司</t>
  </si>
  <si>
    <t>淄陶坊</t>
  </si>
  <si>
    <t>⽩酒;⻩酒;果酒（含酒精）;开胃酒;⽶酒;葡萄酒;樱桃酒;烧酒;酒精饮料（啤酒除外）;⽩兰地</t>
  </si>
  <si>
    <t>宾利高尔夫发展（东莞）有限公司</t>
  </si>
  <si>
    <t>斗诗骄阳</t>
  </si>
  <si>
    <t>⽩酒;⽶酒;⽩兰地;⻘稞酒;威⼠忌;含⽔果酒精饮料;清酒;烧酒;⻩酒;葡萄酒</t>
  </si>
  <si>
    <t>万载天承</t>
  </si>
  <si>
    <t>葡萄酒;⽶酒;果酒（含酒精）;酒精饮料（啤酒除外）;⽩酒;烈酒（饮料）;清酒（⽇本⽶酒）;汽酒;⾷⽤酒精;蒸馏饮料</t>
  </si>
  <si>
    <t>林伟龙</t>
  </si>
  <si>
    <t>智生太</t>
  </si>
  <si>
    <t>蒸馏饮料;酒精饮料（啤酒除外）;汽酒;⽩酒;⽶酒;蜂蜜酒;葡萄酒;烈酒（饮料）;以葡萄酒为主的饮料;⻩酒;鸡尾酒;果酒（含酒精）</t>
  </si>
  <si>
    <t>庄臣酿酒（福建）有限公司</t>
  </si>
  <si>
    <t>SPADEY</t>
  </si>
  <si>
    <t>葡萄酒;⽩兰地;伏特加酒;鸡尾酒;露酒;烈酒;酒精饮料（啤酒除外）;利⼝酒;威⼠忌;朗姆酒</t>
  </si>
  <si>
    <t>保定市拿恋商贸有限公司</t>
  </si>
  <si>
    <t>雄贯洲 XGZ</t>
  </si>
  <si>
    <t>⽩酒;⽶酒;清酒;⾷⽤酒精;果酒;含⽔果酒精饮料;鸡尾酒;葡萄酒;汽酒;梅酒</t>
  </si>
  <si>
    <t>湖南释心堂酒业有限公司</t>
  </si>
  <si>
    <t>释心堂</t>
  </si>
  <si>
    <t>烈酒（饮料）;⽩酒;蒸馏饮料;酒精饮料（啤酒除外）;烈酒;酒精饮料原汁;⽼酒（中国蒸馏烈酒）;烧酒;⾷⽤酒精;⾕物制蒸馏酒精饮料</t>
  </si>
  <si>
    <t>悠闲时光</t>
  </si>
  <si>
    <t>开胃酒;利⼝酒;鸡尾酒;蜂蜜酒;烧酒;果酒;⽶酒;⽩酒;葡萄酒;威⼠忌</t>
  </si>
  <si>
    <t>胡德高</t>
  </si>
  <si>
    <t>揽福九川</t>
  </si>
  <si>
    <t>葡萄酒;汽酒;⽩酒;鸡尾酒;⽶酒;烧酒;蒸馏饮料;清酒（⽇本⽶酒）;含⽔果酒精饮料;⻩酒</t>
  </si>
  <si>
    <t>元气花花</t>
  </si>
  <si>
    <t>葡萄酒;蜂蜜酒;梅酒;⽩酒;烧酒;果酒;清酒;⽶酒;⻩酒;酒精饮料（啤酒除外）</t>
  </si>
  <si>
    <t>FUNGEE</t>
  </si>
  <si>
    <t>⽶酒;⽩兰地;威⼠忌;清酒;梅酒;葡萄酒;烧酒;朗姆酒;果酒;⽩酒</t>
  </si>
  <si>
    <t>上海瑞卿号餐饮管理有限公司</t>
  </si>
  <si>
    <t>闻太公</t>
  </si>
  <si>
    <t>果酒（含酒精）;葡萄酒;清酒（⽇本⽶酒）;烈酒（饮料）;酒精饮料原汁;⽶酒;⽩酒;⻩酒;威⼠忌;鸡尾酒</t>
  </si>
  <si>
    <t>蝴蝶姑娘</t>
  </si>
  <si>
    <t>酒精饮料（啤酒除外）;葡萄酒;开胃酒;⽩酒;威⼠忌;鸡尾酒;果酒（含酒精）;清酒;蜂蜜酒;⽶酒</t>
  </si>
  <si>
    <t>义乌市蛋壳五金有限公司</t>
  </si>
  <si>
    <t>懂家博士</t>
  </si>
  <si>
    <t>酸酒（低等葡萄酒）;⽩酒;⽶酒;酒精饮料（啤酒除外）;鸡尾酒;果酒（含酒精）;⽩兰地;烈酒（饮料）;樱桃酒;蜂蜜酒</t>
  </si>
  <si>
    <t>深圳市象雨文化传播有限公司</t>
  </si>
  <si>
    <t>阐礼</t>
  </si>
  <si>
    <t>果酒（含酒精）;⽶酒;预先混合的酒精饮料（以啤酒为主的除外）;⾕物制蒸馏酒精饮料;⻘稞酒;以葡萄酒为主的饮料;含酒精的⽓泡⽔;⽩酒;蒸馏饮料;除啤酒外的酒精饮料</t>
  </si>
  <si>
    <t>栖霞法拉图葡萄酒业有限公司</t>
  </si>
  <si>
    <t>摩羯之梦</t>
  </si>
  <si>
    <t>果酒（含酒精）;⻩酒;酒精饮料（啤酒除外）;利⼝酒;酒精饮料原汁;开胃酒;葡萄酒;烈酒（饮料）;烧酒;酸酒（低等葡萄酒）</t>
  </si>
  <si>
    <t>源丰惠农</t>
  </si>
  <si>
    <t>酒精饮料（啤酒除外）;⽶酒;⽩酒;烧酒;烈酒（饮料）;蒸煮提取物（利⼝酒和烈酒）;⻘稞酒;⾕物制蒸馏酒精饮料;酒精饮料原汁;果酒（含酒精）</t>
  </si>
  <si>
    <t>闫月琴</t>
  </si>
  <si>
    <t>清沙汉</t>
  </si>
  <si>
    <t>⻘稞酒;烈酒（饮料）;利⼝酒;开胃酒;果酒（含酒精）;葡萄酒;⻩酒;烧酒;鸡尾酒;⽩酒</t>
  </si>
  <si>
    <t>贵御传承贵府</t>
  </si>
  <si>
    <t>果酒（含酒精）;清酒（⽇本⽶酒）;开胃酒;酒精饮料（啤酒除外）;⽩酒;利⼝酒;葡萄酒;⽶酒;⻩酒;⽼酒（中国蒸馏烈酒）</t>
  </si>
  <si>
    <t>贵御珍品贵府</t>
  </si>
  <si>
    <t>酒精饮料（啤酒除外）;开胃酒;清酒（⽇本⽶酒）;⽶酒;⽩酒;利⼝酒;⽼酒（中国蒸馏烈酒）;果酒（含酒精）;⻩酒;葡萄酒</t>
  </si>
  <si>
    <t>孙立石</t>
  </si>
  <si>
    <t>ABCY</t>
  </si>
  <si>
    <t>葡萄酒;⻩酒;酒精饮料（啤酒除外）;鸡尾酒;⽶酒;⽩⼲酒（中国⽩酒）;果酒（含酒精）;⽩酒;清酒（⽇本⽶酒）;威⼠忌</t>
  </si>
  <si>
    <t>长治市博誉诚商贸有限公司</t>
  </si>
  <si>
    <t>果酒（含酒精）;⽩酒;⽶酒;烧酒;酒精饮料（啤酒除外）;烈酒（饮料）;⻩酒;鸡尾酒;葡萄酒;开胃酒</t>
  </si>
  <si>
    <t>圆者</t>
  </si>
  <si>
    <t>⾷⽤酒精;烈酒;⾼粱酒;⾕物制蒸馏酒精饮料;清酒;果酒（含酒精）;葡萄酒;⻩酒;⽩酒;烧酒</t>
  </si>
  <si>
    <t>匠香富贵</t>
  </si>
  <si>
    <t>⻩酒;⽶酒;葡萄酒;果酒;烧酒;⽩酒;汽酒;威⼠忌;清酒;⽩兰地</t>
  </si>
  <si>
    <t>李小琴</t>
  </si>
  <si>
    <t>海岛汇家乐</t>
  </si>
  <si>
    <t>果酒;⻘稞酒;⻩酒;开胃酒;汽酒;五加⽪酒（中国混合烈酒）;葡萄酒;烈酒;酒精饮料（啤酒除外）;⽶酒;⽩酒</t>
  </si>
  <si>
    <t>许领群</t>
  </si>
  <si>
    <t>辉杭鲸选</t>
  </si>
  <si>
    <t>苹果酒;鸡尾酒;⽶酒;烧酒;⻩酒;清酒（⽇本⽶酒）;⽩葡萄酒;果酒（含酒精）;葡萄酒;⽩酒</t>
  </si>
  <si>
    <t>王浩</t>
  </si>
  <si>
    <t>汉敕金窖</t>
  </si>
  <si>
    <t>果酒（含酒精）;开胃酒;蒸馏饮料;⽩酒;酒精饮料（啤酒除外）;威⼠忌;⽶酒;含酒精的⽓泡⽔;烈酒（饮料）;葡萄酒</t>
  </si>
  <si>
    <t>曾桂珍</t>
  </si>
  <si>
    <t>康宏洋</t>
  </si>
  <si>
    <t>⽩酒;葡萄酒;⻩酒;⽶酒;鸡尾酒;果酒（含酒精）;清酒（⽇本⽶酒）;烧酒;烈酒（饮料）;威⼠忌</t>
  </si>
  <si>
    <t>代同学</t>
  </si>
  <si>
    <t>除啤酒外的酒精饮料;梅酒;烧酒（烈酒）;露酒;⻩酒;⾼粱酒;鸡尾酒;⽩酒;伏特加酒;⽶酒</t>
  </si>
  <si>
    <t>瑞芸轩</t>
  </si>
  <si>
    <t>鸡尾酒;⽩兰地;汽酒;果酒（含酒精）;酒精饮料（啤酒除外）;威⼠忌;葡萄酒;烈酒（饮料）;含⽔果酒精饮料;利⼝酒</t>
  </si>
  <si>
    <t>王芬</t>
  </si>
  <si>
    <t>康源张三锅</t>
  </si>
  <si>
    <t>酒精饮料（啤酒除外）;果酒;⽩酒;⽶酒;已调味的蒸馏酒;酒精饮料原汁;烧酒;汽酒;蜂蜜酒;葡萄酒</t>
  </si>
  <si>
    <t>饶旭平</t>
  </si>
  <si>
    <t>巧溪双峰酒</t>
  </si>
  <si>
    <t>⻩酒;清酒;⽶酒;果酒（含酒精）;烧酒;烈酒（饮料）;葡萄酒;桃红葡萄酒;含⽔果酒精饮料;⽩酒</t>
  </si>
  <si>
    <t>石清诚</t>
  </si>
  <si>
    <t>卉文</t>
  </si>
  <si>
    <t>餐后酒（利⼝酒和烈酒）;果酒（含酒精）;葡萄酒;含酒精⽔果饮料;烧酒（烈酒）;⽩⼲酒（中国⽩酒）;⻩酒;鸡尾酒;清酒;⽩酒</t>
  </si>
  <si>
    <t>锦屏县铜鼓种养殖农民专业合作社</t>
  </si>
  <si>
    <t>镜笙垣</t>
  </si>
  <si>
    <t>果酒;⽩酒;葡萄酒;鸡尾酒;⾼粱酒;利⼝酒;⽼酒（中国蒸馏烈酒）;烧酒（烈酒）;烈酒（饮料）;⽶酒</t>
  </si>
  <si>
    <t>广西辉煌酒业有限公司</t>
  </si>
  <si>
    <t>龟霸王</t>
  </si>
  <si>
    <t>葡萄酒;烧酒;露酒;酒精饮料（啤酒除外）;⾼粱酒;⽶酒;⽩酒;果酒（含酒精）;酒精饮料原汁;⻩酒</t>
  </si>
  <si>
    <t>涧里春</t>
  </si>
  <si>
    <t>葡萄酒;梨酒;杨梅酒;⾷⽤酒精;果酒（含酒精）;餐后酒（利⼝酒和烈酒）;⾕物制蒸馏酒精饮料;⽩酒;威⼠忌;开胃酒</t>
  </si>
  <si>
    <t>沙县樟荣食品有限公司</t>
  </si>
  <si>
    <t>樟荣兄弟</t>
  </si>
  <si>
    <t>果酒（含酒精）;烧酒;⽩酒;⻩酒;餐后酒（利⼝酒和烈酒）;酒精饮料原汁;含⽔果酒精饮料;⽶酒;葡萄酒;开胃酒</t>
  </si>
  <si>
    <t>郓城县秋满园果蔬种植家庭农场</t>
  </si>
  <si>
    <t>散花王子</t>
  </si>
  <si>
    <t>果酒（含酒精）;酒精饮料原汁;苹果酒;葡萄酒;⽩酒;鸡尾酒;⽩兰地;威⼠忌;烈酒（饮料）;酒精饮料（啤酒除外）</t>
  </si>
  <si>
    <t>CLOSMAO</t>
  </si>
  <si>
    <t>加烈葡萄酒;⽶酒;调制好的葡萄酒鸡尾酒;酒精饮料浓缩汁;以葡萄酒为主的饮料;加⾹料的热葡萄酒;葡萄酒;⽩酒;桃红葡萄酒;葡萄汽酒</t>
  </si>
  <si>
    <t>旺满隆</t>
  </si>
  <si>
    <t>⽩酒;威⼠忌;鸡尾酒;葡萄酒;果酒（含酒精）;⽶酒;烈酒（饮料）;⾼粱酒;⽩⼲酒（中国⽩酒）;⻩酒</t>
  </si>
  <si>
    <t>四川慢工酒业有限公司</t>
  </si>
  <si>
    <t>慢工圆酌派</t>
  </si>
  <si>
    <t>果酒;⾷⽤酒精;清酒;开胃酒;甜酒;⽶酒;烧酒;酒精饮料（啤酒除外）;⽩酒;⻩酒</t>
  </si>
  <si>
    <t>利雅新</t>
  </si>
  <si>
    <t>葡萄酒;⻩酒;⽩⼲酒（中国⽩酒）;⽩酒;烈酒;⽶酒;烧酒;⾼粱酒;果酒;⻘稞酒</t>
  </si>
  <si>
    <t>贵州习酒投资控股集团有限责任公司</t>
  </si>
  <si>
    <t>果酒（含酒精）;⽩酒;由⾕物蒸馏的⽩酒;⽶酒;烧酒;酒精饮料（啤酒除外）;⽼酒（中国蒸馏烈酒）;蒸煮提取物（利⼝酒和烈酒）;⽩⼲酒（中国⽩酒）;葡萄酒</t>
  </si>
  <si>
    <t>果酒（含酒精）;鸡尾酒;酒精饮料（啤酒除外）;含⽔果酒精饮料;⽩酒;蒸馏饮料;苹果酒;葡萄酒;烈酒（饮料）;烧酒</t>
  </si>
  <si>
    <t>双城市文成玉米种植专业合作社</t>
  </si>
  <si>
    <t>哈喽村</t>
  </si>
  <si>
    <t>葡萄酒;含⽔果酒精饮料;蜂蜜酒;⽶酒;⾷⽤酒精;果酒;⻩酒;⽩酒;鸡尾酒;烧酒</t>
  </si>
  <si>
    <t>海南吉资堂健康产业有限公司</t>
  </si>
  <si>
    <t>仓澜辰香</t>
  </si>
  <si>
    <t>葡萄酒;烧酒;⽼酒（中国蒸馏烈酒）;烈酒（饮料）;⽩酒;⾕物制蒸馏酒精饮料;⻩酒;开胃酒;⽶酒;含⽔果酒精饮料</t>
  </si>
  <si>
    <t>姜辉</t>
  </si>
  <si>
    <t>斛啊婆</t>
  </si>
  <si>
    <t>烧酒;葡萄酒;开胃酒;⻘稞酒;苦荞酒;混合威⼠忌酒;⾼粱酒;⻩酒;果酒;⽶酒</t>
  </si>
  <si>
    <t>马永庆</t>
  </si>
  <si>
    <t>榆粮浔</t>
  </si>
  <si>
    <t>葡萄酒;⻩酒;酒精饮料（啤酒除外）;⽢蔗制烈酒;烈酒;烧酒;果酒（含酒精）;鸡尾酒;⽩酒;⽶酒</t>
  </si>
  <si>
    <t>可爱客</t>
  </si>
  <si>
    <t>烈酒（饮料）;白酒;黄酒;鸡尾酒;米酒;威士忌;酒精饮料（啤酒除外）;烧酒;果酒（含酒精）;葡萄酒</t>
  </si>
  <si>
    <t>辉翎</t>
  </si>
  <si>
    <t>伏特加酒;威⼠忌;葡萄酒;朗姆酒;鸡尾酒;酒精饮料浓缩汁;果酒;蒸煮提取物（利⼝酒和烈酒）;酒精饮料（啤酒除外）;⽩兰地</t>
  </si>
  <si>
    <t>铺子传媒(湖北)有限公司</t>
  </si>
  <si>
    <t>黄昏晓</t>
  </si>
  <si>
    <t>⽶酒;烧酒;⽩酒;露酒;⻩酒;酒精饮料（啤酒除外）;⽼酒（中国蒸馏烈酒）;清酒;果酒;葡萄酒</t>
  </si>
  <si>
    <t>悠犟</t>
  </si>
  <si>
    <t>果酒（含酒精）;葡萄酒;烧酒;⾷⽤酒精;⾼粱酒;⾕物制蒸馏酒精饮料;⻩酒;⽩酒;清酒;烈酒</t>
  </si>
  <si>
    <t>山东鲁兴酒业酿造有限公司</t>
  </si>
  <si>
    <t>琥珀鲁</t>
  </si>
  <si>
    <t>⽩酒;⽼酒（中国蒸馏烈酒）;含酒精的饮料（啤酒除外）;果酒;烧酒;⽶酒;葡萄酒;烈酒;鸡尾酒;含酒精的充⽓饮料（啤酒除外）</t>
  </si>
  <si>
    <t>帝泉令</t>
  </si>
  <si>
    <t>开胃酒;威⼠忌;⻩酒;清酒（⽇本⽶酒）;鸡尾酒;烈酒;果酒（含酒精）;⽩酒;酒精饮料（啤酒除外）;葡萄酒</t>
  </si>
  <si>
    <t>河南锦里春餐饮管理有限公司</t>
  </si>
  <si>
    <t>云辰云岱</t>
  </si>
  <si>
    <t>果酒（含酒精）;酒精饮料（啤酒除外）;蒸馏饮料;⽩兰地;葡萄酒;⽩酒;威⼠忌;含⽔果酒精饮料;⽶酒;⻩酒</t>
  </si>
  <si>
    <t>湖南天航生物科技有限公司</t>
  </si>
  <si>
    <t>元炁高照</t>
  </si>
  <si>
    <t>⽶酒;⻩酒;甜酒;露酒;除啤酒外的酒精饮料;⽩酒;清酒</t>
  </si>
  <si>
    <t>河北史利森科技有限公司</t>
  </si>
  <si>
    <t>HTT.ZNDQ</t>
  </si>
  <si>
    <t>威⼠忌;果酒（含酒精）;酒精饮料（啤酒除外）;酒精饮料原汁;⽶酒;葡萄酒;鸡尾酒;开胃酒;⽩兰地;苹果酒</t>
  </si>
  <si>
    <t>代小天</t>
  </si>
  <si>
    <t>伏特加酒;梅酒;⻩酒;烧酒（烈酒）;鸡尾酒;⽶酒;⾼粱酒;除啤酒外的酒精饮料;露酒;⽩酒</t>
  </si>
  <si>
    <t>张健瑜</t>
  </si>
  <si>
    <t>百湃春</t>
  </si>
  <si>
    <t>汽酒;烈酒（饮料）;烧酒;⽩酒;⻩酒;葡萄酒;酒精饮料（啤酒除外）;果酒（含酒精）;⽶酒;清酒（⽇本⽶酒）</t>
  </si>
  <si>
    <t>爱德华马奈</t>
  </si>
  <si>
    <t>含酒精的鸡尾酒混合饮品;⻨芽威⼠忌;烈酒（饮料）;朗姆酒;含酒精⽔果饮料;起泡⽩葡萄酒;威⼠忌;⽩兰地;利⼝酒;起泡红葡萄酒</t>
  </si>
  <si>
    <t>泉州威泰进出口贸易有限公司</t>
  </si>
  <si>
    <t>TIERRA DE NIEVE</t>
  </si>
  <si>
    <t>蒸馏饮料;烈酒（饮料）;果酒（含酒精）;利⼝酒;⽩兰地;酒精饮料（啤酒除外）;⽩酒;鸡尾酒;葡萄酒;樱桃酒</t>
  </si>
  <si>
    <t>宇宙骑士</t>
  </si>
  <si>
    <t>鸡尾酒;葡萄酒;烈酒（饮料）;酒精饮料（啤酒除外）;烧酒;⽩酒;果酒（含酒精）;威⼠忌;⻩酒;⽶酒</t>
  </si>
  <si>
    <t>娄瑞铭</t>
  </si>
  <si>
    <t>杭生记</t>
  </si>
  <si>
    <t>烧酒;汽酒;⽩酒;酒精饮料（啤酒除外）;葡萄酒;⻘稞酒;⻩酒;⽶酒;含⽔果酒精饮料;果酒（含酒精）</t>
  </si>
  <si>
    <t>云南农禾亿佰农业有限责任公司</t>
  </si>
  <si>
    <t>爱惜谷色仙香</t>
  </si>
  <si>
    <t>烧酒;⽼酒（中国蒸馏烈酒）;由⾕物蒸馏的⽩酒;葡萄酒;⽩⼲酒（中国⽩酒）;⽶酒;蜂蜜酒;果酒（含酒精）;蒸馏饮料;含⽔果酒精饮料</t>
  </si>
  <si>
    <t>果酒（含酒精）;含⽔果酒精饮料;⾕物制蒸馏酒精饮料;烧酒;⻩酒;酒精饮料（啤酒除外）;⽶酒;⽩酒;鸡尾酒;葡萄酒</t>
  </si>
  <si>
    <t>易临福</t>
  </si>
  <si>
    <t>鸡尾酒;预先混合的酒精饮料（以啤酒为主的除外）;果酒（含酒精）;⽩酒;⾷⽤酒精;葡萄酒;⽶酒;烈酒（饮料）;酒精饮料（啤酒除外）;⻩酒</t>
  </si>
  <si>
    <t>赞禾</t>
  </si>
  <si>
    <t>⽩酒;酒精饮料（啤酒除外）;葡萄酒;果酒（含酒精）;鸡尾酒;清酒（⽇本⽶酒）;烈酒;威⼠忌;开胃酒;⻩酒</t>
  </si>
  <si>
    <t>徐州市燕园企业文化交流中心</t>
  </si>
  <si>
    <t>未风名起</t>
  </si>
  <si>
    <t>⻩酒;酒精饮料原汁;⽶酒;⾕物制蒸馏酒精饮料;酒精饮料浓缩汁;酒精饮料（啤酒除外）;⻘稞酒;含⽔果酒精饮料;葡萄酒;⽩酒</t>
  </si>
  <si>
    <t>汤英</t>
  </si>
  <si>
    <t>杨江将</t>
  </si>
  <si>
    <t>清酒（⽇本⽶酒）;⽼酒（中国蒸馏烈酒）;葡萄酒;烈酒（饮料）;⻩酒;⾼粱酒;果酒（含酒精）;⻘稞酒;烧酒;⽩酒</t>
  </si>
  <si>
    <t>笑赢</t>
  </si>
  <si>
    <t>⾕物制蒸馏酒精饮料;⻩酒;⾷⽤酒精;清酒;烈酒;葡萄酒;烧酒;⽩酒;⾼粱酒;果酒（含酒精）</t>
  </si>
  <si>
    <t>先梦宇</t>
  </si>
  <si>
    <t>梦宇仙</t>
  </si>
  <si>
    <t>⽶酒;⻩酒;烧酒;鸡尾酒;⻘稞酒;⽩酒;葡萄酒;果酒（含酒精）;烈酒（饮料）;酒精饮料（啤酒除外）</t>
  </si>
  <si>
    <t>商嘉信有限责任公司</t>
  </si>
  <si>
    <t>商嘉信</t>
  </si>
  <si>
    <t>果酒;⾼粱酒;⽩酒;蒸馏饮料;⻩酒;汽酒;含酒精⽔果饮料;葡萄酒;⽶酒;含⽔果酒精饮料</t>
  </si>
  <si>
    <t>曹帅</t>
  </si>
  <si>
    <t>财大嘴</t>
  </si>
  <si>
    <t>⽶酒;葡萄酒;⻩酒;⽩酒;利⼝酒;鸡尾酒;含⽔果酒精饮料;烧酒;果酒（含酒精）;烈酒（饮料）</t>
  </si>
  <si>
    <t>孙双喜</t>
  </si>
  <si>
    <t>轻脉乐</t>
  </si>
  <si>
    <t>⽶酒;烈酒（饮料）;烧酒;酒精饮料（啤酒除外）;⽩酒;⽩兰地;⻩酒;利⼝酒;葡萄酒;果酒</t>
  </si>
  <si>
    <t>龙益君</t>
  </si>
  <si>
    <t>烈酒（饮料）;⾼粱酒;⽼酒（中国蒸馏烈酒）;烧酒（烈酒）;⽩酒;果酒;⽩⼲酒（中国⽩酒）;清酒;葡萄酒;⽶酒</t>
  </si>
  <si>
    <t>张书霞</t>
  </si>
  <si>
    <t>悍武力</t>
  </si>
  <si>
    <t>⻩酒;含⽔果酒精饮料;⾷⽤酒精;烧酒;⽩酒;葡萄酒;⽶酒;汽酒;⻘稞酒;烈酒（饮料）</t>
  </si>
  <si>
    <t>湖州德佑科技有限公司</t>
  </si>
  <si>
    <t>一山栖</t>
  </si>
  <si>
    <t>⻩酒;果酒（含酒精）;酒精饮料（啤酒除外）;开胃酒;甜酒;威⼠忌;烧酒;⽇式甜⽶酒;含酒精⽔果饮料;清酒（⽇本⽶酒）</t>
  </si>
  <si>
    <t>宁波瀚海寻梦网络科技有限公司</t>
  </si>
  <si>
    <t>周小哲</t>
  </si>
  <si>
    <t>鸡尾酒;果酒（含酒精）;酒精饮料（啤酒除外）;⽩酒;威⼠忌;以葡萄酒为主的饮料;⻘稞酒;⻩酒;蜂蜜酒;含⽔果酒精饮料</t>
  </si>
  <si>
    <t>贵州省仁怀市福临酒业有限公司</t>
  </si>
  <si>
    <t>箫乡醉</t>
  </si>
  <si>
    <t>鸡尾酒;烈酒（饮料）;酒精饮料（啤酒除外）;蒸馏饮料;烧酒;⽶酒;果酒（含酒精）;利⼝酒;⽩酒;开胃酒</t>
  </si>
  <si>
    <t>邓建勇</t>
  </si>
  <si>
    <t>蕴厚载</t>
  </si>
  <si>
    <t>酒精饮料（啤酒除外）;⽶酒;果酒（含酒精）;⽩酒;⾷⽤酒精;烈酒（饮料）;葡萄酒;清酒（⽇本⽶酒）;汽酒;蒸馏饮料</t>
  </si>
  <si>
    <t>顺峰和牛（天津）国际贸易有限公司</t>
  </si>
  <si>
    <t>贵乐荣</t>
  </si>
  <si>
    <t>⽩酒;果酒;酒精饮料（啤酒除外）;葡萄酒;⻩酒;⾼粱酒;⽶酒;烧酒;烈酒;⽼酒（中国蒸馏烈酒）</t>
  </si>
  <si>
    <t>天消科技（天津）有限公司</t>
  </si>
  <si>
    <t>天消</t>
  </si>
  <si>
    <t>⽩酒;清酒;果酒;葡萄酒;红葡萄酒;⽩葡萄酒;⽶酒;烈酒;⾼粱酒;⻩酒</t>
  </si>
  <si>
    <t>陈丽香</t>
  </si>
  <si>
    <t>漳果老</t>
  </si>
  <si>
    <t>餐后酒（利⼝酒和烈酒）;薄荷酒;⽩兰地;含⽔果酒精饮料;⻩酒;蒸馏饮料;葡萄酒;⽶酒;⽩酒;果酒（含酒精）</t>
  </si>
  <si>
    <t>百龄浔</t>
  </si>
  <si>
    <t>⾼粱酒;果酒（含酒精）;⻩酒;烈酒（饮料）;葡萄酒;⽶酒;⽩酒;威⼠忌;鸡尾酒;⽩⼲酒（中国⽩酒）</t>
  </si>
  <si>
    <t>贵州力银集商贸有限公司</t>
  </si>
  <si>
    <t>中黔翘楚</t>
  </si>
  <si>
    <t>⻩酒;⽩酒;蒸煮提取物（利⼝酒和烈酒）;葡萄酒;果酒;烧酒;酒精饮料（啤酒除外）;开胃酒;清酒（⽇本⽶酒）;⽶酒</t>
  </si>
  <si>
    <t>邯郸窦默酒业有限公司</t>
  </si>
  <si>
    <t>文正宴</t>
  </si>
  <si>
    <t>蜂蜜酒;⻘稞酒;葡萄酒;清酒（⽇本⽶酒）;烧酒;烈酒（饮料）;果酒（含酒精）;苹果酒;⽩酒;鸡尾酒</t>
  </si>
  <si>
    <t>广东万泰科创药业有限公司</t>
  </si>
  <si>
    <t>精挺</t>
  </si>
  <si>
    <t>⽩酒;烧酒;苦味酒;⻩酒;含⽔果酒精饮料;酒精饮料原汁;果酒;葡萄酒;⽶酒;汽酒</t>
  </si>
  <si>
    <t>霸业岁月</t>
  </si>
  <si>
    <t>果酒（含酒精）;⾷⽤酒精;⽩酒;蒸馏饮料;汽酒;烈酒（饮料）;清酒（⽇本⽶酒）;酒精饮料（啤酒除外）;⽶酒;葡萄酒</t>
  </si>
  <si>
    <t>吴柱</t>
  </si>
  <si>
    <t>贺酣</t>
  </si>
  <si>
    <t>⽩酒;威⼠忌;⽶酒;果酒;葡萄酒;⻩酒;⽩⼲酒（中国⽩酒）;烈酒;鸡尾酒;⾼粱酒</t>
  </si>
  <si>
    <t>泽曜</t>
  </si>
  <si>
    <t>开胃酒;⽩酒;果酒（含酒精）;鸡尾酒;⽶酒;烧酒;汽酒;烈酒（饮料）;含⽔果酒精饮料;葡萄酒</t>
  </si>
  <si>
    <t>尚礼盈</t>
  </si>
  <si>
    <t>薄荷酒;⽩兰地;⽩酒;⽶酒;烧酒;烈酒（饮料）;葡萄酒;威⼠忌;⻩酒;果酒（含酒精）</t>
  </si>
  <si>
    <t>北京日丰园林绿化有限公司</t>
  </si>
  <si>
    <t>丹枫宝元</t>
  </si>
  <si>
    <t>⻩酒;含酒精的饮料（啤酒除外）;苦味酒;樱桃酒;餐后酒（利⼝酒和烈酒）;混合威⼠忌酒;葡萄酒;⾕物制蒸馏酒精饮料;茴⾹酒;预先混合的酒精饮料（以啤酒为主的除外）</t>
  </si>
  <si>
    <t>巨蟹之梦</t>
  </si>
  <si>
    <t>酒精饮料（啤酒除外）;葡萄酒;酸酒（低等葡萄酒）;酒精饮料原汁;利⼝酒;果酒（含酒精）;⻩酒;烈酒（饮料）;烧酒;开胃酒</t>
  </si>
  <si>
    <t>原村叶脉</t>
  </si>
  <si>
    <t>开胃酒;葡萄酒;酒精饮料（啤酒除外）;蒸馏饮料;⾕物制蒸馏酒精饮料;清酒（⽇本⽶酒）;⽶酒;⻩酒;⽩酒;鸡尾酒</t>
  </si>
  <si>
    <t>刘文涛</t>
  </si>
  <si>
    <t>花房万家</t>
  </si>
  <si>
    <t>烧酒;⾷⽤酒精;⽩酒;果酒（含酒精）;蜂蜜酒;葡萄酒;⽼酒（中国蒸馏烈酒）;⽶酒;烈酒;甜酒</t>
  </si>
  <si>
    <t>深圳市米泰包装设计有限公司</t>
  </si>
  <si>
    <t>娲妍</t>
  </si>
  <si>
    <t>汽酒;⻩酒;清酒;果酒;烈酒;利⼝酒;威⼠忌;⽩酒;⽩兰地;葡萄酒</t>
  </si>
  <si>
    <t>完达山完美人生</t>
  </si>
  <si>
    <t>预先混合的酒精饮料（以啤酒为主的除外）;鸡尾酒;⽩酒;⻩酒;⾷⽤酒精;葡萄酒;烈酒（饮料）;酒精饮料（啤酒除外）;⽶酒;果酒（含酒精）</t>
  </si>
  <si>
    <t>甄桅桅</t>
  </si>
  <si>
    <t>土韵故乡情</t>
  </si>
  <si>
    <t>⽶酒;以葡萄酒为主的饮料;烈酒（饮料）;果酒（含酒精）;葡萄酒;汽酒;鸡尾酒;开胃酒;⽩酒;含⽔果酒精饮料</t>
  </si>
  <si>
    <t>姚河</t>
  </si>
  <si>
    <t>达乡春</t>
  </si>
  <si>
    <t>⽩⼲酒（中国⽩酒）;⾕物制蒸馏酒精饮料;以葡萄酒为主的饮料;⾷⽤酒精;果酒;果酒（含酒精）;烧酒;⽩酒;含酒精的⽔果鸡尾酒饮料;由⾕物蒸馏的⽩酒</t>
  </si>
  <si>
    <t>赤商</t>
  </si>
  <si>
    <t>⽶酒;梨酒;清酒（⽇本⽶酒）;⽩酒;⻩酒;⻘稞酒;利⼝酒;开胃酒;烧酒;葡萄酒</t>
  </si>
  <si>
    <t>理光</t>
  </si>
  <si>
    <t>酒精饮料浓缩汁;加烈葡萄酒;以葡萄酒为主的饮料;调制好的葡萄酒鸡尾酒;⽩酒;桃红葡萄酒;⽶酒;葡萄酒;葡萄汽酒;加⾹料的热葡萄酒</t>
  </si>
  <si>
    <t>利川市瑞进生态农业开发有限公司</t>
  </si>
  <si>
    <t>甘茗溪</t>
  </si>
  <si>
    <t>含⽔果酒精饮料;⻩酒;利⼝酒;⽶酒;⽩酒;烈酒;柑⾹酒;葡萄酒;蜂蜜酒;果酒（含酒精）</t>
  </si>
  <si>
    <t>贵州柳氏酒业贸易有限公司</t>
  </si>
  <si>
    <t>柳班长</t>
  </si>
  <si>
    <t>烈酒（饮料）;酒精饮料（啤酒除外）;烧酒;葡萄酒;⽶酒;果酒（含酒精）;威⼠忌;鸡尾酒;蒸馏饮料;⽩酒</t>
  </si>
  <si>
    <t>寅伯</t>
  </si>
  <si>
    <t>果酒（含酒精）;伏特加酒;⻩酒;餐后酒（利⼝酒和烈酒）;烈酒（饮料）;⽶酒;鸡尾酒;葡萄酒;苦味酒;含⽔果酒精饮料</t>
  </si>
  <si>
    <t>中世华医（北京）健康管理有限公司</t>
  </si>
  <si>
    <t>袭夺河</t>
  </si>
  <si>
    <t>汽酒;⾷⽤酒精;烧酒;果酒（含酒精）;葡萄酒;⽩酒;蒸馏饮料;酒精饮料（啤酒除外）;⻩酒;⽶酒</t>
  </si>
  <si>
    <t>广州市黑骑贸易有限公司</t>
  </si>
  <si>
    <t>特萌姐姐 TEMJJ</t>
  </si>
  <si>
    <t>果酒（含酒精）;酒精饮料（啤酒除外）;鸡尾酒;⽔果汽酒;⻘梅酒;汽酒;⽩酒;梨酒;甜果酒;清酒</t>
  </si>
  <si>
    <t>成都箐花驰商贸有限公司</t>
  </si>
  <si>
    <t>引想</t>
  </si>
  <si>
    <t>果酒（含酒精）;蒸馏饮料;葡萄酒;酸酒（低等葡萄酒）;汽酒;⻩酒;⽩酒;⽶酒;酒精饮料浓缩汁;⾷⽤酒精</t>
  </si>
  <si>
    <t>容信（辽宁）国际贸易有限公司</t>
  </si>
  <si>
    <t>近意</t>
  </si>
  <si>
    <t>烈酒（饮料）;⽶酒;苹果酒;烧酒;威⼠忌;⽩酒;⽩兰地;鸡尾酒;葡萄酒;果酒（含酒精）</t>
  </si>
  <si>
    <t>裕时归</t>
  </si>
  <si>
    <t>⾼粱酒;⽶酒;烈酒（饮料）;⻩酒;葡萄酒;⽩酒;果酒;含酒精的⽔果鸡尾酒饮料;烧酒;⽩兰地</t>
  </si>
  <si>
    <t>晋宁昆阳张良花卉专业合作社</t>
  </si>
  <si>
    <t>蜂蜜酒;⾕物制蒸馏酒精饮料;蒸馏饮料;葡萄酒;含酒精⽔果饮料;⾷⽤酒精;⽶酒;含酒精的⽓泡⽔;⽩酒;果酒（含酒精）</t>
  </si>
  <si>
    <t>上海红桥画廊有限公司</t>
  </si>
  <si>
    <t>居达</t>
  </si>
  <si>
    <t>⻘稞酒;⽶酒;葡萄酒;伏特加酒;清酒（⽇本⽶酒）;⽩兰地;蒸馏饮料;⻩酒;鸡尾酒;威⼠忌</t>
  </si>
  <si>
    <t>深圳市萤火星空品牌运营集团有限公司</t>
  </si>
  <si>
    <t>定匠山</t>
  </si>
  <si>
    <t>葡萄酒;烈酒（饮料）;含水果酒精饮料;汽酒;米酒;烧酒;白酒;果酒（含酒精）;酒精饮料（啤酒除外）;黄酒</t>
  </si>
  <si>
    <t>湖南省财信建设工程有限公司</t>
  </si>
  <si>
    <t>爱福金樽</t>
  </si>
  <si>
    <t>鸡尾酒; 白兰地; 葡萄酒; 白酒; 汽酒; 利口酒; 梨酒; 威士忌; 烧酒; 果酒（含酒精）</t>
  </si>
  <si>
    <t>娄龙</t>
  </si>
  <si>
    <t>水坝塘窖酒</t>
  </si>
  <si>
    <t>果酒（含酒精）;葡萄酒;威⼠忌;开胃酒;⻩酒;含⽔果酒精饮料;⽩酒;薄荷酒;酒精饮料（啤酒除外）;蒸馏饮料</t>
  </si>
  <si>
    <t>杨丽珍</t>
  </si>
  <si>
    <t>归花</t>
  </si>
  <si>
    <t>果酒（含酒精）;葡萄酒;清酒（⽇本⽶酒）;⻩酒;开胃酒;⻘稞酒;⽩酒;⽶酒;烧酒;梅酒</t>
  </si>
  <si>
    <t>星海餐饮有限公司</t>
  </si>
  <si>
    <t>莱生鹿</t>
  </si>
  <si>
    <t>葡萄酒;酒精饮料（啤酒除外）;鸡尾酒;⽩酒;⽩兰地;⽶酒;⻩酒;⾷⽤酒精;果酒（含酒精）;含⽔果酒精饮料</t>
  </si>
  <si>
    <t>WILD FABRE</t>
  </si>
  <si>
    <t>⽩酒;果酒（含酒精）;威⼠忌;鸡尾酒;⽶酒;酒精饮料（啤酒除外）;开胃酒;⾷⽤酒精;葡萄酒;烧酒</t>
  </si>
  <si>
    <t>尚昱</t>
  </si>
  <si>
    <t>蒸煮提取物（利⼝酒和烈酒）;酒精饮料（啤酒除外）;预先混合的酒精饮料（以啤酒为主的除外）;⽩酒;蜂蜜酒;苹果酒;烧酒;果酒（含酒精）;葡萄酒;蒸馏饮料</t>
  </si>
  <si>
    <t>刘梦琪</t>
  </si>
  <si>
    <t>停舟探香</t>
  </si>
  <si>
    <t>果酒（含酒精）;鸡尾酒;葡萄酒;⽩兰地;⽩酒;烧酒;清酒（⽇本⽶酒）;⽶酒;威⼠忌;伏特加酒;⻩酒;露酒</t>
  </si>
  <si>
    <t>广州市雀后酒业科技有限公司</t>
  </si>
  <si>
    <t>雀后</t>
  </si>
  <si>
    <t>含⽔果酒精饮料;烧酒;⽩酒;烈酒浓缩汁;果酒（含酒精）;⽶酒;清酒;⾼粱酒;由⾕物蒸馏的⽩酒;⻘稞酒</t>
  </si>
  <si>
    <t>杨亚平</t>
  </si>
  <si>
    <t>阳羡田</t>
  </si>
  <si>
    <t>烈酒（饮料）;⽩酒;威⼠忌;开胃酒;葡萄酒;⻩酒;烧酒;⽶酒;鸡尾酒;果酒（含酒精）</t>
  </si>
  <si>
    <t>深圳中路科技有限公司</t>
  </si>
  <si>
    <t>清酒（⽇本⽶酒）;含⽔果酒精饮料;酒精饮料浓缩汁;果酒（含酒精）;酒精饮料（啤酒除外）;⽩酒;⻩酒;利⼝酒;葡萄酒;烈酒（饮料）</t>
  </si>
  <si>
    <t>郑州茗洋供应链管理有限公司</t>
  </si>
  <si>
    <t>酉南山</t>
  </si>
  <si>
    <t>⻩酒;汽酒;含酒精的饮料（啤酒除外）;⾷⽤酒精;果酒（含酒精）;酒精饮料原汁;⽶酒;蜂蜜酒;葡萄酒;⽩酒</t>
  </si>
  <si>
    <t>宜春陆婶食品有限公司</t>
  </si>
  <si>
    <t>陆婶婶</t>
  </si>
  <si>
    <t>烧酒;⻩酒;⽩酒;⻘稞酒;⾼粱酒;⽼酒（中国蒸馏烈酒）;露酒;⽶酒;葡萄酒;果酒</t>
  </si>
  <si>
    <t>科右中旗天泽酒业有限公司</t>
  </si>
  <si>
    <t>乌呐</t>
  </si>
  <si>
    <t>利⼝酒;含⽔果酒精饮料;酒精饮料（啤酒除外）;⾷⽤酒精;烈酒（饮料）;⽼酒（中国蒸馏烈酒）;烧酒;酒精饮料原汁;葡萄酒;⽩酒</t>
  </si>
  <si>
    <t>青云莲</t>
  </si>
  <si>
    <t>烧酒;⻩酒;威⼠忌;⽩兰地;鸡尾酒;⽶酒;葡萄酒;甜酒;⽩酒;果酒（含酒精）</t>
  </si>
  <si>
    <t>重庆文阿妹食品有限公司</t>
  </si>
  <si>
    <t>文阿妹</t>
  </si>
  <si>
    <t>⽶酒;⽩酒;葡萄酒;果酒;⻘梅酒;柑⾹酒;果酒（含酒精）;⾼粱酒;⽩葡萄酒;苦荞酒</t>
  </si>
  <si>
    <t>李永奎</t>
  </si>
  <si>
    <t>何品贺</t>
  </si>
  <si>
    <t>利⼝酒;含⽔果酒精饮料;汽酒;含酒精的饮料（啤酒除外）;烧酒;清酒;果酒（含酒精）;葡萄酒;烈酒（饮料）;⽩酒</t>
  </si>
  <si>
    <t>黔庄状元楼</t>
  </si>
  <si>
    <t>⽩酒;清酒;烧酒;鸡尾酒;⻩酒;烧酒（烈酒）;⽶酒;葡萄酒;伏特加酒;汽酒</t>
  </si>
  <si>
    <t>内蒙古北茅酒业有限公司</t>
  </si>
  <si>
    <t>燕北芝派</t>
  </si>
  <si>
    <t>果酒（含酒精）;利⼝酒;烈酒（饮料）;⽶酒;葡萄酒;烧酒;蒸煮提取物（利⼝酒和烈酒）;⽩酒;开胃酒;酒精饮料（啤酒除外）</t>
  </si>
  <si>
    <t>任瑞海</t>
  </si>
  <si>
    <t>眉仙</t>
  </si>
  <si>
    <t>烧酒;⽩酒;葡萄酒;⻩酒;⽩兰地;⽶酒;⻘稞酒;果酒（含酒精）;酒精饮料（啤酒除外）;清酒</t>
  </si>
  <si>
    <t>曲阳县兄弟酒厂</t>
  </si>
  <si>
    <t>⽼酒（中国蒸馏烈酒）;烧酒;⾼粱酒;⽶酒;杨梅酒;⽩酒;⽩葡萄酒;酒精饮料（啤酒除外）;⻩酒;烧酒（烈酒）</t>
  </si>
  <si>
    <t>苗苗红</t>
  </si>
  <si>
    <t>鸡尾酒;预先混合的酒精饮料（以啤酒为主的除外）;⻘稞酒;果酒（含酒精）;⽶酒;⽩酒;酒精饮料（啤酒除外）;蜂蜜酒;⻩酒;开胃酒</t>
  </si>
  <si>
    <t>赵振忠</t>
  </si>
  <si>
    <t>阜灶坊</t>
  </si>
  <si>
    <t>含⽔果酒精饮料;⽶酒;预先混合的酒精饮料（以啤酒为主的除外）;果酒;鸡尾酒;⽩兰地;⽩酒;烧酒;葡萄酒;⻩酒</t>
  </si>
  <si>
    <t>谭永俊</t>
  </si>
  <si>
    <t>福小品</t>
  </si>
  <si>
    <t>鸡尾酒;果酒（含酒精）;⽩酒;⻩酒;清酒（⽇本⽶酒）;⽶酒;葡萄酒;利⼝酒;开胃酒;酒精饮料（啤酒除外）</t>
  </si>
  <si>
    <t>衡昌上品</t>
  </si>
  <si>
    <t>⽩⼲酒（中国⽩酒）;⾼粱酒;开胃酒;葡萄酒;⻘稞酒;⻩酒;含⽔果酒精饮料;⽶酒;⽩酒;烧酒</t>
  </si>
  <si>
    <t>董良辰</t>
  </si>
  <si>
    <t>⽩酒;⾼粱酒;⻩酒;⽩兰地;烧酒;果酒;葡萄酒;烈酒（饮料）;含酒精的⽔果鸡尾酒饮料;⽶酒</t>
  </si>
  <si>
    <t>谭明伟</t>
  </si>
  <si>
    <t>咪娜</t>
  </si>
  <si>
    <t>清酒（⽇本⽶酒）;⽶酒;鸡尾酒;⽩酒;酒精饮料（啤酒除外）;烧酒;葡萄酒;⻩酒;烈酒（饮料）;果酒</t>
  </si>
  <si>
    <t>张颖</t>
  </si>
  <si>
    <t>燚昇</t>
  </si>
  <si>
    <t>⽩酒;葡萄酒;甜酒;⽩⼲酒（中国⽩酒）;⻩酒;由⾕物蒸馏的⽩酒;⾼粱酒;果酒;清酒;⽼酒（中国蒸馏烈酒）</t>
  </si>
  <si>
    <t>湖北未来家园高科技农业股份有限公司</t>
  </si>
  <si>
    <t>雨弘一方</t>
  </si>
  <si>
    <t>不起泡葡萄酒;甜酒;⽩酒;⻘稞酒;果酒（含酒精）;伏特加酒;含酒精的鸡尾酒混合饮品;预先混合的酒精饮料（以啤酒为主的除外）;红葡萄酒;烈酒（饮料）</t>
  </si>
  <si>
    <t>贵州仁怀九兵酒业销售有限公司</t>
  </si>
  <si>
    <t>紫墨花开</t>
  </si>
  <si>
    <t>葡萄酒;⾕物制蒸馏酒精饮料;利⼝酒;⽶酒;酒精饮料原汁;烧酒;烈酒;⽼酒（中国蒸馏烈酒）;⽩酒;果酒</t>
  </si>
  <si>
    <t>周锴龙</t>
  </si>
  <si>
    <t>必早</t>
  </si>
  <si>
    <t>⽶酒;⾷⽤酒精;开胃酒;果酒;汽酒;⽩酒;⻩酒;葡萄酒;清酒;甜酒</t>
  </si>
  <si>
    <t>福建戴斯酒业股份有限公司</t>
  </si>
  <si>
    <t>环澳天鹅</t>
  </si>
  <si>
    <t>烈酒（饮料）;⽩酒;葡萄酒;⾷⽤酒精;⻩酒;酒精饮料（啤酒除外）;蒸馏饮料;果酒（含酒精）;⽶酒;威⼠忌</t>
  </si>
  <si>
    <t>京顺升</t>
  </si>
  <si>
    <t>烈酒（饮料）;威⼠忌;⽩酒;⻩酒;⽶酒;鸡尾酒;葡萄酒;利⼝酒;⽩兰地;果酒（含酒精）</t>
  </si>
  <si>
    <t>祝日丽</t>
  </si>
  <si>
    <t>子夏于</t>
  </si>
  <si>
    <t>⽩酒;⾕物制蒸馏酒精饮料;⻩酒;蒸馏饮料;苹果酒;开胃酒;以葡萄酒为主的饮料;葡萄酒;⾷⽤酒精;餐后酒（利⼝酒和烈酒）</t>
  </si>
  <si>
    <t>安町供应链（深圳）有限公司</t>
  </si>
  <si>
    <t>俱作</t>
  </si>
  <si>
    <t>清酒（⽇本⽶酒）;预先混合的酒精饮料（以啤酒为主的除外）;⽩酒;威⼠忌;蒸馏饮料;果酒（含酒精）;葡萄酒;⽶酒;鸡尾酒;酒精饮料（啤酒除外）</t>
  </si>
  <si>
    <t>高德恩</t>
  </si>
  <si>
    <t>卓忆烧坊</t>
  </si>
  <si>
    <t>烈酒（饮料）;⾷⽤酒精;果酒（含酒精）;酒精饮料（啤酒除外）;⽩酒;烧酒;含⽔果酒精饮料;开胃酒;清酒（⽇本⽶酒）;⽶酒</t>
  </si>
  <si>
    <t>潮州市集源供应链管理有限公司</t>
  </si>
  <si>
    <t>铥贡</t>
  </si>
  <si>
    <t>蜂蜜酒;烈酒;清酒;果酒（含酒精）;⽶酒;⻩酒;蒸煮提取物（利⼝酒和烈酒）;酒精饮料浓缩汁;⾷⽤酒精;蒸馏饮料</t>
  </si>
  <si>
    <t>东莞市黄江韵上茗商贸行（个体工商户）</t>
  </si>
  <si>
    <t>寻龙盏</t>
  </si>
  <si>
    <t>餐后酒（利⼝酒和烈酒）;葡萄酒;⽩酒;⽶酒;⾕物制蒸馏酒精饮料;蜂蜜酒;⽩兰地;威⼠忌;⻩酒;果酒（含酒精）</t>
  </si>
  <si>
    <t>中经智谷咨询有限公司</t>
  </si>
  <si>
    <t>中经智谷</t>
  </si>
  <si>
    <t>果酒（含酒精）;⻩酒;⽩兰地;⽩酒;烧酒;烈酒（饮料）;梨酒;威⼠忌;⽶酒;开胃酒</t>
  </si>
  <si>
    <t>贵州省仁怀市酿庄酒业有限公司</t>
  </si>
  <si>
    <t>龘圳</t>
  </si>
  <si>
    <t>⽶酒;果酒;清酒;⽩酒;⽩⼲酒（中国⽩酒）;⽩葡萄酒;杨梅酒;烧酒;⾼粱酒;⻩酒</t>
  </si>
  <si>
    <t>中优智控自动化（上海）有限公司</t>
  </si>
  <si>
    <t>炎府</t>
  </si>
  <si>
    <t>鸡尾酒;⻩酒;开胃酒;果酒（含酒精）;烈酒;清酒（⽇本⽶酒）;葡萄酒;威⼠忌;⽩酒;酒精饮料（啤酒除外）</t>
  </si>
  <si>
    <t>刘桂琴</t>
  </si>
  <si>
    <t>丹芳家窖</t>
  </si>
  <si>
    <t>果酒（含酒精）;清酒;⽶酒;⽩酒;红葡萄酒;葡萄酒;酒精饮料（啤酒除外）;⻩酒;⽩葡萄酒;⾼粱酒</t>
  </si>
  <si>
    <t>王金金</t>
  </si>
  <si>
    <t>汤源</t>
  </si>
  <si>
    <t>⽩酒;清酒（⽇本⽶酒）;含⽔果酒精饮料;⽶酒;烧酒;鸡尾酒;⻩酒;葡萄酒;酒精饮料（啤酒除外）;果酒（含酒精）</t>
  </si>
  <si>
    <t>大酒匠有限公司</t>
  </si>
  <si>
    <t>春牛图</t>
  </si>
  <si>
    <t>含⽔果酒精饮料;果酒（含酒精）;⻩酒;⾕物制蒸馏酒精饮料;⽩酒;烈酒（饮料）;葡萄酒;⽶酒;酒精饮料（啤酒除外）;开胃酒</t>
  </si>
  <si>
    <t>北京慧海天宸商贸有限公司</t>
  </si>
  <si>
    <t>慧海&amp;天宸</t>
  </si>
  <si>
    <t>烧酒（烈酒）;⽩酒;含⽔果酒精饮料;⽼酒（中国蒸馏烈酒）;以蒸馏酒为主的开胃酒;⻩酒;⻘稞酒;⾷⽤酒精;含酒精的⽓泡⽔;⾼粱酒</t>
  </si>
  <si>
    <t>巴克斯科技集团有限公司</t>
  </si>
  <si>
    <t>酒精饮料原汁;朝鲜族⽶酒;含酒精⽔果饮料;含酒精的充⽓饮料（啤酒除外）;鸡尾酒;果酒（含酒精）;⽩酒;蒸馏饮料;朝鲜烧酒;蜂蜜酒</t>
  </si>
  <si>
    <t>西咸新区空港新城聪慕佩百货店</t>
  </si>
  <si>
    <t>十帝骄子</t>
  </si>
  <si>
    <t>鸡尾酒;梨酒;⽶酒;⽩酒;⻩酒;葡萄酒;⽩兰地;开胃酒;樱桃酒;烧酒</t>
  </si>
  <si>
    <t>八门骄子</t>
  </si>
  <si>
    <t>清酒（⽇本⽶酒）;果酒（含酒精）;⾕物制蒸馏酒精饮料;烈酒（饮料）;蜂蜜酒;⽶酒;酒精饮料（啤酒除外）;⻩酒;⽩酒;烧酒</t>
  </si>
  <si>
    <t>久闻骄子</t>
  </si>
  <si>
    <t>开胃酒;鸡尾酒;果酒（含酒精）;清酒（⽇本⽶酒）;葡萄酒;⽩酒;酒精饮料（啤酒除外）;烧酒;⽶酒;⽩兰地</t>
  </si>
  <si>
    <t>诗中骄子</t>
  </si>
  <si>
    <t>烈酒;开胃酒;果酒（含酒精）;清酒（⽇本⽶酒）;鸡尾酒;酒精饮料（啤酒除外）;⻩酒;威⼠忌;⽩酒;葡萄酒</t>
  </si>
  <si>
    <t>山东五粮酒业有限公司</t>
  </si>
  <si>
    <t>开胃酒;利⼝酒;葡萄酒;⽩酒;含⽔果酒精饮料;烧酒;⽩兰地;果酒（含酒精）;酒精饮料（啤酒除外）;⾷⽤酒精</t>
  </si>
  <si>
    <t>河北瑞熠天淀粉制造有限公司</t>
  </si>
  <si>
    <t>易谷思田</t>
  </si>
  <si>
    <t>含⽔果酒精饮料;⽩酒;果酒（含酒精）;酒精饮料（啤酒除外）;鸡尾酒;⾷⽤酒精;蒸馏饮料;烧酒;蒸煮提取物（利⼝酒和烈酒）;葡萄酒</t>
  </si>
  <si>
    <t>牛魔大丸</t>
  </si>
  <si>
    <t>葡萄酒;开胃酒;酒精饮料（啤酒除外）;⽶酒;果酒（含酒精）;鸡尾酒;⾷⽤酒精;蒸馏饮料;⽩酒;含⽔果酒精饮料</t>
  </si>
  <si>
    <t>唐山曹雪芹酒业有限公司</t>
  </si>
  <si>
    <t>雪芹故里</t>
  </si>
  <si>
    <t>⽩酒;佐餐酒;烧酒;⽩⼲酒（中国⽩酒）;利⼝酒;酒精饮料原汁;蒸馏饮料;⽼酒（中国蒸馏烈酒）;果酒;开胃酒</t>
  </si>
  <si>
    <t>湖北古帝乡酒业有限公司</t>
  </si>
  <si>
    <t>襄识</t>
  </si>
  <si>
    <t>⻩酒;葡萄酒;⽩酒;清酒（⽇本⽶酒）;⽢蔗制酒精饮料;以葡萄酒为主的饮料;果酒（含酒精）;⽶酒;酒精饮料（啤酒除外）;⾕物制蒸馏酒精饮料</t>
  </si>
  <si>
    <t>冉慧</t>
  </si>
  <si>
    <t>青酒龙韵九州</t>
  </si>
  <si>
    <t>烈酒;⾼粱酒;⽩酒;⽶酒;⻩酒;果酒;鸡尾酒;葡萄酒;已调味的蒸馏酒;烧酒</t>
  </si>
  <si>
    <t>胡维</t>
  </si>
  <si>
    <t>胡爹家</t>
  </si>
  <si>
    <t>烈酒（饮料）;烧酒;⻩酒;甜酒;蜂蜜酒;⾷⽤酒精;⽶酒;⽩酒;果酒;葡萄酒</t>
  </si>
  <si>
    <t>包头市岚创商贸有限公司</t>
  </si>
  <si>
    <t>爱游天下严选</t>
  </si>
  <si>
    <t>⽶酒;葡萄酒;蒸馏饮料;果酒;除啤酒外的酒精饮料;蜂蜜酒;甜酒;⽩酒;含⽔果酒精饮料;⻩酒</t>
  </si>
  <si>
    <t>厦门顶誉食品有限公司</t>
  </si>
  <si>
    <t>妙芙心语</t>
  </si>
  <si>
    <t>开胃酒;含⽔果酒精饮料;葡萄酒;威⼠忌;酒精饮料（啤酒除外）;果酒;烈酒（饮料）;⽩兰地;烧酒;⻩酒</t>
  </si>
  <si>
    <t>许春燕</t>
  </si>
  <si>
    <t>醉忆涔</t>
  </si>
  <si>
    <t>⻩酒;果酒;⽶酒;烈酒;⽩酒;⽩葡萄酒;清酒;红葡萄酒;葡萄酒;汽酒</t>
  </si>
  <si>
    <t>宿度</t>
  </si>
  <si>
    <t>果酒（含酒精）;樱桃酒;烧酒;开胃酒;蜂蜜酒;苹果酒;⻩酒;⽩酒;葡萄酒;梨酒</t>
  </si>
  <si>
    <t>五华区尖河百货店</t>
  </si>
  <si>
    <t>宾之骄子</t>
  </si>
  <si>
    <t>清酒（⽇本⽶酒）;⽩兰地;葡萄酒;酒精饮料（啤酒除外）;鸡尾酒;开胃酒;果酒（含酒精）;⽩酒;烧酒;⽶酒</t>
  </si>
  <si>
    <t>山东燕瑞宁贸易有限公司</t>
  </si>
  <si>
    <t>燕瑞宁</t>
  </si>
  <si>
    <t>果酒（含酒精）;葡萄酒;蜂蜜酒;烧酒;⻩酒;⾼粱酒;⽶酒;⽩酒;烈酒（饮料）;清酒</t>
  </si>
  <si>
    <t>内蒙古月露食品有限责任公司</t>
  </si>
  <si>
    <t>瀚海黄河湾</t>
  </si>
  <si>
    <t>⽶酒;鸡尾酒;酒精饮料（啤酒除外）;烈酒（饮料）;酒精饮料原汁;葡萄酒;威⼠忌;清酒（⽇本⽶酒）;伏特加酒;⽩酒</t>
  </si>
  <si>
    <t>丹阳市盈天酒业有限公司</t>
  </si>
  <si>
    <t>盈曜天承</t>
  </si>
  <si>
    <t>鸡尾酒;葡萄酒;⽶酒;⻩酒;⽩酒;开胃酒;酒精饮料（啤酒除外）;烧酒;含酒精的⽓泡⽔;果酒（含酒精）</t>
  </si>
  <si>
    <t>贵州昊曦台酒业有限公司</t>
  </si>
  <si>
    <t>昊曦台</t>
  </si>
  <si>
    <t>鸡尾酒;果酒（含酒精）;开胃酒;酒精饮料（啤酒除外）;⽶酒;葡萄酒;烧酒;烈酒;⽩酒;利⼝酒</t>
  </si>
  <si>
    <t>王哲</t>
  </si>
  <si>
    <t>鹿灵溪畔</t>
  </si>
  <si>
    <t>利⼝酒;⽶酒;⾼粱酒;⻩酒;葡萄酒;烈酒;⽩酒;烧酒;蜂蜜酒;预先混合的酒精饮料（以啤酒为主的除外）</t>
  </si>
  <si>
    <t>上海鏊裕文化传媒有限公司</t>
  </si>
  <si>
    <t>橙煶</t>
  </si>
  <si>
    <t>⽩酒;⻩酒;葡萄酒;烈酒;含⽔果酒精饮料;清酒;⾷⽤酒精;⽶酒;含酒精的⽓泡⽔;开胃酒</t>
  </si>
  <si>
    <t>通福龙</t>
  </si>
  <si>
    <t>烧酒;⼲型苹果酒;果酒;⻩酒;葡萄酒;⽩酒;威⼠忌;酒精饮料（啤酒除外）;⽼酒（中国蒸馏烈酒）;⻘稞酒</t>
  </si>
  <si>
    <t>山东东飞商贸有限公司</t>
  </si>
  <si>
    <t>淘酒缘</t>
  </si>
  <si>
    <t>鸡尾酒;酒精饮料（啤酒除外）;烧酒;⽶酒;葡萄酒;果酒（含酒精）;⻩酒;清酒（⽇本⽶酒）;⾷⽤酒精;⽩酒</t>
  </si>
  <si>
    <t>莲池区大乐品牌咨询中心</t>
  </si>
  <si>
    <t>观吉祥</t>
  </si>
  <si>
    <t>葡萄酒;清酒;酒精饮料（啤酒除外）;⾷⽤酒精;⻩酒;果酒（含酒精）;⽶酒;酒精饮料浓缩汁;⽩酒;蒸馏饮料</t>
  </si>
  <si>
    <t>周口百斯特威酒业有限公司</t>
  </si>
  <si>
    <t>巴顿袋鼠王</t>
  </si>
  <si>
    <t>⻩酒;露酒;⽶酒;葡萄酒;鸡尾酒;汽酒;⽩酒;梅酒;利⼝酒;果酒</t>
  </si>
  <si>
    <t>明古京</t>
  </si>
  <si>
    <t>果酒;烈酒（饮料）;葡萄酒;⽩酒;烧酒;威⼠忌;⽶酒;⻩酒;清酒（⽇本⽶酒）;⽩兰地</t>
  </si>
  <si>
    <t>贵州任酱酒业有限公司</t>
  </si>
  <si>
    <t>任信荟</t>
  </si>
  <si>
    <t>⽩酒;葡萄酒;⾼粱酒;鸡尾酒;⾷⽤酒精;酒精饮料（啤酒除外）;烈酒（饮料）;烈酒;⻩酒;果酒</t>
  </si>
  <si>
    <t>李海秀</t>
  </si>
  <si>
    <t>福德海</t>
  </si>
  <si>
    <t>⽩酒;⽶酒;⻩酒;烈酒（饮料）;葡萄酒;威⼠忌;果酒（含酒精）;烧酒;⻘稞酒;鸡尾酒</t>
  </si>
  <si>
    <t>梅酒;⻩酒;烈酒（饮料）;⽩酒;葡萄酒;威⼠忌;⽶酒;烧酒;果酒（含酒精）;甜酒</t>
  </si>
  <si>
    <t>蜀古京</t>
  </si>
  <si>
    <t>⽩酒;⽩兰地;威⼠忌;清酒（⽇本⽶酒）;烈酒（饮料）;葡萄酒;烧酒;⻩酒;⽶酒;果酒</t>
  </si>
  <si>
    <t>宋古京</t>
  </si>
  <si>
    <t>⻩酒;果酒;⽶酒;⽩酒;⽩兰地;威⼠忌;清酒（⽇本⽶酒）;烧酒;烈酒（饮料）;葡萄酒</t>
  </si>
  <si>
    <t>元古京</t>
  </si>
  <si>
    <t>⽩酒;烧酒;威⼠忌;清酒（⽇本⽶酒）;⽩兰地;果酒;⽶酒;烈酒（饮料）;葡萄酒;⻩酒</t>
  </si>
  <si>
    <t>健争</t>
  </si>
  <si>
    <t>葡萄酒;⻩酒;⽶酒;鸡尾酒;烧酒;⽩酒;酒精饮料（啤酒除外）;烈酒（饮料）;果酒（含酒精）;清酒（⽇本⽶酒）</t>
  </si>
  <si>
    <t>亚特兰特（山西）精酿啤酒有限公司</t>
  </si>
  <si>
    <t>⽩酒;鸡尾酒;烈酒（饮料）;⽩兰地;酒精饮料（啤酒除外）;⻩酒;蜂蜜酒;果酒（含酒精）;葡萄酒;含⽔果酒精饮料</t>
  </si>
  <si>
    <t>威海天骏生物科技有限公司</t>
  </si>
  <si>
    <t>东方昆嵛</t>
  </si>
  <si>
    <t>烈酒（饮料）;⽶酒;清酒;果酒（含酒精）;薄荷酒;⾼粱酒;⽩酒;酒精饮料（啤酒除外）;葡萄酒;⻩酒</t>
  </si>
  <si>
    <t>太平鸟集团有限公司</t>
  </si>
  <si>
    <t>太平鸟 PEACEBIRD</t>
  </si>
  <si>
    <t>威⼠忌;⽶酒;清酒;⽩酒;⾷⽤酒精;伏特加酒;烧酒;果酒;葡萄酒;⻩酒</t>
  </si>
  <si>
    <t>董安福</t>
  </si>
  <si>
    <t>唐酩珠</t>
  </si>
  <si>
    <t>威⼠忌;烈酒;清酒（⽇本⽶酒）;⽩酒;葡萄酒;鸡尾酒;酒精饮料（啤酒除外）;⻩酒;开胃酒;果酒（含酒精）</t>
  </si>
  <si>
    <t>罗飞513022********2739</t>
  </si>
  <si>
    <t>MCM</t>
  </si>
  <si>
    <t>伏特加酒;烧酒;⽶酒;葡萄酒;茴⾹酒（利⼝酒）;果酒（含酒精）;⽩酒;鸡尾酒;梨酒;威⼠忌</t>
  </si>
  <si>
    <t>湖南英菲钓具有限公司</t>
  </si>
  <si>
    <t>那复</t>
  </si>
  <si>
    <t>清酒;烈酒（饮料）;果酒;汽酒;酒精饮料浓缩汁;⽶酒;威⼠忌;酒精饮料（啤酒除外）;葡萄酒;烧酒</t>
  </si>
  <si>
    <t>魏正泰</t>
  </si>
  <si>
    <t>卷晓</t>
  </si>
  <si>
    <t>清酒（⽇本⽶酒）;酒精饮料（啤酒除外）;⽩酒;伏特加酒;⽶酒;烧酒;露酒;葡萄酒;烈酒（饮料）;含⽔果酒精饮料</t>
  </si>
  <si>
    <t>北京茅驻京酒业发展有限公司</t>
  </si>
  <si>
    <t>龙场格物揽月</t>
  </si>
  <si>
    <t>清酒;烈酒;⽩⼲酒（中国⽩酒）;⽩酒;葡萄酒;蜂蜜酒;鸡尾酒;利⼝酒;果酒;梨酒</t>
  </si>
  <si>
    <t>爵界</t>
  </si>
  <si>
    <t>威⼠忌;果酒（含酒精）;烈酒;清酒（⽇本⽶酒）;⻩酒;开胃酒;葡萄酒;鸡尾酒;⽩酒;酒精饮料（啤酒除外）</t>
  </si>
  <si>
    <t>托峰云尚</t>
  </si>
  <si>
    <t>⽩酒;酒精饮料原汁;⽶酒;烧酒;苹果酒;⽩葡萄酒;果酒（含酒精）;烈酒（饮料）;⻘稞酒;红葡萄酒</t>
  </si>
  <si>
    <t>陈美香</t>
  </si>
  <si>
    <t>慢来缘</t>
  </si>
  <si>
    <t>威⼠忌;⽩酒;葡萄酒;⾕物制蒸馏酒精饮料;⽶酒;⻩酒;烧酒;汽酒;果酒（含酒精）</t>
  </si>
  <si>
    <t>四川池书人人教育管理集团有限公司</t>
  </si>
  <si>
    <t>芸帙</t>
  </si>
  <si>
    <t>汽酒;含酒精的饮料（啤酒除外）;甜果酒;含⽔果酒精饮料;⽩⼲酒（中国⽩酒）;果酒（含酒精）;开胃酒;⾕物制蒸馏酒精饮料;⽩酒;含酒精的鸡尾酒混合饮品</t>
  </si>
  <si>
    <t>成都国蓉酒店管理有限公司</t>
  </si>
  <si>
    <t>宽问</t>
  </si>
  <si>
    <t>利⼝酒;⽶酒;鸡尾酒;葡萄酒;⽩⼲酒（中国⽩酒）;⽩兰地;威⼠忌;⽩酒;⾼粱酒;开胃酒</t>
  </si>
  <si>
    <t>李文武512925********6913</t>
  </si>
  <si>
    <t>净智满</t>
  </si>
  <si>
    <t>⾷⽤酒精;烧酒;⾼粱酒;以葡萄酒为主的饮料;果酒（含酒精）;⽩酒;⾕物制蒸馏酒精饮料;⻩酒;⽼酒（中国蒸馏烈酒）;红葡萄酒</t>
  </si>
  <si>
    <t>南通瑶和贸易有限公司</t>
  </si>
  <si>
    <t>格富尚选</t>
  </si>
  <si>
    <t>⽩兰地;葡萄酒;酒精饮料（啤酒除外）;⻘稞酒;伏特加酒;威⼠忌;朗姆酒;鸡尾酒;⽩酒;薄荷酒</t>
  </si>
  <si>
    <t>吉林省查干湖实业集团有限公司</t>
  </si>
  <si>
    <t>查小湖</t>
  </si>
  <si>
    <t>⻩酒;含⽔果酒精饮料;⽩酒;鸡尾酒;果酒（含酒精）;⽩兰地;酒精饮料（啤酒除外）;烈酒（饮料）;⽶酒;葡萄酒</t>
  </si>
  <si>
    <t>延津县毛府酒业有限责任公司</t>
  </si>
  <si>
    <t>津麦香</t>
  </si>
  <si>
    <t>⽼酒（中国蒸馏烈酒）;蒸馏⽶酒（泡盛酒）;葡萄酒;果酒（含酒精）;⽩酒;蒸馏饮料;蒸煮提取物（利⼝酒和烈酒）;⽶酒;⾕物制蒸馏酒精饮料;烧酒</t>
  </si>
  <si>
    <t>衡昌广进</t>
  </si>
  <si>
    <t>⽩⼲酒（中国⽩酒）;蒸煮提取物（利⼝酒和烈酒）;⻩酒;⻘稞酒;烧酒;开胃酒;⾼粱酒;含⽔果酒精饮料;⽶酒;⽩酒</t>
  </si>
  <si>
    <t>兰花宗师</t>
  </si>
  <si>
    <t>含酒精的饮料（啤酒除外）;果酒;⽩酒;汽酒;⽶酒;⽩⼲酒（中国⽩酒）;佐餐酒;烧酒;⻩酒;葡萄酒</t>
  </si>
  <si>
    <t>黄运军</t>
  </si>
  <si>
    <t>欧恋鸟</t>
  </si>
  <si>
    <t>⻩酒;伏特加酒;果酒（含酒精）;⾷⽤酒精;烈酒（饮料）;葡萄酒;⽩兰地;⽩酒;朗姆酒;威⼠忌</t>
  </si>
  <si>
    <t>秦皇岛嘉佰伦酿酒有限责任公司</t>
  </si>
  <si>
    <t>KIMI MOOM</t>
  </si>
  <si>
    <t>清酒;烧酒;葡萄酒;鸡尾酒;果酒（含酒精）;伏特加酒;威⼠忌;蒸煮提取物（利⼝酒和烈酒）;汽酒;⽩兰地</t>
  </si>
  <si>
    <t>上海徐孝杰品牌设计有限公司</t>
  </si>
  <si>
    <t>如杰</t>
  </si>
  <si>
    <t>⾕物制蒸馏酒精饮料;以葡萄酒为主的饮料;酒精饮料（啤酒除外）;酒精饮料原汁;汽酒;蒸馏饮料;⾷⽤酒精;含⽔果酒精饮料;⽶酒;果酒（含酒精）</t>
  </si>
  <si>
    <t>南通功夫动漫科技有限公司</t>
  </si>
  <si>
    <t>果酒（含酒精）;烧酒;清酒（⽇本⽶酒）;⽶酒;⻩酒;含酒精⽔果饮料;⾷⽤酒精;烧酒（烈酒）;⽩兰地;薄荷酒</t>
  </si>
  <si>
    <t>纪故元</t>
  </si>
  <si>
    <t>倾写</t>
  </si>
  <si>
    <t>果酒;⽩酒;威⼠忌;⽩兰地;葡萄酒;清酒;⽶酒;烧酒;汽酒;⻩酒</t>
  </si>
  <si>
    <t>⽩酒;威⼠忌;⽼酒（中国蒸馏烈酒）;汽酒;伏特加酒;清酒;葡萄酒;果酒（含酒精）;⽶酒;⻩酒</t>
  </si>
  <si>
    <t>贵州省仁怀市坤藏酒业有限公司</t>
  </si>
  <si>
    <t>召知</t>
  </si>
  <si>
    <t>汽酒;⽩酒;烈酒（饮料）;威⼠忌;果酒（含酒精）;鸡尾酒;葡萄酒;酒精饮料（啤酒除外）;烧酒;⽶酒</t>
  </si>
  <si>
    <t>成都离谱力文化科技有限公司</t>
  </si>
  <si>
    <t>FAMOUS FARMER</t>
  </si>
  <si>
    <t>⽩兰地;清酒（⽇本⽶酒）;葡萄酒;⻘稞酒;⽩酒;杜松⼦酒;威⼠忌;含⽔果酒精饮料;⽶酒;果酒（含酒精）</t>
  </si>
  <si>
    <t>恒生发布（北京）科技信息有限公司</t>
  </si>
  <si>
    <t>食极星</t>
  </si>
  <si>
    <t>蒸馏饮料;烧酒;⽩兰地;⻩酒;果酒（含酒精）;伏特加酒;清酒（⽇本⽶酒）;⻘稞酒;⽩酒;葡萄酒</t>
  </si>
  <si>
    <t>平阳入骨消生物科技有限公司</t>
  </si>
  <si>
    <t>太合泰</t>
  </si>
  <si>
    <t>果酒（含酒精）;开胃酒;葡萄酒;⽼酒（中国蒸馏烈酒）;酒精饮料（啤酒除外）;⽩酒;⻩酒;烧酒;鸡尾酒;⽶酒</t>
  </si>
  <si>
    <t>河南省黄泛区设施农业有限公司</t>
  </si>
  <si>
    <t>豫垦心田</t>
  </si>
  <si>
    <t>果酒（含酒精）;清酒（⽇本⽶酒）;酒精饮料（啤酒除外）;⻩酒;伏特加酒;威⼠忌;⽶酒;⽩酒;烧酒;烈酒（饮料）</t>
  </si>
  <si>
    <t>卓论</t>
  </si>
  <si>
    <t>⽩酒;葡萄酒;⾼粱酒;蒸煮提取物（利⼝酒和烈酒）;果酒;⻩酒;烧酒（烈酒）;酒精饮料（啤酒除外）;露酒;⽶酒</t>
  </si>
  <si>
    <t>高子祥</t>
  </si>
  <si>
    <t>邑祥</t>
  </si>
  <si>
    <t>威⼠忌;伏特加酒;利⼝酒;朗姆酒;葡萄酒;⻩酒;酒精饮料（啤酒除外）;⽩酒;果酒;鸡尾酒</t>
  </si>
  <si>
    <t>张建新</t>
  </si>
  <si>
    <t>知涯</t>
  </si>
  <si>
    <t>果酒（含酒精）;⻩酒;清酒（⽇本⽶酒）;威⼠忌;葡萄酒;酒精饮料（啤酒除外）;伏特加酒;⽶酒;⽩酒;含⽔果酒精饮料</t>
  </si>
  <si>
    <t>江西省美多实业有限公司</t>
  </si>
  <si>
    <t>神脉元</t>
  </si>
  <si>
    <t>⽶酒;果酒;烧酒（烈酒）;开胃酒;⻩酒;⽼酒（中国蒸馏烈酒）;烈酒;薄荷酒;烧酒;⽩酒</t>
  </si>
  <si>
    <t>京云边</t>
  </si>
  <si>
    <t>⽩兰地;果酒;葡萄酒;⾼粱酒;烈酒（饮料）;⻩酒;⽩酒;含酒精的⽔果鸡尾酒饮料;烧酒;⽶酒</t>
  </si>
  <si>
    <t>上海浪鲨智能科技有限公司</t>
  </si>
  <si>
    <t>大花狼</t>
  </si>
  <si>
    <t>佐餐酒;清酒（⽇本⽶酒）;预先混合的酒精饮料（以啤酒为主的除外）;梅酒;酒精饮料（啤酒除外）;利⼝酒;⽇本梅⼦酒;果酒（含酒精）;餐后酒（利⼝酒和烈酒）;开胃酒</t>
  </si>
  <si>
    <t>广安博森农业发展有限公司</t>
  </si>
  <si>
    <t>博森格朵</t>
  </si>
  <si>
    <t>葡萄酒;⽶酒;以葡萄酒为主的饮料;烧酒;⾼粱酒;⽩酒;果酒（含酒精）;烈酒（饮料）;酒精饮料（啤酒除外）;酒精饮料浓缩汁</t>
  </si>
  <si>
    <t>石家庄清熙餐饮服务有限公司</t>
  </si>
  <si>
    <t>清熙泽业</t>
  </si>
  <si>
    <t>果酒;⽶酒;烧酒;葡萄酒;⽔果汽酒;含⽔果酒精饮料;⻩酒;⽩酒;烈酒;威⼠忌</t>
  </si>
  <si>
    <t>禄盈盛生态农业（五华县）专业合作社</t>
  </si>
  <si>
    <t>径子里</t>
  </si>
  <si>
    <t>开胃酒;⾷⽤酒精;利⼝酒;蜂蜜酒;⽶酒;烧酒;清酒;果酒（含酒精）;⻩酒;葡萄酒</t>
  </si>
  <si>
    <t>酣客银钻</t>
  </si>
  <si>
    <t>果酒（含酒精）;⽩酒;葡萄酒;酒精饮料（啤酒除外）;预先混合的酒精饮料（以啤酒为主的除外）;鸡尾酒;蒸馏饮料;含酒精的⽓泡⽔;威⼠忌;⾷⽤酒精</t>
  </si>
  <si>
    <t>淄博汇泉酒业有限公司</t>
  </si>
  <si>
    <t>汇泉朝歌</t>
  </si>
  <si>
    <t>鸡尾酒;混合威⼠忌酒;酒精饮料（啤酒除外）;威⼠忌;露酒;⽩酒;甜酒;果酒;樱桃酒;⻩酒</t>
  </si>
  <si>
    <t>常州市朗霁特殊食品科技有限公司</t>
  </si>
  <si>
    <t>利⼝酒;酒精饮料（啤酒除外）;⽶酒;葡萄酒;⾷⽤酒精;烧酒;⽩酒;⾕物制蒸馏酒精饮料;⻩酒;烈酒（饮料）</t>
  </si>
  <si>
    <t>湖北省宜昌市五宁峰供应链管理有限公司</t>
  </si>
  <si>
    <t>五宁峰</t>
  </si>
  <si>
    <t>酒精饮料原汁;⽩酒;⻩酒;烧酒;蜂蜜酒;⽶酒;烈酒（饮料）;酒精饮料（啤酒除外）;果酒（含酒精）;葡萄酒</t>
  </si>
  <si>
    <t>刘福容</t>
  </si>
  <si>
    <t>开胃酒;⽩酒;鸡尾酒;⽶酒;烈酒;果酒（含酒精）;酒精饮料（啤酒除外）;葡萄酒;烈酒（饮料）;⾼粱酒</t>
  </si>
  <si>
    <t>深圳酒圳酒业有限公司</t>
  </si>
  <si>
    <t>圳里风酒</t>
  </si>
  <si>
    <t>伏特加酒;薄荷酒;烧酒;葡萄酒;⽶酒;开胃酒;鸡尾酒;⽩兰地;威⼠忌;⻩酒</t>
  </si>
  <si>
    <t>金帝食品有限公司</t>
  </si>
  <si>
    <t>JUST ME</t>
  </si>
  <si>
    <t>果酒（含酒精）;⽶酒;蒸馏饮料;烈酒（饮料）;汽酒;⽩兰地;酒精饮料（啤酒除外）;开胃酒;含⽔果酒精饮料;鸡尾酒</t>
  </si>
  <si>
    <t>苏州仁和集商贸有限公司</t>
  </si>
  <si>
    <t>天庭山</t>
  </si>
  <si>
    <t>果酒;鸡尾酒;葡萄酒;含⽔果酒精饮料;酸酒（低等葡萄酒）;⽶酒;⽩酒;⻩酒;酒精饮料原汁;酒精饮料（啤酒除外）</t>
  </si>
  <si>
    <t>安徽徽翔食品有限公司</t>
  </si>
  <si>
    <t>徽翔</t>
  </si>
  <si>
    <t>含⽔果酒精饮料;已调味的⻨芽酿制的酒精饮料（啤酒除外）;酒精饮料（啤酒除外）;⽶酒;含酒精的⽓泡⽔;烧酒;葡萄酒;烈酒（饮料）;⽩酒;果酒（含酒精）</t>
  </si>
  <si>
    <t>亰贵壹品</t>
  </si>
  <si>
    <t>清酒（⽇本⽶酒）;⽼酒（中国蒸馏烈酒）;五加⽪酒（中国混合烈酒）;清酒;⽩葡萄酒;烈酒（饮料）;⽶酒;⾕物制蒸馏酒精饮料;⽩酒;果酒</t>
  </si>
  <si>
    <t>千千饕</t>
  </si>
  <si>
    <t>茴⾹酒（利⼝酒）;开胃酒;蒸馏饮料;鸡尾酒;苦味酒;茴芹酒（利⼝酒）;⻩酒;薄荷酒;果酒（含酒精）;⽩酒</t>
  </si>
  <si>
    <t>上海高应龙电子科技有限公司</t>
  </si>
  <si>
    <t>虎渡星</t>
  </si>
  <si>
    <t>果酒（含酒精）;葡萄酒;⽩兰地;鸡尾酒;汽酒;酒精饮料（啤酒除外）;⽶酒;⻩酒;⽩酒;威⼠忌</t>
  </si>
  <si>
    <t>刘莉</t>
  </si>
  <si>
    <t>千坛斗</t>
  </si>
  <si>
    <t>⾼粱酒;烧酒;⽶酒;⽩酒;⻘稞酒;⽩葡萄酒;伏特加酒;清酒（⽇本⽶酒）;朗姆酒;果酒（含酒精）</t>
  </si>
  <si>
    <t>李丽玲</t>
  </si>
  <si>
    <t>狐度</t>
  </si>
  <si>
    <t>葡萄酒;威⼠忌;烧酒;朝鲜族⽶酒;⾕物制蒸馏酒精饮料;⽩兰地;⻩酒;⽩酒;果酒（含酒精）;⽶酒;⻘稞酒</t>
  </si>
  <si>
    <t>安徽莱勒古堡贸易有限公司</t>
  </si>
  <si>
    <t>OLD VINES VILLAGE</t>
  </si>
  <si>
    <t>⽩兰地;伏特加酒;朗姆酒;果酒;清酒;威⼠忌;⽶酒;烧酒;烈酒;葡萄酒</t>
  </si>
  <si>
    <t>石城县竹酿酒业有限公司</t>
  </si>
  <si>
    <t>生财竹</t>
  </si>
  <si>
    <t>鸡尾酒;⻩酒;果酒（含酒精）;烧酒;清酒;⽶酒;⽩酒;烈酒（饮料）;酒精饮料（啤酒除外）;葡萄酒</t>
  </si>
  <si>
    <t>贵州巨龙崛起贸易有限公司</t>
  </si>
  <si>
    <t>逢八</t>
  </si>
  <si>
    <t>酒精饮料（啤酒除外）;烧酒;蒸煮提取物（利⼝酒和烈酒）;清酒（⽇本⽶酒）;⽶酒;果酒;⽩酒;开胃酒;葡萄酒;⻩酒</t>
  </si>
  <si>
    <t>易学方</t>
  </si>
  <si>
    <t>美铭旺</t>
  </si>
  <si>
    <t>⽩⼲酒（中国⽩酒）;烧酒（烈酒）;果酒（含酒精）;鸡尾酒;⽩酒;⻩酒;⽶酒;⾼粱酒;葡萄酒;⻘稞酒</t>
  </si>
  <si>
    <t>民族恒</t>
  </si>
  <si>
    <t>烈酒（饮料）;⽩酒;⽶酒;清酒（⽇本⽶酒）;⻩酒;酒精饮料（啤酒除外）;烧酒;果酒（含酒精）;葡萄酒;鸡尾酒</t>
  </si>
  <si>
    <t>北京恒特优选贸易有限公司</t>
  </si>
  <si>
    <t>苏威宾</t>
  </si>
  <si>
    <t>奶油利⼝酒;利⼝酒;葡萄酒;威⼠忌;伏特加酒;酒精饮料（啤酒除外）;朗姆酒;烈酒（饮料）;⽩兰地;杜松⼦酒</t>
  </si>
  <si>
    <t>谢水生</t>
  </si>
  <si>
    <t>贵圆圆</t>
  </si>
  <si>
    <t>⽩酒;⻩酒;⽩⼲酒（中国⽩酒）;鸡尾酒;烈酒（饮料）;⽩兰地;威⼠忌;开胃酒;葡萄酒;果酒</t>
  </si>
  <si>
    <t>千谷颂</t>
  </si>
  <si>
    <t>⽩酒;鸡尾酒;葡萄酒;⻩酒;除啤酒外的酒精饮料;清酒（⽇本⽶酒）;开胃酒;果酒（含酒精）;烈酒;威⼠忌</t>
  </si>
  <si>
    <t>湖北新万濠酒店有限公司</t>
  </si>
  <si>
    <t>濠煨</t>
  </si>
  <si>
    <t>⾷⽤酒精;含酒精的饮料（啤酒除外）;⽩⼲酒（中国⽩酒）;⽶酒;含酒精的⽓泡⽔;清酒;葡萄酒;⽩兰地;果酒（含酒精）;鸡尾酒</t>
  </si>
  <si>
    <t>普喏丁巴</t>
  </si>
  <si>
    <t>威⼠忌;蒸馏饮料;⽶酒;葡萄酒;清酒（⽇本⽶酒）;⻩酒;伏特加酒;⽩兰地;鸡尾酒;⻘稞酒</t>
  </si>
  <si>
    <t>杭州一味一食食品有限公司</t>
  </si>
  <si>
    <t>逸味忆食</t>
  </si>
  <si>
    <t>⻩酒;果酒（含酒精）;烈酒;烧酒;鸡尾酒;⽩酒;⽶酒;葡萄酒;利⼝酒;⻘稞酒</t>
  </si>
  <si>
    <t>东堡老作坊</t>
  </si>
  <si>
    <t>果酒;鸡尾酒;葡萄酒;⽩酒;⻩酒;烧酒;汽酒;⻘稞酒;⽶酒;⾼粱酒</t>
  </si>
  <si>
    <t>重庆倍子花中蜂养殖有限责任公司</t>
  </si>
  <si>
    <t>黄倍花</t>
  </si>
  <si>
    <t>⽶酒;利⼝酒;烈酒;除啤酒外的酒精饮料;葡萄酒;烧酒;⽩酒;茴⾹酒（利⼝酒）;蒸煮提取物（利⼝酒和烈酒）;清酒（⽇本⽶酒）</t>
  </si>
  <si>
    <t>上海古晓食品有限公司</t>
  </si>
  <si>
    <t>古晓</t>
  </si>
  <si>
    <t>含⽔果酒精饮料;⽶酒;露酒;果酒;⽩酒;已调味的蒸馏酒;⻩酒;⾼粱酒;清酒;烈酒</t>
  </si>
  <si>
    <t>深圳市探索家工业设计有限公司</t>
  </si>
  <si>
    <t>科洛兔</t>
  </si>
  <si>
    <t>⽩酒;酒精饮料（啤酒除外）;⻘稞酒;利⼝酒;⻩酒;⽶酒;烈酒（饮料）;烧酒;葡萄酒;果酒（含酒精）</t>
  </si>
  <si>
    <t>科洛贝</t>
  </si>
  <si>
    <t>烈酒（饮料）;烧酒;⻘稞酒;果酒（含酒精）;⽩酒;葡萄酒;酒精饮料（啤酒除外）;⻩酒;利⼝酒;⽶酒</t>
  </si>
  <si>
    <t>中腰窑</t>
  </si>
  <si>
    <t>蒸馏饮料;⻩酒;果酒（含酒精）;烧酒;酒精饮料（啤酒除外）;⽶酒;⻘稞酒;⽩酒;烈酒（饮料）;开胃酒</t>
  </si>
  <si>
    <t>宁波弥雅文化传媒有限公司</t>
  </si>
  <si>
    <t>唐弥雅</t>
  </si>
  <si>
    <t>鸡尾酒;威⼠忌;薄荷酒;⽶酒;⻩酒;开胃酒;葡萄酒;果酒（含酒精）;⾷⽤酒精;⽩酒</t>
  </si>
  <si>
    <t>罗春华532823********3015</t>
  </si>
  <si>
    <t>PUYIHAO</t>
  </si>
  <si>
    <t>⽇本松针酒;葡萄潘趣酒;阿夸维特酒;⽼酒（中国蒸馏烈酒）;威末酒;⽩兰地;⽩酒;以蒸馏酒为主的开胃酒;起泡红葡萄酒;烈酒</t>
  </si>
  <si>
    <t>江苏潮河湾酒业股份有限公司</t>
  </si>
  <si>
    <t>潮河湾</t>
  </si>
  <si>
    <t>伏特加酒;⽩兰地;含⽔果酒精饮料;酒精饮料（啤酒除外）;⻩酒;果酒（含酒精）;葡萄酒;⽩酒;⾷⽤酒精;鸡尾酒</t>
  </si>
  <si>
    <t>武汉酒点半贸易有限公司</t>
  </si>
  <si>
    <t>星璨葡萄酒</t>
  </si>
  <si>
    <t>泰国皇家虎标生物科技有限公司</t>
  </si>
  <si>
    <t>傣德堂</t>
  </si>
  <si>
    <t>威⼠忌;⽩兰地;⽩酒;含⽔果酒精饮料;⻘稞酒;苹果酒;葡萄酒;以葡萄酒为主的饮料;酒精饮料原汁;果酒（含酒精）</t>
  </si>
  <si>
    <t>北京中达信和控股集团有限公司</t>
  </si>
  <si>
    <t>八天三</t>
  </si>
  <si>
    <t>鸡尾酒;葡萄酒;⽩兰地;果酒;⽶酒;烧酒;威⼠忌;⽩酒;蜂蜜酒;⻩酒</t>
  </si>
  <si>
    <t>北京酒神文化传播有限公司</t>
  </si>
  <si>
    <t>孟田著</t>
  </si>
  <si>
    <t>甜酒;⽩酒;果酒（含酒精）;蒸馏饮料;威⼠忌;⾷⽤酒精;葡萄酒;含酒精的⽓泡⽔;鸡尾酒;酒精饮料（啤酒除外）</t>
  </si>
  <si>
    <t>莫问花</t>
  </si>
  <si>
    <t>开胃酒;清酒（⽇本⽶酒）;⻘稞酒;⻩酒;烧酒;⽶酒;⽩酒;果酒（含酒精）;葡萄酒;鸡尾酒</t>
  </si>
  <si>
    <t>赤五福</t>
  </si>
  <si>
    <t>烧酒;⽩酒;果酒（含酒精）;葡萄酒;⽶酒;⽩兰地;⻩酒;威⼠忌;鸡尾酒;甜酒</t>
  </si>
  <si>
    <t>吉林省松江金粟生态农业有限公司</t>
  </si>
  <si>
    <t>轩石</t>
  </si>
  <si>
    <t>腌制蔬菜;泡菜;⾷⽤葵花籽油;⾷⽤板油;⾷⽤⽟⽶油;⾷⽤菜籽油;⾷⽤芝⿇油;⾷⽤油脂;⾷⽤油;⾷⽤花⽣油;⾷⽤⾖油;⾷⽤菜油;⼲⾷⽤菌;⽊⽿;⾷⽤⼲黑⽊⽿</t>
  </si>
  <si>
    <t>钟丽缇</t>
  </si>
  <si>
    <t>蜜思钟</t>
  </si>
  <si>
    <t>含⽔果酒精饮料;威⼠忌;酒精饮料（啤酒除外）;⽶酒;鸡尾酒;烈酒（饮料）;⽩酒;以葡萄酒为主的饮料;果酒（含酒精）;葡萄酒</t>
  </si>
  <si>
    <t>王周五</t>
  </si>
  <si>
    <t>茗醉庄园 MINGZUI MANOR</t>
  </si>
  <si>
    <t>威⼠忌;烧酒;⽶酒;烈酒（饮料）;果酒（含酒精）;清酒（⽇本⽶酒）;酒精饮料（啤酒除外）;⽩酒;⻩酒;葡萄酒</t>
  </si>
  <si>
    <t>方亚</t>
  </si>
  <si>
    <t>谜雨</t>
  </si>
  <si>
    <t>酒精饮料（啤酒除外）;⾷⽤酒精;⽶酒;⾕物制蒸馏酒精饮料;清酒（⽇本⽶酒）;果酒（含酒精）;葡萄酒;蒸馏饮料;⽩酒;烧酒</t>
  </si>
  <si>
    <t>广州魅之莱医药科技有限公司</t>
  </si>
  <si>
    <t>魅芝莱</t>
  </si>
  <si>
    <t>果酒（含酒精）;威⼠忌;葡萄酒;伏特加酒;⻩酒;⽩酒;⽩兰地;⽶酒;⾕物制蒸馏酒精饮料;鸡尾酒</t>
  </si>
  <si>
    <t>唐佳玮</t>
  </si>
  <si>
    <t>葡萄酒;鸡尾酒;清酒;蜂蜜酒;⽩酒;开胃酒;⻩酒;酒精饮料（啤酒除外）;⽶酒;果酒（含酒精）</t>
  </si>
  <si>
    <t>杭州朱颜雨文化创意有限公司</t>
  </si>
  <si>
    <t>今曲星</t>
  </si>
  <si>
    <t>烈酒（饮料）;⽩酒;⾷⽤酒精;⽩兰地;果酒（含酒精）;威⼠忌;葡萄酒;朗姆酒;伏特加酒;⻩酒</t>
  </si>
  <si>
    <t>乙大巴（德化）网络科技有限公司</t>
  </si>
  <si>
    <t>是兴</t>
  </si>
  <si>
    <t>清酒（⽇本⽶酒）;威⼠忌;葡萄酒;⾷⽤酒精;含⽔果酒精饮料;⽩兰地;⽩酒;烈酒（饮料）;酒精饮料（啤酒除外）;鸡尾酒</t>
  </si>
  <si>
    <t>张家界源友汇商贸有限公司</t>
  </si>
  <si>
    <t>TMSJ</t>
  </si>
  <si>
    <t>果酒（含酒精）;鸡尾酒;含⽔果酒精饮料;⽩酒;甜酒;⽶酒;葡萄酒;烈酒（饮料）;酒精饮料（啤酒除外）;⾼粱酒</t>
  </si>
  <si>
    <t>那人悦</t>
  </si>
  <si>
    <t>⻘稞酒;烈酒（饮料）;含酒精的饮料（啤酒除外）;清酒;汽酒;含⽔果酒精饮料;⽩酒;葡萄酒;⽶酒;果酒（含酒精）</t>
  </si>
  <si>
    <t>迪庆州方维传媒有限责任公司</t>
  </si>
  <si>
    <t>傈山物语</t>
  </si>
  <si>
    <t>⻘稞酒;汽酒;烈酒（饮料）;鸡尾酒;餐后酒（利⼝酒和烈酒）;葡萄酒;蒸馏饮料;酒精饮料（啤酒除外）;果酒（含酒精）</t>
  </si>
  <si>
    <t>邹红萍</t>
  </si>
  <si>
    <t>海厷元</t>
  </si>
  <si>
    <t>酒精饮料（啤酒除外）;葡萄酒;鸡尾酒;⽩酒;⻩酒;清酒;烧酒;⽶酒;果酒（含酒精）;烈酒（饮料）</t>
  </si>
  <si>
    <t>重庆家顺和营销策划有限公司</t>
  </si>
  <si>
    <t>家顺和</t>
  </si>
  <si>
    <t>清酒;果酒;葡萄酒;威⼠忌;甜酒;⽩酒;烈酒;烧酒;鸡尾酒;⽶酒</t>
  </si>
  <si>
    <t>圳里水酒</t>
  </si>
  <si>
    <t>烧酒;葡萄酒;鸡尾酒;威⼠忌;⽶酒;开胃酒;薄荷酒;⽩兰地;伏特加酒;⻩酒</t>
  </si>
  <si>
    <t>太宗御</t>
  </si>
  <si>
    <t>露酒;葡萄酒;酒精饮料（啤酒除外）;⽩酒;烈酒（饮料）;威⼠忌;果酒（含酒精）;⽶酒;鸡尾酒;蒸煮提取物（利⼝酒和烈酒）</t>
  </si>
  <si>
    <t>王大刚</t>
  </si>
  <si>
    <t>万坨春</t>
  </si>
  <si>
    <t>果酒（含酒精）;鸡尾酒;葡萄酒;⽩兰地;烧酒;开胃酒;酒精饮料（啤酒除外）;⻩酒;⽩酒;⽶酒</t>
  </si>
  <si>
    <t>河北铁锤科技有限公司</t>
  </si>
  <si>
    <t>清晨鹿</t>
  </si>
  <si>
    <t>⾼粱酒;果酒（含酒精）;⽩兰地;烧酒;开胃酒;汽酒;鸡尾酒;葡萄酒;威⼠忌;⽩酒</t>
  </si>
  <si>
    <t>伊春市山野饮品有限公司</t>
  </si>
  <si>
    <t>伊村四季</t>
  </si>
  <si>
    <t>汽酒;酒精饮料（啤酒除外）;刺五加酒;葡萄酒;开胃酒;烧酒;⽩酒;果酒（含酒精）;⽶酒;含酒精⽔果饮料</t>
  </si>
  <si>
    <t>贵州正永和酒业股份有限公司</t>
  </si>
  <si>
    <t>肃和</t>
  </si>
  <si>
    <t>⽩酒;清酒;烧酒;⻘稞酒;⽼酒（中国蒸馏烈酒）;烈酒;露酒;⽩⼲酒（中国⽩酒）;⻩酒;⾼粱酒</t>
  </si>
  <si>
    <t>星璨白兰地</t>
  </si>
  <si>
    <t>樱桃⽩兰地;⽩兰地</t>
  </si>
  <si>
    <t>星璨威士忌</t>
  </si>
  <si>
    <t>混合威⼠忌酒;威⼠忌;⻨芽威⼠忌</t>
  </si>
  <si>
    <t>⽶酒;果酒;蜂蜜酒;威⼠忌;⽩酒;⻩酒;⽩兰地;烧酒;葡萄酒;鸡尾酒</t>
  </si>
  <si>
    <t>开胃酒;葡萄酒;含⽔果酒精饮料;⽶酒;⻘稞酒;烧酒;⾼粱酒;⽩酒;⻩酒;⽩⼲酒（中国⽩酒）</t>
  </si>
  <si>
    <t>绍兴市好吃来食品有限公司</t>
  </si>
  <si>
    <t>孟大茂</t>
  </si>
  <si>
    <t>汽酒;⽩酒;烈酒;⽼酒（中国蒸馏烈酒）;果酒;葡萄酒;烧酒;⻩酒;酒精饮料（啤酒除外）;⽶酒</t>
  </si>
  <si>
    <t>杜斯惟特</t>
  </si>
  <si>
    <t>鸡尾酒;⾷⽤酒精;葡萄酒;汽酒;酒精饮料（啤酒除外）;果酒;酒精饮料浓缩汁;含⽔果酒精饮料;梅酒;⽩酒</t>
  </si>
  <si>
    <t>京窖赢</t>
  </si>
  <si>
    <t>⽶酒;葡萄酒;清酒;果酒;汽酒;⻩酒;⽩兰地;烧酒;⽩酒;威⼠忌</t>
  </si>
  <si>
    <t>蕴悦坊</t>
  </si>
  <si>
    <t>葡萄酒;⽩酒;⽶酒;汽酒;含⽔果酒精饮料;含酒精的饮料（啤酒除外）;清酒;果酒（含酒精）;烈酒（饮料）;⻘稞酒</t>
  </si>
  <si>
    <t>王宝元</t>
  </si>
  <si>
    <t>项木庄</t>
  </si>
  <si>
    <t>烧酒（烈酒）;烈酒;露酒;⽩酒;蜂蜜酒;⽼酒（中国蒸馏烈酒）;苹果酒;果酒;烧酒;⽩⼲酒（中国⽩酒）</t>
  </si>
  <si>
    <t>聊城市顺昌建材有限公司</t>
  </si>
  <si>
    <t>烧厝之光</t>
  </si>
  <si>
    <t>威⼠忌;酒精饮料（啤酒除外）;烈酒（饮料）;⽶酒;葡萄酒;鸡尾酒;⽩酒;清酒（⽇本⽶酒）;酒精饮料原汁;伏特加酒</t>
  </si>
  <si>
    <t>鑫品源</t>
  </si>
  <si>
    <t>⻩酒;葡萄酒;果酒（含酒精）;⽩兰地;开胃酒;烧酒;⽩酒;蒸煮提取物（利⼝酒和烈酒）;酒精饮料（啤酒除外）;利⼝酒</t>
  </si>
  <si>
    <t>千尾狐</t>
  </si>
  <si>
    <t>预先混合的酒精饮料（以啤酒为主的除外）;清酒（⽇本⽶酒）;梅酒;酒精饮料（啤酒除外）;利⼝酒;开胃酒;⽇本梅⼦酒;佐餐酒;餐后酒（利⼝酒和烈酒）;果酒（含酒精）</t>
  </si>
  <si>
    <t>河南卓宇蜂业有限公司</t>
  </si>
  <si>
    <t>华萃能靓</t>
  </si>
  <si>
    <t>⻩酒;酒精饮料（啤酒除外）;葡萄酒;蒸馏饮料;鸡尾酒;蜂蜜酒;利⼝酒;烧酒;⽶酒;果酒（含酒精）</t>
  </si>
  <si>
    <t>何亚丽</t>
  </si>
  <si>
    <t>葡萄酒;含⽔果酒精饮料;酒精饮料（啤酒除外）;伏特加酒;⾷⽤酒精;⻘稞酒;⽶酒;蒸馏饮料;⽩酒;烈酒（饮料）</t>
  </si>
  <si>
    <t>山村民</t>
  </si>
  <si>
    <t>酒精饮料（啤酒除外）; 利口酒; 食用酒精; 黄酒; 蜂蜜酒; 白酒; 果酒（含酒精）; 蒸煮提取物（利口酒和烈酒）; 含水果酒精饮料; 烧酒</t>
  </si>
  <si>
    <t>北京锟睿科技发展有限公司</t>
  </si>
  <si>
    <t>锟睿</t>
  </si>
  <si>
    <t>含酒精的饮料（啤酒除外）;甜酒;果酒;⽩酒;⽶酒;葡萄酒;苹果酒;果酒（含酒精）;鸡尾酒;威⼠忌</t>
  </si>
  <si>
    <t>陈兆欣</t>
  </si>
  <si>
    <t>伍昊</t>
  </si>
  <si>
    <t>⻩酒;果酒（含酒精）;烈酒（饮料）;酒精饮料（啤酒除外）;⽩酒;含⽔果酒精饮料;⽶酒;烧酒;⾷⽤酒精;葡萄酒</t>
  </si>
  <si>
    <t>广西长华贸易有限公司</t>
  </si>
  <si>
    <t>瓦那塔林</t>
  </si>
  <si>
    <t>葡萄酒;⽢蔗制酒精饮料;利⼝酒;果酒（含酒精）;⽩酒;⾕物制蒸馏酒精饮料;餐后酒（利⼝酒和烈酒）;茴芹酒（利⼝酒）;含⽔果酒精饮料;朝鲜族⽶酒</t>
  </si>
  <si>
    <t>清腾国际商贸（北京）有限公司</t>
  </si>
  <si>
    <t>一漠</t>
  </si>
  <si>
    <t>威⼠忌;鸡尾酒;⽩葡萄酒;⽩酒;起泡红葡萄酒;⽩兰地;果酒（含酒精）;葡萄酒;红葡萄酒;起泡⽩葡萄酒</t>
  </si>
  <si>
    <t>周永刚</t>
  </si>
  <si>
    <t>众品仙</t>
  </si>
  <si>
    <t>⽶酒;果酒（含酒精）;蒸馏饮料;⽼酒（中国蒸馏烈酒）;⽩酒;烧酒;⽩⼲酒（中国⽩酒）;烈酒（饮料）;⾷⽤酒精;葡萄酒</t>
  </si>
  <si>
    <t>贵州知本寰宇酒业有限公司</t>
  </si>
  <si>
    <t>知本怀本</t>
  </si>
  <si>
    <t>葡萄酒;烈酒（饮料）;⽶酒;烧酒;⻩酒;果酒（含酒精）;蜂蜜酒;酒精饮料（啤酒除外）;含⽔果酒精饮料;⽩酒</t>
  </si>
  <si>
    <t>模立出众 力 MOLICHUZHONG</t>
  </si>
  <si>
    <t>酒精饮料（啤酒除外）;含酒精的饮料（啤酒除外）;酒精饮料原汁;果酒;⽩⼲酒（中国⽩酒）;⽶酒;蒸馏饮料;甜酒;烈酒;葡萄酒</t>
  </si>
  <si>
    <t>斌客</t>
  </si>
  <si>
    <t>开胃酒;烧酒;⽩兰地;蜂蜜酒;蒸馏饮料;葡萄酒;⾷⽤酒精;⻩酒;烈酒（饮料）;⽩酒</t>
  </si>
  <si>
    <t>汽酒;果酒;⻘稞酒;⾼粱酒;⻩酒;⽶酒;鸡尾酒;⽩酒;葡萄酒;烧酒</t>
  </si>
  <si>
    <t>莺朋出谷</t>
  </si>
  <si>
    <t>鸡尾酒;烧酒;⽼酒（中国蒸馏烈酒）;烈酒（饮料）;⽩酒;葡萄酒;⽶酒;果酒（含酒精）;⻩酒;酒精饮料（啤酒除外）</t>
  </si>
  <si>
    <t>深圳市小钻风文化传媒有限公司</t>
  </si>
  <si>
    <t>嘛啾嘛啾</t>
  </si>
  <si>
    <t>酒精饮料（啤酒除外）;葡萄酒;蒸馏饮料;⽩兰地;含⽔果酒精饮料;威⼠忌;⽶酒;伏特加酒;清酒（⽇本⽶酒）;烈酒（饮料）</t>
  </si>
  <si>
    <t>张金方</t>
  </si>
  <si>
    <t>宛兴禾</t>
  </si>
  <si>
    <t>⽶酒;鸡尾酒;威⼠忌;葡萄酒;清酒;清酒（⽇本⽶酒）;果酒（含酒精）;烈酒（饮料）;⻩酒;蜂蜜酒</t>
  </si>
  <si>
    <t>胡霖莉</t>
  </si>
  <si>
    <t>福百万</t>
  </si>
  <si>
    <t>利⼝酒;酒精饮料（啤酒除外）;⻩酒;⽶酒;含⽔果酒精饮料;烈酒（饮料）;蒸馏饮料;葡萄酒;汽酒;果酒（含酒精）</t>
  </si>
  <si>
    <t>⽶酒;⽩酒;果酒（含酒精）;由⾕物蒸馏的⽩酒;烈酒（饮料）;朗姆酒;⻩酒;葡萄酒;酒精饮料（啤酒除外）;⾕物制蒸馏酒精饮料</t>
  </si>
  <si>
    <t>胡国新</t>
  </si>
  <si>
    <t>鑫白杨</t>
  </si>
  <si>
    <t>酒精饮料（啤酒除外）;鸡尾酒;烧酒;甜果酒;⾷⽤酒精;果酒（含酒精）;烈酒（饮料）;葡萄酒;⽩酒;⽶酒</t>
  </si>
  <si>
    <t>湖南菁圣谷健康科技有限公司</t>
  </si>
  <si>
    <t>菁圣谷</t>
  </si>
  <si>
    <t>蒸馏饮料;葡萄酒;烈酒（饮料）;⽩酒;⻩酒;⾷⽤酒精;果酒（含酒精）;开胃酒;⽶酒;蜂蜜酒</t>
  </si>
  <si>
    <t>CHIGUILAOJIAO</t>
  </si>
  <si>
    <t>蒸馏饮料;葡萄酒;烈酒（饮料）;威⼠忌;⻩酒;⽩兰地;⽩酒;开胃酒;烧酒;酒精饮料（啤酒除外）</t>
  </si>
  <si>
    <t>福建大川茶业有限公司</t>
  </si>
  <si>
    <t>万和茂</t>
  </si>
  <si>
    <t>含酒精的⽓泡⽔;酒精饮料原汁;⽼酒（中国蒸馏烈酒）;⽶酒;露酒;威⼠忌;⻩酒;⽩酒;果酒;蜂蜜酒</t>
  </si>
  <si>
    <t>SIFEELNA 世菲纳</t>
  </si>
  <si>
    <t>蒸煮提取物（利⼝酒和烈酒）;蒸馏饮料;烈酒（饮料）;果酒（含酒精）;烧酒;鸡尾酒;利⼝酒;葡萄酒;威⼠忌;苦味酒</t>
  </si>
  <si>
    <t>腾飞塔</t>
  </si>
  <si>
    <t>烧酒（烈酒）;伏特加酒;梅酒;⻩酒;⾼粱酒;⽩酒;除啤酒外的酒精饮料;鸡尾酒;⽶酒;露酒</t>
  </si>
  <si>
    <t>贵州西江千户苗寨文化旅游投资（集团）有限公司</t>
  </si>
  <si>
    <t>葡萄酒;鸡尾酒;⽩酒;⽶酒;果酒;烧酒（烈酒）;⽼酒（中国蒸馏烈酒）;烈酒（饮料）;利⼝酒;⾼粱酒</t>
  </si>
  <si>
    <t>南阳五圣故里酒业有限公司</t>
  </si>
  <si>
    <t>宛圣故里</t>
  </si>
  <si>
    <t>⾷⽤酒精;酒精饮料浓缩汁;酒精饮料（啤酒除外）;⻩酒;酒精饮料原汁;烧酒;含⽔果酒精饮料;⽩酒;蒸馏饮料;果酒（含酒精）</t>
  </si>
  <si>
    <t>山东鸿浩企业管理有限公司</t>
  </si>
  <si>
    <t>舜度</t>
  </si>
  <si>
    <t>⽩酒;⽶酒;果酒（含酒精）;⽩兰地;葡萄酒;⽼酒（中国蒸馏烈酒）;酒精饮料（啤酒除外）;烧酒;烈酒;含酒精⽔果饮料</t>
  </si>
  <si>
    <t>贵州三境酒业有限公司</t>
  </si>
  <si>
    <t>擎王</t>
  </si>
  <si>
    <t>威⼠忌;烧酒;烈酒（饮料）;⻩酒;⽼酒（中国蒸馏烈酒）;果酒（含酒精）;葡萄酒;鸡尾酒;⽶酒;⽩酒</t>
  </si>
  <si>
    <t>吴文浩</t>
  </si>
  <si>
    <t>浩然泰</t>
  </si>
  <si>
    <t>⾷⽤酒精;酒精饮料（啤酒除外）;烧酒;果酒（含酒精）;清酒（⽇本⽶酒）;⻩酒;⽶酒;葡萄酒;含⽔果酒精饮料;烈酒（饮料）</t>
  </si>
  <si>
    <t>浙江澎湃酒业有限公司</t>
  </si>
  <si>
    <t>越兰醉亭</t>
  </si>
  <si>
    <t>酒精饮料（啤酒除外）;鸡尾酒;⽶酒;⽢蔗制烈酒;葡萄酒;⽩酒;烈酒（饮料）;⻩酒;果酒（含酒精）;烧酒</t>
  </si>
  <si>
    <t>凰仪桥</t>
  </si>
  <si>
    <t>威⼠忌;烈酒（饮料）;果酒（含酒精）;葡萄酒;鸡尾酒;酒精饮料（啤酒除外）;⽩酒;烧酒;⽶酒;⽩兰地</t>
  </si>
  <si>
    <t>刘宏伟</t>
  </si>
  <si>
    <t>海哆哩</t>
  </si>
  <si>
    <t>葡萄酒;⽶酒;威⼠忌;清酒（⽇本⽶酒）;酒精饮料原汁;烈酒（饮料）;伏特加酒;鸡尾酒;酒精饮料（啤酒除外）;⾕物制蒸馏酒精饮料</t>
  </si>
  <si>
    <t>绍兴米亚农业发展有限公司</t>
  </si>
  <si>
    <t>寓山纯</t>
  </si>
  <si>
    <t>葡萄酒;预先混合的酒精饮料（以啤酒为主的除外）;果酒（含酒精）;烧酒;烈酒（饮料）;⻩酒;清酒（⽇本⽶酒）;⽶酒;⽩酒;杨梅酒</t>
  </si>
  <si>
    <t>刘士梅</t>
  </si>
  <si>
    <t>靖升</t>
  </si>
  <si>
    <t>酒精饮料（啤酒除外）;蜂蜜酒;⽶酒;烧酒;汽酒;⽩酒;果酒（含酒精）;蒸馏饮料;葡萄酒;⻩酒</t>
  </si>
  <si>
    <t>胤春秋</t>
  </si>
  <si>
    <t>⽩酒;果酒;烧酒;烈酒（饮料）;⽶酒;葡萄酒;⻩酒;含酒精的⽔果鸡尾酒饮料;⽩兰地;⾼粱酒</t>
  </si>
  <si>
    <t>钦州酒小佳食品网络销售经营部</t>
  </si>
  <si>
    <t>钦六侠</t>
  </si>
  <si>
    <t>葡萄酒;果酒;⽼酒（中国蒸馏烈酒）;由⾕物蒸馏的⽩酒;鸡尾酒;⽩酒;⽶酒;酒精饮料（啤酒除外）;蒸馏⽶酒（泡盛酒）;烧酒</t>
  </si>
  <si>
    <t>江月合明</t>
  </si>
  <si>
    <t>烈酒（饮料）;酒精饮料（啤酒除外）;果酒（含酒精）;蒸馏饮料;⻩酒;⽶酒;烧酒;鸡尾酒;⽩酒;葡萄酒</t>
  </si>
  <si>
    <t>齐家小鹤</t>
  </si>
  <si>
    <t>烈酒（饮料）;含⽔果酒精饮料;果酒（含酒精）;葡萄酒;酒精饮料（啤酒除外）;⾕物制蒸馏酒精饮料;⾷⽤酒精;⽩酒;鸡尾酒;⻩酒</t>
  </si>
  <si>
    <t>临沂大泽商贸有限公司</t>
  </si>
  <si>
    <t>泽群</t>
  </si>
  <si>
    <t>烈酒（饮料）;⾷⽤酒精;酒精饮料原汁;⽩酒;开胃酒;威⼠忌;果酒（含酒精）;酒精饮料（啤酒除外）;葡萄酒;⻩酒</t>
  </si>
  <si>
    <t>黄伟强</t>
  </si>
  <si>
    <t>佳人馋</t>
  </si>
  <si>
    <t>果酒（含酒精）;威⼠忌;清酒（⽇本⽶酒）;鸡尾酒;⻩酒;葡萄酒;⽶酒;蜂蜜酒;⽩酒;烈酒（饮料）</t>
  </si>
  <si>
    <t>伍佳零生活文化（厦门）有限公司</t>
  </si>
  <si>
    <t>果酒（含酒精）;⽶酒;苹果酒;含⽔果酒精饮料;⽩酒;烧酒;酒精饮料（啤酒除外）;葡萄酒;⻩酒;威⼠忌</t>
  </si>
  <si>
    <t>符德广</t>
  </si>
  <si>
    <t>小岛飞</t>
  </si>
  <si>
    <t>⽶酒;清酒（⽇本⽶酒）;酒精饮料（啤酒除外）;烈酒（饮料）;果酒（含酒精）;葡萄酒;⽩酒;烧酒;威⼠忌;鸡尾酒</t>
  </si>
  <si>
    <t>汾阳市金酿酒业有限公司</t>
  </si>
  <si>
    <t>御玖月</t>
  </si>
  <si>
    <t>开胃酒;⻩酒;果酒（含酒精）;葡萄酒;烧酒;⾷⽤酒精;餐后酒（利⼝酒和烈酒）;酒精饮料（啤酒除外）;以葡萄酒为主的饮料;⽩酒</t>
  </si>
  <si>
    <t>王文华</t>
  </si>
  <si>
    <t>蹬天下</t>
  </si>
  <si>
    <t>蒸煮提取物（利⼝酒和烈酒）;酒精饮料原汁;葡萄酒;⽶酒;烧酒;⾷⽤酒精;⽩酒;汽酒;烈酒;⻩酒</t>
  </si>
  <si>
    <t>贵州农科集团股份公司</t>
  </si>
  <si>
    <t>贵福荟缘</t>
  </si>
  <si>
    <t>酒精饮料（啤酒除外）;⻩酒;威⼠忌;⽶酒;葡萄酒;⽩兰地;鸡尾酒;预先混合的酒精饮料（以啤酒为主的除外）;⽩酒;果酒（含酒精）</t>
  </si>
  <si>
    <t>合肥优尚特信息科技有限公司</t>
  </si>
  <si>
    <t>布仑堡</t>
  </si>
  <si>
    <t>果酒;威⼠忌;⽶酒;烧酒;烈酒;酒精饮料原汁;⽩酒;酒精饮料（啤酒除外）;葡萄酒;苹果酒</t>
  </si>
  <si>
    <t>贵福汇缘</t>
  </si>
  <si>
    <t>⽶酒;⽩兰地;酒精饮料（啤酒除外）;果酒（含酒精）;葡萄酒;鸡尾酒;⽩酒;威⼠忌;预先混合的酒精饮料（以啤酒为主的除外）;⻩酒</t>
  </si>
  <si>
    <t>中国平煤神马控股集团有限公司郑州平美酒店</t>
  </si>
  <si>
    <t>⻩酒;除啤酒外的酒精饮料;红葡萄酒;⽼酒（中国蒸馏烈酒）;⽶酒;威⼠忌;⽩酒;已调味的蒸馏酒;果酒（含酒精）;⽩兰地</t>
  </si>
  <si>
    <t>翁宝锋</t>
  </si>
  <si>
    <t>贵九福尊</t>
  </si>
  <si>
    <t>葡萄酒;含⽔果酒精饮料;⽶酒;⽩酒;蜂蜜酒;烧酒;⻩酒;苹果酒;果酒（含酒精）;开胃酒</t>
  </si>
  <si>
    <t>千华百蕊</t>
  </si>
  <si>
    <t>果酒（含酒精）;蒸馏饮料;⻩酒;酒精饮料（啤酒除外）;烧酒;鸡尾酒;蜂蜜酒;葡萄酒;利⼝酒;⽶酒</t>
  </si>
  <si>
    <t>鸡西市小迟宠物服务有限公司</t>
  </si>
  <si>
    <t>迟府大院</t>
  </si>
  <si>
    <t>果酒（含酒精）;⻩酒;烧酒;汽酒;⽶酒;烈酒;⽩酒;⾷⽤酒精;鸡尾酒;葡萄酒</t>
  </si>
  <si>
    <t>佛山市溪谷贸易有限公司</t>
  </si>
  <si>
    <t>容可庄园</t>
  </si>
  <si>
    <t>酒精饮料（啤酒除外）;鸡尾酒;⽶酒;⽩酒;含⽔果酒精饮料;亚⼒酒;汽酒;苹果酒;蜂蜜酒;薄荷酒</t>
  </si>
  <si>
    <t>贵州九量科技服务有限公司</t>
  </si>
  <si>
    <t>君动力</t>
  </si>
  <si>
    <t>⻩酒;果酒（含酒精）;威⼠忌;酒精饮料（啤酒除外）;⽩酒;烈酒（饮料）;鸡尾酒;葡萄酒;清酒（⽇本⽶酒）;杜松⼦酒</t>
  </si>
  <si>
    <t>王贵金</t>
  </si>
  <si>
    <t>甩稻岩</t>
  </si>
  <si>
    <t>⾕物制蒸馏酒精饮料;⾷⽤酒精;果酒（含酒精）;⽶酒;烧酒;鸡尾酒;含酒精⽔果饮料;葡萄酒;⽼酒（中国蒸馏烈酒）;蒸馏饮料</t>
  </si>
  <si>
    <t>玉花枝</t>
  </si>
  <si>
    <t>甜酒;烧酒;⽩酒;⻩酒;鸡尾酒;⽶酒;葡萄酒;果酒（含酒精）;⽩兰地;威⼠忌</t>
  </si>
  <si>
    <t>景德镇福庆科技有限公司</t>
  </si>
  <si>
    <t>悠贝爱</t>
  </si>
  <si>
    <t>利⼝酒;含⽔果酒精饮料;烈酒（饮料）;葡萄酒;果酒（含酒精）;⽩酒;酒精饮料（啤酒除外）;⻩酒;清酒（⽇本⽶酒）;酒精饮料浓缩汁</t>
  </si>
  <si>
    <t>莲悟</t>
  </si>
  <si>
    <t>清酒;朗姆酒;果酒;葡萄酒;⽩兰地;⽩酒;蒸馏饮料;威⼠忌;酒精饮料（啤酒除外）;伏特加酒</t>
  </si>
  <si>
    <t>涿州品今餐饮服务有限公司</t>
  </si>
  <si>
    <t>九道龙行</t>
  </si>
  <si>
    <t>酒精饮料（啤酒除外）;开胃酒;⻩酒;含酒精⽔果饮料;薄荷酒;烈酒（饮料）;苹果酒;烧酒;葡萄酒;含酒精的饮料（啤酒除外）</t>
  </si>
  <si>
    <t>轮滑人</t>
  </si>
  <si>
    <t>葡萄酒;露酒;由⾕物蒸馏的⽩酒;⽶酒;伏特加酒;⻩酒;⾼粱酒;⽩⼲酒（中国⽩酒）;⽩酒;⽼酒（中国蒸馏烈酒）</t>
  </si>
  <si>
    <t>山东佐竹商贸有限公司</t>
  </si>
  <si>
    <t>庆红尘</t>
  </si>
  <si>
    <t>含⽔果酒精饮料;烧酒;朝鲜族⽶酒;含酒精的⽓泡⽔;⾕物制蒸馏酒精饮料;葡萄酒;汽酒;⻘稞酒;⽩酒;果酒（含酒精）</t>
  </si>
  <si>
    <t>大炮龙泉</t>
  </si>
  <si>
    <t>杜松⼦酒;鸡尾酒;烧酒;餐后酒（利⼝酒和烈酒）;利⼝酒;⽢蔗制酒精饮料;伏特加酒;以葡萄酒为主的饮料;蒸馏饮料;⽩兰地;预先混合的酒精饮料（以啤酒为主的除外）;威⼠忌</t>
  </si>
  <si>
    <t>吉林省欣易莱健康管理有限公司</t>
  </si>
  <si>
    <t>古润鹿康</t>
  </si>
  <si>
    <t>酒精饮料（啤酒除外）;⻩酒;烧酒;葡萄酒;⽶酒;鸡尾酒;烈酒（饮料）;⽩酒;果酒（含酒精）;⻘稞酒</t>
  </si>
  <si>
    <t>湖北神农昌盛食品有限公司</t>
  </si>
  <si>
    <t>神农昌盛</t>
  </si>
  <si>
    <t>葡萄酒;酒精饮料（啤酒除外）;⻩酒;⽩酒;酒精饮料浓缩汁;甜酒;果酒（含酒精）;⾷⽤酒精;蒸馏饮料;⽶酒</t>
  </si>
  <si>
    <t>蔡天御</t>
  </si>
  <si>
    <t>果酒（含酒精）;蜂蜜酒;含⽔果酒精饮料;⽩酒;烧酒;烈酒（饮料）;⽶酒;葡萄酒;鸡尾酒;⻩酒</t>
  </si>
  <si>
    <t>黄林海</t>
  </si>
  <si>
    <t>邀享</t>
  </si>
  <si>
    <t>清酒（⽇本⽶酒）;⽩酒;茴⾹酒（利⼝酒）;烈酒;⽶酒;烧酒;除啤酒外的酒精饮料;蒸煮提取物（利⼝酒和烈酒）;葡萄酒;利⼝酒</t>
  </si>
  <si>
    <t>雨龙一方</t>
  </si>
  <si>
    <t>甜酒;红葡萄酒;不起泡葡萄酒;预先混合的酒精饮料（以啤酒为主的除外）;伏特加酒;⻘稞酒;烈酒（饮料）;含酒精的鸡尾酒混合饮品;果酒（含酒精）;⽩酒</t>
  </si>
  <si>
    <t>宁波钛然户外科技有限公司</t>
  </si>
  <si>
    <t>JOINOUT</t>
  </si>
  <si>
    <t>薄荷酒;开胃酒;酒精饮料（啤酒除外）;蒸馏饮料;烧酒;威⼠忌;果酒（含酒精）;⻩酒;⽩酒;葡萄酒</t>
  </si>
  <si>
    <t>周涌智</t>
  </si>
  <si>
    <t>雅迪家族</t>
  </si>
  <si>
    <t>⾕物制蒸馏酒精饮料;⽶酒;果酒（含酒精）;露酒;苹果酒;烈酒（饮料）;葡萄酒;餐后酒（利⼝酒和烈酒）;⽩酒;蒸馏饮料</t>
  </si>
  <si>
    <t>姚严峰</t>
  </si>
  <si>
    <t>澜宝力</t>
  </si>
  <si>
    <t>含⽔果酒精饮料;果酒（含酒精）;⻩酒;葡萄酒;酒精饮料原汁;草莓酒;酒精饮料（啤酒除外）;⽩酒;鸡尾酒;伏特加酒</t>
  </si>
  <si>
    <t>李海涛</t>
  </si>
  <si>
    <t>尧纪酒</t>
  </si>
  <si>
    <t>⻩酒;开胃酒;⽩酒;威⼠忌;葡萄酒;鸡尾酒;果酒（含酒精）;酒精饮料（啤酒除外）;清酒（⽇本⽶酒）;烈酒</t>
  </si>
  <si>
    <t>上海易城工程顾问股份有限公司</t>
  </si>
  <si>
    <t>酷繁</t>
  </si>
  <si>
    <t>清酒（⽇本⽶酒）;⻩酒;酒精饮料（啤酒除外）;调制好的葡萄酒鸡尾酒;汽酒;⽩酒;甜酒;开胃酒;威⼠忌;红葡萄酒</t>
  </si>
  <si>
    <t>吕立国</t>
  </si>
  <si>
    <t>始著</t>
  </si>
  <si>
    <t>⽩兰地;⽶酒;⻩酒;果酒（含酒精）;⽩酒;烧酒;威⼠忌;薄荷酒;葡萄酒;烈酒（饮料）</t>
  </si>
  <si>
    <t>上海倾媚生物科技有限责任公司</t>
  </si>
  <si>
    <t>摩登记忆</t>
  </si>
  <si>
    <t>⽩兰地;⽩酒;⽶酒;酒精饮料（啤酒除外）;鸡尾酒;开胃酒;葡萄酒;果酒（含酒精）;烈酒（饮料）;含⽔果酒精饮料</t>
  </si>
  <si>
    <t>重庆中益黄精科技有限公司</t>
  </si>
  <si>
    <t>金源根</t>
  </si>
  <si>
    <t>果酒（含酒精）;蒸馏饮料;酒精饮料原汁;酒精饮料（啤酒除外）;含⽔果酒精饮料;酒精饮料浓缩汁;预先混合的酒精饮料（以啤酒为主的除外）;烧酒;⽩酒;⽶酒</t>
  </si>
  <si>
    <t>罗志涛</t>
  </si>
  <si>
    <t>酒精饮料原汁;烈酒（饮料）;⻩酒;⽶酒;⽩酒;⾼粱酒;果酒（含酒精）;蒸馏饮料;烧酒;⾕物制蒸馏酒精饮料</t>
  </si>
  <si>
    <t>上海晏川贸易有限公司</t>
  </si>
  <si>
    <t>极屿你</t>
  </si>
  <si>
    <t>威⼠忌;⽩葡萄酒;清酒;酒精饮料（啤酒除外）;⻘稞酒;⻘梅酒;葡萄酒;⽩酒;预先混合的酒精饮料（以啤酒为主的除外）;混合威⼠忌酒</t>
  </si>
  <si>
    <t>涂雄</t>
  </si>
  <si>
    <t>捕月</t>
  </si>
  <si>
    <t>果酒（含酒精）;⽩酒;烈酒;葡萄酒;鸡尾酒;⻘稞酒;⻩酒;威⼠忌;清酒（⽇本⽶酒）;酒精饮料（啤酒除外）</t>
  </si>
  <si>
    <t>贵州乾福酒业有限公司</t>
  </si>
  <si>
    <t>璠璟台</t>
  </si>
  <si>
    <t>⽩酒;威⼠忌;葡萄酒;酒精饮料（啤酒除外）;⽼酒（中国蒸馏烈酒）;烈酒;烧酒;⾼粱酒;鸡尾酒;⽶酒</t>
  </si>
  <si>
    <t>山西天乐贸易有限公司</t>
  </si>
  <si>
    <t>晋阳听雨</t>
  </si>
  <si>
    <t>⽩⼲酒（中国⽩酒）;⽶酒;烧酒;烈酒;已调味的蒸馏酒;⾼粱酒;烧酒（烈酒）;⽩酒;蒸馏⽶酒（泡盛酒）;葡萄酒</t>
  </si>
  <si>
    <t>灵魂尖叫</t>
  </si>
  <si>
    <t>⽩酒;预先混合的酒精饮料（以啤酒为主的除外）;汽酒;⻘稞酒;烈酒（饮料）;⽶酒;⽩兰地;威⼠忌;葡萄酒;果酒（含酒精）</t>
  </si>
  <si>
    <t>蔡细妹</t>
  </si>
  <si>
    <t>汉正康</t>
  </si>
  <si>
    <t>果酒（含酒精）;开胃酒;蒸馏饮料;鸡尾酒;含⽔果酒精饮料;烈酒（饮料）;苦味酒;葡萄酒;⾕物制蒸馏酒精饮料;蒸煮提取物（利⼝酒和烈酒）</t>
  </si>
  <si>
    <t>临沂旺运发汽车用品有限公司</t>
  </si>
  <si>
    <t>仓弗优品</t>
  </si>
  <si>
    <t>⽩酒;烈酒;果酒（含酒精）;鸡尾酒;⾷⽤酒精;⻩酒;葡萄酒;⽼酒（中国蒸馏烈酒）;⾕物制蒸馏酒精饮料;⽶酒</t>
  </si>
  <si>
    <t>衡水孟状元酿酒厂</t>
  </si>
  <si>
    <t>清江花何盛</t>
  </si>
  <si>
    <t>柑⾹酒;利⼝酒;烧酒;烈酒（饮料）;⽩酒;⾷⽤酒精;酒精饮料（啤酒除外）;⽶酒;果酒（含酒精）;含⽔果酒精饮料</t>
  </si>
  <si>
    <t>郑州亦伯特商贸有限公司</t>
  </si>
  <si>
    <t>亦伯</t>
  </si>
  <si>
    <t>酒精饮料原汁;鸡尾酒;梨酒;⻘稞酒;果酒（含酒精）;茴⾹酒（利⼝酒）;含⽔果酒精饮料;葡萄酒;⽩酒;⽩兰地</t>
  </si>
  <si>
    <t>深圳市张三宝珠宝有限公司</t>
  </si>
  <si>
    <t>潮凤祥</t>
  </si>
  <si>
    <t>开胃酒;葡萄酒;利⼝酒;烈酒（饮料）;威⼠忌;果酒;酒精饮料（啤酒除外）;鸡尾酒;⽩酒;烧酒</t>
  </si>
  <si>
    <t>赵红梅</t>
  </si>
  <si>
    <t>太臻集</t>
  </si>
  <si>
    <t>果酒（含酒精）;蜂蜜酒;⻩酒;⾷⽤酒精;露酒;烈酒（饮料）;烧酒;含⽔果酒精饮料;⾕物制蒸馏酒精饮料;⽩酒</t>
  </si>
  <si>
    <t>张涛</t>
  </si>
  <si>
    <t>⽶酒;烧酒;⽩酒;果酒（含酒精）;酒精饮料（啤酒除外）;葡萄酒;鸡尾酒;汽酒;⻩酒;烈酒（饮料）</t>
  </si>
  <si>
    <t>贺楠醉</t>
  </si>
  <si>
    <t>葡萄汽酒;葡萄酒;含酒精⽔果饮料;红葡萄酒;⽩酒;烈酒;果酒（含酒精）;含酒精的饮料（啤酒除外）;⽶酒;由⾕物蒸馏的⽩酒</t>
  </si>
  <si>
    <t>福建省禾邂品牌管理有限公司</t>
  </si>
  <si>
    <t>禾邂</t>
  </si>
  <si>
    <t>果酒（含酒精）;葡萄酒;威⼠忌;⽶酒;⻩酒;⽩酒;鸡尾酒;⽩兰地;清酒（⽇本⽶酒）;含酒精的⽓泡⽔</t>
  </si>
  <si>
    <t>刘秀勇</t>
  </si>
  <si>
    <t>鼎著秘煮</t>
  </si>
  <si>
    <t>鸡尾酒;葡萄酒;⽶酒;⽼酒（中国蒸馏烈酒）;汽酒;含⽔果酒精饮料;⾕物制蒸馏酒精饮料;⽩酒;果酒（含酒精）;⻩酒</t>
  </si>
  <si>
    <t>周邦华</t>
  </si>
  <si>
    <t>普宜情</t>
  </si>
  <si>
    <t>烧酒;⽩酒;⾼粱酒;⽩⼲酒（中国⽩酒）;⾕物制蒸馏酒精饮料;葡萄酒;⽶酒;果酒（含酒精）;⻩酒;酒精饮料（啤酒除外）</t>
  </si>
  <si>
    <t>云南湾拓科技有限公司</t>
  </si>
  <si>
    <t>水月岩</t>
  </si>
  <si>
    <t>酒精饮料（啤酒除外）;开胃酒;⾷⽤酒精;果酒;⽼酒（中国蒸馏烈酒）;⽩酒;清酒（⽇本⽶酒）;烧酒;含⽔果酒精饮料;葡萄酒</t>
  </si>
  <si>
    <t>上海蜀润商贸有限公司</t>
  </si>
  <si>
    <t>享泽牛二系</t>
  </si>
  <si>
    <t>露酒;⽩⼲酒（中国⽩酒）;已调味的蒸馏酒;⽩酒;由⾕物蒸馏的⽩酒;⾼粱酒;烧酒;烧酒（烈酒）;烈酒;⾕物制蒸馏酒精饮料</t>
  </si>
  <si>
    <t>济宁儒农文化有限公司</t>
  </si>
  <si>
    <t>云贵桥</t>
  </si>
  <si>
    <t>⽼酒（中国蒸馏烈酒）;⽩酒;梅酒;鸡尾酒;咖啡利⼝酒;佐餐酒;葡萄酒;果酒;⽶酒;⻩酒</t>
  </si>
  <si>
    <t>陈丽娟</t>
  </si>
  <si>
    <t>桂老林</t>
  </si>
  <si>
    <t>酒精饮料（啤酒除外）;⻘稞酒;⽶酒;⻩酒;伏特加酒;果酒（含酒精）;清酒（⽇本⽶酒）;朗姆酒;⽩兰地;⽩酒</t>
  </si>
  <si>
    <t>辽源亲见袜业有限公司</t>
  </si>
  <si>
    <t>QINXIANGJIAN</t>
  </si>
  <si>
    <t>果酒（含酒精）;⻩酒;开胃酒;葡萄酒;烧酒;⽩酒;⽩兰地;汽酒;鸡尾酒;⽶酒</t>
  </si>
  <si>
    <t>李平</t>
  </si>
  <si>
    <t>红伏</t>
  </si>
  <si>
    <t>鸡尾酒;⽶酒;餐后酒（利⼝酒和烈酒）;⽩酒;烈酒（饮料）;开胃酒;酒精饮料（啤酒除外）;⻩酒;烧酒;果酒（含酒精）</t>
  </si>
  <si>
    <t>吴选涛</t>
  </si>
  <si>
    <t>赐贵坊</t>
  </si>
  <si>
    <t>含酒精的饮料（啤酒除外）;开胃酒;⽩酒;清酒;果酒;利⼝酒;⾼粱酒;烧酒（烈酒）;葡萄酒;蒸煮提取物（利⼝酒和烈酒）</t>
  </si>
  <si>
    <t>尚行至善（江苏）生命科技有限公司</t>
  </si>
  <si>
    <t>尚行至善</t>
  </si>
  <si>
    <t>⽩酒;⻩酒;含酒精的⽓泡⽔;葡萄酒;⽶酒;威⼠忌;烈酒（饮料）;果酒（含酒精）;⾷⽤酒精;酒精饮料（啤酒除外）</t>
  </si>
  <si>
    <t>高亮</t>
  </si>
  <si>
    <t>麟湖</t>
  </si>
  <si>
    <t>⽩酒;⽶酒;⻩酒;开胃酒;含⽔果酒精饮料;果酒（含酒精）;餐后酒（利⼝酒和烈酒）;⾕物制蒸馏酒精饮料;烧酒;葡萄酒</t>
  </si>
  <si>
    <t>周斌</t>
  </si>
  <si>
    <t>南鄱湾</t>
  </si>
  <si>
    <t>鸡尾酒;葡萄酒;酒精饮料（啤酒除外）;⽶酒;烈酒（饮料）;⽩酒;开胃酒;烧酒;果酒（含酒精）;利⼝酒</t>
  </si>
  <si>
    <t>吐鲁番市葡陶驿酒业有限责任公司</t>
  </si>
  <si>
    <t>赤萄驿</t>
  </si>
  <si>
    <t>餐后酒（利⼝酒和烈酒）;开胃酒;酸酒（低等葡萄酒）;以葡萄酒为主的饮料;利⼝酒;含⽔果酒精饮料;葡萄酒;果酒（含酒精）;酒精饮料原汁;酒精饮料（啤酒除外）</t>
  </si>
  <si>
    <t>贵州省仁怀市御领酒业销售有限公司</t>
  </si>
  <si>
    <t>名双</t>
  </si>
  <si>
    <t>蒸馏饮料;鸡尾酒;⾷⽤酒精;烧酒;⽩酒;果酒（含酒精）;葡萄酒;酒精饮料（啤酒除外）;⽶酒</t>
  </si>
  <si>
    <t>健民药业集团股份有限公司</t>
  </si>
  <si>
    <t>叶开泰</t>
  </si>
  <si>
    <t>开胃酒;⽶酒;餐后酒（利⼝酒和烈酒）;清酒;葡萄酒;⻩酒;酒精饮料（啤酒除外）;蒸馏饮料;酒精饮料浓缩汁;鸡尾酒</t>
  </si>
  <si>
    <t>李成杰</t>
  </si>
  <si>
    <t>黄泥洼子</t>
  </si>
  <si>
    <t>葡萄酒;⾷⽤酒精;烈酒（饮料）;烧酒;清酒（⽇本⽶酒）;⽩兰地;含⽔果酒精饮料;汽酒;⽩酒;果酒（含酒精）</t>
  </si>
  <si>
    <t>书海</t>
  </si>
  <si>
    <t>苹果酒;⽩酒;葡萄酒;烈酒（饮料）;露酒;⾕物制蒸馏酒精饮料;餐后酒（利⼝酒和烈酒）;果酒（含酒精）;蒸馏饮料;⽶酒</t>
  </si>
  <si>
    <t>赵瑞</t>
  </si>
  <si>
    <t>兰山瑞</t>
  </si>
  <si>
    <t>烈酒（饮料）;⽩兰地;利⼝酒;威⼠忌;⽩酒;果酒（含酒精）;果酒;鸡尾酒;葡萄酒;⽶酒</t>
  </si>
  <si>
    <t>华君春之歌</t>
  </si>
  <si>
    <t>葡萄酒;烧酒;梨酒;果酒（含酒精）;开胃酒;⽶酒;⽩酒;烈酒（饮料）;梅酒;蜂蜜酒</t>
  </si>
  <si>
    <t>南阳市天悦商贸有限公司</t>
  </si>
  <si>
    <t>珍博康</t>
  </si>
  <si>
    <t>葡萄酒;酒精饮料（啤酒除外）;⻩酒;果酒（含酒精）;伏特加酒;威⼠忌;⽶酒;⽩酒;鸡尾酒;⽩兰地</t>
  </si>
  <si>
    <t>桑干七池（山西）科技有限公司</t>
  </si>
  <si>
    <t>桑源春思</t>
  </si>
  <si>
    <t>酒精饮料（啤酒除外）;清酒（⽇本⽶酒）;鸡尾酒;⾷⽤酒精;⻩酒;⽩酒;果酒（含酒精）;威⼠忌;⽶酒;⽩兰地</t>
  </si>
  <si>
    <t>枫林梦圆（北京）物业管理有限公司</t>
  </si>
  <si>
    <t>林梦圆</t>
  </si>
  <si>
    <t>烧酒; 白酒; 威士忌; 白干酒（中国白酒）; 老酒（中国蒸馏烈酒）; 高粱酒; 米酒; 葡萄酒; 伏特加酒; 鸡尾酒</t>
  </si>
  <si>
    <t>敦煌市鸣沙山月牙泉旅游发展有限公司</t>
  </si>
  <si>
    <t>醉玉关</t>
  </si>
  <si>
    <t>清酒;酒精饮料（啤酒除外）;⻘稞酒;汽酒;⻩酒;果酒;⽶酒;烧酒;葡萄酒;⽩酒</t>
  </si>
  <si>
    <t>杏林信</t>
  </si>
  <si>
    <t>⽶酒;清酒（⽇本⽶酒）;烧酒;果酒（含酒精）;烈酒（饮料）;葡萄酒;⻩酒;酒精饮料（啤酒除外）;⽩酒;鸡尾酒</t>
  </si>
  <si>
    <t>友典台</t>
  </si>
  <si>
    <t>葡萄酒;⾷⽤酒精;伏特加酒;⽩兰地;烈酒（饮料）;⻩酒;朗姆酒;果酒（含酒精）;威⼠忌;⽩酒</t>
  </si>
  <si>
    <t>石屏乐游旅游服务有限公司</t>
  </si>
  <si>
    <t>异龙湖</t>
  </si>
  <si>
    <t>果酒（含酒精）;清酒（⽇本⽶酒）;⽩酒;伏特加酒;利⼝酒;威⼠忌;烈酒（饮料）;葡萄酒;⾷⽤酒精;⽩兰地</t>
  </si>
  <si>
    <t>康美药业股份有限公司</t>
  </si>
  <si>
    <t>康美幸福红</t>
  </si>
  <si>
    <t>开胃酒;⾷⽤酒精;酒精饮料（啤酒除外）;⾼粱酒;烧酒;葡萄酒;蒸馏饮料;⽶酒;清酒;甜酒</t>
  </si>
  <si>
    <t>邱国亮</t>
  </si>
  <si>
    <t>上唐</t>
  </si>
  <si>
    <t>含酒精⽔果饮料;蒸馏饮料;烧酒;果酒（含酒精）;⽩酒;⽩兰地;⽶酒;开胃酒;鸡尾酒;葡萄酒</t>
  </si>
  <si>
    <t>大青骡子</t>
  </si>
  <si>
    <t>⻩酒;威⼠忌;酒精饮料（啤酒除外）;果酒（含酒精）;⽩酒;烧酒;酒精饮料浓缩汁;⽶酒;蜂蜜酒;葡萄酒</t>
  </si>
  <si>
    <t>马高华</t>
  </si>
  <si>
    <t>牧小涵</t>
  </si>
  <si>
    <t>烈酒（饮料）;蜂蜜酒;⽶酒;蒸馏饮料;葡萄酒;⽩兰地;⽩酒;果酒（含酒精）;开胃酒;鸡尾酒</t>
  </si>
  <si>
    <t>海宁盐官古城旅游股份有限公司</t>
  </si>
  <si>
    <t>诞隍派</t>
  </si>
  <si>
    <t>酒精饮料（啤酒除外）;⽶酒;鸡尾酒;餐后酒（利⼝酒和烈酒）;清酒;蒸煮提取物（利⼝酒和烈酒）;果酒;葡萄酒;⽩兰地;⽩酒</t>
  </si>
  <si>
    <t>石港渔歌</t>
  </si>
  <si>
    <t>酒精饮料（啤酒除外）;⽩酒;威⼠忌;烧酒;蜂蜜酒;果酒（含酒精）;葡萄酒;⻩酒;⽶酒;酒精饮料浓缩汁</t>
  </si>
  <si>
    <t>山西幸福宜居数字生活服务集团有限公司</t>
  </si>
  <si>
    <t>鸡尾酒;酒精饮料原汁;烧酒;⽩酒;开胃酒;果酒（含酒精）;⻩酒;葡萄酒;⽶酒;烈酒（饮料）</t>
  </si>
  <si>
    <t>薛玉龙</t>
  </si>
  <si>
    <t>薛小匠</t>
  </si>
  <si>
    <t>烧酒;果酒（含酒精）;威⼠忌;酒精饮料（啤酒除外）;⽩酒;葡萄酒;蒸馏饮料;鸡尾酒;烈酒（饮料）;⽶酒</t>
  </si>
  <si>
    <t>朱正顺</t>
  </si>
  <si>
    <t>齐溪</t>
  </si>
  <si>
    <t>开胃酒;蒸馏饮料;葡萄酒;利⼝酒;果酒（含酒精）;⽩兰地;⽩酒;⾕物制蒸馏酒精饮料;⾷⽤酒精;烈酒（饮料）</t>
  </si>
  <si>
    <t>王善吉</t>
  </si>
  <si>
    <t>谷寨宴</t>
  </si>
  <si>
    <t>⾕物制蒸馏酒精饮料;⽩兰地;⽶酒;⻩酒;烧酒;含⽔果酒精饮料;葡萄酒;鸡尾酒;⽩酒;利⼝酒</t>
  </si>
  <si>
    <t>田永盛</t>
  </si>
  <si>
    <t>二江坊</t>
  </si>
  <si>
    <t>葡萄酒;⽶酒;⻘稞酒;⽩酒;果酒（含酒精）;甜酒;⽩⼲酒（中国⽩酒）;烧酒;⾼粱酒;⻩酒</t>
  </si>
  <si>
    <t>赋姿春</t>
  </si>
  <si>
    <t>含⽔果酒精饮料;⾷⽤酒精;葡萄酒;果酒（含酒精）;⽩酒;清酒（⽇本⽶酒）;威⼠忌;酒精饮料（啤酒除外）;⽶酒;蒸馏饮料</t>
  </si>
  <si>
    <t>衡水京阳酒业有限公司</t>
  </si>
  <si>
    <t>圣洁花荷盛</t>
  </si>
  <si>
    <t>伏特加酒;⽶酒;蒸馏⽶酒（泡盛酒）;⻘稞酒;⻩酒;烧酒;⽩兰地;⽩酒;⾼粱酒;葡萄酒</t>
  </si>
  <si>
    <t>林秀兰</t>
  </si>
  <si>
    <t>食朝顺</t>
  </si>
  <si>
    <t>伏特加酒;⽩兰地;⻩酒;餐后酒（利⼝酒和烈酒）;鸡尾酒;烈酒（饮料）;苦味酒;⽩酒;⽶酒;葡萄酒</t>
  </si>
  <si>
    <t>圣洁何花盛</t>
  </si>
  <si>
    <t>伏特加酒;烧酒;⽩兰地;⽶酒;⾼粱酒;⻘稞酒;⻩酒;⽩酒;葡萄酒;蒸馏⽶酒（泡盛酒）</t>
  </si>
  <si>
    <t>成都香甜文化娱乐有限公司</t>
  </si>
  <si>
    <t>OPENLUCKY</t>
  </si>
  <si>
    <t>酒精饮料原汁;烈酒（饮料）;⽩酒;蒸馏饮料;果酒（含酒精）;⾷⽤酒精;⻩酒;汽酒;预先混合的酒精饮料（以啤酒为主的除外）;酒精饮料（啤酒除外）</t>
  </si>
  <si>
    <t>江口醇盛世经典</t>
  </si>
  <si>
    <t>烧酒;开胃酒;利⼝酒;烈酒（饮料）;果酒（含酒精）;葡萄酒;清酒（⽇本⽶酒）;⽩酒;酒精饮料（啤酒除外）;⽶酒</t>
  </si>
  <si>
    <t>徐晓春</t>
  </si>
  <si>
    <t>苏妃丽 SURFAYLIY</t>
  </si>
  <si>
    <t>威⼠忌;开胃酒;果酒;蒸馏饮料;餐后酒（利⼝酒和烈酒）;葡萄酒;⽩兰地;⽩酒;⻩酒;果酒（含酒精）</t>
  </si>
  <si>
    <t>快乐星球（青岛）创新科技有限公司</t>
  </si>
  <si>
    <t>快乐星球茂</t>
  </si>
  <si>
    <t>威⼠忌;⽶酒;烧酒;鸡尾酒;⻩酒;⽩酒;朗姆酒;果酒;⽩兰地;伏特加酒</t>
  </si>
  <si>
    <t>陈春龙</t>
  </si>
  <si>
    <t>粱剑</t>
  </si>
  <si>
    <t>⽶酒;鸡尾酒;⾼粱酒;酒精饮料（啤酒除外）;葡萄酒;清酒;⽩酒;果酒;烧酒;⻩酒</t>
  </si>
  <si>
    <t>颍上县炳春食品销售有限公司</t>
  </si>
  <si>
    <t>颍良春</t>
  </si>
  <si>
    <t>果酒（含酒精）;葡萄酒;烈酒（饮料）;烧酒;⾼粱酒;⽶酒;⻩酒;⽩酒;鸡尾酒;⽼酒（中国蒸馏烈酒）</t>
  </si>
  <si>
    <t>史立坤</t>
  </si>
  <si>
    <t>晟赞</t>
  </si>
  <si>
    <t>⽩酒;烧酒;烧酒（烈酒）;⽩⼲酒（中国⽩酒）;⾼粱酒;利⼝酒;红葡萄酒;除啤酒外的酒精饮料;烈酒;酒精饮料（啤酒除外）</t>
  </si>
  <si>
    <t>安徽汉酿酒业有限公司</t>
  </si>
  <si>
    <t>酒阜坊</t>
  </si>
  <si>
    <t>⻩酒;⻘稞酒;⽶酒;⽩酒;烧酒;果酒;葡萄酒;⾷⽤酒精;清酒;⽩兰地</t>
  </si>
  <si>
    <t>重庆康峰商贸有限公司</t>
  </si>
  <si>
    <t>颜康元</t>
  </si>
  <si>
    <t>⽩酒;鸡尾酒;⽩兰地;烧酒;威⼠忌;蜂蜜酒;⽶酒;⻩酒;果酒（含酒精）;葡萄酒</t>
  </si>
  <si>
    <t>四川仁本堂医疗信息咨询股份有限公司</t>
  </si>
  <si>
    <t>和悦仁本堂</t>
  </si>
  <si>
    <t>烧酒;葡萄酒;⽩酒;利⼝酒;⽶酒;果酒（含酒精）;⻩酒;威⼠忌;烈酒（饮料）;预先混合的酒精饮料（以啤酒为主的除外）</t>
  </si>
  <si>
    <t>董红显</t>
  </si>
  <si>
    <t>荞厚</t>
  </si>
  <si>
    <t>果酒（含酒精）;酒精饮料（啤酒除外）;⽶酒;烧酒;⽩酒;⻩酒;蒸馏饮料;葡萄酒;清酒（⽇本⽶酒）;烈酒（饮料）</t>
  </si>
  <si>
    <t>广东中石友建筑工程有限公司</t>
  </si>
  <si>
    <t>商逢</t>
  </si>
  <si>
    <t>⽩酒;果酒（含酒精）;鸡尾酒;薄荷酒;⽶酒;酒精饮料（啤酒除外）;葡萄酒;利⼝酒;开胃酒;清酒</t>
  </si>
  <si>
    <t>湏</t>
  </si>
  <si>
    <t>⻩酒;清酒（⽇本⽶酒）;⽶酒;⽩酒;果酒（含酒精）;葡萄酒;鸡尾酒;烈酒（饮料）;酒精饮料（啤酒除外）;烧酒</t>
  </si>
  <si>
    <t>海口市昶智和百货有限公司</t>
  </si>
  <si>
    <t>珂玦</t>
  </si>
  <si>
    <t>⽩兰地;伏特加酒;⽩酒;薄荷酒;烧酒;⽶酒;葡萄酒;威⼠忌;⻩酒;鸡尾酒</t>
  </si>
  <si>
    <t>广州新家园国际贸易有限公司</t>
  </si>
  <si>
    <t>菲歌德</t>
  </si>
  <si>
    <t>葡萄酒;含⽔果酒精饮料;酒精饮料浓缩汁;⽶酒;蒸煮提取物（利⼝酒和烈酒）;蒸馏饮料;鸡尾酒;⽩酒;果酒;⾷⽤酒精</t>
  </si>
  <si>
    <t>北京花田人间旅游科技有限公司</t>
  </si>
  <si>
    <t>真爷酒</t>
  </si>
  <si>
    <t>酒精饮料原汁;含⽔果酒精饮料;⻩酒;⽶酒;⾷⽤酒精;酒精饮料（啤酒除外）;预先混合的酒精饮料（以啤酒为主的除外）;酒精饮料浓缩汁;⾕物制蒸馏酒精饮料;果酒（含酒精）</t>
  </si>
  <si>
    <t>陈秋伍</t>
  </si>
  <si>
    <t>岩滩王镇发</t>
  </si>
  <si>
    <t>⽩酒;露酒;⽶酒;苹果酒;果酒（含酒精）;烈酒（饮料）;餐后酒（利⼝酒和烈酒）;⾕物制蒸馏酒精饮料;蒸馏饮料;葡萄酒</t>
  </si>
  <si>
    <t>逍侠梦</t>
  </si>
  <si>
    <t>烈酒;⻩酒;⽩酒;开胃酒;果酒（含酒精）;清酒（⽇本⽶酒）;威⼠忌;鸡尾酒;酒精饮料（啤酒除外）;葡萄酒</t>
  </si>
  <si>
    <t>四川省邛尊酒业有限公司</t>
  </si>
  <si>
    <t>刘悦庆</t>
  </si>
  <si>
    <t>蒸馏饮料;⽶酒;⾷⽤酒精;开胃酒;⽩酒;酒精饮料（啤酒除外）;葡萄酒;烧酒;⻩酒;烈酒（饮料）</t>
  </si>
  <si>
    <t>清酒;酒精饮料浓缩汁;鸡尾酒;葡萄酒;⻩酒;餐后酒（利⼝酒和烈酒）;酒精饮料（啤酒除外）;开胃酒;⽶酒;蒸馏饮料</t>
  </si>
  <si>
    <t>耿志勇</t>
  </si>
  <si>
    <t>全墅</t>
  </si>
  <si>
    <t>果酒;甜酒;清酒;葡萄酒;⻩酒;⾷⽤酒精;开胃酒;汽酒;⽩酒;⽶酒</t>
  </si>
  <si>
    <t>任志伟</t>
  </si>
  <si>
    <t>青花侠</t>
  </si>
  <si>
    <t>利⼝酒;果酒（含酒精）;⻩酒;苹果酒;酒精饮料（啤酒除外）;⻘稞酒;⽩酒;⽶酒;烧酒;葡萄酒</t>
  </si>
  <si>
    <t>杭州同福永酿酒有限公司</t>
  </si>
  <si>
    <t>太湖这</t>
  </si>
  <si>
    <t>⾷⽤酒精;烧酒;酒精饮料（啤酒除外）;清酒;⻘稞酒;⻩酒;含⽔果酒精饮料;汽酒;葡萄酒;⽶酒</t>
  </si>
  <si>
    <t>上海皇家酿酒有限公司</t>
  </si>
  <si>
    <t>浦源花海</t>
  </si>
  <si>
    <t>开胃酒;⻩酒;苦味酒;烧酒;⻘稞酒;鸡尾酒;柑⾹酒;餐后酒（利⼝酒和烈酒）;汽酒;⽩酒</t>
  </si>
  <si>
    <t>王星</t>
  </si>
  <si>
    <t>桑榆年</t>
  </si>
  <si>
    <t>葡萄酒;清酒（⽇本⽶酒）;酒精饮料（啤酒除外）;⽩酒;果酒（含酒精）;烧酒;蜂蜜酒;鸡尾酒;开胃酒;⻩酒</t>
  </si>
  <si>
    <t>陕西商山洛水酒业有限公司</t>
  </si>
  <si>
    <t>长品秦岭</t>
  </si>
  <si>
    <t>酒精饮料（啤酒除外）;⽼酒（中国蒸馏烈酒）;⾷⽤酒精;果酒（含酒精）;蒸馏饮料;⽶酒;⽩⼲酒（中国⽩酒）;⽩酒;蜂蜜酒;葡萄酒</t>
  </si>
  <si>
    <t>陈锋</t>
  </si>
  <si>
    <t>⽶酒;⻩酒;烧酒（烈酒）;⽩⼲酒（中国⽩酒）;⾷⽤酒精;⽩酒;⽼酒（中国蒸馏烈酒）;果酒;酒精饮料（啤酒除外）;葡萄酒</t>
  </si>
  <si>
    <t>上海淘玺电子商务有限公司</t>
  </si>
  <si>
    <t>能赋</t>
  </si>
  <si>
    <t>烈酒（饮料）;⾕物制蒸馏酒精饮料;烧酒;蒸馏饮料;⽶酒;酒精饮料（啤酒除外）;预先混合的酒精饮料（以啤酒为主的除外）;⽩酒;⻩酒;清酒（⽇本⽶酒）</t>
  </si>
  <si>
    <t>内蒙古鑫燚私酿酒业有限公司</t>
  </si>
  <si>
    <t>蒙燚泉</t>
  </si>
  <si>
    <t>伏特加酒;⽩酒;⾼粱酒;果酒;⻩酒;鸡尾酒;葡萄酒;烧酒;⽶酒;开胃酒</t>
  </si>
  <si>
    <t>毕瑞洋</t>
  </si>
  <si>
    <t>仁卣</t>
  </si>
  <si>
    <t>烈酒（饮料）;⾷⽤酒精;⽶酒;⽩酒;蒸煮提取物（利⼝酒和烈酒）;烧酒;葡萄酒;⻩酒;蒸馏饮料;果酒</t>
  </si>
  <si>
    <t>认知与生命科学研究院（云南）有限公司</t>
  </si>
  <si>
    <t>慧兴五达</t>
  </si>
  <si>
    <t>⽶酒;清酒;朗姆酒（酒精饮料）;⽼酒（中国蒸馏烈酒）;红葡萄酒;⽩酒;⾼粱酒;果酒;⽩⼲酒（中国⽩酒）;已调味的蒸馏酒</t>
  </si>
  <si>
    <t>阙福盛</t>
  </si>
  <si>
    <t>山坳岭</t>
  </si>
  <si>
    <t>含酒精的饮料（啤酒除外）;⽼酒（中国蒸馏烈酒）;以葡萄酒为主的开胃酒;果酒（含酒精）;预先混合的酒精饮料（以啤酒为主的除外）;含酒精的⽔果鸡尾酒饮料;蒸煮提取物（利⼝酒和烈酒）;⻩酒;⽩酒;⽩⼲酒（中国⽩酒）</t>
  </si>
  <si>
    <t>彭宗斌</t>
  </si>
  <si>
    <t>宇德隆记</t>
  </si>
  <si>
    <t>⽩酒;伏特加酒;果酒（含酒精）;⽶酒;威⼠忌;鸡尾酒;葡萄酒;朗姆酒;酒精饮料（啤酒除外）;⽩兰地</t>
  </si>
  <si>
    <t>国药修源生物科技（海南）有限公司</t>
  </si>
  <si>
    <t>一周御</t>
  </si>
  <si>
    <t>⻩酒;酒精饮料（啤酒除外）;⽶酒;⽩酒;葡萄酒;烈酒（饮料）;鸡尾酒;烧酒;蒸馏饮料;果酒（含酒精）</t>
  </si>
  <si>
    <t>毛妮</t>
  </si>
  <si>
    <t>贵妃措</t>
  </si>
  <si>
    <t>威⼠忌;烧酒;⽩兰地;葡萄酒;苹果酒;开胃酒;果酒（含酒精）;⽩酒;⽶酒;⻩酒</t>
  </si>
  <si>
    <t>果酒;⾷⽤酒精;葡萄酒;开胃酒;酒精饮料（啤酒除外）;烧酒;含⽔果酒精饮料;⽼酒（中国蒸馏烈酒）;⽩酒;清酒（⽇本⽶酒）</t>
  </si>
  <si>
    <t>凰栩</t>
  </si>
  <si>
    <t>威⼠忌;⽶酒;⽩酒;清酒（⽇本⽶酒）;果酒（含酒精）;蒸馏饮料;葡萄酒;含⽔果酒精饮料;酒精饮料（啤酒除外）;⾷⽤酒精</t>
  </si>
  <si>
    <t>河北环品进出口贸易有限公司</t>
  </si>
  <si>
    <t>寻路人</t>
  </si>
  <si>
    <t>烧酒;葡萄酒;梨酒;⽼酒（中国蒸馏烈酒）;清酒（⽇本⽶酒）;⻩酒;⾼粱酒;⽩酒;⽶酒;果酒</t>
  </si>
  <si>
    <t>红韵临门</t>
  </si>
  <si>
    <t>露酒;⾕物制蒸馏酒精饮料;餐后酒（利⼝酒和烈酒）;⽩酒;苹果酒;葡萄酒;烈酒（饮料）;⽶酒;蒸馏饮料;果酒（含酒精）</t>
  </si>
  <si>
    <t>索尼音乐唱片股份有限公司</t>
  </si>
  <si>
    <t>NEXZ</t>
  </si>
  <si>
    <t>⽶酒;烈酒;伏特加酒;葡萄酒;利⼝酒;酒精饮料（啤酒除外）</t>
  </si>
  <si>
    <t>贾春锋</t>
  </si>
  <si>
    <t>鹰之韵</t>
  </si>
  <si>
    <t>烧酒;果酒（含酒精）;葡萄酒;⻩酒;烈酒（饮料）;⽩酒;柑⾹酒;⽶酒;⾷⽤酒精;餐后酒（利⼝酒和烈酒）</t>
  </si>
  <si>
    <t>郑海龙</t>
  </si>
  <si>
    <t>徐酒匠</t>
  </si>
  <si>
    <t>葡萄酒;果酒（含酒精）;酒精饮料（啤酒除外）;烧酒;鸡尾酒;威⼠忌;烈酒（饮料）;⽶酒;⽩酒;⾼粱酒</t>
  </si>
  <si>
    <t>白湃</t>
  </si>
  <si>
    <t>清酒（⽇本⽶酒）;酒精饮料（啤酒除外）;葡萄酒;鸡尾酒;⽩酒;果酒（含酒精）;威⼠忌;开胃酒;烈酒;⻩酒</t>
  </si>
  <si>
    <t>贵州周茅酒业有限公司</t>
  </si>
  <si>
    <t>周禀恒</t>
  </si>
  <si>
    <t>⽩酒;威⼠忌;烈酒;⾼粱酒;果酒;⻩酒;烧酒;清酒;烧酒（烈酒）;⻘稞酒</t>
  </si>
  <si>
    <t>聂盟</t>
  </si>
  <si>
    <t>植草塑妍</t>
  </si>
  <si>
    <t>烧酒;酒精饮料（啤酒除外）;⻩酒;果酒（含酒精）;清酒（⽇本⽶酒）;⽩酒;⽶酒;鸡尾酒;烈酒（饮料）;葡萄酒</t>
  </si>
  <si>
    <t>京贡传承（北京）酒业有限公司</t>
  </si>
  <si>
    <t>京贡福</t>
  </si>
  <si>
    <t>鸡尾酒;威⼠忌;⽢蔗制酒精饮料;烈酒（饮料）;葡萄酒;含酒精的饮料（啤酒除外）;含酒精⽔果饮料;⽩⼲酒（中国⽩酒）;⽩酒;⾕物制蒸馏酒精饮料</t>
  </si>
  <si>
    <t>云南锦兰生商贸有限公司</t>
  </si>
  <si>
    <t>锦兰生</t>
  </si>
  <si>
    <t>果酒（含酒精）;葡萄酒;酒精饮料（啤酒除外）;⽶酒;⾼粱酒;烧酒;⻩酒;⽩酒;蒸煮提取物（利⼝酒和烈酒）;露酒</t>
  </si>
  <si>
    <t>广西深百情农林科技有限公司</t>
  </si>
  <si>
    <t>深鲜百味</t>
  </si>
  <si>
    <t>⽩酒;蒸馏饮料;⽶酒;⽔果汽酒;⻩酒;含酒精的⽔果鸡尾酒饮料;红葡萄酒;葡萄酒;含⽔果酒精饮料;甜酒</t>
  </si>
  <si>
    <t>和光若水男爵</t>
  </si>
  <si>
    <t>烈酒（饮料）;⻩酒;果酒（含酒精）;酒精饮料（啤酒除外）;⽩酒;蒸馏饮料;酒精饮料原汁;⾷⽤酒精;汽酒;预先混合的酒精饮料（以啤酒为主的除外）</t>
  </si>
  <si>
    <t>李艳</t>
  </si>
  <si>
    <t>青忘忧</t>
  </si>
  <si>
    <t>⽶酒;含酒精的饮料（啤酒除外）;烧酒;鸡尾酒;露酒;果酒（含酒精）;葡萄酒;⾷⽤酒精;⽩酒;⻩酒</t>
  </si>
  <si>
    <t>张氏（山东）餐饮管理有限公司</t>
  </si>
  <si>
    <t>张御禾</t>
  </si>
  <si>
    <t>含⽔果酒精饮料;⾷⽤酒精;预先混合的酒精饮料（以啤酒为主的除外）;酒精饮料（啤酒除外）;酒精饮料原汁;⽩酒;果酒（含酒精）;葡萄酒;⻩酒;蒸煮提取物（利⼝酒和烈酒）</t>
  </si>
  <si>
    <t>河仓韵</t>
  </si>
  <si>
    <t>烧酒;汽酒;果酒;⻩酒;酒精饮料（啤酒除外）;葡萄酒;清酒;⽶酒;⻘稞酒;⽩酒</t>
  </si>
  <si>
    <t>张建国</t>
  </si>
  <si>
    <t>马歌古今三零</t>
  </si>
  <si>
    <t>⽶酒;葡萄酒;⽩酒;露酒;⾕物制蒸馏酒精饮料;果酒（含酒精）;苹果酒;烈酒（饮料）;餐后酒（利⼝酒和烈酒）;蒸馏饮料</t>
  </si>
  <si>
    <t>补晓岚</t>
  </si>
  <si>
    <t>果酒（含酒精）;烈酒（饮料）;酒精饮料原汁;以葡萄酒为主的饮料;⾷⽤酒精;伏特加酒;蒸馏饮料;鸡尾酒;葡萄酒;⽩酒</t>
  </si>
  <si>
    <t>喜阵</t>
  </si>
  <si>
    <t>鸡尾酒;⽶酒;酒精饮料（啤酒除外）;威⼠忌;⾼粱酒;烈酒（饮料）;⽩酒;葡萄酒;烧酒;果酒（含酒精）</t>
  </si>
  <si>
    <t>李灿</t>
  </si>
  <si>
    <t>别苑铁盖</t>
  </si>
  <si>
    <t>葡萄酒;酒精饮料（啤酒除外）;酸酒（低等葡萄酒）;⽩酒;烧酒;预先混合的酒精饮料（以啤酒为主的除外）;⽩兰地;威⼠忌;⽶酒;果酒（含酒精）</t>
  </si>
  <si>
    <t>鑫鲜百味</t>
  </si>
  <si>
    <t>含⽔果酒精饮料;⽩酒;含酒精的⽔果鸡尾酒饮料;蒸馏饮料;甜酒;⽶酒;⻩酒;⽔果汽酒;红葡萄酒;葡萄酒</t>
  </si>
  <si>
    <t>河北新食代农业发展有限公司</t>
  </si>
  <si>
    <t>未来入口 EAT FOR FUTURE</t>
  </si>
  <si>
    <t>酒精饮料（啤酒除外）;⻩酒;烈酒（饮料）;蒸馏饮料;利⼝酒;⾷⽤酒精;酒精饮料原汁;果酒（含酒精）;葡萄酒;⽶酒</t>
  </si>
  <si>
    <t>余瑞林</t>
  </si>
  <si>
    <t>惜何年</t>
  </si>
  <si>
    <t>⻘稞酒;烧酒;⽩酒;烈酒（饮料）;果酒;含酒精⽔果饮料;含酒精的⽓泡⽔;⽶酒;葡萄酒;清酒</t>
  </si>
  <si>
    <t>朗瀚</t>
  </si>
  <si>
    <t>鸡尾酒;葡萄酒;⽩酒;烧酒;⻩酒;酒精饮料原汁;伏特加酒;果酒（含酒精）;⽶酒;威⼠忌</t>
  </si>
  <si>
    <t>陈惜丽</t>
  </si>
  <si>
    <t>黑土魁</t>
  </si>
  <si>
    <t>⽩酒;⽶酒;鸡尾酒;葡萄酒;威⼠忌;利⼝酒;清酒（⽇本⽶酒）;烈酒（饮料）;烧酒;果酒（含酒精）</t>
  </si>
  <si>
    <t>廖亚军</t>
  </si>
  <si>
    <t>潘高钱</t>
  </si>
  <si>
    <t>酒精饮料原汁;预先混合的酒精饮料（以啤酒为主的除外）;⽼酒（中国蒸馏烈酒）;果酒（含酒精）;葡萄酒;酒精饮料浓缩汁;酒精饮料（啤酒除外）;⽶酒;⽩酒;蒸煮提取物（利⼝酒和烈酒）</t>
  </si>
  <si>
    <t>纳赤泰</t>
  </si>
  <si>
    <t>烈酒;酒精饮料（啤酒除外）;⽶酒;果酒;⽩兰地;⽼酒（中国蒸馏烈酒）;⽩酒;⾼粱酒;开胃酒;露酒</t>
  </si>
  <si>
    <t>伍止境（深圳）食品有限公司</t>
  </si>
  <si>
    <t>不趣就造</t>
  </si>
  <si>
    <t>含酒精的充⽓饮料（啤酒除外）;果酒;果酒（含酒精）;蜂蜜酒;含⽔果酒精饮料;酒精饮料（啤酒除外）;樱桃酒;预先混合的酒精饮料（以啤酒为主的除外）;鸡尾酒;朗姆酒（酒精饮料）</t>
  </si>
  <si>
    <t>运河的钟声</t>
  </si>
  <si>
    <t>烧酒;酒精饮料（啤酒除外）;葡萄酒;⽶酒;⽩酒;⻩酒;威⼠忌;果酒（含酒精）;酒精饮料浓缩汁;蜂蜜酒</t>
  </si>
  <si>
    <t>广西知乎管理咨询有限公司</t>
  </si>
  <si>
    <t>天邦文邑</t>
  </si>
  <si>
    <t>清酒;含酒精的充⽓饮料（啤酒除外）;烧酒;⽶酒;⾼粱酒;由⾕物蒸馏的⽩酒;⽼酒（中国蒸馏烈酒）;果酒（含酒精）;⽩酒;葡萄酒</t>
  </si>
  <si>
    <t>湖远行网络 HUYUANXING NETWORK</t>
  </si>
  <si>
    <t>蒸馏饮料;果酒（含酒精）;鸡尾酒;⽶酒;⾷⽤酒精;⻘稞酒;葡萄酒;含⽔果酒精饮料;⽩酒;利⼝酒</t>
  </si>
  <si>
    <t>内蒙古赤锡老窖酒业有限公司</t>
  </si>
  <si>
    <t>赤锡王</t>
  </si>
  <si>
    <t>⽼酒（中国蒸馏烈酒）;烈酒;⾼粱酒;果酒;⽶酒;露酒;酒精饮料（啤酒除外）;含⽔果酒精饮料;鸡尾酒;⽩酒</t>
  </si>
  <si>
    <t>天酿龙</t>
  </si>
  <si>
    <t>烧酒;烈酒（饮料）;威⼠忌;葡萄酒;鸡尾酒;⾼粱酒;⽶酒;果酒（含酒精）;酒精饮料（啤酒除外）;⽩酒</t>
  </si>
  <si>
    <t>大理市滇婆餐饮服务店（个体工商户）</t>
  </si>
  <si>
    <t>臻小云</t>
  </si>
  <si>
    <t>果酒（含酒精）;含⽔果酒精饮料;⽶酒;以葡萄酒为主的饮料;预先混合的酒精饮料（以啤酒为主的除外）;含酒精的⽓泡⽔;⻘稞酒;樱桃酒;薄荷酒;⽩酒</t>
  </si>
  <si>
    <t>贵州洋河樽酒业有限公司</t>
  </si>
  <si>
    <t>梧湉</t>
  </si>
  <si>
    <t>⾼粱酒;⽩酒;烈酒（饮料）;果酒;鸡尾酒;葡萄酒;⽼酒（中国蒸馏烈酒）;酒精饮料（啤酒除外）;烧酒;烈酒</t>
  </si>
  <si>
    <t>HUYUANXING NET</t>
  </si>
  <si>
    <t>葡萄酒;含⽔果酒精饮料;⽶酒;⽩酒;果酒（含酒精）;利⼝酒;⾷⽤酒精;⻘稞酒;蒸馏饮料;鸡尾酒</t>
  </si>
  <si>
    <t>林幼玲</t>
  </si>
  <si>
    <t>龙尔</t>
  </si>
  <si>
    <t>清酒（⽇本⽶酒）;开胃酒;⽩兰地;鸡尾酒;酒精饮料（啤酒除外）;威⼠忌;⽩酒;⽶酒;含⽔果酒精饮料;葡萄酒</t>
  </si>
  <si>
    <t>黄鹏</t>
  </si>
  <si>
    <t>书池</t>
  </si>
  <si>
    <t>烈酒（饮料）;蒸馏饮料;⾕物制蒸馏酒精饮料;餐后酒（利⼝酒和烈酒）;露酒;⽶酒;果酒（含酒精）;苹果酒;葡萄酒;⽩酒</t>
  </si>
  <si>
    <t>名卣</t>
  </si>
  <si>
    <t>烈酒（饮料）;⻩酒;葡萄酒;⽩酒;⽶酒;蒸煮提取物（利⼝酒和烈酒）;果酒;烧酒;蒸馏饮料;⾷⽤酒精</t>
  </si>
  <si>
    <t>铺之味</t>
  </si>
  <si>
    <t>⽩酒;葡萄酒;烈酒（饮料）;酒精饮料（啤酒除外）;蒸馏饮料;⽶酒;烧酒;⻩酒;果酒（含酒精）;清酒（⽇本⽶酒）</t>
  </si>
  <si>
    <t>湖北金广农业科技有限公司</t>
  </si>
  <si>
    <t>太空之珠</t>
  </si>
  <si>
    <t>葡萄酒;⽶酒;鸡尾酒;⽩兰地;开胃酒;果酒（含酒精）;烈酒（饮料）;⽩酒;⾷⽤酒精;苹果酒</t>
  </si>
  <si>
    <t>贵州茅天子酒业有限公司</t>
  </si>
  <si>
    <t>饶匠台</t>
  </si>
  <si>
    <t>酒精饮料原汁;酒精饮料（啤酒除外）;葡萄酒;⽩酒;烈酒（饮料）;含⽔果酒精饮料;⽶酒;烧酒;蒸馏饮料;果酒（含酒精）</t>
  </si>
  <si>
    <t>吕梁巷子深酒业有限公司</t>
  </si>
  <si>
    <t>晋碛</t>
  </si>
  <si>
    <t>烧酒;露酒;开胃酒;⽶酒;葡萄酒;果酒（含酒精）;利⼝酒;⻩酒;⽼酒（中国蒸馏烈酒）;⽩酒</t>
  </si>
  <si>
    <t>出震</t>
  </si>
  <si>
    <t>果酒（含酒精）;蒸煮提取物（利⼝酒和烈酒）;葡萄酒;烈酒（饮料）;⽩酒;⻩酒;烧酒;⽶酒;预先混合的酒精饮料（以啤酒为主的除外）;酒精饮料（啤酒除外）</t>
  </si>
  <si>
    <t>九曲骄子</t>
  </si>
  <si>
    <t>烈酒（饮料）;⽶酒;⾕物制蒸馏酒精饮料;酒精饮料（啤酒除外）;⻩酒;⽩酒;烧酒;清酒（⽇本⽶酒）;蜂蜜酒;果酒（含酒精）</t>
  </si>
  <si>
    <t>祖帝骄子</t>
  </si>
  <si>
    <t>⽩酒;酒精饮料（啤酒除外）;威⼠忌;清酒（⽇本⽶酒）;葡萄酒;⻩酒;开胃酒;果酒（含酒精）;烈酒;鸡尾酒</t>
  </si>
  <si>
    <t>四川齐贤德胜科技有限公司</t>
  </si>
  <si>
    <t>德胜高升</t>
  </si>
  <si>
    <t>蜂蜜酒;预先混合的酒精饮料（以啤酒为主的除外）;蒸煮提取物（利⼝酒和烈酒）;酸酒（低等葡萄酒）;⻩酒;⽩酒;苦味酒;开胃酒;利⼝酒;甜果酒</t>
  </si>
  <si>
    <t>香港哈伯纳集团有限公司</t>
  </si>
  <si>
    <t>蒙特克里斯托</t>
  </si>
  <si>
    <t>⽩兰地;含⽔果酒精饮料;威⼠忌;⽩酒;烧酒;⻩酒;果酒（含酒精）;酒精饮料原汁;⽶酒;葡萄酒</t>
  </si>
  <si>
    <t>江高财</t>
  </si>
  <si>
    <t>南宋岳穆王</t>
  </si>
  <si>
    <t>⽶酒;汽酒;葡萄酒;果酒（含酒精）;⻩酒;⽩酒;酒精饮料（啤酒除外）;鸡尾酒;烈酒（饮料）;烧酒</t>
  </si>
  <si>
    <t>康纳谷</t>
  </si>
  <si>
    <t>⽩酒;鸡尾酒;酒精饮料浓缩汁;⽶酒;葡萄酒;含⽔果酒精饮料;⾷⽤酒精;蒸煮提取物（利⼝酒和烈酒）;蒸馏饮料;果酒</t>
  </si>
  <si>
    <t>宝德加·韦尼多·阿圭罗有限公司</t>
  </si>
  <si>
    <t>VUELO</t>
  </si>
  <si>
    <t>碛湾</t>
  </si>
  <si>
    <t>葡萄酒;利⼝酒;⽶酒;烧酒;露酒;⽼酒（中国蒸馏烈酒）;开胃酒;⻩酒;⽩酒;果酒（含酒精）</t>
  </si>
  <si>
    <t>宿迁京一企业管理咨询有限公司</t>
  </si>
  <si>
    <t>乾隆西域</t>
  </si>
  <si>
    <t>烧酒;⻩酒;⽩兰地;清酒;露酒;鸡尾酒;果酒;⽶酒;⽩酒;葡萄酒</t>
  </si>
  <si>
    <t>天津美丽健康科技有限公司</t>
  </si>
  <si>
    <t>长轻若水</t>
  </si>
  <si>
    <t>烈酒（饮料）;白酒;开胃酒;鸡尾酒;黄酒;米酒;果酒（含酒精）;葡萄酒;清酒（日本米酒）;酒精饮料（啤酒除外）</t>
  </si>
  <si>
    <t>⽶酒;蒸馏饮料;开胃酒;⽩酒;⽩兰地;清酒（⽇本⽶酒）;葡萄酒;⻩酒;果酒（含酒精）;酒精饮料（啤酒除外）</t>
  </si>
  <si>
    <t>蚩赋</t>
  </si>
  <si>
    <t>果酒（含酒精）;清酒（⽇本⽶酒）;葡萄酒;⾷⽤酒精;⽶酒;含⽔果酒精饮料;⽩酒;蒸馏饮料;威⼠忌;酒精饮料（啤酒除外）</t>
  </si>
  <si>
    <t>坤民（上海）养老服务有限公司</t>
  </si>
  <si>
    <t>依叁肆玖</t>
  </si>
  <si>
    <t>酒精饮料浓缩汁;酒精饮料（啤酒除外）;烧酒;蒸馏饮料;含⽔果酒精饮料;烈酒（饮料）;⽶酒;⽩酒;果酒（含酒精）;葡萄酒</t>
  </si>
  <si>
    <t>四川日酒天尝酒业有限公司</t>
  </si>
  <si>
    <t>甄老川</t>
  </si>
  <si>
    <t>烧酒;烈酒（饮料）;白酒;高粱酒;果酒;以朗姆酒为主的饮料;鸡尾酒;青稞酒;烧酒（烈酒）;黄酒</t>
  </si>
  <si>
    <t>张栩铭</t>
  </si>
  <si>
    <t>穰文</t>
  </si>
  <si>
    <t>果酒;⻩酒;露酒;⽶酒;果酒（含酒精）</t>
  </si>
  <si>
    <t>贵州宾隆投资管理有限公司</t>
  </si>
  <si>
    <t>宾隆佳家</t>
  </si>
  <si>
    <t>威士忌;白酒;米酒;果酒（含酒精）;葡萄酒;黄酒;伏特加酒;鸡尾酒;白兰地;烧酒</t>
  </si>
  <si>
    <t>赣圣</t>
  </si>
  <si>
    <t>⻩酒;葡萄酒;开胃酒;烈酒;清酒（⽇本⽶酒）;⽩酒;威⼠忌;酒精饮料（啤酒除外）;鸡尾酒;果酒（含酒精）</t>
  </si>
  <si>
    <t>好友蒙特利</t>
  </si>
  <si>
    <t>⽩兰地;果酒（含酒精）;葡萄酒;⽶酒;烧酒;威⼠忌;含⽔果酒精饮料;⽩酒;酒精饮料原汁;⻩酒</t>
  </si>
  <si>
    <t>高亮鸿</t>
  </si>
  <si>
    <t>鸡尾酒;烧酒;开胃酒;⽩兰地;酒精饮料（啤酒除外）;葡萄酒;⻩酒;⽩酒;清酒（⽇本⽶酒）;⽶酒</t>
  </si>
  <si>
    <t>贵州恭达酒业有限公司</t>
  </si>
  <si>
    <t>校亲</t>
  </si>
  <si>
    <t>果酒（含酒精）;⽩兰地;威⼠忌;⽩酒;朗姆酒;烈酒（饮料）;酒精饮料（啤酒除外）;鸡尾酒;伏特加酒;葡萄酒</t>
  </si>
  <si>
    <t>常德市马丁酒业有限公司</t>
  </si>
  <si>
    <t>MARTIN BOY</t>
  </si>
  <si>
    <t>烧酒;⻘稞酒;⻩酒;⽩酒;蒸馏饮料;汽酒;蜂蜜酒;⽶酒;葡萄酒;果酒</t>
  </si>
  <si>
    <t>含果汁的酒精饮料;含⽔果酒精饮料;⽔果汽酒;预先混合的酒精饮料（以啤酒为主的除外）;含酒精和果汁的鸡尾酒;含酒精⽔果饮料;酒精饮料（啤酒除外）;含酒精的⽔果鸡尾酒饮料</t>
  </si>
  <si>
    <t>老友说</t>
  </si>
  <si>
    <t>烈酒;汽酒;清酒（⽇本⽶酒）;果酒（含酒精）;⽩酒;蒸馏饮料;葡萄酒;威⼠忌;⽶酒;酒精饮料（啤酒除外）</t>
  </si>
  <si>
    <t>R·HERO</t>
  </si>
  <si>
    <t>葡萄酒;开胃酒;烈酒;威⼠忌;清酒（⽇本⽶酒）;⽩酒;鸡尾酒;果酒（含酒精）;⻩酒;酒精饮料（啤酒除外）</t>
  </si>
  <si>
    <t>北京凤香源酒文化有限公司</t>
  </si>
  <si>
    <t>引凤河</t>
  </si>
  <si>
    <t>果酒（含酒精）;葡萄酒;⽩酒;烧酒;开胃酒;伏特加酒;鸡尾酒;烈酒（饮料）;酒精饮料（啤酒除外）;⻩酒</t>
  </si>
  <si>
    <t>华君夏之恋</t>
  </si>
  <si>
    <t>开胃酒;⽶酒;烧酒;烈酒（饮料）;果酒（含酒精）;葡萄酒;蜂蜜酒;⽩酒;梨酒;梅酒</t>
  </si>
  <si>
    <t>涂金甲</t>
  </si>
  <si>
    <t>烧酒;⾼粱酒;葡萄酒;含酒精的⽔果鸡尾酒饮料;烈酒（饮料）;⽩酒;果酒;⽩兰地;⻩酒;⽶酒</t>
  </si>
  <si>
    <t>天秤之梦</t>
  </si>
  <si>
    <t>烧酒;果酒（含酒精）;酒精饮料（啤酒除外）;酒精饮料原汁;烈酒（饮料）;利⼝酒;葡萄酒;酸酒（低等葡萄酒）;⻩酒;开胃酒</t>
  </si>
  <si>
    <t>特潭</t>
  </si>
  <si>
    <t>葡萄酒;蒸馏饮料;⽶酒;⾕物制蒸馏酒精饮料;⽩酒;苹果酒;餐后酒（利⼝酒和烈酒）;烈酒（饮料）;露酒;果酒（含酒精）</t>
  </si>
  <si>
    <t>合肥万商大麦企业管理有限公司</t>
  </si>
  <si>
    <t>项张根</t>
  </si>
  <si>
    <t>烧酒;鸡尾酒;烈酒（饮料）;葡萄酒;清酒（⽇本⽶酒）;⻩酒;果酒（含酒精）;酒精饮料（啤酒除外）;⽶酒;⽩酒</t>
  </si>
  <si>
    <t>仙桥云影</t>
  </si>
  <si>
    <t>果酒（含酒精）;葡萄酒;⻩酒;烧酒;蜂蜜酒;⽩酒;威⼠忌;酒精饮料（啤酒除外）;酒精饮料浓缩汁;⽶酒</t>
  </si>
  <si>
    <t>辽宁施通节能环保工程技术有限公司</t>
  </si>
  <si>
    <t>森知事</t>
  </si>
  <si>
    <t>蜂蜜酒;⽶酒;酒精饮料（啤酒除外）;⽩酒;鸡尾酒;葡萄酒;果酒（含酒精）;⽩兰地;汽酒;酒精饮料原汁</t>
  </si>
  <si>
    <t>梁浩然</t>
  </si>
  <si>
    <t>虎狮迷</t>
  </si>
  <si>
    <t>鸡尾酒;威⼠忌;烈酒;⽩酒;清酒（⽇本⽶酒）;⻩酒;开胃酒;葡萄酒;果酒（含酒精）;酒精饮料（啤酒除外）</t>
  </si>
  <si>
    <t>宋云飞</t>
  </si>
  <si>
    <t>九壶丰</t>
  </si>
  <si>
    <t>清酒;⽶酒;露酒;鸡尾酒;⻘稞酒;葡萄酒;餐后酒（利⼝酒和烈酒）;烧酒;⽩酒;果酒</t>
  </si>
  <si>
    <t>龙德庄</t>
  </si>
  <si>
    <t>葡萄酒;烧酒;果酒（含酒精）;酒精饮料（啤酒除外）;烈酒（饮料）;⽩酒;⾼粱酒;鸡尾酒;⽶酒;威⼠忌</t>
  </si>
  <si>
    <t>丹凤县博文商行</t>
  </si>
  <si>
    <t>美品一言</t>
  </si>
  <si>
    <t>⽩酒;⻩酒;鸡尾酒;烈酒（饮料）;蒸馏饮料;果酒（含酒精）;烧酒;⽶酒;酒精饮料（啤酒除外）;葡萄酒</t>
  </si>
  <si>
    <t>江波</t>
  </si>
  <si>
    <t>滋治同元</t>
  </si>
  <si>
    <t>果酒（含酒精）;蒸馏饮料;⽶酒;⽩酒;薄荷酒;鸡尾酒;葡萄酒;烧酒;⻩酒;⽩兰地</t>
  </si>
  <si>
    <t>杏池</t>
  </si>
  <si>
    <t>鸡尾酒;餐后酒（利⼝酒和烈酒）;⽶酒;⽩酒;⽼酒（中国蒸馏烈酒）;葡萄酒;⻩酒;烈性⼲酒;烈酒（饮料）;⽩⼲酒（中国⽩酒）</t>
  </si>
  <si>
    <t>赤峰市久聚源商贸有限公司</t>
  </si>
  <si>
    <t>玖聚情</t>
  </si>
  <si>
    <t>葡萄酒;酒精饮料（啤酒除外）;⻩酒;果酒（含酒精）;⽢蔗制烈酒;⽩酒;⽶酒;烧酒;鸡尾酒;烈酒（饮料）</t>
  </si>
  <si>
    <t>江苏千益科技有限公司</t>
  </si>
  <si>
    <t>千益宝</t>
  </si>
  <si>
    <t>蒸馏饮料;梨酒;酒精饮料原汁;⽶酒;⽩酒;⾕物制蒸馏酒精饮料;⻩酒;果酒（含酒精）;葡萄酒;⾷⽤酒精</t>
  </si>
  <si>
    <t>君王谱</t>
  </si>
  <si>
    <t>葡萄酒;蒸煮提取物（利⼝酒和烈酒）;酒精饮料（啤酒除外）;⻩酒;⾼粱酒;⽩酒;烧酒（烈酒）;果酒;⽶酒;露酒</t>
  </si>
  <si>
    <t>老甄川</t>
  </si>
  <si>
    <t>⽩酒;⻘稞酒;烧酒;以朗姆酒为主的饮料;⻩酒;鸡尾酒;烈酒（饮料）;烧酒（烈酒）;⾼粱酒;果酒</t>
  </si>
  <si>
    <t>厚成九洲</t>
  </si>
  <si>
    <t>葡萄酒;烧酒;鸡尾酒;酒精饮料（啤酒除外）;⽶酒;果酒;⾼粱酒;清酒;⻩酒;⽩酒</t>
  </si>
  <si>
    <t>安康市瑞康商贸有限公司</t>
  </si>
  <si>
    <t>小猪主播</t>
  </si>
  <si>
    <t>葡萄酒;⽶酒;蒸馏⽶酒（泡盛酒）;⽩酒;⾼粱酒;⽩⼲酒（中国⽩酒）;⽢蔗制烈酒;甜酒;⻩酒;烧酒</t>
  </si>
  <si>
    <t>雷正富</t>
  </si>
  <si>
    <t>农山仔</t>
  </si>
  <si>
    <t>开胃酒;⽶酒;⽩酒;果酒（含酒精）;⻩酒;⻘稞酒;⽩兰地;清酒（⽇本⽶酒）;葡萄酒;鸡尾酒</t>
  </si>
  <si>
    <t>珑岱酒庄 DOMAINE DE LONG DAI</t>
  </si>
  <si>
    <t>葡萄酒;⽩兰地;利⼝酒;鸡尾酒;朗姆酒;果酒（含酒精）;开胃酒;⻩酒;威⼠忌;⽩酒</t>
  </si>
  <si>
    <t>浙江世纪星河科技有限公司</t>
  </si>
  <si>
    <t>橙仁堂</t>
  </si>
  <si>
    <t>蜂蜜酒;⻩酒;酒精饮料浓缩汁;葡萄酒;蒸馏饮料;以葡萄酒为主的饮料;含酒精的⽓泡⽔;⽩酒;薄荷酒</t>
  </si>
  <si>
    <t>金榜题名酒业（民权县）有限公司</t>
  </si>
  <si>
    <t>虎榜题名</t>
  </si>
  <si>
    <t>⽩酒;烧酒;⽶酒;果酒（含酒精）;⻩酒;⻘稞酒;酒精饮料（啤酒除外）;鸡尾酒;葡萄酒;开胃酒</t>
  </si>
  <si>
    <t>焙和健</t>
  </si>
  <si>
    <t>⽶酒;鸡尾酒;⽩酒;⻩酒;伏特加酒;葡萄酒;威⼠忌;果酒（含酒精）;烧酒;⻘稞酒</t>
  </si>
  <si>
    <t>河南蓝希望食品销售有限公司</t>
  </si>
  <si>
    <t>炫哈哈</t>
  </si>
  <si>
    <t>鸡尾酒;葡萄酒;含⽔果酒精饮料;⽶酒;⽩⼲酒（中国⽩酒）;果酒（含酒精）;蜂蜜酒;⻩酒;⽩酒;烧酒</t>
  </si>
  <si>
    <t>金牛首</t>
  </si>
  <si>
    <t>鸡尾酒;酒精饮料（啤酒除外）;⻩酒;餐后酒（利⼝酒和烈酒）;威⼠忌;⽩酒;果酒;蒸馏饮料;⽩兰地;葡萄酒</t>
  </si>
  <si>
    <t>江西好益多后勤服务有限公司</t>
  </si>
  <si>
    <t>虔好益多</t>
  </si>
  <si>
    <t>梅酒;烧酒（烈酒）;⽼酒（中国蒸馏烈酒）;⽶酒;⽩⼲酒（中国⽩酒）;烧酒;⽩酒;烈酒;⾼粱酒;⻩酒</t>
  </si>
  <si>
    <t>五华区恭亢百货店</t>
  </si>
  <si>
    <t>竹门骄子</t>
  </si>
  <si>
    <t>开胃酒;⽩兰地;⽶酒;酒精饮料（啤酒除外）;葡萄酒;清酒（⽇本⽶酒）;⽩酒;鸡尾酒;烧酒;果酒（含酒精）</t>
  </si>
  <si>
    <t>江苏花好月圆酒业有限公司</t>
  </si>
  <si>
    <t>月露歌</t>
  </si>
  <si>
    <t>预先混合的酒精饮料（以啤酒为主的除外）;果酒（含酒精）;利⼝酒;烧酒;汽酒;酒精饮料（啤酒除外）;⾕物制蒸馏酒精饮料;鸡尾酒;烈酒（饮料）;⽩酒</t>
  </si>
  <si>
    <t>禾田松鼠</t>
  </si>
  <si>
    <t>⽩酒;伏特加酒;⻩酒;果酒（含酒精）;⽶酒;⻘稞酒;葡萄酒;威⼠忌;鸡尾酒;烧酒</t>
  </si>
  <si>
    <t>宿迁市洋湖酒业有限公司</t>
  </si>
  <si>
    <t>果酒（含酒精）;⻘稞酒;⻩酒;葡萄酒;⽩酒;烧酒;鸡尾酒;烈酒（饮料）;⽶酒;清酒</t>
  </si>
  <si>
    <t>杜尚</t>
  </si>
  <si>
    <t>珍临旺</t>
  </si>
  <si>
    <t>鸡尾酒;清酒;烧酒;⽩酒;含⽔果酒精饮料;烈酒（饮料）;威⼠忌;蒸馏饮料;酒精饮料原汁;果酒（含酒精）</t>
  </si>
  <si>
    <t>田新勇</t>
  </si>
  <si>
    <t>香云川</t>
  </si>
  <si>
    <t>果酒（含酒精）;⽩酒;⻩酒;清酒（⽇本⽶酒）;鸡尾酒;威⼠忌;开胃酒;葡萄酒;烈酒（饮料）;⽶酒</t>
  </si>
  <si>
    <t>亲见品牌运营管理(深圳)有限公司</t>
  </si>
  <si>
    <t>地之泉</t>
  </si>
  <si>
    <t>葡萄酒;⽶酒;汽酒;⽩酒;⽔果汽酒;开胃酒;威⼠忌;⻩酒;⾷⽤酒精;果酒（含酒精）</t>
  </si>
  <si>
    <t>保定京发酒业有限公司</t>
  </si>
  <si>
    <t>梦回贞观</t>
  </si>
  <si>
    <t>果酒（含酒精）;蒸馏饮料;⻩酒;⽩酒;⽶酒;烧酒;⽼酒（中国蒸馏烈酒）;威⼠忌;烈酒（饮料）;葡萄酒</t>
  </si>
  <si>
    <t>九澧有福</t>
  </si>
  <si>
    <t>葡萄酒;⽶酒;露酒;⻩酒;⻘稞酒;甜酒;烧酒;⽼酒（中国蒸馏烈酒）;苦荞酒;⽩酒</t>
  </si>
  <si>
    <t>黄世辉</t>
  </si>
  <si>
    <t>爵代</t>
  </si>
  <si>
    <t>葡萄酒;鸡尾酒;⻩酒;烈酒;酒精饮料（啤酒除外）;⽩酒;果酒（含酒精）;威⼠忌;清酒（⽇本⽶酒）;开胃酒</t>
  </si>
  <si>
    <t>程言</t>
  </si>
  <si>
    <t>利⼝酒;蜂蜜酒;⽩兰地;含⽔果酒精饮料;⽩酒;葡萄酒;预先混合的酒精饮料（以啤酒为主的除外）;威⼠忌;酒精饮料（啤酒除外）;朗姆酒</t>
  </si>
  <si>
    <t>玉田县鑫喜鹤商贸有限公司</t>
  </si>
  <si>
    <t>鑫喜鹤</t>
  </si>
  <si>
    <t>果酒（含酒精）;开胃酒;葡萄酒;⻩酒;鸡尾酒;⽶酒;烧酒;⽩酒;烈酒;⾼粱酒</t>
  </si>
  <si>
    <t>北京大翼日昇商贸有限公司</t>
  </si>
  <si>
    <t>友贵仁友黔仁</t>
  </si>
  <si>
    <t>⽩酒;烧酒（烈酒）;威⼠忌;烈酒（饮料）;⽼酒（中国蒸馏烈酒）;鸡尾酒;烈酒;葡萄酒;酒精饮料（啤酒除外）;清酒</t>
  </si>
  <si>
    <t>王秋兰</t>
  </si>
  <si>
    <t>ZEQL</t>
  </si>
  <si>
    <t>⻩酒;果酒（含酒精）;⽩酒;⻘稞酒;烧酒;酒精饮料（啤酒除外）;清酒（⽇本⽶酒）;⽶酒;葡萄酒;烈酒（饮料）</t>
  </si>
  <si>
    <t>李南</t>
  </si>
  <si>
    <t>氏农天下</t>
  </si>
  <si>
    <t>果酒（含酒精）;烈酒（饮料）;酒精饮料原汁;⽶酒;⽼酒（中国蒸馏烈酒）;⻩酒;⽩酒;汽酒;清酒（⽇本⽶酒）;烧酒</t>
  </si>
  <si>
    <t>南风叙</t>
  </si>
  <si>
    <t>开胃酒;酒精饮料（啤酒除外）;烈酒;果酒（含酒精）;清酒;葡萄酒;⻩酒;烧酒;⽩酒;⽶酒</t>
  </si>
  <si>
    <t>山西凡木草软装设计有限公司</t>
  </si>
  <si>
    <t>并御醇</t>
  </si>
  <si>
    <t>开胃酒;米酒;利口酒;白酒;白干酒（中国白酒）;葡萄酒;果酒;烈酒;食用酒精;除啤酒外的酒精饮料</t>
  </si>
  <si>
    <t>台金鼎（厦门）贸易有限公司</t>
  </si>
  <si>
    <t>台金龙坑道</t>
  </si>
  <si>
    <t>甜酒;威⼠忌;⽩酒;⾼粱酒;果酒;葡萄酒;⽩兰地;酒精饮料（啤酒除外）;⻩酒;鸡尾酒</t>
  </si>
  <si>
    <t>赵建彬</t>
  </si>
  <si>
    <t>赵乡春</t>
  </si>
  <si>
    <t>威⼠忌;⽼酒（中国蒸馏烈酒）;果酒;⾼粱酒;烧酒;⽩酒;⽩⼲酒（中国⽩酒）;烈酒;葡萄酒;⽶酒</t>
  </si>
  <si>
    <t>李斌140103********1517</t>
  </si>
  <si>
    <t>峰泳</t>
  </si>
  <si>
    <t>烈酒（饮料）;果酒（含酒精）;烧酒;⻩酒;清酒（⽇本⽶酒）;葡萄酒;⾷⽤酒精;⽩酒;⽩兰地;开胃酒</t>
  </si>
  <si>
    <t>李景顺</t>
  </si>
  <si>
    <t>三全德</t>
  </si>
  <si>
    <t>含⽔果酒精饮料;⽩酒;⽼酒（中国蒸馏烈酒）;果酒;除啤酒外的酒精饮料;鸡尾酒;烈酒;蒸馏饮料;利⼝酒;含酒精的鸡尾酒混合饮品</t>
  </si>
  <si>
    <t>广州市亿多皮具有限公司</t>
  </si>
  <si>
    <t>任不近</t>
  </si>
  <si>
    <t>果酒（含酒精）;酒精饮料（啤酒除外）;烧酒;开胃酒;⽩酒;葡萄酒;烈酒（饮料）;⽶酒;⻩酒;蒸馏饮料</t>
  </si>
  <si>
    <t>徐树海</t>
  </si>
  <si>
    <t>华洋汽</t>
  </si>
  <si>
    <t>葡萄酒;含⽔果酒精饮料;含酒精的⽓泡⽔;含酒精⽔果饮料;开胃酒;⽔果汽酒;⽩酒;果酒;含酒精的饮料（啤酒除外）;烧酒（烈酒）</t>
  </si>
  <si>
    <t>江西零贰零电子科技有限公司</t>
  </si>
  <si>
    <t>阳明翠</t>
  </si>
  <si>
    <t>⽩兰地;蒸馏饮料;清酒（⽇本⽶酒）;威⼠忌;鸡尾酒;果酒（含酒精）;葡萄酒;⻩酒;⽩酒;伏特加酒</t>
  </si>
  <si>
    <t>昆山海鸣清电子商务有限公司</t>
  </si>
  <si>
    <t>斛花春</t>
  </si>
  <si>
    <t>⽩⼲酒（中国⽩酒）;⽩酒;由⾕物蒸馏的⽩酒</t>
  </si>
  <si>
    <t>西藏藏元生健康科技开发有限公司</t>
  </si>
  <si>
    <t>呀咘嘟</t>
  </si>
  <si>
    <t>汽酒;⻩酒;果酒;⽶酒;葡萄酒;蜂蜜酒;烧酒;⻘稞酒;烈酒;⽩酒</t>
  </si>
  <si>
    <t>陈东海</t>
  </si>
  <si>
    <t>花仪玲</t>
  </si>
  <si>
    <t>⽩兰地;⽶酒;果酒（含酒精）;威⼠忌;烈酒;⽩酒;甜酒;果酒;鸡尾酒;⽼酒（中国蒸馏烈酒）</t>
  </si>
  <si>
    <t>张东立</t>
  </si>
  <si>
    <t>依动</t>
  </si>
  <si>
    <t>蒸煮提取物（利⼝酒和烈酒）;开胃酒;烈酒（饮料）;果酒（含酒精）;⻩酒;⽶酒;苹果酒;酒精饮料（啤酒除外）;含⽔果酒精饮料;清酒</t>
  </si>
  <si>
    <t>广州金尚泓贸易有限公司</t>
  </si>
  <si>
    <t>金尚泓</t>
  </si>
  <si>
    <t>朗姆酒;伏特加酒;葡萄酒;杜松⼦酒;⽩兰地;威末酒;果酒（含酒精）;苦味酒;利⼝酒;威⼠忌</t>
  </si>
  <si>
    <t>上海应求供应链管理有限公司</t>
  </si>
  <si>
    <t>衢黄</t>
  </si>
  <si>
    <t>汽酒;葡萄酒;烧酒;果酒;⽶酒;开胃酒;⾼粱酒;⽩酒;⻩酒;酒精饮料（啤酒除外）</t>
  </si>
  <si>
    <t>中鹏生物科技（广州）有限公司</t>
  </si>
  <si>
    <t>泷图帜</t>
  </si>
  <si>
    <t>葡萄酒;⾷⽤酒精;⽶酒;⽩酒;开胃酒;烧酒;果酒（含酒精）;酒精饮料（啤酒除外）;威⼠忌;⻩酒</t>
  </si>
  <si>
    <t>兰用春</t>
  </si>
  <si>
    <t>京喜福</t>
  </si>
  <si>
    <t>⽩酒;蒸馏饮料;⽩⼲酒（中国⽩酒）;烧酒（烈酒）;含酒精的饮料（啤酒除外）;⽶酒;烈酒;餐后酒（利⼝酒和烈酒）;烧酒;利⼝酒</t>
  </si>
  <si>
    <t>杭州众狼科技有限公司</t>
  </si>
  <si>
    <t>正又制药</t>
  </si>
  <si>
    <t>葡萄酒;含酒精的⽓泡⽔;⻩酒;果酒（含酒精）;梅酒;⽩酒;蜂蜜酒;清酒（⽇本⽶酒）;⽶酒;含⽔果酒精饮料</t>
  </si>
  <si>
    <t>吴荣光</t>
  </si>
  <si>
    <t>延康中泰</t>
  </si>
  <si>
    <t>葡萄酒;⽶酒;烧酒;开胃酒;⽩酒;果酒（含酒精）;⻩酒;蜂蜜酒;⻘稞酒;烈酒（饮料）</t>
  </si>
  <si>
    <t>福建森垚环保科技有限公司</t>
  </si>
  <si>
    <t>三元通泰</t>
  </si>
  <si>
    <t>酒精饮料（啤酒除外）;果酒（含酒精）;蒸馏饮料;葡萄酒;开胃酒;⽶酒;⽩酒;鸡尾酒;烈酒（饮料）;威⼠忌</t>
  </si>
  <si>
    <t>汪春珉</t>
  </si>
  <si>
    <t>江壶愿</t>
  </si>
  <si>
    <t>鸡尾酒;⽩酒;清酒（⽇本⽶酒）;威⼠忌;⻩酒;果酒（含酒精）;开胃酒;葡萄酒;酒精饮料（啤酒除外）;烈酒</t>
  </si>
  <si>
    <t>三媳妇</t>
  </si>
  <si>
    <t>⽶酒;清酒;⽼酒（中国蒸馏烈酒）;葡萄酒;露酒;⽩酒;果酒;烈酒;蜂蜜酒;烧酒</t>
  </si>
  <si>
    <t>朱露波庄</t>
  </si>
  <si>
    <t>以葡萄酒为主的饮料;葡萄酒;鸡尾酒;酒精饮料原汁;⽩酒;蒸馏饮料;酒精饮料（啤酒除外）;含⽔果酒精饮料;果酒（含酒精）;烈酒</t>
  </si>
  <si>
    <t>浙江原锅酒业有限公司</t>
  </si>
  <si>
    <t>原锅红见山</t>
  </si>
  <si>
    <t>烧酒;鸡尾酒;蜂蜜酒;酒精饮料（啤酒除外）;清酒（⽇本⽶酒）;葡萄酒;⽩兰地;⻩酒;果酒（含酒精）;⽩酒</t>
  </si>
  <si>
    <t>丁凡</t>
  </si>
  <si>
    <t>池粹</t>
  </si>
  <si>
    <t>⻩酒;蒸馏饮料;鸡尾酒;葡萄酒;烧酒;果酒（含酒精）;威⼠忌;⽶酒;除啤酒外的酒精饮料;⽩酒</t>
  </si>
  <si>
    <t>东莞市桃吉电子商务有限公司</t>
  </si>
  <si>
    <t>TOGEY</t>
  </si>
  <si>
    <t>露酒;薄荷酒;葡萄酒;⽩葡萄酒;开胃酒;⽩兰地;佐餐酒;餐后酒（利⼝酒和烈酒）;汽酒</t>
  </si>
  <si>
    <t>郭平刚</t>
  </si>
  <si>
    <t>媄丽</t>
  </si>
  <si>
    <t>甜酒;⽩酒;⽶酒;清酒;开胃酒;果酒;汽酒;葡萄酒;⻩酒;⾷⽤酒精</t>
  </si>
  <si>
    <t>香仙梦</t>
  </si>
  <si>
    <t>⽶酒;⻩酒;葡萄酒;⽩酒;开胃酒;鸡尾酒;烈酒（饮料）;威⼠忌;清酒（⽇本⽶酒）;果酒（含酒精）</t>
  </si>
  <si>
    <t>二媳妇</t>
  </si>
  <si>
    <t>果酒;烧酒;⽩酒;⽼酒（中国蒸馏烈酒）;⽶酒;葡萄酒;清酒;露酒;蜂蜜酒;烈酒</t>
  </si>
  <si>
    <t>中江县泰宏农机专业合作社</t>
  </si>
  <si>
    <t>丰雪马</t>
  </si>
  <si>
    <t>鸡尾酒;烈酒（饮料）;甜酒;含酒精的饮料（啤酒除外）;⽩酒;威⼠忌;酒精饮料（啤酒除外）;⽶酒;果酒;葡萄酒</t>
  </si>
  <si>
    <t>潭骄子</t>
  </si>
  <si>
    <t>⽩酒;⽶酒;⻩酒;烧酒;蜂蜜酒;果酒（含酒精）;⾕物制蒸馏酒精饮料;清酒（⽇本⽶酒）;烈酒（饮料）;酒精饮料（啤酒除外）</t>
  </si>
  <si>
    <t>济南鑫润达建材有限公司</t>
  </si>
  <si>
    <t>粮渡</t>
  </si>
  <si>
    <t>开胃酒;酒精饮料（啤酒除外）;⻩酒;葡萄酒;烈酒（饮料）;⽩兰地;⽩酒;果酒（含酒精）;清酒（⽇本⽶酒）;威⼠忌</t>
  </si>
  <si>
    <t>双柏百义盛商贸有限公司</t>
  </si>
  <si>
    <t>古月醺</t>
  </si>
  <si>
    <t>⽶酒;烈酒（饮料）;鸡尾酒;⻩酒;威⼠忌;⽩酒;果酒（含酒精）;清酒（⽇本⽶酒）;葡萄酒;⻘稞酒</t>
  </si>
  <si>
    <t>盐城逸友商贸有限公司</t>
  </si>
  <si>
    <t>⽶酒;酒精饮料（啤酒除外）;烧酒;⽩酒;薄荷酒;蒸馏饮料;烈酒（饮料）;⻩酒;葡萄酒;开胃酒</t>
  </si>
  <si>
    <t>景德镇三宝瓷谷文化旅游发展有限公司</t>
  </si>
  <si>
    <t>三宝集</t>
  </si>
  <si>
    <t>烈酒（饮料）;以葡萄酒为主的饮料;果酒（含酒精）;开胃酒;葡萄酒;⻩酒;⽩酒;蜂蜜酒;鸡尾酒;⽶酒</t>
  </si>
  <si>
    <t>李文莉</t>
  </si>
  <si>
    <t>东盛汤家老坊</t>
  </si>
  <si>
    <t>⻩酒;⽩酒;薄荷酒;开胃酒;酒精饮料（啤酒除外）;含⽔果酒精饮料;蒸馏饮料;果酒（含酒精）;威⼠忌;葡萄酒</t>
  </si>
  <si>
    <t>中小立</t>
  </si>
  <si>
    <t>蒸煮提取物（利⼝酒和烈酒）;⻩酒;威⼠忌;⽶酒;清酒（⽇本⽶酒）;葡萄酒;果酒（含酒精）;⽩酒;烈酒（饮料）;酒精饮料（啤酒除外）</t>
  </si>
  <si>
    <t>何承发</t>
  </si>
  <si>
    <t>森力奇</t>
  </si>
  <si>
    <t>⽩酒;果酒（含酒精）;烈酒（饮料）;鸡尾酒;含⽔果酒精饮料;清酒;威⼠忌;蒸馏饮料;酒精饮料原汁;烧酒</t>
  </si>
  <si>
    <t>云南大侯沱茶有限公司</t>
  </si>
  <si>
    <t>大侯沱</t>
  </si>
  <si>
    <t>⽩⼲酒（中国⽩酒）;⾼粱酒;苦荞酒;蒸馏饮料;⽩酒;⽼酒（中国蒸馏烈酒）;露酒;⽶酒;果酒;烧酒</t>
  </si>
  <si>
    <t>广西哈兴信息科技有限公司</t>
  </si>
  <si>
    <t>纷食艺</t>
  </si>
  <si>
    <t>果酒（含酒精）;⽶酒;含⽔果酒精饮料;蜂蜜酒</t>
  </si>
  <si>
    <t>海南刘开碧国际文化影视有限责任公司</t>
  </si>
  <si>
    <t>探花娘娘</t>
  </si>
  <si>
    <t>⻩酒;⽩酒;鸡尾酒;葡萄酒;烧酒;⽶酒;⾷⽤酒精;开胃酒;威⼠忌;果酒（含酒精）</t>
  </si>
  <si>
    <t>石芮汐</t>
  </si>
  <si>
    <t>威⼠忌;红葡萄酒;⽩⼲酒（中国⽩酒）;⽶酒;含酒精的饮料（啤酒除外）;⽩酒;⻩酒;烧酒;葡萄酒;果酒</t>
  </si>
  <si>
    <t>上海华酱文化艺术传播有限公司</t>
  </si>
  <si>
    <t>醉不忆</t>
  </si>
  <si>
    <t>酒精饮料原汁;⽶酒;葡萄酒;⻩酒;红葡萄酒;烧酒;⽩⼲酒（中国⽩酒）;⾼粱酒;⽩酒;烧酒（烈酒）</t>
  </si>
  <si>
    <t>德窖宣公</t>
  </si>
  <si>
    <t>爱瑞美寿酒</t>
  </si>
  <si>
    <t>果酒（含酒精）;烈酒（饮料）;⽶酒;酒精饮料原汁;酒精饮料（啤酒除外）;酸酒（低等葡萄酒）;鸡尾酒;⽩酒;蒸馏饮料;烧酒</t>
  </si>
  <si>
    <t>刘依志</t>
  </si>
  <si>
    <t>本庚</t>
  </si>
  <si>
    <t>烧酒;清酒;烈酒;果酒（含酒精）;含酒精的饮料（啤酒除外）;汽酒;⼲型苹果酒;甜果酒;果酒;朗姆酒</t>
  </si>
  <si>
    <t>山西神州鸿运酒业有限公司</t>
  </si>
  <si>
    <t>黎亭宴</t>
  </si>
  <si>
    <t>葡萄酒;鸡尾酒;含⽔果酒精饮料;威⼠忌;开胃酒;果酒（含酒精）;清酒（⽇本⽶酒）;⽩酒;⽶酒;烧酒</t>
  </si>
  <si>
    <t>云南滇品臻享商贸有限公司</t>
  </si>
  <si>
    <t>云端象图</t>
  </si>
  <si>
    <t>蒸馏饮料;含⽔果酒精饮料;汽酒;葡萄酒;⽔果汽酒;果酒（含酒精）;⽶酒;⽩酒;烧酒;⾕物制蒸馏酒精饮料</t>
  </si>
  <si>
    <t>万天知</t>
  </si>
  <si>
    <t>⽩酒;酒精饮料（啤酒除外）;⾷⽤酒精;⻩酒;⾕物制蒸馏酒精饮料</t>
  </si>
  <si>
    <t>揽亮</t>
  </si>
  <si>
    <t>酒精饮料（啤酒除外）;⾷⽤酒精;⾕物制蒸馏酒精饮料;⻩酒;⽩酒</t>
  </si>
  <si>
    <t>匠山客</t>
  </si>
  <si>
    <t>开胃酒;威⼠忌;⽩酒;果酒（含酒精）;葡萄酒;⻩酒;清酒（⽇本⽶酒）;鸡尾酒;酒精饮料（啤酒除外）;烈酒</t>
  </si>
  <si>
    <t>邱向云</t>
  </si>
  <si>
    <t>春山健</t>
  </si>
  <si>
    <t>葡萄酒;酒精饮料（啤酒除外）;⽩兰地;威⼠忌;烈酒（饮料）;开胃酒;鸡尾酒;苦味酒;⽶酒;⽩酒</t>
  </si>
  <si>
    <t>份真之地（济南）供应链服务有限公司</t>
  </si>
  <si>
    <t>份真之地 FENREAL LAND</t>
  </si>
  <si>
    <t>⽶酒;葡萄酒;威⼠忌;果酒（含酒精）;⻩酒;清酒（⽇本⽶酒）;清酒;⽩酒;烧酒（烈酒）;蒸馏饮料</t>
  </si>
  <si>
    <t>苏强</t>
  </si>
  <si>
    <t>巳醴</t>
  </si>
  <si>
    <t>果酒（含酒精）;清酒（⽇本⽶酒）;开胃酒;威⼠忌;鸡尾酒;葡萄酒;⻩酒;酒精饮料（啤酒除外）;烈酒;⽩酒</t>
  </si>
  <si>
    <t>梦家红</t>
  </si>
  <si>
    <t>清酒（⽇本⽶酒）;开胃酒;果酒（含酒精）;烈酒（饮料）;⻩酒;葡萄酒;⽶酒;⽩酒;威⼠忌;鸡尾酒</t>
  </si>
  <si>
    <t>胡小丽</t>
  </si>
  <si>
    <t>亦品江山</t>
  </si>
  <si>
    <t>梅酒;老酒（中国蒸馏烈酒）;米酒;食用酒精;露酒;白酒;清酒;烧酒;果酒;黄酒</t>
  </si>
  <si>
    <t>济南盘龙生物科技有限公司</t>
  </si>
  <si>
    <t>珍营珍养</t>
  </si>
  <si>
    <t>红葡萄酒; 起泡红葡萄酒; 果酒（含酒精）; 烧酒; 清酒; 老酒（中国蒸馏烈酒）; 白酒; 黄酒; 葡萄酒; 米酒</t>
  </si>
  <si>
    <t>唐山曹妃甸综合保税区酒类展示有限公司</t>
  </si>
  <si>
    <t>WSGW</t>
  </si>
  <si>
    <t xml:space="preserve">	清酒（日本米酒）; 烈酒（饮料）; 白酒; 白兰地; 开胃酒; 酒精饮料原汁; 米酒; 黄酒; 果酒（含酒精）; 葡萄酒</t>
  </si>
  <si>
    <t>顶马</t>
  </si>
  <si>
    <t>果酒（含酒精）;⽶酒;威⼠忌;开胃酒;烧酒;⻩酒;⽩酒;烈酒（饮料）;酒精饮料（啤酒除外）;葡萄酒</t>
  </si>
  <si>
    <t>刘占鹏</t>
  </si>
  <si>
    <t>望匠 酒</t>
  </si>
  <si>
    <t>露酒;苹果酒;⽶酒;葡萄酒;烈酒（饮料）;⽩酒;餐后酒（利⼝酒和烈酒）;⾕物制蒸馏酒精饮料;果酒（含酒精）;蒸馏饮料</t>
  </si>
  <si>
    <t>万花健</t>
  </si>
  <si>
    <t>⽩兰地;开胃酒;苦味酒;威⼠忌;⽶酒;烈酒（饮料）;⽩酒;酒精饮料（啤酒除外）;葡萄酒;鸡尾酒</t>
  </si>
  <si>
    <t>郑玉佰</t>
  </si>
  <si>
    <t>降娄</t>
  </si>
  <si>
    <t>⻘稞酒;⽼酒（中国蒸馏烈酒）;⾼粱酒;⻩酒;⽩酒;露酒;清酒;⽩⼲酒（中国⽩酒）;烈酒;烧酒</t>
  </si>
  <si>
    <t>贵州省仁怀市闻酉酒业有限公司</t>
  </si>
  <si>
    <t>洋和秀</t>
  </si>
  <si>
    <t>开胃酒;果酒（含酒精）;鸡尾酒;薄荷酒;⽶酒;⽩酒;烈酒（饮料）;⽩兰地;威⼠忌;⻩酒</t>
  </si>
  <si>
    <t>赵能群</t>
  </si>
  <si>
    <t>源斌</t>
  </si>
  <si>
    <t>鸡尾酒;⽩兰地;⽩酒;果酒（含酒精）;含⽔果酒精饮料;葡萄酒;威⼠忌;⾼粱酒;⽶酒;蒸馏饮料</t>
  </si>
  <si>
    <t>上海迪默纺织品有限公司</t>
  </si>
  <si>
    <t>川越之江</t>
  </si>
  <si>
    <t>除啤酒外的酒精饮料;鸡尾酒;朗姆酒;葡萄酒;⽩兰地;果酒（含酒精）;烧酒;餐后酒（利⼝酒和烈酒）;⽩酒;⻩酒</t>
  </si>
  <si>
    <t>湖口县冰宗建材经营部</t>
  </si>
  <si>
    <t>真岁坛主</t>
  </si>
  <si>
    <t>葡萄酒;预先混合的酒精饮料（以啤酒为主的除外）;果酒（含酒精）;⽶酒;酒精饮料（啤酒除外）;烧酒;⻩酒;⽩酒;蒸馏饮料;汽酒</t>
  </si>
  <si>
    <t>张立新</t>
  </si>
  <si>
    <t>大岭之巅</t>
  </si>
  <si>
    <t>烧酒;烈酒（饮料）;威⼠忌;⽩酒;含⽔果酒精饮料;开胃酒;⽶酒;鸡尾酒;⽩兰地;⽩⼲酒（中国⽩酒）</t>
  </si>
  <si>
    <t>姜淑涵</t>
  </si>
  <si>
    <t>⽩酒;含酒精的饮料（啤酒除外）;红葡萄酒;烧酒;葡萄酒;果酒;⻩酒;威⼠忌;⽶酒;⽩⼲酒（中国⽩酒）</t>
  </si>
  <si>
    <t>丁红兵</t>
  </si>
  <si>
    <t>日肆</t>
  </si>
  <si>
    <t>⽶酒;果酒（含酒精）;⻩酒;酒精饮料（啤酒除外）;伏特加酒;⽩酒;鸡尾酒;⾼粱酒;葡萄酒;烈酒（饮料）</t>
  </si>
  <si>
    <t>陕西有米花财文化传播有限公司</t>
  </si>
  <si>
    <t>HELLOBEBAI</t>
  </si>
  <si>
    <t>葡萄酒;果酒（含酒精）;⽶酒;烈酒（饮料）;威⼠忌;鸡尾酒;含⽔果酒精饮料;以葡萄酒为主的饮料;开胃酒;⽩酒</t>
  </si>
  <si>
    <t>郑剑锋</t>
  </si>
  <si>
    <t>威⼠忌;酒精饮料（啤酒除外）;⽶酒;以葡萄酒为主的饮料;⽩酒;葡萄酒;烈酒（饮料）;果酒（含酒精）;⽩兰地;蒸馏饮料</t>
  </si>
  <si>
    <t>安徽润宁体育文化发展有限公司</t>
  </si>
  <si>
    <t>曹操河</t>
  </si>
  <si>
    <t>露酒;⻩酒;葡萄酒;汽酒;酒精饮料原汁;⾼粱酒;烧酒;果酒;甜酒;⽩酒</t>
  </si>
  <si>
    <t>成都市八千里广告有限责任公司</t>
  </si>
  <si>
    <t>中威铁卫</t>
  </si>
  <si>
    <t>酒精饮料原汁;⽩酒;葡萄酒;酒精饮料浓缩汁;烧酒;餐后酒（利⼝酒和烈酒）;酒精饮料（啤酒除外）;烈酒（饮料）;⽶酒;蒸馏饮料</t>
  </si>
  <si>
    <t>龙梦令</t>
  </si>
  <si>
    <t>⽩酒;鸡尾酒;⽶酒;果酒（含酒精）;开胃酒;烈酒（饮料）;威⼠忌;⻩酒;清酒（⽇本⽶酒）;葡萄酒</t>
  </si>
  <si>
    <t>自贡富世井酒业有限公司</t>
  </si>
  <si>
    <t>富世井</t>
  </si>
  <si>
    <t>葡萄酒;⽩兰地;酒精饮料原汁;⽩酒;清酒;酒精饮料（啤酒除外）;⻩酒;红葡萄酒;含酒精的⽔果鸡尾酒饮料;果酒</t>
  </si>
  <si>
    <t>广州华邦金信酒业有限公司</t>
  </si>
  <si>
    <t>云鲤金马</t>
  </si>
  <si>
    <t>果酒（含酒精）;⽩兰地;清酒（⽇本⽶酒）;⽩酒;威⼠忌;烧酒;蒸馏饮料;葡萄酒;酒精饮料原汁;酒精饮料（啤酒除外）</t>
  </si>
  <si>
    <t>银媳妇</t>
  </si>
  <si>
    <t>清酒;露酒;⽩酒;烈酒;果酒;葡萄酒;蜂蜜酒;⽶酒;烧酒;⽼酒（中国蒸馏烈酒）</t>
  </si>
  <si>
    <t>贵州谷液福酒业有限公司</t>
  </si>
  <si>
    <t>果酒（含酒精）;烧酒;清酒（⽇本⽶酒）;葡萄酒;⻘稞酒;⽶酒;⽩酒;酒精饮料（啤酒除外）;⽩兰地;⻩酒</t>
  </si>
  <si>
    <t>三寰集团有限公司</t>
  </si>
  <si>
    <t>大浓愉</t>
  </si>
  <si>
    <t>葡萄酒;烧酒;⽶酒;⽩兰地;果酒（含酒精）;威⼠忌;朗姆酒;杜松⼦酒;清酒（⽇本⽶酒）;⽩酒</t>
  </si>
  <si>
    <t>贵州黔酒出山电子商务有限公司</t>
  </si>
  <si>
    <t>蒸煮提取物（利⼝酒和烈酒）;酒精饮料浓缩汁;烈酒（饮料）;酒精饮料原汁;预先混合的酒精饮料（以啤酒为主的除外）;葡萄酒;⽩酒;烧酒;果酒（含酒精）;酒精饮料（啤酒除外）</t>
  </si>
  <si>
    <t>南京天华国际贸易有限公司</t>
  </si>
  <si>
    <t>樱颂</t>
  </si>
  <si>
    <t>⽶酒;⽇本梅⼦酒;烧酒;清酒;酒精饮料（啤酒除外）;清酒（⽇本⽶酒）;⽇式甜⽶酒;梅酒;果酒（含酒精）;含酒精的饮料（啤酒除外）</t>
  </si>
  <si>
    <t>张毅420621********7151</t>
  </si>
  <si>
    <t>茴襄</t>
  </si>
  <si>
    <t>老酒（中国蒸馏烈酒）;黄酒;米酒;果酒;含酒精的饮料（啤酒除外）;蒸馏饮料;烧酒;白酒;高粱酒;食用酒精</t>
  </si>
  <si>
    <t>厦门道威尔设计有限公司</t>
  </si>
  <si>
    <t>乡拾</t>
  </si>
  <si>
    <t>含⽔果酒精饮料;威⼠忌;蒸馏饮料;鸡尾酒;⻩酒;葡萄酒;⽩酒;烈酒（饮料）;⾕物制蒸馏酒精饮料;⽶酒</t>
  </si>
  <si>
    <t>泉州醇香数字科技有限公司</t>
  </si>
  <si>
    <t>凤翎凤</t>
  </si>
  <si>
    <t>威⼠忌;果酒;⽩酒;薄荷酒;⽩兰地;鸡尾酒;葡萄酒;⻩酒;烧酒;⽶酒</t>
  </si>
  <si>
    <t>于涛</t>
  </si>
  <si>
    <t>槊</t>
  </si>
  <si>
    <t>开胃酒;烈酒（饮料）;葡萄酒;⽶酒;⾷⽤酒精;鸡尾酒;果酒（含酒精）;⽩兰地;⽩酒;⽼酒（中国蒸馏烈酒）</t>
  </si>
  <si>
    <t>醉美情怀酒业有限公司</t>
  </si>
  <si>
    <t>环球神韵</t>
  </si>
  <si>
    <t>⻩酒;葡萄酒;梨酒;⽩酒;⻘稞酒;⽶酒;烧酒;清酒（⽇本⽶酒）;开胃酒;利⼝酒</t>
  </si>
  <si>
    <t>贵州贵驰酒业有限公司</t>
  </si>
  <si>
    <t>祈福顺</t>
  </si>
  <si>
    <t>开胃酒;⻩酒;清酒（⽇本⽶酒）;烧酒;⽩酒;葡萄酒;果酒（含酒精）;蒸煮提取物（利⼝酒和烈酒）;酒精饮料（啤酒除外）;⽶酒</t>
  </si>
  <si>
    <t>大连玖福佳沃产业园有限公司</t>
  </si>
  <si>
    <t>玖阿福</t>
  </si>
  <si>
    <t>⽩兰地;葡萄酒;威⼠忌;⽩酒;酒精饮料原汁;烧酒;果酒（含酒精）;鸡尾酒;含⽔果酒精饮料;⽶酒</t>
  </si>
  <si>
    <t>施耀柳</t>
  </si>
  <si>
    <t>龙寻致极</t>
  </si>
  <si>
    <t>果酒（含酒精）;葡萄酒;⽶酒;⻩酒;威⼠忌;⽩酒;鸡尾酒;⽩兰地;酒精饮料（啤酒除外）;烧酒</t>
  </si>
  <si>
    <t>贵州集结号酱酒集团有限公司</t>
  </si>
  <si>
    <t>中州汉云府酒</t>
  </si>
  <si>
    <t>清酒;酒精饮料（啤酒除外）;⾷⽤酒精;⽩酒;葡萄酒;烈酒（饮料）;烧酒;由⾕物蒸馏的⽩酒;⽶酒;⻩酒</t>
  </si>
  <si>
    <t>王煜文</t>
  </si>
  <si>
    <t>汉方嘉</t>
  </si>
  <si>
    <t>开胃酒;⽶酒;果酒;清酒;⽩酒;⾷⽤酒精;⻩酒;汽酒;甜酒;葡萄酒</t>
  </si>
  <si>
    <t>绍兴远流酒业有限公司</t>
  </si>
  <si>
    <t>爵时</t>
  </si>
  <si>
    <t>⽩酒;樱桃酒;酒精饮料浓缩汁;鸡尾酒;⽶酒;含⽔果酒精饮料;苹果酒;蜂蜜酒;酸酒（低等葡萄酒）;果酒（含酒精）</t>
  </si>
  <si>
    <t>洛阳秫之源酒业有限公司</t>
  </si>
  <si>
    <t>红福爵</t>
  </si>
  <si>
    <t>果酒（含酒精）;酒精饮料（啤酒除外）;烧酒;⻩酒;⽼酒（中国蒸馏烈酒）;葡萄酒;烈酒（饮料）;⽶酒;⾼粱酒;⽩酒</t>
  </si>
  <si>
    <t>李昌昱</t>
  </si>
  <si>
    <t>汉粮欢</t>
  </si>
  <si>
    <t>果酒;鸡尾酒;烧酒;烈酒;⻘稞酒;威⼠忌;⽶酒;葡萄酒;⽩酒;⻩酒</t>
  </si>
  <si>
    <t>长治市纵横潞酒销售有限公司</t>
  </si>
  <si>
    <t>最西口</t>
  </si>
  <si>
    <t>⽼酒（中国蒸馏烈酒）;⻘稞酒;五加⽪酒（中国混合烈酒）;露酒;烈酒;⻩酒;⽩酒;烧酒（烈酒）;⾼粱酒;由⾕物蒸馏的⽩酒</t>
  </si>
  <si>
    <t>贵州省仁怀市丁洪轩酒业有限公司</t>
  </si>
  <si>
    <t>丁洪轩烧坊</t>
  </si>
  <si>
    <t>葡萄酒;果酒（含酒精）;白酒;利口酒;烈酒（饮料）;苹果酒;鸡尾酒;威士忌;谷物制蒸馏酒精饮料;汽酒</t>
  </si>
  <si>
    <t>美媳妇</t>
  </si>
  <si>
    <t>⽶酒;蜂蜜酒;烧酒;果酒;露酒;烈酒;⽼酒（中国蒸馏烈酒）;清酒;⽩酒;葡萄酒</t>
  </si>
  <si>
    <t>朱航</t>
  </si>
  <si>
    <t>飞辽</t>
  </si>
  <si>
    <t>⽩兰地;鸡尾酒;酒精饮料（啤酒除外）;⽩酒;⻩酒;葡萄酒;⽶酒;汽酒;利⼝酒;果酒（含酒精）</t>
  </si>
  <si>
    <t>贵州笙阳贸易有限公司</t>
  </si>
  <si>
    <t>豚滋恋</t>
  </si>
  <si>
    <t>蒸馏⽶酒（泡盛酒）;酒精饮料（啤酒除外）;果酒（含酒精）;⽩酒;葡萄酒;烧酒;⽩兰地;⽶酒;蒸馏饮料;⽼酒（中国蒸馏烈酒）</t>
  </si>
  <si>
    <t>湖北望岭岩商贸有限公司</t>
  </si>
  <si>
    <t>望岭岩</t>
  </si>
  <si>
    <t>果酒（含酒精）;⻩酒;⽩兰地;蜂蜜酒;酒精饮料（啤酒除外）;⽩酒;⽶酒;威⼠忌;葡萄酒;酒精饮料原汁</t>
  </si>
  <si>
    <t>谢裕香350822********6537</t>
  </si>
  <si>
    <t>喜圣源</t>
  </si>
  <si>
    <t>⻩酒;开胃酒;烧酒;含酒精的饮料（啤酒除外）;汽酒;葡萄酒;⽶酒;⽩酒;果酒;蒸馏饮料</t>
  </si>
  <si>
    <t>深圳琥歌文化传播有限公司</t>
  </si>
  <si>
    <t>舸源GOATYON</t>
  </si>
  <si>
    <t>⽩酒;⽶酒;威⼠忌;葡萄酒;果酒（含酒精）;⻩酒;鸡尾酒;烧酒;清酒（⽇本⽶酒）;含⽔果酒精饮料</t>
  </si>
  <si>
    <t>王炳辉</t>
  </si>
  <si>
    <t>酒精饮料（啤酒除外）;⽩酒;果酒（含酒精）;葡萄酒;⾷⽤酒精;酒精饮料原汁;⻩酒;鸡尾酒;⽶酒;烧酒</t>
  </si>
  <si>
    <t>吴智峥</t>
  </si>
  <si>
    <t>大秦泱</t>
  </si>
  <si>
    <t>烈酒;酒精饮料（啤酒除外）;⻩酒;威⼠忌;果酒（含酒精）;葡萄酒;⽩酒;开胃酒;清酒（⽇本⽶酒）;鸡尾酒</t>
  </si>
  <si>
    <t>李粉霞</t>
  </si>
  <si>
    <t>正粮人</t>
  </si>
  <si>
    <t>威⼠忌;果酒（含酒精）;葡萄酒;蒸馏饮料;⻩酒;⽩兰地;⽶酒;鸡尾酒;⽩酒;烧酒</t>
  </si>
  <si>
    <t>爱瑞美喜酒</t>
  </si>
  <si>
    <t>烧酒;蒸馏饮料;鸡尾酒;⽶酒;酒精饮料（啤酒除外）;酸酒（低等葡萄酒）;果酒（含酒精）;烈酒（饮料）;⽩酒;酒精饮料原汁</t>
  </si>
  <si>
    <t>高欢</t>
  </si>
  <si>
    <t>鹿雪康</t>
  </si>
  <si>
    <t>果酒（含酒精）;鸡尾酒;酒精饮料（啤酒除外）;⻩酒;⾷⽤酒精;⽶酒;含⽔果酒精饮料;葡萄酒;⽩兰地;⽩酒</t>
  </si>
  <si>
    <t>惠州天液酒业有限公司</t>
  </si>
  <si>
    <t>许云飞</t>
  </si>
  <si>
    <t>开胃酒;蒸馏饮料;利⼝酒;⽩酒;酒精饮料（啤酒除外）;烈酒（饮料）;酒精饮料浓缩汁;⽶酒;伏特加酒;烧酒</t>
  </si>
  <si>
    <t>石玉玲</t>
  </si>
  <si>
    <t>玲度可儿</t>
  </si>
  <si>
    <t>烈酒;鸡尾酒;威⼠忌;葡萄酒;烧酒;⽶酒;酒精饮料（啤酒除外）;⻩酒;⽩兰地;果酒</t>
  </si>
  <si>
    <t>河北锐宏机械制造有限公司</t>
  </si>
  <si>
    <t>天山飞度</t>
  </si>
  <si>
    <t>葡萄酒;苹果酒;果酒;⽩酒;梨酒</t>
  </si>
  <si>
    <t>吉林省身在江湖科技有限公司</t>
  </si>
  <si>
    <t>SZJH</t>
  </si>
  <si>
    <t>清酒（⽇本⽶酒）;⽶酒;苹果酒;葡萄酒;⻩酒;烧酒;果酒（含酒精）;樱桃酒;烈酒（饮料）;⽩酒</t>
  </si>
  <si>
    <t>海南汇沃捌加壹连锁超市管理有限公司</t>
  </si>
  <si>
    <t>樱桃酒;⽩酒;酒精饮料（啤酒除外）;葡萄酒;含酒精⽔果饮料;果酒;⻩酒;烧酒;汽酒;⽶酒</t>
  </si>
  <si>
    <t>凰门骄子</t>
  </si>
  <si>
    <t>清酒（⽇本⽶酒）;⽩酒;酒精饮料（啤酒除外）;果酒（含酒精）;鸡尾酒;葡萄酒;开胃酒;⽶酒;⽩兰地;烧酒</t>
  </si>
  <si>
    <t>李久存</t>
  </si>
  <si>
    <t>驭期</t>
  </si>
  <si>
    <t>露酒;苦荞酒;⽶酒;果酒（含酒精）;烧酒;鸡尾酒;烈酒;梨酒;⽩酒;葡萄酒</t>
  </si>
  <si>
    <t>眉山瑞多鑫商贸有限公司</t>
  </si>
  <si>
    <t>权鸣</t>
  </si>
  <si>
    <t>葡萄酒;含⽔果酒精饮料;果酒（含酒精）;烈酒（饮料）;酒精饮料浓缩汁;⽶酒;⽩酒;酒精饮料（啤酒除外）;烧酒;蒸馏饮料</t>
  </si>
  <si>
    <t>陈振跃</t>
  </si>
  <si>
    <t>熙巅</t>
  </si>
  <si>
    <t>⽼酒（中国蒸馏烈酒）;果酒;葡萄酒;清酒;⾼粱酒;蒸馏饮料;烧酒;⽩酒;⽶酒;⾕物制蒸馏酒精饮料</t>
  </si>
  <si>
    <t>广东小兔到家科技有限公司</t>
  </si>
  <si>
    <t>兔嫂</t>
  </si>
  <si>
    <t>烧酒;蒸馏饮料;⽶酒;葡萄酒;鸡尾酒;酒精饮料（啤酒除外）;⽩酒;果酒（含酒精）;烈酒（饮料）;威⼠忌</t>
  </si>
  <si>
    <t>侯强</t>
  </si>
  <si>
    <t>客必多</t>
  </si>
  <si>
    <t>清酒;开胃酒;果酒;⽩酒;⻩酒;汽酒;甜酒;葡萄酒;⾷⽤酒精;⽶酒</t>
  </si>
  <si>
    <t>马玉林</t>
  </si>
  <si>
    <t>苹果酒;⽶酒;烧酒;开胃酒;⽩兰地;果酒（含酒精）;⽼酒（中国蒸馏烈酒）;薄荷酒;鸡尾酒;葡萄酒</t>
  </si>
  <si>
    <t>贵州省中产清酿酱香酒研究院</t>
  </si>
  <si>
    <t>熙兆</t>
  </si>
  <si>
    <t>酒精饮料原汁;烈酒（饮料）;酒精饮料（啤酒除外）;⽩酒;⽶酒;开胃酒;酒精饮料浓缩汁;威⼠忌;果酒（含酒精）;葡萄酒</t>
  </si>
  <si>
    <t>粮花涧</t>
  </si>
  <si>
    <t>⽩酒;蒸馏饮料;⻘稞酒;烧酒;⽶酒;预先混合的酒精饮料（以啤酒为主的除外）;餐后酒（利⼝酒和烈酒）;酒精饮料（啤酒除外）;利⼝酒;烈酒（饮料）</t>
  </si>
  <si>
    <t>吴明宇</t>
  </si>
  <si>
    <t>黔途哥</t>
  </si>
  <si>
    <t>烈酒;⻩酒;果酒（含酒精）;开胃酒;⽩酒;苦荞酒;⽶酒;烧酒;⾼粱酒;⽩⼲酒（中国⽩酒）</t>
  </si>
  <si>
    <t>彩虹淘吉林省商贸有限公司</t>
  </si>
  <si>
    <t>彩犀</t>
  </si>
  <si>
    <t>伏特加酒;葡萄酒;⽩兰地;威⼠忌;⽩酒;含⽔果酒精饮料;果酒（含酒精）;烈酒（饮料）;预先混合的酒精饮料（以啤酒为主的除外）;酒精饮料原汁</t>
  </si>
  <si>
    <t>湖北荆州马双商贸有限公司</t>
  </si>
  <si>
    <t>楚蕴双垱</t>
  </si>
  <si>
    <t>⽩酒;烈酒（饮料）;⻘稞酒;烧酒;⽶酒;开胃酒;利⼝酒;⽩⼲酒（中国⽩酒）;果酒（含酒精）;⻩酒</t>
  </si>
  <si>
    <t>梁锦虹</t>
  </si>
  <si>
    <t>华宗贵</t>
  </si>
  <si>
    <t>葡萄酒;烧酒;⻩酒;⽩酒;⽶酒;酒精饮料（啤酒除外）;⽩兰地;⻘稞酒;清酒（⽇本⽶酒）;果酒（含酒精）</t>
  </si>
  <si>
    <t>郑春雷</t>
  </si>
  <si>
    <t>粥礼记</t>
  </si>
  <si>
    <t>⽶酒;⽼酒（中国蒸馏烈酒）;酒精饮料原汁;烧酒;⽩酒;⽔果汽酒;果酒（含酒精）;苹果酒;鸡尾酒;红葡萄酒</t>
  </si>
  <si>
    <t>胡义均</t>
  </si>
  <si>
    <t>果酒（含酒精）;⽩酒;烧酒;⾷⽤酒精;⻩酒;葡萄酒;烈酒（饮料）;酒精饮料原汁;⽶酒;酒精饮料（啤酒除外）</t>
  </si>
  <si>
    <t>吴跃军</t>
  </si>
  <si>
    <t>标楷</t>
  </si>
  <si>
    <t>⽩酒;果酒（含酒精）;⽩兰地;葡萄酒;⽶酒;威⼠忌;酒精饮料（啤酒除外）;伏特加酒;烧酒;开胃酒</t>
  </si>
  <si>
    <t>开心快乐星球</t>
  </si>
  <si>
    <t>果酒;威⼠忌;伏特加酒;烧酒;朗姆酒;⽶酒;⽩酒;⻩酒;鸡尾酒;⽩兰地</t>
  </si>
  <si>
    <t>张永辉</t>
  </si>
  <si>
    <t>葡萄酒;⽼酒（中国蒸馏烈酒）;果酒;⽶酒;⾷⽤酒精;烧酒（烈酒）;⽩⼲酒（中国⽩酒）;酒精饮料（啤酒除外）;⻩酒;⽩酒</t>
  </si>
  <si>
    <t>广东季酒酒业有限责任公司</t>
  </si>
  <si>
    <t>若鹏</t>
  </si>
  <si>
    <t>露酒;⽶酒;⽩酒;烈酒;烧酒;⻘梅酒;威⼠忌;利⼝酒;⽼酒（中国蒸馏烈酒）;果酒</t>
  </si>
  <si>
    <t>五华区金恭百货店</t>
  </si>
  <si>
    <t>坛门骄子</t>
  </si>
  <si>
    <t>⽩酒;鸡尾酒;⻩酒;开胃酒;果酒（含酒精）;烈酒;葡萄酒;酒精饮料（啤酒除外）;威⼠忌;清酒（⽇本⽶酒）</t>
  </si>
  <si>
    <t>李星漪</t>
  </si>
  <si>
    <t>苗邵堂</t>
  </si>
  <si>
    <t>⽩酒;威⼠忌;鸡尾酒;开胃酒;烧酒;蜂蜜酒;⽶酒;烈酒（饮料）;薄荷酒;伏特加酒</t>
  </si>
  <si>
    <t>陈泽森</t>
  </si>
  <si>
    <t>薄荷酒;葡萄酒;烈酒（饮料）;威⼠忌;⻩酒;清酒（⽇本⽶酒）;蒸馏饮料;⽩兰地;⽶酒;伏特加酒</t>
  </si>
  <si>
    <t>河南葛瑞宏种植有限公司</t>
  </si>
  <si>
    <t>葛瑞宏</t>
  </si>
  <si>
    <t>酒精饮料原汁;⾷⽤酒精;蜂蜜酒;酒精饮料（啤酒除外）;⻩酒;葡萄酒;汽酒;⽩酒;⽶酒;果酒（含酒精）</t>
  </si>
  <si>
    <t>贵州仁怀琳境贸易有限公司</t>
  </si>
  <si>
    <t>以天上水</t>
  </si>
  <si>
    <t>⽶酒;⽩酒;露酒;果酒（含酒精）;⾕物制蒸馏酒精饮料;葡萄酒;烈酒（饮料）;餐后酒（利⼝酒和烈酒）;蒸馏饮料;苹果酒</t>
  </si>
  <si>
    <t>贵州省仁怀市呼不来酒业有限公司</t>
  </si>
  <si>
    <t>爱棋弈</t>
  </si>
  <si>
    <t>酒精饮料（啤酒除外）;含⽔果酒精饮料;蒸煮提取物（利⼝酒和烈酒）;⻩酒;果酒（含酒精）;蒸馏饮料;开胃酒;⽩酒;烈酒（饮料）;⽶酒</t>
  </si>
  <si>
    <t>苏江月</t>
  </si>
  <si>
    <t>鸡尾酒; 葡萄酒; 蒸馏饮料; 白酒; 威士忌; 米酒; 烧酒; 黄酒; 果酒（含酒精）; 白兰地</t>
  </si>
  <si>
    <t>星月夜 VANGOGH STARRY NIGHT</t>
  </si>
  <si>
    <t>利⼝酒;烈酒（饮料）;酒精饮料（啤酒除外）;⽩酒;葡萄酒;预先混合的酒精饮料（以啤酒为主的除外）;餐后酒（利⼝酒和烈酒）;威⼠忌;果酒（含酒精）;⽶酒</t>
  </si>
  <si>
    <t>广州正得投资控股合伙企业（有限合伙）</t>
  </si>
  <si>
    <t>竹根淼</t>
  </si>
  <si>
    <t>烧酒;⽩酒;葡萄酒;伏特加酒;酒精饮料（啤酒除外）;果酒（含酒精）;预先混合的酒精饮料（以啤酒为主的除外）;鸡尾酒;威⼠忌;⽶酒</t>
  </si>
  <si>
    <t>贵州胡醉酒业有限公司</t>
  </si>
  <si>
    <t>胡忙</t>
  </si>
  <si>
    <t>⻩酒;清酒;烧酒;⽩酒;酒精饮料（啤酒除外）;果酒（含酒精）;⾼粱酒;葡萄酒;⽩兰地;⽩⼲酒（中国⽩酒）</t>
  </si>
  <si>
    <t>邹瑞洪</t>
  </si>
  <si>
    <t>莲橙礼物</t>
  </si>
  <si>
    <t>⾷⽤酒精;烧酒;⽩酒;⽶酒;⻩酒;⻘稞酒;鸡尾酒;果酒（含酒精）;酒精饮料（啤酒除外）;葡萄酒</t>
  </si>
  <si>
    <t>上海嗨派匠心甄选食品科技有限公司</t>
  </si>
  <si>
    <t>WBC</t>
  </si>
  <si>
    <t>果酒（含酒精）;⽩兰地;威⼠忌;预先混合的酒精饮料（以啤酒为主的除外）;⽩酒;鸡尾酒;葡萄酒;以葡萄酒为主的饮料;酒精饮料（啤酒除外）;⻩酒</t>
  </si>
  <si>
    <t>吴东</t>
  </si>
  <si>
    <t>黔思伯</t>
  </si>
  <si>
    <t>果酒（含酒精）;烈酒（饮料）;⽼酒（中国蒸馏烈酒）;烧酒;⽩⼲酒（中国⽩酒）;蒸馏饮料;⽶酒;⽩酒;葡萄酒;⾷⽤酒精</t>
  </si>
  <si>
    <t>谱华云媒网络科技有限公司</t>
  </si>
  <si>
    <t>保府百顺</t>
  </si>
  <si>
    <t>清酒（日本米酒）; 酒精饮料（啤酒除外）; 以葡萄酒为主的饮料; 果酒（含酒精）; 含水果酒精饮料; 烧酒; 白酒; 鸡尾酒; 白兰地; 米酒</t>
  </si>
  <si>
    <t>国大科润（深圳）医药科技有限公司</t>
  </si>
  <si>
    <t>任孝堂</t>
  </si>
  <si>
    <t>白酒;鸡尾酒;葡萄酒;威士忌;白兰地;含水果酒精饮料;黄酒;烧酒;米酒;清酒（日本米酒）</t>
  </si>
  <si>
    <t>渠皓汶</t>
  </si>
  <si>
    <t>雍大师</t>
  </si>
  <si>
    <t>⻩酒;开胃酒;葡萄酒;威⼠忌;鸡尾酒;果酒（含酒精）;⽩酒;清酒（⽇本⽶酒）;烈酒;酒精饮料（啤酒除外）</t>
  </si>
  <si>
    <t>谷农蒸酒（辽宁）白酒有限公司</t>
  </si>
  <si>
    <t>亘古亘今谷农</t>
  </si>
  <si>
    <t>⽩酒;酒精饮料（啤酒除外）;果酒（含酒精）;开胃酒;威⼠忌;烧酒;烈酒（饮料）;⻩酒;⽶酒;葡萄酒</t>
  </si>
  <si>
    <t>山东制高点健康产业有限公司</t>
  </si>
  <si>
    <t>玻小嫣</t>
  </si>
  <si>
    <t>葡萄酒;酒精饮料（啤酒除外）;⻩酒;果酒（含酒精）;⾷⽤酒精;⽩酒;开胃酒;⽶酒;⻘稞酒;烧酒</t>
  </si>
  <si>
    <t>河北京楠建设项目管理有限公司</t>
  </si>
  <si>
    <t>青赤鸟</t>
  </si>
  <si>
    <t>烧酒;葡萄酒;果酒（含酒精）;⽩酒</t>
  </si>
  <si>
    <t>刘金平</t>
  </si>
  <si>
    <t>显头</t>
  </si>
  <si>
    <t>果酒;甜酒;⽶酒;清酒;烈酒;烧酒;汽酒;⻩酒;⽩酒;葡萄酒</t>
  </si>
  <si>
    <t>沈钟烨</t>
  </si>
  <si>
    <t>戚大街</t>
  </si>
  <si>
    <t>⽶酒;⻩酒;烈酒（饮料）;酒精饮料（啤酒除外）;烧酒;清酒;鸡尾酒;蒸馏⽶酒（泡盛酒）;果酒（含酒精）;葡萄酒;⽩酒</t>
  </si>
  <si>
    <t>山东运河之都生态酒庄有限公司</t>
  </si>
  <si>
    <t>猛虎之吻</t>
  </si>
  <si>
    <t>⾕物制蒸馏酒精饮料;⽩酒;预先混合的酒精饮料（以啤酒为主的除外）;清酒（⽇本⽶酒）;威⼠忌;酒精饮料（啤酒除外）;果酒（含酒精）;葡萄酒;⽩兰地;蜂蜜酒</t>
  </si>
  <si>
    <t>连平县善业建设有限公司</t>
  </si>
  <si>
    <t>源农元甄善品</t>
  </si>
  <si>
    <t>⽶酒;⾕物制蒸馏酒精饮料;⽩酒;果酒（含酒精）;含⽔果酒精饮料;预先混合的酒精饮料（以啤酒为主的除外）;酒精饮料（啤酒除外）;烈酒（饮料）;酒精饮料原汁;蒸馏饮料</t>
  </si>
  <si>
    <t>孙笑春</t>
  </si>
  <si>
    <t>HAI BIAN XIAO ZUI</t>
  </si>
  <si>
    <t>开胃酒;葡萄酒;⽩酒;烈酒（饮料）;樱桃⽩兰地;汽酒;酒精饮料（啤酒除外）;蒸馏饮料;樱桃酒;果酒（含酒精）</t>
  </si>
  <si>
    <t>合肥仙露贸易有限公司</t>
  </si>
  <si>
    <t>仙露九洲</t>
  </si>
  <si>
    <t>果酒（含酒精）;清酒（⽇本⽶酒）;⻩酒;⽼酒（中国蒸馏烈酒）;烧酒（烈酒）;烧酒;⽩酒;⽩葡萄酒;由⾕物蒸馏的⽩酒;葡萄酒</t>
  </si>
  <si>
    <t>江苏诺薇医疗科技有限公司</t>
  </si>
  <si>
    <t>苏诺薇</t>
  </si>
  <si>
    <t>⽩酒;葡萄酒;⽶酒;开胃酒;果酒（含酒精）;威⼠忌;⽩兰地;⻩酒;⻘稞酒;鸡尾酒</t>
  </si>
  <si>
    <t>圣厄岚特</t>
  </si>
  <si>
    <t>葡萄酒;烈酒;蒸馏饮料;果酒（含酒精）;酒精饮料原汁;⽩酒;酒精饮料（啤酒除外）;鸡尾酒;以葡萄酒为主的饮料;含⽔果酒精饮料</t>
  </si>
  <si>
    <t>德窖和顺</t>
  </si>
  <si>
    <t>德窖和悦</t>
  </si>
  <si>
    <t>汪飞蝶</t>
  </si>
  <si>
    <t>西关小荔园</t>
  </si>
  <si>
    <t>葡萄酒;果酒（含酒精）;开胃酒;苹果酒;⽩酒;威⼠忌;伏特加酒;酒精饮料（啤酒除外）;⽶酒;鸡尾酒</t>
  </si>
  <si>
    <t>雷玲艳</t>
  </si>
  <si>
    <t>碛口港湾</t>
  </si>
  <si>
    <t>⾼粱酒;果酒（含酒精）;葡萄酒;⽶酒;⽩酒;烈酒（饮料）;烧酒;酒精饮料（啤酒除外）;⻩酒;鸡尾酒</t>
  </si>
  <si>
    <t>河南景田中央厨房有限公司</t>
  </si>
  <si>
    <t>莲小菜</t>
  </si>
  <si>
    <t>⽶酒;果酒;含⽔果酒精饮料;葡萄酒;酒精饮料（啤酒除外）;⽩酒;清酒;烈酒;⻩酒;⽩⼲酒（中国⽩酒）</t>
  </si>
  <si>
    <t>兴之善</t>
  </si>
  <si>
    <t>果酒（含酒精）;葡萄酒;朗姆酒;含⽔果酒精饮料;⽶酒;⽩酒;烈酒（饮料）;餐后酒（利⼝酒和烈酒）;烧酒;酒精饮料（啤酒除外）</t>
  </si>
  <si>
    <t>上海长瑞农业科技有限公司</t>
  </si>
  <si>
    <t>逐梦追风</t>
  </si>
  <si>
    <t>果酒（含酒精）;高粱酒;鸡尾酒;白酒;老酒（中国蒸馏烈酒）;米酒;蒸煮提取物（利口酒和烈酒）;白干酒（中国白酒）;青稞酒;烧酒</t>
  </si>
  <si>
    <t>宿迁博一豪电子商务有限公司</t>
  </si>
  <si>
    <t>抚石</t>
  </si>
  <si>
    <t>⽶酒;预先混合的酒精饮料（以啤酒为主的除外）;清酒（⽇本⽶酒）;果酒（含酒精）;葡萄酒;烈酒（饮料）;⽩酒;酒精饮料（啤酒除外）;含⽔果酒精饮料;⻩酒</t>
  </si>
  <si>
    <t>湖南诩众电子商务有限公司</t>
  </si>
  <si>
    <t>诩众</t>
  </si>
  <si>
    <t>⽩酒;⻩酒;葡萄酒;酒精饮料原汁;烈酒;蒸馏饮料;酒精饮料（啤酒除外）;汽酒;⽶酒;果酒（含酒精）</t>
  </si>
  <si>
    <t>裕贰零</t>
  </si>
  <si>
    <t>食用酒精;由谷物蒸馏的白酒;露酒;白干酒（中国白酒）;高粱酒;白酒;烧酒（烈酒）;老酒（中国蒸馏烈酒）;烧酒</t>
  </si>
  <si>
    <t>池竹仙</t>
  </si>
  <si>
    <t>威士忌;果酒;白酒;青稞酒;烈酒;烧酒;黄酒;鸡尾酒;米酒;葡萄酒</t>
  </si>
  <si>
    <t>红山绿珠</t>
  </si>
  <si>
    <t>烈酒（饮料）;果酒（含酒精）;⻘稞酒;酒精饮料（啤酒除外）;酒精饮料原汁;⾕物制蒸馏酒精饮料;⽶酒;⽩酒;蒸煮提取物（利⼝酒和烈酒）;烧酒</t>
  </si>
  <si>
    <t>利缔亚(上海)酒业有限公司</t>
  </si>
  <si>
    <t>祯酷</t>
  </si>
  <si>
    <t>果酒（含酒精）;烈酒（饮料）;酒精饮料（啤酒除外）;白酒;利口酒;汽酒;葡萄酒;白兰地;蒸馏饮料;含水果酒精饮料</t>
  </si>
  <si>
    <t>江西江曾玩具有限责任公司</t>
  </si>
  <si>
    <t>丰多多</t>
  </si>
  <si>
    <t>⽩⼲酒（中国⽩酒）;⽩酒;烧酒;⽶酒;⾼粱酒;由⾕物蒸馏的⽩酒;烈酒;⽩兰地;果酒（含酒精）;葡萄酒</t>
  </si>
  <si>
    <t>王义彪</t>
  </si>
  <si>
    <t>固养能</t>
  </si>
  <si>
    <t>开胃酒;汽酒;甜酒;⽩酒;葡萄酒;清酒;⽶酒;⻩酒;果酒;⾷⽤酒精</t>
  </si>
  <si>
    <t>王宏强</t>
  </si>
  <si>
    <t>保太医</t>
  </si>
  <si>
    <t>清酒;汽酒;⽩酒;⾷⽤酒精;开胃酒;甜酒;葡萄酒;⻩酒;⽶酒;果酒</t>
  </si>
  <si>
    <t>李强</t>
  </si>
  <si>
    <t>CHANGTIE</t>
  </si>
  <si>
    <t>黄酒;烧酒;老酒（中国蒸馏烈酒）;白酒;酒精饮料（啤酒除外）;烈酒;白干酒（中国白酒）;高粱酒;米酒;果酒</t>
  </si>
  <si>
    <t>柔媳妇</t>
  </si>
  <si>
    <t>白酒;清酒;米酒;葡萄酒;蜂蜜酒;老酒（中国蒸馏烈酒）;果酒;露酒;烈酒;烧酒</t>
  </si>
  <si>
    <t>烟台市蓬莱区沐泷参日用百货经销处</t>
  </si>
  <si>
    <t>田参湾</t>
  </si>
  <si>
    <t>酒精饮料原汁;利口酒;烈酒（饮料）;白兰地;以葡萄酒为主的饮料;苹果酒;鸡尾酒;葡萄酒;含水果酒精饮料;果酒（含酒精）</t>
  </si>
  <si>
    <t>大连盛世华酒业有限公司</t>
  </si>
  <si>
    <t>恒鑫荣</t>
  </si>
  <si>
    <t>烧酒;酒精饮料（啤酒除外）;葡萄酒;果酒（含酒精）;⽢蔗制烈酒;⽶酒;⻩酒;鸡尾酒;烈酒（饮料）;⽩酒</t>
  </si>
  <si>
    <t>贵州酒老头酒业有限公司</t>
  </si>
  <si>
    <t>河畔拾遗</t>
  </si>
  <si>
    <t>米酒;葡萄酒;烧酒;烧酒（烈酒）;红葡萄酒;白干酒（中国白酒）;白酒;果酒（含酒精）;高粱酒;老酒（中国蒸馏烈酒）</t>
  </si>
  <si>
    <t>薛鹏宇14242********0003X</t>
  </si>
  <si>
    <t>薛百匠</t>
  </si>
  <si>
    <t>⽼酒（中国蒸馏烈酒）;⻩酒;⽩酒;⽩⼲酒（中国⽩酒）;烈酒;薄荷酒;草莓酒;⽶酒;烧酒;⾼粱酒</t>
  </si>
  <si>
    <t>台金富坑道</t>
  </si>
  <si>
    <t>⽩兰地;⻩酒;葡萄酒;⽩酒;酒精饮料（啤酒除外）;⾼粱酒;鸡尾酒;威⼠忌;果酒;甜酒</t>
  </si>
  <si>
    <t>孙伟</t>
  </si>
  <si>
    <t>梦关山</t>
  </si>
  <si>
    <t>果酒（含酒精）;鸡尾酒;⻘稞酒;清酒;⾷⽤酒精;烧酒;⽩酒;⽶酒;⻩酒;酒精饮料（啤酒除外）</t>
  </si>
  <si>
    <t>贵州德酿酒业有限公司</t>
  </si>
  <si>
    <t>词凝</t>
  </si>
  <si>
    <t>果酒（含酒精）;⻩酒;烧酒;葡萄酒;⽩酒;汽酒;⾷⽤酒精;除啤酒外的酒精饮料;⽶酒;含⽔果酒精饮料</t>
  </si>
  <si>
    <t>吴光平</t>
  </si>
  <si>
    <t>核匠</t>
  </si>
  <si>
    <t>唐家标</t>
  </si>
  <si>
    <t>滔状元</t>
  </si>
  <si>
    <t>鸡尾酒;开胃酒;果酒（含酒精）;酒精饮料（啤酒除外）;葡萄酒;烈酒;⻩酒;清酒（⽇本⽶酒）;⽩酒;威⼠忌</t>
  </si>
  <si>
    <t>四川美福康商贸有限公司</t>
  </si>
  <si>
    <t>满引通</t>
  </si>
  <si>
    <t>酒精饮料原汁;葡萄酒;⻘稞酒;⻩酒;果酒;梨酒;露酒;⽩酒;⽩兰地;⽶酒</t>
  </si>
  <si>
    <t>贵州㵲洋河酒业有限公司</t>
  </si>
  <si>
    <t>㵲</t>
  </si>
  <si>
    <t>鸡尾酒;葡萄酒;⽶酒;⽩⼲酒（中国⽩酒）;果酒;⽩酒;甜酒;由⾕物蒸馏的⽩酒;烧酒;⾼粱酒</t>
  </si>
  <si>
    <t>曾长青</t>
  </si>
  <si>
    <t>清梦谣</t>
  </si>
  <si>
    <t>⾷⽤酒精;威⼠忌;烧酒;⽩酒;⽶酒;果酒（含酒精）;烈酒（饮料）;⻘稞酒;含⽔果酒精饮料;⻩酒</t>
  </si>
  <si>
    <t>汾阳市纯粮白酒批发零售有限公司</t>
  </si>
  <si>
    <t>SXFJ</t>
  </si>
  <si>
    <t>烈酒浓缩汁;⾷⽤酒精;威末酒;清酒;果酒;⽶酒;⾼粱酒;烧酒;利⼝酒;⻘稞酒</t>
  </si>
  <si>
    <t>杨丽</t>
  </si>
  <si>
    <t>景誉</t>
  </si>
  <si>
    <t>⻘稞酒;烧酒;⾼粱酒;清酒;果酒;利⼝酒;威末酒;⽶酒;烈酒浓缩汁;⾷⽤酒精</t>
  </si>
  <si>
    <t>杨城</t>
  </si>
  <si>
    <t>飞利猫</t>
  </si>
  <si>
    <t>⽩酒;朗姆酒;果酒;酒精饮料（啤酒除外）;烈酒（饮料）;鸡尾酒;葡萄酒;烧酒;⽶酒;⻩酒</t>
  </si>
  <si>
    <t>葡萄酒;烧酒;威⼠忌;⽼酒（中国蒸馏烈酒）;⽩⼲酒（中国⽩酒）;烈酒;⽩酒;果酒;⽶酒;⾼粱酒</t>
  </si>
  <si>
    <t>畏怀</t>
  </si>
  <si>
    <t>烈酒（饮料）;餐后酒（利⼝酒和烈酒）;露酒;果酒（含酒精）;⽩酒;蒸馏饮料;葡萄酒;⽶酒;⾕物制蒸馏酒精饮料;苹果酒</t>
  </si>
  <si>
    <t>广东横琴粤澳深度合作区琴澳源文化旅游有限责任公司</t>
  </si>
  <si>
    <t>琴澳源</t>
  </si>
  <si>
    <t>威⼠忌;⽶酒;含⽔果酒精饮料;果酒（含酒精）;烧酒;⻘稞酒;⾷⽤酒精;⻩酒;烈酒（饮料）;⽩酒</t>
  </si>
  <si>
    <t>贵井湾</t>
  </si>
  <si>
    <t>葡萄酒;⽩兰地;⽶酒;⾷⽤酒精;果酒（含酒精）;⻩酒;鸡尾酒;含⽔果酒精饮料;⽩酒;酒精饮料（啤酒除外）</t>
  </si>
  <si>
    <t>惠州市镇特和天下酒业有限公司</t>
  </si>
  <si>
    <t>沈羽和天下</t>
  </si>
  <si>
    <t>⽶酒;葡萄酒;甜酒;除啤酒外的酒精饮料;烈酒;烧酒;果酒;⽩酒;含酒精⽔果饮料;⻩酒</t>
  </si>
  <si>
    <t>李放</t>
  </si>
  <si>
    <t>格罗姆</t>
  </si>
  <si>
    <t>葡萄酒;含⽔果酒精饮料;⽩酒;烧酒;⾷⽤酒精;鸡尾酒;酒精饮料（啤酒除外）;酒精饮料浓缩汁;烈酒（饮料）;⽶酒</t>
  </si>
  <si>
    <t>李方琳</t>
  </si>
  <si>
    <t>匠王瀛</t>
  </si>
  <si>
    <t>烧酒;⻘稞酒;果酒;葡萄酒;利⼝酒;⻩酒;酒精饮料（啤酒除外）;蒸馏饮料;⽩酒;⽶酒</t>
  </si>
  <si>
    <t>北京天空未来食品科技有限公司</t>
  </si>
  <si>
    <t>LEHUA</t>
  </si>
  <si>
    <t>果酒（含酒精）;葡萄酒;威⼠忌;蜂蜜酒;⽶酒;开胃酒;朗姆酒;⽩酒;利⼝酒;烈酒（饮料）</t>
  </si>
  <si>
    <t>冀南恒兴玖业</t>
  </si>
  <si>
    <t>烈酒（饮料）;含⽔果酒精饮料;⽩酒;烧酒;朗姆酒;餐后酒（利⼝酒和烈酒）;⽶酒;果酒（含酒精）;葡萄酒;酒精饮料（啤酒除外）</t>
  </si>
  <si>
    <t>深圳市分印科技有限公司</t>
  </si>
  <si>
    <t>左走</t>
  </si>
  <si>
    <t>葡萄酒;烈酒（饮料）;含⽔果酒精饮料;⽶酒;⽩酒;果酒（含酒精）;蒸馏饮料;含酒精的⽓泡⽔;⻩酒;烧酒</t>
  </si>
  <si>
    <t>李文锋</t>
  </si>
  <si>
    <t>赛湖孛乐</t>
  </si>
  <si>
    <t>酒精饮料（啤酒除外）;烧酒;酒精饮料原汁;葡萄酒;⽩酒;⾷⽤酒精;⽶酒;汽酒;果酒（含酒精）;⻩酒</t>
  </si>
  <si>
    <t>徐阔</t>
  </si>
  <si>
    <t>吉家匠</t>
  </si>
  <si>
    <t>⽩兰地;含⽔果酒精饮料;⾷⽤酒精;葡萄酒;鸡尾酒;⽶酒;威⼠忌;酒精饮料（啤酒除外）;⽩酒;利⼝酒</t>
  </si>
  <si>
    <t>丰膳餐饮有限公司</t>
  </si>
  <si>
    <t>黔盅浔</t>
  </si>
  <si>
    <t>⽩兰地;⻩酒;⽩酒;果酒（含酒精）;⾷⽤酒精;葡萄酒;酒精饮料（啤酒除外）;含⽔果酒精饮料;⽶酒;鸡尾酒</t>
  </si>
  <si>
    <t>鲁商盛世(北京)实业集团有限公司</t>
  </si>
  <si>
    <t>泛含醉</t>
  </si>
  <si>
    <t>⽩酒;开胃酒;葡萄酒;蜂蜜酒;⽩兰地;清酒;威⼠忌;烧酒;⾼粱酒;⽶酒</t>
  </si>
  <si>
    <t>桂阳县众创农业开发有限公司</t>
  </si>
  <si>
    <t>蒸馏饮料;烧酒;含酒精的饮料（啤酒除外）;苦荞酒;⾼粱酒;⻩酒;⽩酒;由⾕物蒸馏的⽩酒;甜酒;⽼酒（中国蒸馏烈酒）</t>
  </si>
  <si>
    <t>赛湖日出</t>
  </si>
  <si>
    <t>酒精饮料（啤酒除外）;烧酒;⻩酒;酒精饮料原汁;汽酒;⽩酒;葡萄酒;⽶酒;⾷⽤酒精;果酒（含酒精）</t>
  </si>
  <si>
    <t>朱锦林</t>
  </si>
  <si>
    <t>境清尚</t>
  </si>
  <si>
    <t>⽶酒;酒精饮料（啤酒除外）;酒精饮料原汁;威⼠忌;烈酒（饮料）;伏特加酒;鸡尾酒;⽩酒;清酒（⽇本⽶酒）;葡萄酒</t>
  </si>
  <si>
    <t>赤池</t>
  </si>
  <si>
    <t>开胃酒;利⼝酒;酒精饮料（啤酒除外）;⽶酒;苦味酒;鸡尾酒;餐后酒（利⼝酒和烈酒）;葡萄酒;烈酒（饮料）;⽩酒</t>
  </si>
  <si>
    <t>郑伟林</t>
  </si>
  <si>
    <t>汉将韵象</t>
  </si>
  <si>
    <t>葡萄酒;果酒（含酒精）;⽩酒;含酒精的⽓泡⽔;⽶酒;威⼠忌;⻩酒;⽼酒（中国蒸馏烈酒）;⽩兰地;果酒</t>
  </si>
  <si>
    <t>杨永峰</t>
  </si>
  <si>
    <t>尊台礼天下</t>
  </si>
  <si>
    <t>⾼粱酒;⻘稞酒;⽩酒;⽼酒（中国蒸馏烈酒）;露酒;葡萄酒;果酒;⻩酒;⽶酒;酒精饮料（啤酒除外）</t>
  </si>
  <si>
    <t>佛山市南海区丹灶镇鼎南农林科技有限公司</t>
  </si>
  <si>
    <t>鼎南大洲沙</t>
  </si>
  <si>
    <t>露酒;果酒（含酒精）;烧酒;清酒（⽇本⽶酒）;⽩酒;⻩酒;含酒精的饮料（啤酒除外）;⽶酒;梅酒;葡萄酒</t>
  </si>
  <si>
    <t>张静波</t>
  </si>
  <si>
    <t>几许年华</t>
  </si>
  <si>
    <t>⽩酒;烧酒（烈酒）;露酒;⽩⼲酒（中国⽩酒）;利⼝酒;烈酒;果酒;清酒;⾼粱酒;甜酒</t>
  </si>
  <si>
    <t>心欢馋堂</t>
  </si>
  <si>
    <t>葡萄酒;鸡尾酒;⽩兰地;清酒（⽇本⽶酒）;⽩酒;伏特加酒;威⼠忌;⽶酒;⻩酒;果酒（含酒精）</t>
  </si>
  <si>
    <t>甘肃省年先生餐饮管理有限责任公司</t>
  </si>
  <si>
    <t>年夫人</t>
  </si>
  <si>
    <t>⻘稞酒;⽩兰地;⽶酒;果酒（含酒精）;⽩酒;苦味酒;伏特加酒;⻩酒;烧酒;薄荷酒</t>
  </si>
  <si>
    <t>富嗣霆（上海）科技有限公司</t>
  </si>
  <si>
    <t>露玺</t>
  </si>
  <si>
    <t>⽩酒;梨酒;葡萄酒;杜松⼦酒;清酒（⽇本⽶酒）;威⼠忌;鸡尾酒;⾕物制蒸馏酒精饮料;⾷⽤酒精;⽶酒</t>
  </si>
  <si>
    <t>陈伟鸿</t>
  </si>
  <si>
    <t>小潭樽</t>
  </si>
  <si>
    <t>开胃酒;鸡尾酒;利⼝酒;威⼠忌;酒精饮料原汁;烧酒;果酒（含酒精）;烈酒（饮料）;⽩酒;葡萄酒</t>
  </si>
  <si>
    <t>宴中仙</t>
  </si>
  <si>
    <t>葡萄酒;威士忌;开胃酒;鸡尾酒;白酒;蒸馏饮料;预先混合的酒精饮料（以啤酒为主的除外）;酒精饮料（啤酒除外）;米酒;烈酒（饮料）</t>
  </si>
  <si>
    <t>巅峰骄子</t>
  </si>
  <si>
    <t>开胃酒;果酒（含酒精）;烧酒;⽩兰地;清酒（⽇本⽶酒）;⽶酒;鸡尾酒;葡萄酒;酒精饮料（啤酒除外）;⽩酒</t>
  </si>
  <si>
    <t>宝鸡新钛谷礼科技有限公司</t>
  </si>
  <si>
    <t>醒韵</t>
  </si>
  <si>
    <t>葡萄酒;以葡萄酒为主的饮料;红葡萄酒;含⽔果酒精饮料;果酒（含酒精）;酒精饮料（啤酒除外）;开胃酒;以葡萄酒为主的开胃酒;不起泡葡萄酒;⽩葡萄酒</t>
  </si>
  <si>
    <t>常佳宝</t>
  </si>
  <si>
    <t>旭繁</t>
  </si>
  <si>
    <t>蒸馏饮料;蜂蜜酒;威⼠忌;除啤酒外的酒精饮料;开胃酒;含⽜奶的鸡尾酒;⽩酒;果酒;红葡萄酒;清酒;含酒精的鸡尾酒混合饮品</t>
  </si>
  <si>
    <t>苏勤龙</t>
  </si>
  <si>
    <t>天才日记</t>
  </si>
  <si>
    <t>⽩酒;⽩兰地;⽶酒;预先混合的酒精饮料（以啤酒为主的除外）;鸡尾酒;威⼠忌;酒精饮料原汁;葡萄酒;果酒（含酒精）;⻩酒</t>
  </si>
  <si>
    <t>浙江日茗康茶业有限公司</t>
  </si>
  <si>
    <t>稽东春山好</t>
  </si>
  <si>
    <t>预先混合的酒精饮料（以啤酒为主的除外）;果酒（含酒精）;葡萄酒;⽩酒;以葡萄酒为主的饮料;⻩酒;鸡尾酒;已调味的⻨芽酿制的酒精饮料（啤酒除外）;⾷⽤酒精;烧酒</t>
  </si>
  <si>
    <t>湖北古月坊品牌运营管理有限公司</t>
  </si>
  <si>
    <t>高石碑</t>
  </si>
  <si>
    <t>预先混合的酒精饮料（以啤酒为主的除外）;⻘稞酒;蒸馏饮料;鸡尾酒;葡萄酒;威⼠忌;⽩酒;薄荷酒;果酒（含酒精）;烧酒</t>
  </si>
  <si>
    <t>衡水邦盛贸易有限公司</t>
  </si>
  <si>
    <t>花未柠</t>
  </si>
  <si>
    <t>烈酒（饮料）;含酒精的⽓泡⽔;开胃酒;鸡尾酒;果酒（含酒精）;⽩酒;酒精饮料（啤酒除外）;含⽔果酒精饮料;烧酒;⽶酒</t>
  </si>
  <si>
    <t>贵州龙承子秀贸易有限公司</t>
  </si>
  <si>
    <t>果酒（含酒精）;酒精饮料浓缩汁;⽶酒;酒精饮料原汁;汽酒;⽩酒;蒸馏饮料;酒精饮料（啤酒除外）;葡萄酒;含⽔果酒精饮料</t>
  </si>
  <si>
    <t>云南鑫弘福实业发展有限公司</t>
  </si>
  <si>
    <t>鑫弘福</t>
  </si>
  <si>
    <t>葡萄酒;⾕物制蒸馏酒精饮料;烧酒;⻘稞酒;酒精饮料原汁;⽶酒;杜松⼦酒;⽩酒;果酒（含酒精）;烈酒（饮料）</t>
  </si>
  <si>
    <t>醉恋涔</t>
  </si>
  <si>
    <t>⻩酒;葡萄酒;汽酒;⽶酒;红葡萄酒;⽩葡萄酒;果酒;⽩酒;烈酒;清酒</t>
  </si>
  <si>
    <t>新疆山粮糜子酒有限责任公司</t>
  </si>
  <si>
    <t>扶摇清云</t>
  </si>
  <si>
    <t>开胃酒;⻩酒;葡萄酒;果酒（含酒精）;⽶酒;⽩酒;烧酒;烈酒;含⽔果酒精饮料;酒精饮料（啤酒除外）</t>
  </si>
  <si>
    <t>江苏芷昕贸易有限公司</t>
  </si>
  <si>
    <t>周大好</t>
  </si>
  <si>
    <t>甜果酒;⻩酒;烈酒;含酒精⽔果饮料;⽩酒;⽶酒;葡萄酒;汽酒;⾷⽤酒精;⽩⼲酒（中国⽩酒）</t>
  </si>
  <si>
    <t>未欢</t>
  </si>
  <si>
    <t>果酒（含酒精）;烈酒（饮料）;开胃酒;⽶酒;鸡尾酒;酒精饮料（啤酒除外）;⽩酒;葡萄酒;酸酒（低等葡萄酒）;烧酒</t>
  </si>
  <si>
    <t>正元合谷（北京）健康科技发展有限公司</t>
  </si>
  <si>
    <t>正元华佗</t>
  </si>
  <si>
    <t>⽩葡萄酒;红葡萄酒;果酒;葡萄酒;⽩兰地;蜂蜜酒;甜酒;⽩⼲酒（中国⽩酒）;⽩酒;开胃酒</t>
  </si>
  <si>
    <t>北京小青豹信息科技有限公司</t>
  </si>
  <si>
    <t>小蛮狼</t>
  </si>
  <si>
    <t>威⼠忌;葡萄酒;清酒（⽇本⽶酒）;酒精饮料（啤酒除外）;鸡尾酒;⽇本梅⼦酒;果酒;⽩兰地;⽶酒;⽩酒</t>
  </si>
  <si>
    <t>深圳市特爱国际供应链有限公司</t>
  </si>
  <si>
    <t>汉葡鹊影</t>
  </si>
  <si>
    <t>⻩酒;含⽔果酒精饮料;清酒（⽇本⽶酒）;果酒（含酒精）;预先混合的酒精饮料（以啤酒为主的除外）;⽶酒;⽩酒;葡萄酒;烧酒;酒精饮料（啤酒除外）</t>
  </si>
  <si>
    <t>青岛慈初达贸易有限公司</t>
  </si>
  <si>
    <t>帝壶策</t>
  </si>
  <si>
    <t>鸡尾酒;清酒（⽇本⽶酒）;果酒（含酒精）;蒸馏饮料;⽶酒;烧酒;⽩酒;⽩⼲酒（中国⽩酒）;⾕物制蒸馏酒精饮料;酒精饮料（啤酒除外）</t>
  </si>
  <si>
    <t>北京国茅汇酒行有限公司</t>
  </si>
  <si>
    <t>中篆张府</t>
  </si>
  <si>
    <t>酒精饮料（啤酒除外）;⾼粱酒;⽩酒;红葡萄酒;烧酒（烈酒）;⽼酒（中国蒸馏烈酒）;⽶酒;⻩酒;果酒;由⾕物蒸馏的⽩酒</t>
  </si>
  <si>
    <t>熊漠毅</t>
  </si>
  <si>
    <t>永叔坊</t>
  </si>
  <si>
    <t>烧酒;⽩酒;威⼠忌;果酒（含酒精）;葡萄酒;⽩兰地;⾷⽤酒精;⽶酒;利⼝酒;⻩酒</t>
  </si>
  <si>
    <t>王丽峰</t>
  </si>
  <si>
    <t>赫域</t>
  </si>
  <si>
    <t>烈酒（饮料）;威⼠忌;鸡尾酒;清酒（⽇本⽶酒）;葡萄酒;⻩酒;蒸馏饮料;果酒（含酒精）;⽩酒;红葡萄酒</t>
  </si>
  <si>
    <t>白桂祯</t>
  </si>
  <si>
    <t>片牍酒</t>
  </si>
  <si>
    <t>⽩⼲酒（中国⽩酒）;⾼粱酒;烧酒;⻩酒;⽼酒（中国蒸馏烈酒）;⽶酒;杨梅酒;红葡萄酒;含酒精的饮料（啤酒除外）;⽩酒</t>
  </si>
  <si>
    <t>武氏映春</t>
  </si>
  <si>
    <t>⽼酒（中国蒸馏烈酒）;果酒（含酒精）;⾷⽤酒精;葡萄酒;烧酒;酒精饮料（啤酒除外）;⻩酒;蒸馏饮料;⽩酒;⽶酒</t>
  </si>
  <si>
    <t>贵州酱造贵标技术服务有限公司</t>
  </si>
  <si>
    <t>烁唐</t>
  </si>
  <si>
    <t>⽶酒;烈酒（饮料）;露酒;⾕物制蒸馏酒精饮料;餐后酒（利⼝酒和烈酒）;果酒（含酒精）;苹果酒;葡萄酒;⽩酒;蒸馏饮料</t>
  </si>
  <si>
    <t>山东白溪源酒业有限公司</t>
  </si>
  <si>
    <t>赞百福</t>
  </si>
  <si>
    <t>⻩酒;烧酒;葡萄酒;鸡尾酒;⽶酒;果酒;⽩兰地;汽酒;含酒精⽔果饮料;⽩酒</t>
  </si>
  <si>
    <t>昌黎县博道回元养生服务有限公司</t>
  </si>
  <si>
    <t>容赫</t>
  </si>
  <si>
    <t>苹果酒;预先混合的酒精饮料（以啤酒为主的除外）;⻩酒;果酒（含酒精）;酒精饮料（啤酒除外）;樱桃酒;⽩酒;⻘稞酒;烧酒;开胃酒</t>
  </si>
  <si>
    <t>碧曼</t>
  </si>
  <si>
    <t>葡萄酒;鸡尾酒;酸酒（低等葡萄酒）;烧酒;⽶酒;果酒（含酒精）;烈酒（饮料）;⽩酒;开胃酒;酒精饮料（啤酒除外）</t>
  </si>
  <si>
    <t>张爱玲</t>
  </si>
  <si>
    <t>汉效堂</t>
  </si>
  <si>
    <t>⽶酒;开胃酒;⻩酒;果酒;⾷⽤酒精;清酒;⽩酒;甜酒;葡萄酒;汽酒</t>
  </si>
  <si>
    <t>思进家具集团有限公司</t>
  </si>
  <si>
    <t>兴思进</t>
  </si>
  <si>
    <t>威⼠忌;⻩酒;开胃酒;葡萄酒;酒精饮料（啤酒除外）;果酒（含酒精）;⽶酒;⾕物制蒸馏酒精饮料;⽩酒;鸡尾酒</t>
  </si>
  <si>
    <t>贵州手酿基酒有限公司</t>
  </si>
  <si>
    <t>超吉陈厚</t>
  </si>
  <si>
    <t>鸡尾酒;利口酒;米酒;果酒;白酒;威士忌;葡萄酒;酒精饮料（啤酒除外）;烧酒;开胃酒</t>
  </si>
  <si>
    <t>贵州聚悦浆酒业有限公司</t>
  </si>
  <si>
    <t>聚悦朝堂</t>
  </si>
  <si>
    <t>米酒;酒精饮料原汁;葡萄酒;清酒（日本米酒）;伏特加酒;鸡尾酒;烈酒（饮料）;酒精饮料（啤酒除外）;白酒;威士忌</t>
  </si>
  <si>
    <t>丰收凤</t>
  </si>
  <si>
    <t>⽩⼲酒（中国⽩酒）;果酒;⽩酒;⻩酒;汽酒;佐餐酒;⽶酒;含酒精的饮料（啤酒除外）;烧酒;葡萄酒</t>
  </si>
  <si>
    <t>CHATEAU KUGEL</t>
  </si>
  <si>
    <t>米酒;预先混合的酒精饮料（以啤酒为主的除外）;除啤酒外的酒精饮料;白葡萄酒;红葡萄酒;白兰地;威士忌;清酒;调制好的葡萄酒鸡尾酒;葡萄酒</t>
  </si>
  <si>
    <t>付恩碧</t>
  </si>
  <si>
    <t>林业丰圣</t>
  </si>
  <si>
    <t>鸡尾酒;烈酒（饮料）;汽酒;果酒（含酒精）;烧酒;含⽔果酒精饮料;⽶酒;⽩酒;开胃酒;葡萄酒</t>
  </si>
  <si>
    <t>涵雁</t>
  </si>
  <si>
    <t>酒精饮料（啤酒除外）;果酒（含酒精）;烈酒（饮料）;⽶酒;开胃酒;酸酒（低等葡萄酒）;烧酒;⽩酒;鸡尾酒;葡萄酒</t>
  </si>
  <si>
    <t>南京九素农业发展有限公司</t>
  </si>
  <si>
    <t>耕图</t>
  </si>
  <si>
    <t>酒精饮料（啤酒除外）;葡萄酒;⽶酒;⾷⽤酒精;果酒（含酒精）;酒精饮料浓缩汁;⽩兰地;⽩酒;清酒（⽇本⽶酒）;威⼠忌</t>
  </si>
  <si>
    <t>汉古京</t>
  </si>
  <si>
    <t>⽶酒;果酒;烈酒（饮料）;威⼠忌;葡萄酒;⽩酒;⻩酒;⽩兰地;烧酒;清酒（⽇本⽶酒）</t>
  </si>
  <si>
    <t>北京钓标食品供应链管理有限公司</t>
  </si>
  <si>
    <t>华图</t>
  </si>
  <si>
    <t>⽶酒;烧酒;⻩酒;⽩酒;果酒;⾼粱酒;葡萄酒;露酒;清酒;⻘稞酒</t>
  </si>
  <si>
    <t>孟海雁</t>
  </si>
  <si>
    <t>贵喾</t>
  </si>
  <si>
    <t>葡萄酒;⽩酒;⽩⼲酒（中国⽩酒）;果酒（含酒精）;清酒;⻩酒;甜果酒;酒精饮料（啤酒除外）;烧酒;烈酒（饮料）</t>
  </si>
  <si>
    <t>广州市思酒人国际贸易有限公司</t>
  </si>
  <si>
    <t>塔尔萨之王</t>
  </si>
  <si>
    <t>⽩⼲酒（中国⽩酒）;葡萄酒;⽩酒;⽩葡萄酒;烈酒（饮料）;酒精饮料原汁;⽩兰地;鸡尾酒;果酒（含酒精）;烈酒</t>
  </si>
  <si>
    <t>刘玉波</t>
  </si>
  <si>
    <t>僰王故里</t>
  </si>
  <si>
    <t>果酒（含酒精）;含⽔果酒精饮料;⽩酒;蜂蜜酒;甜酒;⽶酒;开胃酒;烧酒;葡萄酒;⾼粱酒</t>
  </si>
  <si>
    <t>赵炜文</t>
  </si>
  <si>
    <t>盐梅山</t>
  </si>
  <si>
    <t>以葡萄酒为主的饮料;⽩⼲酒（中国⽩酒）;开胃酒;烧酒;果酒;⽩酒;⻘稞酒;含⽔果酒精饮料;苹果酒;红葡萄酒</t>
  </si>
  <si>
    <t>江苏华苏驰控股有限责任公司</t>
  </si>
  <si>
    <t>华苏驰</t>
  </si>
  <si>
    <t>果酒（含酒精）;⽩兰地;烈酒（饮料）;薄荷酒;葡萄酒;清酒（⽇本⽶酒）;利⼝酒;酒精饮料原汁;含⽔果酒精饮料;⽩酒</t>
  </si>
  <si>
    <t>醉僰醉</t>
  </si>
  <si>
    <t>含⽔果酒精饮料;烧酒;果酒（含酒精）;⽶酒;⽩酒;甜酒;⾼粱酒;开胃酒;葡萄酒;蜂蜜酒</t>
  </si>
  <si>
    <t>河北雄安芮盛科技有限公司</t>
  </si>
  <si>
    <t>拓跋帝</t>
  </si>
  <si>
    <t>果酒（含酒精）;鸡尾酒;⽩酒;烧酒;⻘稞酒;酒精饮料原汁;伏特加酒;烈酒（饮料）;酒精饮料（啤酒除外）;葡萄酒</t>
  </si>
  <si>
    <t>贵州酱圣人酒业有限公司</t>
  </si>
  <si>
    <t>金槽</t>
  </si>
  <si>
    <t>果酒（含酒精）;烈酒（饮料）;威⼠忌;⽶酒;葡萄酒;⾕物制蒸馏酒精饮料;烧酒;⽩酒;⻩酒;酒精饮料（啤酒除外）</t>
  </si>
  <si>
    <t>张璐颖</t>
  </si>
  <si>
    <t>重行</t>
  </si>
  <si>
    <t>⽩酒;⾼粱酒;含酒精的饮料（啤酒除外）;⽼酒（中国蒸馏烈酒）;烧酒（烈酒）;⽩⼲酒（中国⽩酒）;已调味的蒸馏酒;果酒;由⾕物蒸馏的⽩酒;葡萄酒</t>
  </si>
  <si>
    <t>青岛负负得正贸易有限公司</t>
  </si>
  <si>
    <t>壶山行</t>
  </si>
  <si>
    <t>鸡尾酒;⽩⼲酒（中国⽩酒）;⽩酒;蒸馏饮料;烧酒;清酒（⽇本⽶酒）;酒精饮料（啤酒除外）;果酒（含酒精）;⽶酒;⾕物制蒸馏酒精饮料</t>
  </si>
  <si>
    <t>福建益涵海山盛宴酒店有限责任公司</t>
  </si>
  <si>
    <t>益涵</t>
  </si>
  <si>
    <t>⽼酒（中国蒸馏烈酒）;⽩酒;烧酒;⽶酒;含酒精的饮料（啤酒除外）;佐餐酒;烈酒（饮料）;果酒;⻩酒;葡萄酒</t>
  </si>
  <si>
    <t>建德市娇岱服饰经营部(个体工商户)</t>
  </si>
  <si>
    <t>冬皓酩</t>
  </si>
  <si>
    <t>酒精饮料（啤酒除外）;果酒（含酒精）;威⼠忌;葡萄酒;⽩酒;⽶酒;预先混合的酒精饮料（以啤酒为主的除外）;鸡尾酒;⻩酒;⽩兰地</t>
  </si>
  <si>
    <t>佛山市陈德记食品有限公司</t>
  </si>
  <si>
    <t>陈德记</t>
  </si>
  <si>
    <t>⽩酒;蒸馏⽶酒（泡盛酒）;含⽔果酒精饮料;果酒（含酒精）;⽶酒;⾷⽤酒精;烧酒;酒精饮料（啤酒除外）;⻩酒;葡萄酒</t>
  </si>
  <si>
    <t>付传琼</t>
  </si>
  <si>
    <t>阔达仙女堡</t>
  </si>
  <si>
    <t>酒精饮料原汁;⽩酒;威⼠忌;清酒（⽇本⽶酒）;酒精饮料浓缩汁;蜂蜜酒;⽶酒;苦味酒;含⽔果酒精饮料;⻩酒</t>
  </si>
  <si>
    <t>贵州百秩酒业有限公司</t>
  </si>
  <si>
    <t>金氏福</t>
  </si>
  <si>
    <t>利⼝酒;⽩⼲酒（中国⽩酒）;烧酒（烈酒）;⽩酒;⾷⽤酒精;鸡尾酒;烈酒;⽶酒;⽼酒（中国蒸馏烈酒）;⾼粱酒</t>
  </si>
  <si>
    <t>张卫卫</t>
  </si>
  <si>
    <t>BNJY</t>
  </si>
  <si>
    <t>葡萄酒;露酒;⽩酒;果酒（含酒精）;⻩酒;⽩兰地;威⼠忌;烧酒;鸡尾酒</t>
  </si>
  <si>
    <t>虚实渲染（上海）生物科技有限公司</t>
  </si>
  <si>
    <t>阿娃塔</t>
  </si>
  <si>
    <t>⽶酒;酒精饮料（啤酒除外）;薄荷酒;果酒（含酒精）;⽔果汽酒;⻘稞酒;蒸馏饮料;葡萄酒;⾷⽤酒精;鸡尾酒</t>
  </si>
  <si>
    <t>赢养鹿</t>
  </si>
  <si>
    <t>开胃酒;果酒;⽩酒;葡萄酒;汽酒;⾷⽤酒精;⻩酒;甜酒;⽶酒;清酒</t>
  </si>
  <si>
    <t>成都市罗沟生态农业发展有限公司</t>
  </si>
  <si>
    <t>雪岭西梅峰</t>
  </si>
  <si>
    <t>蒸馏饮料;果酒（含酒精）;⻘稞酒;酒精饮料（啤酒除外）;烈酒;⽶酒;葡萄酒;⻩酒;⽩酒;烧酒</t>
  </si>
  <si>
    <t>半夜汽笛</t>
  </si>
  <si>
    <t>⽩酒;利⼝酒;烈酒（饮料）;酒精饮料（啤酒除外）;汽酒;果酒（含酒精）;烧酒;鸡尾酒;⾕物制蒸馏酒精饮料;预先混合的酒精饮料（以啤酒为主的除外）</t>
  </si>
  <si>
    <t>山东胜日精酿啤酒有限公司</t>
  </si>
  <si>
    <t>乐高峰</t>
  </si>
  <si>
    <t>烧酒;甜酒;果酒（含酒精）;清酒（⽇本⽶酒）;⾼粱酒;⽩⼲酒（中国⽩酒）;⻩酒;⽩酒;⽼酒（中国蒸馏烈酒）;⽶酒</t>
  </si>
  <si>
    <t>广州越顺东新文化产业投资有限公司</t>
  </si>
  <si>
    <t>越顺东新</t>
  </si>
  <si>
    <t>酒精饮料（啤酒除外）;含⽔果酒精饮料;⽶酒;⽩兰地;葡萄酒;⽩酒;蒸馏饮料;威⼠忌</t>
  </si>
  <si>
    <t>河南广播电视台</t>
  </si>
  <si>
    <t>成语英雄</t>
  </si>
  <si>
    <t>⾷⽤酒精;⽩酒;⻘稞酒;⻩酒;薄荷酒;葡萄酒;酒精饮料（啤酒除外）;开胃酒;蜂蜜酒;苹果酒</t>
  </si>
  <si>
    <t>青酒龙</t>
  </si>
  <si>
    <t>⽩酒;果酒;葡萄酒;已调味的蒸馏酒;烧酒;⾼粱酒;⽶酒;鸡尾酒;⻩酒;烈酒</t>
  </si>
  <si>
    <t>晋江朱周茶业有限公司</t>
  </si>
  <si>
    <t>胜钰岩</t>
  </si>
  <si>
    <t>开胃酒;烧酒;葡萄酒;⽩酒;⻩酒;⽶酒;蒸馏饮料;含酒精的⽔果鸡尾酒饮料;果酒（含酒精）;蜂蜜酒</t>
  </si>
  <si>
    <t>深圳起南文氏科技有限公司</t>
  </si>
  <si>
    <t>味牙仕</t>
  </si>
  <si>
    <t>⾕物制蒸馏酒精饮料;⽩酒;红葡萄酒;果酒;烧酒;蒸馏饮料;⻘稞酒;⾷⽤酒精;⻩酒;餐后酒（利⼝酒和烈酒）</t>
  </si>
  <si>
    <t>庐山市庐泉建筑劳务有限公司</t>
  </si>
  <si>
    <t>庐山杏林源</t>
  </si>
  <si>
    <t>⾷⽤酒精;果酒（含酒精）;清酒（⽇本⽶酒）;⽶酒;开胃酒;利⼝酒;葡萄酒;⽩酒;⻩酒;烧酒</t>
  </si>
  <si>
    <t>厚策</t>
  </si>
  <si>
    <t>⽩兰地;果酒;果酒（含酒精）;葡萄酒;⽩酒;⽶酒;蒸馏饮料;鸡尾酒;烧酒;烈酒（饮料）</t>
  </si>
  <si>
    <t>听安</t>
  </si>
  <si>
    <t>酒精饮料（啤酒除外）;葡萄酒;⽶酒;烈酒（饮料）;烧酒;鸡尾酒;果酒（含酒精）;酸酒（低等葡萄酒）;开胃酒;⽩酒</t>
  </si>
  <si>
    <t>宿迁市臻酿酒业有限公司</t>
  </si>
  <si>
    <t>绵牧</t>
  </si>
  <si>
    <t>烧酒;米酒;葡萄酒;果酒（含酒精）;黄酒;白干酒（中国白酒）;白酒;含水果酒精饮料;开胃酒;清酒（日本米酒）</t>
  </si>
  <si>
    <t>岑寂</t>
  </si>
  <si>
    <t>葡萄酒;鸡尾酒;开胃酒;烧酒;烈酒（饮料）;果酒（含酒精）;⽩酒;酸酒（低等葡萄酒）;⽶酒;酒精饮料（啤酒除外）</t>
  </si>
  <si>
    <t>奥韦克</t>
  </si>
  <si>
    <t>葡萄酒;调制好的葡萄酒鸡尾酒;红葡萄酒;⽶酒;清酒;⽩葡萄酒;⽩兰地;威⼠忌;预先混合的酒精饮料（以啤酒为主的除外）;除啤酒外的酒精饮料</t>
  </si>
  <si>
    <t>澜沭文化发展(北京)有限公司</t>
  </si>
  <si>
    <t>澜沭瑶台</t>
  </si>
  <si>
    <t>⽩酒;⾷⽤酒精;威⼠忌;果酒（含酒精）;酒精饮料（啤酒除外）;朗姆酒;烈酒（饮料）;⻩酒;以葡萄酒为主的饮料;⽩兰地</t>
  </si>
  <si>
    <t>上海京者餐饮管理有限公司</t>
  </si>
  <si>
    <t>蒸煮提取物（利⼝酒和烈酒）;⽶酒;预先混合的酒精饮料（以啤酒为主的除外）;⽩酒;蒸馏饮料;含⽔果酒精饮料;烧酒;葡萄酒;⻩酒;果酒（含酒精）</t>
  </si>
  <si>
    <t>晨景（河北）信息科技有限公司</t>
  </si>
  <si>
    <t>景囊妙剂</t>
  </si>
  <si>
    <t>酒精饮料（啤酒除外）;果酒;葡萄酒;⽩酒;⻩酒;露酒;威⼠忌;蒸煮提取物（利⼝酒和烈酒）;清酒（⽇本⽶酒）;⽶酒</t>
  </si>
  <si>
    <t>扶摇上清云</t>
  </si>
  <si>
    <t>⽩酒;开胃酒;葡萄酒;烈酒;含⽔果酒精饮料;⻩酒;果酒（含酒精）;⽶酒;烧酒;酒精饮料（啤酒除外）</t>
  </si>
  <si>
    <t>曹红宪132401********2019</t>
  </si>
  <si>
    <t>毕古潭</t>
  </si>
  <si>
    <t>汽酒;烧酒;含⽔果酒精饮料;甜酒;⽩酒;葡萄酒;果酒（含酒精）;⽶酒;⻘稞酒;⻩酒</t>
  </si>
  <si>
    <t>布里森</t>
  </si>
  <si>
    <t>葡萄酒;预先混合的酒精饮料（以啤酒为主的除外）;调制好的葡萄酒鸡尾酒;威⼠忌;⽶酒;⽩葡萄酒;红葡萄酒;清酒;⽩兰地;除啤酒外的酒精饮料</t>
  </si>
  <si>
    <t>王芹522130********7225</t>
  </si>
  <si>
    <t>坤荟智选</t>
  </si>
  <si>
    <t>开胃酒;⽼酒（中国蒸馏烈酒）;葡萄酒;⽶酒;鸡尾酒;⾼粱酒;果酒;⽩酒;酒精饮料（啤酒除外）;烈酒</t>
  </si>
  <si>
    <t>览花颜</t>
  </si>
  <si>
    <t>葡萄酒;清酒;蒸馏饮料;⻩酒;烈酒;利⼝酒;果酒;⽶酒;鸡尾酒;⽩酒</t>
  </si>
  <si>
    <t>吴祥品</t>
  </si>
  <si>
    <t>利妙天盛</t>
  </si>
  <si>
    <t>⽶酒;酒精饮料（啤酒除外）;⾼粱酒;葡萄酒;杨梅酒;⽼酒（中国蒸馏烈酒）;果酒（含酒精）;⽩酒;烈酒;烧酒</t>
  </si>
  <si>
    <t>相门骄子</t>
  </si>
  <si>
    <t>果酒（含酒精）;烧酒;⽶酒;⽩兰地;葡萄酒;开胃酒;⽩酒;酒精饮料（啤酒除外）;清酒（⽇本⽶酒）;鸡尾酒</t>
  </si>
  <si>
    <t>阳泉恒源瑞丰餐饮管理有限公司</t>
  </si>
  <si>
    <t>恒源瑞丰</t>
  </si>
  <si>
    <t>桃红葡萄酒;含酒精的饮料（啤酒除外）;甜果酒;杨梅酒;烧酒;樱桃⽩兰地;⻘梅酒;黑覆盆⼦酒;⼲型苹果酒;草莓酒</t>
  </si>
  <si>
    <t>陈俊林</t>
  </si>
  <si>
    <t>融畅</t>
  </si>
  <si>
    <t>⽩酒;葡萄酒;⽩兰地;果酒（含酒精）;烈酒（饮料）;露酒;烧酒;开胃酒;⻩酒;⽶酒</t>
  </si>
  <si>
    <t>楚大侠</t>
  </si>
  <si>
    <t>果酒;蒸馏饮料;烧酒;烈酒（饮料）;葡萄酒;果酒（含酒精）;白兰地;米酒;鸡尾酒;白酒</t>
  </si>
  <si>
    <t>千尊尧</t>
  </si>
  <si>
    <t>⽩酒;烈酒（饮料）;酒精饮料（啤酒除外）;果酒（含酒精）;鸡尾酒;酒精饮料原汁;⻘稞酒;伏特加酒;葡萄酒;烧酒</t>
  </si>
  <si>
    <t>醇朋</t>
  </si>
  <si>
    <t>⻩酒;清酒（⽇本⽶酒）;鸡尾酒;葡萄酒;酒精饮料（啤酒除外）;威⼠忌;果酒（含酒精）;⽩酒;烈酒;开胃酒</t>
  </si>
  <si>
    <t>广西星瀚酒业有限公司</t>
  </si>
  <si>
    <t>忠佑</t>
  </si>
  <si>
    <t>酒精饮料原汁;含⽔果酒精饮料;⽢蔗制酒精饮料;果酒（含酒精）;⽩酒;⻩酒;葡萄酒;蜂蜜酒;⽶酒;⾕物制蒸馏酒精饮料</t>
  </si>
  <si>
    <t>李国富</t>
  </si>
  <si>
    <t>奥君侯</t>
  </si>
  <si>
    <t>威⼠忌;烈酒;伏特加酒;葡萄酒;开胃酒;果酒;⽶酒;⽩酒;⽩兰地;酒精饮料（啤酒除外）</t>
  </si>
  <si>
    <t>贵州大侠梦酒业有限公司</t>
  </si>
  <si>
    <t>大侠梦</t>
  </si>
  <si>
    <t>葡萄酒;鸡尾酒;白酒;烈酒;果酒;黄酒;含酒精的饮料（啤酒除外）;米酒;烧酒;含水果酒精饮料</t>
  </si>
  <si>
    <t>统池</t>
  </si>
  <si>
    <t>葡萄酒;烈酒（饮料）;果酒（含酒精）;白酒;烧酒;米酒;果酒;鸡尾酒;白兰地;蒸馏饮料</t>
  </si>
  <si>
    <t>四川省锦疆酒业有限公司</t>
  </si>
  <si>
    <t>J 锦疆</t>
  </si>
  <si>
    <t>蒸馏饮料;⻩酒;⽩酒;伏特加酒;⾷⽤酒精;果酒（含酒精）;葡萄酒;蜂蜜酒;⻘稞酒;以葡萄酒为主的饮料</t>
  </si>
  <si>
    <t>谭云冬</t>
  </si>
  <si>
    <t>鑫金盾</t>
  </si>
  <si>
    <t>⻘稞酒;威⼠忌;烧酒;薄荷酒;果酒（含酒精）;茴芹酒（利⼝酒）;酒精饮料原汁;苦味酒;⻩酒;⽩酒</t>
  </si>
  <si>
    <t>尧酒千钟</t>
  </si>
  <si>
    <t>果酒（含酒精）;烧酒;酒精饮料（啤酒除外）;鸡尾酒;酒精饮料原汁;⽩酒;⻘稞酒;烈酒（饮料）;葡萄酒;伏特加酒</t>
  </si>
  <si>
    <t>WASBULL</t>
  </si>
  <si>
    <t>⽩酒;⽶酒;果酒（含酒精）;葡萄酒;⻩酒;烈酒（饮料）;⾕物制蒸馏酒精饮料;烧酒;含⽔果酒精饮料;利⼝酒</t>
  </si>
  <si>
    <t>徐晓倩</t>
  </si>
  <si>
    <t>林二个</t>
  </si>
  <si>
    <t>白酒;蒸馏饮料;鸡尾酒;烈酒（饮料）;酒精饮料（啤酒除外）;米酒;果酒（含酒精）;黄酒;烧酒;葡萄酒</t>
  </si>
  <si>
    <t>东方启元（北京）酒业有限公司</t>
  </si>
  <si>
    <t>竖心</t>
  </si>
  <si>
    <t>⻩酒;果酒（含酒精）;葡萄酒;⽩酒;烧酒;酒精饮料（啤酒除外）;⽶酒;开胃酒;⽩兰地;蒸煮提取物（利⼝酒和烈酒）</t>
  </si>
  <si>
    <t>广州诺瑞斯贸易有限公司</t>
  </si>
  <si>
    <t>NORRATH</t>
  </si>
  <si>
    <t>果酒;红葡萄酒;果酒（含酒精）;⻩酒;⽶酒;⽩酒;含酒精的饮料（啤酒除外）;⽩⼲酒（中国⽩酒）;鸡尾酒;葡萄酒</t>
  </si>
  <si>
    <t>山东国井食品科技有限公司</t>
  </si>
  <si>
    <t>美串</t>
  </si>
  <si>
    <t>⽩兰地;⻩酒;烧酒;鸡尾酒;烧酒（烈酒）;清酒（⽇本⽶酒）;⽼酒（中国蒸馏烈酒）;⽩酒;烈酒;葡萄酒</t>
  </si>
  <si>
    <t>海口康道誉企业管理有限公司</t>
  </si>
  <si>
    <t>德顺泰</t>
  </si>
  <si>
    <t>蜂蜜酒;杜松⼦酒;果酒（含酒精）;苹果酒;樱桃酒;⻩酒;薄荷酒;柑⾹酒;葡萄酒;⽢蔗制酒精饮料</t>
  </si>
  <si>
    <t>宜宾新青年电子商务有限公司</t>
  </si>
  <si>
    <t>河坝头</t>
  </si>
  <si>
    <t>苹果酒;果酒（含酒精）;威⼠忌;⽶酒;烈酒（饮料）;葡萄酒;酒精饮料（啤酒除外）;鸡尾酒;伏特加酒;⽩酒</t>
  </si>
  <si>
    <t>小黑瓶（北京）酒业有限公司</t>
  </si>
  <si>
    <t>天赋京派</t>
  </si>
  <si>
    <t>⽶酒;清酒;⾼粱酒;⽩酒;⻩酒;威⼠忌;红葡萄酒;烈酒;佐餐酒;伏特加酒</t>
  </si>
  <si>
    <t>高炳阳</t>
  </si>
  <si>
    <t>创思维</t>
  </si>
  <si>
    <t>酒精饮料（啤酒除外）;⻩酒;清酒（⽇本⽶酒）;⽶酒;⾕物制蒸馏酒精饮料;威⼠忌;葡萄酒;果酒（含酒精）;烧酒;⽩酒</t>
  </si>
  <si>
    <t>郑娜娟</t>
  </si>
  <si>
    <t>且惜</t>
  </si>
  <si>
    <t>葡萄酒;酒精饮料（啤酒除外）;烧酒;⽶酒;⽩酒;果酒（含酒精）;⽩兰地;威⼠忌;⾷⽤酒精;⻩酒</t>
  </si>
  <si>
    <t>连云港港火贸易有限公司</t>
  </si>
  <si>
    <t>旻真</t>
  </si>
  <si>
    <t>⻩酒;⽩酒;⽩兰地;含酒精的⽓泡⽔;葡萄酒;薄荷酒;鸡尾酒;⾕物制蒸馏酒精饮料;果酒（含酒精）;⽶酒</t>
  </si>
  <si>
    <t>怀来欧奕庄园葡萄酒有限公司</t>
  </si>
  <si>
    <t>⽩⼲酒（中国⽩酒）;果酒（含酒精）;⽩酒;酒精饮料（啤酒除外）;葡萄酒;⻩酒;以葡萄酒为主的饮料;⽶酒;鸡尾酒;红葡萄酒</t>
  </si>
  <si>
    <t>安徽道多酒业有限公司</t>
  </si>
  <si>
    <t>金六崃关</t>
  </si>
  <si>
    <t>⽩兰地;威⼠忌;酒精饮料原汁;⽩酒;烈酒（饮料）;⻩酒;葡萄酒;果酒（含酒精）;酸酒（低等葡萄酒）;清酒</t>
  </si>
  <si>
    <t>华君流霞</t>
  </si>
  <si>
    <t>果酒（含酒精）;蜂蜜酒;梨酒;开胃酒;⽩酒;葡萄酒;烧酒;梅酒;烈酒（饮料）;⽶酒</t>
  </si>
  <si>
    <t>遇春花</t>
  </si>
  <si>
    <t>预先混合的酒精饮料（以啤酒为主的除外）;⽩酒;开胃酒;葡萄酒;威⼠忌;烧酒;果酒;酒精饮料（啤酒除外）;烈酒;⽶酒</t>
  </si>
  <si>
    <t>许广涵</t>
  </si>
  <si>
    <t>依如</t>
  </si>
  <si>
    <t>威⼠忌;⽶酒;汽酒;⽩酒;果酒（含酒精）;烧酒;葡萄酒;⻩酒;⾕物制蒸馏酒精饮料</t>
  </si>
  <si>
    <t>华君小格格</t>
  </si>
  <si>
    <t>烧酒;⽩酒;果酒（含酒精）;梨酒;梅酒;蜂蜜酒;⽶酒;葡萄酒;烈酒（饮料）;开胃酒</t>
  </si>
  <si>
    <t>温州江心食品有限公司</t>
  </si>
  <si>
    <t>诗之岛</t>
  </si>
  <si>
    <t>⽩酒;利⼝酒;⽶酒;酒精饮料（啤酒除外）;烧酒;⽩兰地;⻩酒;酒精饮料原汁;葡萄酒;果酒（含酒精）</t>
  </si>
  <si>
    <t>张强</t>
  </si>
  <si>
    <t>汉观南</t>
  </si>
  <si>
    <t>清酒（⽇本⽶酒）;果酒（含酒精）;⽩酒;梅酒;酒精饮料（啤酒除外）;⽶酒;烈酒（饮料）;⻩酒;开胃酒;⾼粱酒</t>
  </si>
  <si>
    <t>延安荞之坊农产品科技有限公司</t>
  </si>
  <si>
    <t>荞花瓷</t>
  </si>
  <si>
    <t>酒精饮料（啤酒除外）;蒸馏饮料;葡萄酒;⽩酒;⻘稞酒;⽇本梅⼦酒;苦荞酒;果酒;⻩酒;⽶酒</t>
  </si>
  <si>
    <t>龙腾裕昌</t>
  </si>
  <si>
    <t>葡萄酒;汽酒;果酒（含酒精）;开胃酒;威⼠忌;餐后酒（利⼝酒和烈酒）;含⽔果酒精饮料;⽩酒;⽩兰地;酒精饮料（啤酒除外）</t>
  </si>
  <si>
    <t>梁涵涛</t>
  </si>
  <si>
    <t>沝㵘</t>
  </si>
  <si>
    <t>果酒（含酒精）;烈酒（饮料）;汽酒;清酒（⽇本⽶酒）;⽶酒;酒精饮料（啤酒除外）;⽩酒;烧酒;⻩酒;⽩兰地</t>
  </si>
  <si>
    <t>周歌</t>
  </si>
  <si>
    <t>烈酒（饮料）;葡萄酒;酸酒（低等葡萄酒）;酒精饮料（啤酒除外）;⽶酒;鸡尾酒;开胃酒;烧酒;⽩酒;果酒（含酒精）</t>
  </si>
  <si>
    <t>辈重</t>
  </si>
  <si>
    <t>果酒（含酒精）;⾕物制蒸馏酒精饮料;⻩酒;葡萄酒;汽酒;烧酒;威⼠忌;⽶酒;⽩酒</t>
  </si>
  <si>
    <t>富县胡家坡稻花香旅游服务有限责任公司</t>
  </si>
  <si>
    <t>鄜香直罗</t>
  </si>
  <si>
    <t>⽶酒;⽩酒;⾷⽤酒精;含⽔果酒精饮料;汽酒;⻩酒;烈酒;果酒（含酒精）;葡萄酒;酒精饮料（啤酒除外）</t>
  </si>
  <si>
    <t>江西大成国有资产经营管理集团有限公司</t>
  </si>
  <si>
    <t>赣农发</t>
  </si>
  <si>
    <t>烧酒;酒精饮料（啤酒除外）;⽩酒;⻩酒;烈酒;威⼠忌;⽩兰地;鸡尾酒;伏特加酒;葡萄酒</t>
  </si>
  <si>
    <t>杭州沸点文化科技有限公司</t>
  </si>
  <si>
    <t>乡妹朱朱</t>
  </si>
  <si>
    <t>⽩⼲酒（中国⽩酒）;梨酒;葡萄酒;⽩酒;蜂蜜酒;烧酒;⻩酒;⽩兰地;⽶酒;果酒（含酒精）</t>
  </si>
  <si>
    <t>陕西轩纳川能源科技有限公司</t>
  </si>
  <si>
    <t>轩纳川</t>
  </si>
  <si>
    <t>⾕物制蒸馏酒精饮料;烧酒;⽶酒;甜果酒;果酒（含酒精）;鸡尾酒;蜂蜜酒;葡萄酒;酒精饮料（啤酒除外）;开胃酒</t>
  </si>
  <si>
    <t>清古京</t>
  </si>
  <si>
    <t>⽶酒;烈酒（饮料）;威⼠忌;⽩酒;⽩兰地;葡萄酒;清酒（⽇本⽶酒）;⻩酒;果酒;烧酒</t>
  </si>
  <si>
    <t>张美丽</t>
  </si>
  <si>
    <t>皮豆先生</t>
  </si>
  <si>
    <t>梨酒;威⼠忌;烈酒（饮料）;⽶酒;⽩酒;果酒（含酒精）;葡萄酒;烧酒;开胃酒;⻩酒</t>
  </si>
  <si>
    <t>南京中仁科健康产业发展中心（有限合伙）</t>
  </si>
  <si>
    <t>鹤橘汀</t>
  </si>
  <si>
    <t>酒精饮料（啤酒除外）;烧酒;⻩酒;烈酒;葡萄酒;⽩酒;清酒;⻘稞酒;开胃酒;⽶酒</t>
  </si>
  <si>
    <t>余九根</t>
  </si>
  <si>
    <t>吉缘优</t>
  </si>
  <si>
    <t>果酒（含酒精）;清酒（⽇本⽶酒）;威⼠忌;酒精饮料原汁;酒精饮料（啤酒除外）;烈酒（饮料）;⻘稞酒;鸡尾酒;⽩酒;⽶酒</t>
  </si>
  <si>
    <t>四坊鸿醇</t>
  </si>
  <si>
    <t>⽩酒;杜松⼦酒;开胃酒;利⼝酒;酒精饮料（啤酒除外）;烈酒（饮料）;樱桃酒;威⼠忌;苹果酒;⽩兰地</t>
  </si>
  <si>
    <t>山西乾元鸿道商贸有限公司</t>
  </si>
  <si>
    <t>中极顶</t>
  </si>
  <si>
    <t>含酒精的饮料（啤酒除外）;烈酒;烧酒;⽩酒;已调味的⻨芽酿制的酒精饮料（啤酒除外）;露酒;清酒;⻩酒;果酒;葡萄酒</t>
  </si>
  <si>
    <t>行掌（广东）数据科技有限公司</t>
  </si>
  <si>
    <t>行掌数科</t>
  </si>
  <si>
    <t>威⼠忌;果酒（含酒精）;鸡尾酒;⽩兰地;⻩酒;烧酒;烈酒（饮料）;开胃酒;葡萄酒;⽶酒</t>
  </si>
  <si>
    <t>江西森美生态园有限公司</t>
  </si>
  <si>
    <t>森美百宝园</t>
  </si>
  <si>
    <t>利⼝酒;清酒（⽇本⽶酒）;葡萄酒;果酒（含酒精）;⽩酒;⻩酒</t>
  </si>
  <si>
    <t>北京鲸鱼产业发展咨询有限公司</t>
  </si>
  <si>
    <t>天官酒正</t>
  </si>
  <si>
    <t>伏特加酒;清酒（⽇本⽶酒）;利⼝酒;⽩兰地;威⼠忌;⽩酒;烧酒;果酒（含酒精）;苹果酒;葡萄酒</t>
  </si>
  <si>
    <t>河南醉满源酒业有限公司</t>
  </si>
  <si>
    <t>清园梦华</t>
  </si>
  <si>
    <t>⽶酒;清酒;⽩酒;烧酒;利⼝酒;蒸馏饮料;含酒精的饮料（啤酒除外）;⻩酒;果酒;葡萄酒</t>
  </si>
  <si>
    <t>成都绿舟文化旅游投资管理有限公司</t>
  </si>
  <si>
    <t>蹦巴</t>
  </si>
  <si>
    <t>葡萄酒;含⽔果酒精饮料;⻘稞酒;⻩酒;烧酒;⽩酒;酒精饮料原汁;汽酒;苹果酒;以葡萄酒为主的饮料</t>
  </si>
  <si>
    <t>商古京</t>
  </si>
  <si>
    <t>⽩酒;威⼠忌;烧酒;⽶酒;烈酒（饮料）;⻩酒;葡萄酒;清酒（⽇本⽶酒）;果酒;⽩兰地</t>
  </si>
  <si>
    <t>海口龙华炽承科技商行（个体工商户）</t>
  </si>
  <si>
    <t>炽承</t>
  </si>
  <si>
    <t>威⼠忌;葡萄酒;⾷⽤酒精;⾕物制蒸馏酒精饮料;⽩酒;⽶酒;烈酒（饮料）;⻩酒;烧酒;含酒精的鸡尾酒混合饮品</t>
  </si>
  <si>
    <t>刘利兵</t>
  </si>
  <si>
    <t>留宝窑</t>
  </si>
  <si>
    <t>⽩酒;⽶酒;清酒（⽇本⽶酒）;烈酒（饮料）;葡萄酒;⻩酒;烧酒;果酒（含酒精）;鸡尾酒;酒精饮料（啤酒除外）</t>
  </si>
  <si>
    <t>闫爱娟</t>
  </si>
  <si>
    <t>标挚</t>
  </si>
  <si>
    <t>果酒（含酒精）;⽶酒;烈酒;⽩⼲酒（中国⽩酒）;⽩酒;⻩酒;开胃酒;烧酒;⾼粱酒;苦荞酒</t>
  </si>
  <si>
    <t>夏古京</t>
  </si>
  <si>
    <t>烧酒;⻩酒;⽶酒;⽩兰地;葡萄酒;威⼠忌;清酒（⽇本⽶酒）;⽩酒;果酒;烈酒（饮料）</t>
  </si>
  <si>
    <t>周古京</t>
  </si>
  <si>
    <t>⽶酒;⻩酒;⽩酒;烧酒;威⼠忌;果酒;烈酒（饮料）;葡萄酒;⽩兰地;清酒（⽇本⽶酒）</t>
  </si>
  <si>
    <t>贵州荣和黔樽酒业有限公司</t>
  </si>
  <si>
    <t>刺猪洞</t>
  </si>
  <si>
    <t>开胃酒;烈酒（饮料）;酒精饮料原汁;⾷⽤酒精;⻩酒;⽶酒;⽩酒;酒精饮料（啤酒除外）;烧酒;利⼝酒</t>
  </si>
  <si>
    <t>贺士博622201********3316</t>
  </si>
  <si>
    <t>贺向阳</t>
  </si>
  <si>
    <t>开胃酒;烈酒（饮料）;葡萄酒;烧酒;⻘稞酒;⽩酒;果酒（含酒精）;利⼝酒;⽶酒;⻩酒</t>
  </si>
  <si>
    <t>庆侯宴</t>
  </si>
  <si>
    <t>⽼酒（中国蒸馏烈酒）;果酒;开胃酒;⽩酒;烈酒;葡萄酒;汽酒;⾼粱酒;利⼝酒;由⾕物蒸馏的⽩酒</t>
  </si>
  <si>
    <t>皇庭鹿</t>
  </si>
  <si>
    <t>酒精饮料（啤酒除外）;蜂蜜酒;⾷⽤酒精;⽶酒;⽩兰地;烧酒;葡萄酒;⽩酒;鸡尾酒;威⼠忌</t>
  </si>
  <si>
    <t>牛阳光</t>
  </si>
  <si>
    <t>⾷⽤酒精;红葡萄酒;⽶酒;烧酒;⽩⼲酒（中国⽩酒）;⽩酒;果酒;⽼酒（中国蒸馏烈酒）;烈酒（饮料）;⻩酒</t>
  </si>
  <si>
    <t>四坊鸿酿</t>
  </si>
  <si>
    <t>蜂蜜酒;⽩酒;葡萄酒;果酒（含酒精）;烧酒;含⽔果酒精饮料;⽶酒;⻩酒;⽩兰地;鸡尾酒</t>
  </si>
  <si>
    <t>晋古京</t>
  </si>
  <si>
    <t>⻩酒;清酒（⽇本⽶酒）;烧酒;⽶酒;⽩兰地;⽩酒;葡萄酒;威⼠忌;果酒;烈酒（饮料）</t>
  </si>
  <si>
    <t>健胜</t>
  </si>
  <si>
    <t>⽩酒;⽶酒;鸡尾酒;烧酒;酒精饮料（啤酒除外）;⻩酒;烈酒（饮料）;清酒（⽇本⽶酒）;葡萄酒;果酒（含酒精）</t>
  </si>
  <si>
    <t>梁鹏</t>
  </si>
  <si>
    <t>福盼嘉</t>
  </si>
  <si>
    <t>⽶酒;⽩酒;果酒;⽩兰地;⻩酒;鸡尾酒;烈酒;杨梅酒;伏特加酒;威⼠忌</t>
  </si>
  <si>
    <t>贵战古</t>
  </si>
  <si>
    <t>⻘稞酒;杨梅酒;⽩酒;烧酒（烈酒）;葡萄酒;⾼粱酒;蜂蜜酒;汽酒;⽶酒;烧酒</t>
  </si>
  <si>
    <t>龙头舞步</t>
  </si>
  <si>
    <t>⽩酒;威⼠忌;⽶酒;⾷⽤酒精;⾼粱酒;利⼝酒;⽩兰地;由⾕物蒸馏的⽩酒;烈酒;葡萄酒</t>
  </si>
  <si>
    <t>坝香</t>
  </si>
  <si>
    <t>⽩酒;葡萄酒;烈酒（饮料）;烧酒;酒精饮料原汁;鸡尾酒;果酒（含酒精）;酒精饮料（啤酒除外）;伏特加酒;⻘稞酒</t>
  </si>
  <si>
    <t>厦门叁拾而蛎海洋科技有限公司</t>
  </si>
  <si>
    <t>乐养效</t>
  </si>
  <si>
    <t>开胃酒;除啤酒外的酒精饮料;⻩酒;⽩兰地;蒸煮提取物（利⼝酒和烈酒）;烧酒;甜酒;果酒;葡萄酒;⽩酒</t>
  </si>
  <si>
    <t>刘心怡</t>
  </si>
  <si>
    <t>姚妈妈</t>
  </si>
  <si>
    <t>威⼠忌;⽩兰地;利⼝酒;⽶酒;果酒;鸡尾酒;酒精饮料浓缩汁;⽩酒;葡萄酒;酒精饮料（啤酒除外）</t>
  </si>
  <si>
    <t>仁泰健康管理集团有限公司</t>
  </si>
  <si>
    <t>秦罕泉</t>
  </si>
  <si>
    <t>⽩酒;⽩兰地;烧酒;葡萄酒;预先混合的酒精饮料（以啤酒为主的除外）;⻘稞酒;果酒（含酒精）;⻩酒;⽶酒;鸡尾酒</t>
  </si>
  <si>
    <t>黔梦吟</t>
  </si>
  <si>
    <t>⽩兰地;果酒;果酒（含酒精）;鸡尾酒;⽶酒;烧酒;蒸馏饮料;烈酒（饮料）;⽩酒;葡萄酒</t>
  </si>
  <si>
    <t>徽姬</t>
  </si>
  <si>
    <t>果酒（含酒精）;烈酒（饮料）;鸡尾酒;葡萄酒;蒸馏饮料;果酒;⽶酒;⽩酒;烧酒;⽩兰地</t>
  </si>
  <si>
    <t>北大荒集团黑龙江闫家岗农场有限公司</t>
  </si>
  <si>
    <t>闫家岗</t>
  </si>
  <si>
    <t>酒精饮料浓缩汁;⾷⽤酒精;烧酒;开胃酒;烈酒（饮料）;⽩酒;葡萄酒;汽酒;鸡尾酒;⻩酒</t>
  </si>
  <si>
    <t>鹿健壶</t>
  </si>
  <si>
    <t>蒸馏饮料;烧酒;鸡尾酒;清酒（⽇本⽶酒）;⾕物制蒸馏酒精饮料;酒精饮料（啤酒除外）;⽶酒;⽩酒;⽩⼲酒（中国⽩酒）;果酒（含酒精）</t>
  </si>
  <si>
    <t>四川成尚园餐饮管理有限公司</t>
  </si>
  <si>
    <t>半杯春</t>
  </si>
  <si>
    <t>蒸馏饮料;⽼酒（中国蒸馏烈酒）;汽酒;开胃酒;⽶酒;鸡尾酒;⽩酒;烈酒（饮料）;果酒（含酒精）;葡萄酒</t>
  </si>
  <si>
    <t>兰京强</t>
  </si>
  <si>
    <t>康盛公</t>
  </si>
  <si>
    <t>含酒精的饮料（啤酒除外）;⽶酒;威⼠忌;⽩兰地;⾷⽤酒精;葡萄酒;伏特加酒;鸡尾酒;⽩酒;烈酒</t>
  </si>
  <si>
    <t>义乌市茂满源电子商务有限公司</t>
  </si>
  <si>
    <t>一戟</t>
  </si>
  <si>
    <t>⻩酒;烧酒;⾷⽤酒精;蒸馏饮料;烈酒（饮料）;酒精饮料（啤酒除外）;⽩酒;⽶酒;葡萄酒;果酒（含酒精）</t>
  </si>
  <si>
    <t>科吕瑟实业（上海）有限公司</t>
  </si>
  <si>
    <t>出水见帆</t>
  </si>
  <si>
    <t>蒸馏饮料;葡萄酒;红葡萄酒;伏特加酒;⽩葡萄酒;威⼠忌;⽩酒;果酒（含酒精）;朗姆酒;餐后酒（利⼝酒和烈酒）</t>
  </si>
  <si>
    <t>诺和诺德公司</t>
  </si>
  <si>
    <t>诺和盈</t>
  </si>
  <si>
    <t>果酒（含酒精）;鸡尾酒;蒸馏饮料;⾷⽤酒精;开胃酒;含⽔果酒精饮料;烈酒（饮料）;酒精饮料（啤酒除外）;葡萄酒;汽酒</t>
  </si>
  <si>
    <t>王伟</t>
  </si>
  <si>
    <t>爱尚乡野拾光</t>
  </si>
  <si>
    <t>⾕物制蒸馏酒精饮料;果酒（含酒精）;酒精饮料（啤酒除外）;苹果酒;梨酒;⻘稞酒;⽶酒;鸡尾酒;蜂蜜酒;⻩酒</t>
  </si>
  <si>
    <t>陈武标</t>
  </si>
  <si>
    <t>近月潭</t>
  </si>
  <si>
    <t>⽶酒;果酒（含酒精）;烈酒（饮料）;餐后酒（利⼝酒和烈酒）;酒精饮料（啤酒除外）;⻩酒;烧酒;⽩酒;葡萄酒;酒精饮料原汁</t>
  </si>
  <si>
    <t>吉林省亿亩良田农业科技发展有限公司</t>
  </si>
  <si>
    <t>身家族</t>
  </si>
  <si>
    <t>开胃酒;葡萄酒;鸡尾酒;由⾕物蒸馏的⽩酒;含⽔果酒精饮料;果酒;⽩兰地;烧酒;⽶酒;⽩酒</t>
  </si>
  <si>
    <t>哈伯斯特</t>
  </si>
  <si>
    <t>⽶酒;红葡萄酒;威⼠忌;除啤酒外的酒精饮料;调制好的葡萄酒鸡尾酒;清酒;预先混合的酒精饮料（以啤酒为主的除外）;葡萄酒;⽩兰地;⽩葡萄酒</t>
  </si>
  <si>
    <t>北京吴裕泰茶业股份有限公司</t>
  </si>
  <si>
    <t>吴裕泰</t>
  </si>
  <si>
    <t>酒精饮料（啤酒除外）;鸡尾酒;葡萄酒;威⼠忌;⽩酒;酒精饮料原汁;果酒（含酒精）;汽酒;⻩酒;⾷⽤酒精</t>
  </si>
  <si>
    <t>翟少帅</t>
  </si>
  <si>
    <t>竹之帅</t>
  </si>
  <si>
    <t>梅酒;⽩酒;⾼粱酒;红葡萄酒;⽶酒;果酒;⻘梅酒;葡萄酒;鸡尾酒;果酒（含酒精）</t>
  </si>
  <si>
    <t>张雪</t>
  </si>
  <si>
    <t>巴根纳里</t>
  </si>
  <si>
    <t>⽼酒（中国蒸馏烈酒）;刺五加酒;伏特加酒;威⼠忌;甜酒;含酒精⽔果饮料;葡萄酒;果酒;烧酒;⽩酒</t>
  </si>
  <si>
    <t>领君遵</t>
  </si>
  <si>
    <t>酒精饮料（啤酒除外）;餐后酒（利⼝酒和烈酒）;葡萄酒;五加⽪酒（中国混合烈酒）;⽼酒（中国蒸馏烈酒）;⽩酒;蒸馏⽶酒（泡盛酒）;薄荷酒;烧酒;⻩酒</t>
  </si>
  <si>
    <t>⻩酒;威⼠忌;酒精饮料（啤酒除外）;烧酒;露酒;果酒（含酒精）;开胃酒;⽩酒;葡萄酒;⾷⽤酒精</t>
  </si>
  <si>
    <t>友瓷</t>
  </si>
  <si>
    <t>酒精饮料（啤酒除外）;果酒（含酒精）;⽩酒;葡萄酒;清酒;威⼠忌;开胃酒;蜂蜜酒;鸡尾酒;⽶酒</t>
  </si>
  <si>
    <t>车红卫</t>
  </si>
  <si>
    <t>TELTLK</t>
  </si>
  <si>
    <t>⽢蔗制酒精饮料;苦味酒;⾕物制蒸馏酒精饮料;以葡萄酒为主的饮料;⾷⽤酒精;果酒（含酒精）;⻩酒;烈酒;葡萄酒;⽩酒</t>
  </si>
  <si>
    <t>大耳福</t>
  </si>
  <si>
    <t>⽶酒;伏特加酒;果酒（含酒精）;苹果酒;葡萄酒;威⼠忌;酒精饮料（啤酒除外）;烈酒（饮料）;鸡尾酒;⽩酒</t>
  </si>
  <si>
    <t>北京共复科技有限公司</t>
  </si>
  <si>
    <t>凉热道</t>
  </si>
  <si>
    <t>果酒（含酒精）;鸡尾酒;朗姆酒;白酒;威士忌;含水果酒精饮料;伏特加酒;葡萄酒;烈酒（饮料）;白兰地</t>
  </si>
  <si>
    <t>上海六色彩虹信息科技有限公司</t>
  </si>
  <si>
    <t>布心</t>
  </si>
  <si>
    <t>威⼠忌;酒精饮料（啤酒除外）;⻩酒;葡萄酒;⾷⽤酒精;⽩酒;果酒;清酒;果酒（含酒精）;⽶酒</t>
  </si>
  <si>
    <t>御彩山</t>
  </si>
  <si>
    <t>利⼝酒;葡萄酒;烧酒;烈酒（饮料）;汽酒;伏特加酒;⽩兰地;威⼠忌;⽩酒;朗姆酒</t>
  </si>
  <si>
    <t>葡萄酒;清酒（⽇本⽶酒）;⾷⽤酒精;⽩酒;果酒（含酒精）;烧酒;鸡尾酒;酒精饮料（啤酒除外）;⻩酒;⽶酒</t>
  </si>
  <si>
    <t>陈敬桥</t>
  </si>
  <si>
    <t>将享君品</t>
  </si>
  <si>
    <t>由⾕物蒸馏的⽩酒;蒸煮提取物（利⼝酒和烈酒）;烈酒;五加⽪酒（中国混合烈酒）;⽼酒（中国蒸馏烈酒）;⽩⼲酒（中国⽩酒）;露酒;含酒精的饮料（啤酒除外）;烧酒;⽩酒</t>
  </si>
  <si>
    <t>黄峰晚翠</t>
  </si>
  <si>
    <t>梅酒;⻩酒;⾼粱酒;柑⾹酒;⽩酒;清酒;果酒;⽩兰地;樱桃酒;葡萄酒</t>
  </si>
  <si>
    <t>阅水</t>
  </si>
  <si>
    <t>⽩酒;露酒;蒸馏饮料;⽶酒;葡萄酒;苹果酒;烈酒（饮料）;餐后酒（利⼝酒和烈酒）;⾕物制蒸馏酒精饮料;果酒（含酒精）</t>
  </si>
  <si>
    <t>贺玉梅</t>
  </si>
  <si>
    <t>唐奇子</t>
  </si>
  <si>
    <t>烧酒;蒸煮提取物（利⼝酒和烈酒）;⽼酒（中国蒸馏烈酒）;⽩酒;⾼粱酒;由⾕物蒸馏的⽩酒;葡萄酒;⽶酒;⽩⼲酒（中国⽩酒）;⻩酒</t>
  </si>
  <si>
    <t>亳度</t>
  </si>
  <si>
    <t>开胃酒;梨酒;⽩酒;烧酒;苹果酒;⻩酒;葡萄酒;蜂蜜酒;果酒（含酒精）;樱桃酒</t>
  </si>
  <si>
    <t>天花梦</t>
  </si>
  <si>
    <t>开胃酒;蜂蜜酒;烧酒;樱桃酒;梨酒;果酒（含酒精）;⻩酒;⽩酒;葡萄酒;苹果酒</t>
  </si>
  <si>
    <t>MAGTU</t>
  </si>
  <si>
    <t>预先混合的酒精饮料（以啤酒为主的除外）;调制好的葡萄酒鸡尾酒;除啤酒外的酒精饮料;清酒;红葡萄酒;威⼠忌;⽩葡萄酒;⽶酒;葡萄酒;⽩兰地</t>
  </si>
  <si>
    <t>山东晟耀生物科技有限公司</t>
  </si>
  <si>
    <t>晟耀</t>
  </si>
  <si>
    <t>烧酒;果酒（含酒精）;鸡尾酒;葡萄酒;威⼠忌;⽶酒;酒精饮料（啤酒除外）;烈酒（饮料）;⽩酒;清酒（⽇本⽶酒）</t>
  </si>
  <si>
    <t>张潇</t>
  </si>
  <si>
    <t>实励</t>
  </si>
  <si>
    <t>鸡尾酒;葡萄酒;威⼠忌;⻩酒;酒精饮料原汁;⽩兰地;蒸煮提取物（利⼝酒和烈酒）;果酒（含酒精）;酒精饮料（啤酒除外）;⽩酒</t>
  </si>
  <si>
    <t>贵州贵吟酒庄有限公司</t>
  </si>
  <si>
    <t>贵吟东升</t>
  </si>
  <si>
    <t>果酒;露酒;葡萄酒;烧酒;烈酒;酒精饮料原汁;⻩酒;⾷⽤酒精;⾼粱酒;⽩酒</t>
  </si>
  <si>
    <t>周新美</t>
  </si>
  <si>
    <t>清本纲目</t>
  </si>
  <si>
    <t>汽酒;⻩酒;伏特加酒;果酒（含酒精）;清酒（⽇本⽶酒）;葡萄酒;⽩酒;⽶酒;威⼠忌;烈酒（饮料）</t>
  </si>
  <si>
    <t>魏嵒寿</t>
  </si>
  <si>
    <t>⽩兰地;朗姆酒;⽩酒;酒精饮料（啤酒除外）;利⼝酒;鸡尾酒;威⼠忌;烈酒;葡萄酒;伏特加酒</t>
  </si>
  <si>
    <t>龙自腾</t>
  </si>
  <si>
    <t>⾕物制蒸馏酒精饮料;酒精饮料（啤酒除外）;威⼠忌;⻩酒;⽩酒;清酒（⽇本⽶酒）;⽶酒;果酒（含酒精）;烧酒;葡萄酒</t>
  </si>
  <si>
    <t>荣成文化旅游集团国际旅行社有限公司</t>
  </si>
  <si>
    <t>荣旅·布鲁威斯</t>
  </si>
  <si>
    <t>烈酒;⽶酒;⽩酒;酒精饮料（啤酒除外）;葡萄酒;鸡尾酒;清酒;⾷⽤酒精;果酒;烧酒</t>
  </si>
  <si>
    <t>汾阳市杏花村镇协盛源瓷业有限公司</t>
  </si>
  <si>
    <t>杏福仓</t>
  </si>
  <si>
    <t>⾷⽤酒精;樱桃酒;⽩酒;利⼝酒;汽酒;烈酒（饮料）;⻘稞酒;⻩酒;烧酒;蜂蜜酒</t>
  </si>
  <si>
    <t>周钰</t>
  </si>
  <si>
    <t>猎雷</t>
  </si>
  <si>
    <t>清酒;鸡尾酒;果酒（含酒精）;含⽔果酒精饮料;蒸馏饮料;威⼠忌;烧酒;⽩酒;酒精饮料原汁;烈酒（饮料）</t>
  </si>
  <si>
    <t>余开春</t>
  </si>
  <si>
    <t>智然每刻</t>
  </si>
  <si>
    <t>汽酒;⽩酒;葡萄酒;开胃酒;⻩酒;清酒;甜酒;⽶酒;⾷⽤酒精;果酒</t>
  </si>
  <si>
    <t>孟献利</t>
  </si>
  <si>
    <t>康百万接驾</t>
  </si>
  <si>
    <t>苹果酒;利⼝酒;烈酒（饮料）;⽩酒;葡萄酒;烧酒;鸡尾酒;威⼠忌;汽酒;薄荷酒</t>
  </si>
  <si>
    <t>邯郸市连老吉商业运营管理有限公司</t>
  </si>
  <si>
    <t>连老吉</t>
  </si>
  <si>
    <t>葡萄酒;烈酒（饮料）;清酒（⽇本⽶酒）;伏特加酒;鸡尾酒;⽩酒;⽶酒;汽酒;果酒（含酒精）;⻩酒</t>
  </si>
  <si>
    <t>河北百爱酒业有限公司</t>
  </si>
  <si>
    <t>含酒精⽔果饮料;⾷⽤酒精;预先混合的酒精饮料（以啤酒为主的除外）;果酒;鸡尾酒;⽩酒;葡萄酒;烈酒（饮料）;威⼠忌;酒精饮料原汁</t>
  </si>
  <si>
    <t>接庆</t>
  </si>
  <si>
    <t>果酒（含酒精）;⻩酒;葡萄酒;⽩酒;汽酒;烧酒;威⼠忌;⽶酒;⾕物制蒸馏酒精饮料</t>
  </si>
  <si>
    <t>深圳市吉祥瑞工贸有限公司</t>
  </si>
  <si>
    <t>沁树</t>
  </si>
  <si>
    <t>⻩酒;⽩兰地;酒精饮料（啤酒除外）;威⼠忌;伏特加酒;朗姆酒;⽩酒;果酒（含酒精）;葡萄酒;⽶酒</t>
  </si>
  <si>
    <t>妙贵人</t>
  </si>
  <si>
    <t>鸡尾酒;葡萄酒;⽶酒;烧酒;果酒（含酒精）;烈酒（饮料）;⽩兰地;蒸馏饮料;⽩酒;果酒</t>
  </si>
  <si>
    <t>黑龙江老嘎达甄选供应链管理有限公司</t>
  </si>
  <si>
    <t>贝龘禄</t>
  </si>
  <si>
    <t>⽩酒;果酒;伏特加酒;威⼠忌;苦味酒;果酒（含酒精）;葡萄酒;⽶酒;利⼝酒;开胃酒</t>
  </si>
  <si>
    <t>陈捕头</t>
  </si>
  <si>
    <t>葡萄酒;果酒;果酒（含酒精）;蒸馏饮料;烧酒;⽶酒;鸡尾酒;烈酒（饮料）;⽩酒;⽩兰地</t>
  </si>
  <si>
    <t>贵州进莱顺文化传媒有限公司</t>
  </si>
  <si>
    <t>耀黔进</t>
  </si>
  <si>
    <t>蜂蜜酒;威⼠忌;葡萄酒;烧酒;⽶酒;⽩酒;鸡尾酒;⻩酒;果酒（含酒精）;薄荷酒</t>
  </si>
  <si>
    <t>吖呵</t>
  </si>
  <si>
    <t>酸酒（低等葡萄酒）;烈酒（饮料）;⽩酒;开胃酒;烧酒;葡萄酒;鸡尾酒;酒精饮料（啤酒除外）;果酒（含酒精）;⽶酒</t>
  </si>
  <si>
    <t>秦春梅</t>
  </si>
  <si>
    <t>葡萄酒;酒精饮料（啤酒除外）;烈酒;威⼠忌;果酒;⽩酒;⽶酒;预先混合的酒精饮料（以啤酒为主的除外）;烧酒;开胃酒</t>
  </si>
  <si>
    <t>叶荣贵</t>
  </si>
  <si>
    <t>婺之念</t>
  </si>
  <si>
    <t>烈酒（饮料）;酒精饮料（啤酒除外）;果酒（含酒精）;⽶酒;含酒精的饮料（啤酒除外）;烧酒;⾷⽤酒精;葡萄酒;⻩酒;⽩酒</t>
  </si>
  <si>
    <t>夕琢</t>
  </si>
  <si>
    <t>鸡尾酒;开胃酒;⽶酒;果酒（含酒精）;烈酒（饮料）;酒精饮料（啤酒除外）;葡萄酒;⽩酒;烧酒;酸酒（低等葡萄酒）</t>
  </si>
  <si>
    <t>王刚</t>
  </si>
  <si>
    <t>氿知春</t>
  </si>
  <si>
    <t>酒精饮料原汁;酒精饮料（啤酒除外）;除啤酒外的酒精饮料;烈酒（饮料）;果酒;含酒精⽔果饮料;⾕物制蒸馏酒精饮料;⽩酒;⽩⼲酒（中国⽩酒）;⾷⽤酒精</t>
  </si>
  <si>
    <t>怜颜</t>
  </si>
  <si>
    <t>烧酒;果酒（含酒精）;开胃酒;⽩酒;鸡尾酒;⽶酒;酒精饮料（啤酒除外）;烈酒（饮料）;葡萄酒;酸酒（低等葡萄酒）</t>
  </si>
  <si>
    <t>杨庆华</t>
  </si>
  <si>
    <t>德汝</t>
  </si>
  <si>
    <t>开胃酒;⽩⼲酒（中国⽩酒）;鸡尾酒;葡萄酒;⽩兰地;由⾕物蒸馏的⽩酒;酒精饮料（啤酒除外）;⽩酒;⻘梅酒;果酒</t>
  </si>
  <si>
    <t>河南馍饭蜀蜀餐饮管理有限公司</t>
  </si>
  <si>
    <t>吉肴佳</t>
  </si>
  <si>
    <t>鸡尾酒;已调味的⻨芽酿制的酒精饮料（啤酒除外）;烈酒（饮料）;⽶酒;⾷⽤酒精;⽩酒;果酒（含酒精）;蒸馏饮料;烧酒;预先混合的酒精饮料（以啤酒为主的除外）</t>
  </si>
  <si>
    <t>贵小聚</t>
  </si>
  <si>
    <t>⻩酒;果酒（含酒精）;⽶酒;烈酒（饮料）;威⼠忌;葡萄酒;酒精饮料（啤酒除外）;⾕物制蒸馏酒精饮料;⽩酒;烧酒</t>
  </si>
  <si>
    <t>郑文</t>
  </si>
  <si>
    <t>青牛郑</t>
  </si>
  <si>
    <t>⽩兰地;⾷⽤酒精;⽶酒;鸡尾酒;⽩酒;酒精饮料（啤酒除外）;蜂蜜酒;烧酒;葡萄酒;威⼠忌</t>
  </si>
  <si>
    <t>复古潭</t>
  </si>
  <si>
    <t>烧酒;清酒（⽇本⽶酒）;烈酒（饮料）;⽶酒;葡萄酒;烈酒;⻘稞酒;⻩酒;⽩酒;鸡尾酒</t>
  </si>
  <si>
    <t>钟振标</t>
  </si>
  <si>
    <t>高栋首</t>
  </si>
  <si>
    <t>利⼝酒;烈酒;除啤酒外的酒精饮料;蒸煮提取物（利⼝酒和烈酒）;⽶酒;葡萄酒;烧酒;⽩酒;清酒（⽇本⽶酒）;茴⾹酒（利⼝酒）</t>
  </si>
  <si>
    <t>DUKE LUCCA</t>
  </si>
  <si>
    <t>调制好的葡萄酒鸡尾酒;红葡萄酒;⽶酒;⽩葡萄酒;清酒;⽩兰地;除啤酒外的酒精饮料;威⼠忌;预先混合的酒精饮料（以啤酒为主的除外）;葡萄酒</t>
  </si>
  <si>
    <t>杭州领沃餐饮管理有限公司</t>
  </si>
  <si>
    <t>呦哥</t>
  </si>
  <si>
    <t>果酒（含酒精）;甜果酒;⻩酒;威⼠忌;含⽔果酒精饮料;烈酒（饮料）;⽩酒;⽶酒;清酒;鸡尾酒</t>
  </si>
  <si>
    <t>福州幸运利市供应链科技有限公司</t>
  </si>
  <si>
    <t>幸运利市</t>
  </si>
  <si>
    <t>烧酒;烈酒（饮料）;⻘稞酒;⾕物制蒸馏酒精饮料;果酒（含酒精）;鸡尾酒;葡萄酒;⻩酒;酒精饮料（啤酒除外）;⽶酒</t>
  </si>
  <si>
    <t>知交酒</t>
  </si>
  <si>
    <t>葡萄酒;樱桃酒;鸡尾酒;⽩兰地;烧酒;开胃酒;⽶酒;⽩酒;⻩酒;梨酒</t>
  </si>
  <si>
    <t>庆安县致富乡水稻旱种研究所</t>
  </si>
  <si>
    <t>南源京香</t>
  </si>
  <si>
    <t>烧酒;已调味的蒸馏酒;葡萄酒;酒精饮料原汁;酒精饮料（啤酒除外）;果酒（含酒精）;⽶酒;汽酒;⽩酒;蜂蜜酒</t>
  </si>
  <si>
    <t>瓦斯牛</t>
  </si>
  <si>
    <t>烈酒（饮料）;烧酒;⻩酒;⾕物制蒸馏酒精饮料;利⼝酒;⽩酒;含⽔果酒精饮料;⽶酒;葡萄酒;果酒（含酒精）</t>
  </si>
  <si>
    <t>吉安县永祥米业有限公司</t>
  </si>
  <si>
    <t>伏特加酒;⽩酒;果酒（含酒精）;烧酒;烈酒;⽶酒;⻘稞酒;⾕物制蒸馏酒精饮料;威⼠忌;清酒</t>
  </si>
  <si>
    <t>瀹普堂</t>
  </si>
  <si>
    <t>果酒;杨梅酒;⽶酒;⻩酒;烧酒;汽酒;⻘稞酒;⽩酒;⾼粱酒;葡萄酒</t>
  </si>
  <si>
    <t>孙涛</t>
  </si>
  <si>
    <t>黍洲</t>
  </si>
  <si>
    <t>⽶酒;⾼粱酒;汽酒;⾷⽤酒精;⽩酒;烧酒;果酒;蒸馏饮料;葡萄酒;清酒</t>
  </si>
  <si>
    <t>江苏亿旸餐饮管理有限公司</t>
  </si>
  <si>
    <t>吴三娘</t>
  </si>
  <si>
    <t>烈性⼲酒;⻨芽威⼠忌;以葡萄酒为主的饮料;含酒精的饮料（啤酒除外）;清酒;烧酒;烧酒（烈酒）</t>
  </si>
  <si>
    <t>杭州奋斗之露品牌管理有限公司</t>
  </si>
  <si>
    <t>镖族换物</t>
  </si>
  <si>
    <t>⾼粱酒;烧酒（烈酒）;蒸煮提取物（利⼝酒和烈酒）;葡萄酒;烧酒;⽔果汽酒;烈酒;含酒精的⽓泡⽔;⾕物制蒸馏酒精饮料;⽩⼲酒（中国⽩酒）</t>
  </si>
  <si>
    <t>贵州金丹雄酒业有限公司</t>
  </si>
  <si>
    <t>原始洞</t>
  </si>
  <si>
    <t>由⾕物蒸馏的⽩酒;清酒;⽩酒;⾼粱酒;杨梅酒;⾕物制蒸馏酒精饮料;蒸馏饮料;烈酒;⽩⼲酒（中国⽩酒）;含酒精⽔果饮料</t>
  </si>
  <si>
    <t>潍坊玖淼商贸有限公司</t>
  </si>
  <si>
    <t>益北红</t>
  </si>
  <si>
    <t>葡萄酒;餐后酒（利⼝酒和烈酒）;⽩酒;⽶酒;露酒;蒸馏饮料;果酒（含酒精）;苹果酒;⾕物制蒸馏酒精饮料;烈酒（饮料）</t>
  </si>
  <si>
    <t>山西修德生物科技有限公司</t>
  </si>
  <si>
    <t>晋瑶池酒坊</t>
  </si>
  <si>
    <t>果酒;⾼粱酒;⽩酒;清酒;威⼠忌;葡萄酒;⽼酒（中国蒸馏烈酒）;鸡尾酒;餐后酒（利⼝酒和烈酒）;⽶酒</t>
  </si>
  <si>
    <t>甘肃自考之家科技有限公司</t>
  </si>
  <si>
    <t>荖歌玙氿</t>
  </si>
  <si>
    <t>⻩酒;果酒（含酒精）;含酒精的⽓泡⽔;烧酒;⽩兰地;⽶酒;⽩酒;葡萄酒;⻘稞酒;伏特加酒</t>
  </si>
  <si>
    <t>清酒;伏特加酒;⾷⽤酒精;果酒;葡萄酒;威⼠忌;⽶酒;烧酒;⽩酒;⻩酒</t>
  </si>
  <si>
    <t>湖北省荆门市京山市杨集镇家亿生态旅游建设有限公司</t>
  </si>
  <si>
    <t>苏商韵</t>
  </si>
  <si>
    <t>⻩酒;蜂蜜酒;烈酒（饮料）;酒精饮料（啤酒除外）;烧酒;果酒;葡萄酒;⽶酒;⽩酒;⽼酒（中国蒸馏烈酒）</t>
  </si>
  <si>
    <t>怀仁市盛泽瓷业有限公司</t>
  </si>
  <si>
    <t>盏羽</t>
  </si>
  <si>
    <t>⾼粱酒;⽶酒;烈酒（饮料）;⻩酒;开胃酒;果酒（含酒精）;清酒（⽇本⽶酒）;⽩酒;梅酒;酒精饮料（啤酒除外）</t>
  </si>
  <si>
    <t>海南绿佳实业有限公司</t>
  </si>
  <si>
    <t>陈秋沛</t>
  </si>
  <si>
    <t>清酒（⽇本⽶酒）;⽩酒;果酒（含酒精）;蜂蜜酒;酒精饮料（啤酒除外）;鸡尾酒;苹果酒;⽶酒;预先混合的酒精饮料（以啤酒为主的除外）;蒸馏饮料</t>
  </si>
  <si>
    <t>辞花</t>
  </si>
  <si>
    <t>葡萄酒;果酒;清酒;⽩酒;酒精饮料（啤酒除外）;⽶酒;露酒;⾼粱酒;烧酒;⻩酒</t>
  </si>
  <si>
    <t>浙江龙研科技有限公司</t>
  </si>
  <si>
    <t>精弘</t>
  </si>
  <si>
    <t>葡萄酒;伏特加酒;烧酒;⽩酒;⻩酒;鸡尾酒;⽩兰地;⽶酒;烈酒（饮料）;果酒（含酒精）</t>
  </si>
  <si>
    <t>宋立学</t>
  </si>
  <si>
    <t>海河金赚</t>
  </si>
  <si>
    <t>⽩酒;威⼠忌;⻩酒;果酒（含酒精）;⽶酒;鸡尾酒;⽩兰地;烧酒;葡萄酒;蒸馏饮料</t>
  </si>
  <si>
    <t>鸡公山拾春</t>
  </si>
  <si>
    <t>⽩兰地;葡萄酒;鸡尾酒;樱桃酒;⽶酒;烧酒;⽩酒;⻩酒;梨酒;开胃酒</t>
  </si>
  <si>
    <t>浙江天祥酒业有限公司</t>
  </si>
  <si>
    <t>天祥人</t>
  </si>
  <si>
    <t>⽩酒;烧酒;酒精饮料原汁;开胃酒;蒸馏饮料;含⽔果酒精饮料;葡萄酒;⽶酒;⻩酒;酒精饮料（啤酒除外）</t>
  </si>
  <si>
    <t>湖北宸宇投资集团有限公司</t>
  </si>
  <si>
    <t>德宸宇</t>
  </si>
  <si>
    <t>烧酒;含⽔果酒精饮料;果酒;⽩酒;⾷⽤酒精;汽酒;酒精饮料（啤酒除外）;清酒;葡萄酒;甜酒</t>
  </si>
  <si>
    <t>杭州虞美人健康管理有限公司</t>
  </si>
  <si>
    <t>于文红严选</t>
  </si>
  <si>
    <t>露酒;果酒（含酒精）;葡萄酒;酒精饮料（啤酒除外）;烧酒;汽酒;蒸馏饮料;鸡尾酒;苹果酒;⽩酒</t>
  </si>
  <si>
    <t>湖北好巧实业有限公司</t>
  </si>
  <si>
    <t>荆楚方圆</t>
  </si>
  <si>
    <t>⻩酒;烈酒（饮料）;含⽔果酒精饮料;含酒精的饮料（啤酒除外）;果酒（含酒精）;葡萄酒;威⼠忌;⽶酒;薄荷酒;鸡尾酒</t>
  </si>
  <si>
    <t>上海谦裳科技有限公司</t>
  </si>
  <si>
    <t>KAOPUZHIDI</t>
  </si>
  <si>
    <t>酒精饮料（啤酒除外）;⽩酒;⻩酒;苹果酒;烧酒;开胃酒;⽶酒;果酒;葡萄酒;⻘稞酒</t>
  </si>
  <si>
    <t>托峰云天</t>
  </si>
  <si>
    <t>烧酒;果酒（含酒精）;酒精饮料原汁;⽩酒;⽶酒;⻘稞酒;红葡萄酒;⽩葡萄酒;⼲型苹果酒;烈酒（饮料）</t>
  </si>
  <si>
    <t>银泰汇安（海南）投资有限公司</t>
  </si>
  <si>
    <t>粟仙卜</t>
  </si>
  <si>
    <t>⽶酒;蒸馏饮料;汽酒;开胃酒;⾕物制蒸馏酒精饮料;酒精饮料（啤酒除外）;⽩酒;⾷⽤酒精;预先混合的酒精饮料（以啤酒为主的除外）;餐后酒（利⼝酒和烈酒）</t>
  </si>
  <si>
    <t>鹰潭市绿邦生态农业有限公司</t>
  </si>
  <si>
    <t>鹰味知道</t>
  </si>
  <si>
    <t>⽢蔗制酒精饮料;⾕物制蒸馏酒精饮料;果酒（含酒精）;蒸馏⽶酒（泡盛酒）;烧酒（烈酒）;蜂蜜酒;以蒸馏酒为主的开胃酒;⽼酒（中国蒸馏烈酒）;葡萄酒;⽩⼲酒（中国⽩酒）</t>
  </si>
  <si>
    <t>太原市迎泽区赛盛筱芭电子商务工作室</t>
  </si>
  <si>
    <t>黄天门</t>
  </si>
  <si>
    <t>⻘稞酒;⻩酒;果酒（含酒精）;葡萄酒;⽶酒;⾷⽤酒精;烧酒;⽩酒;蒸馏饮料;酒精饮料（啤酒除外）</t>
  </si>
  <si>
    <t>杏九门</t>
  </si>
  <si>
    <t>果酒（含酒精）;⻘稞酒;⻩酒;⾷⽤酒精;⽶酒;葡萄酒;酒精饮料（啤酒除外）;⽩酒;烧酒;蒸馏饮料</t>
  </si>
  <si>
    <t>怀化迎宾馆</t>
  </si>
  <si>
    <t>怀景·怀乡·怀味</t>
  </si>
  <si>
    <t>葡萄酒;鸡尾酒;威⼠忌;⽶酒;⾕物制蒸馏酒精饮料;⽩酒;果酒（含酒精）;⽩兰地;伏特加酒;⻩酒</t>
  </si>
  <si>
    <t>贵州金黔醇酒业有限公司</t>
  </si>
  <si>
    <t>金香四溢</t>
  </si>
  <si>
    <t>葡萄酒;⽶酒;烈酒（饮料）;烧酒;⽩酒;开胃酒;清酒（⽇本⽶酒）;威⼠忌;酒精饮料（啤酒除外）;果酒（含酒精）</t>
  </si>
  <si>
    <t>广东五羊衔谷酒业有限公司</t>
  </si>
  <si>
    <t>酒精饮料浓缩汁;葡萄酒;烈酒;白酒;米酒;黄酒;含水果酒精饮料;烧酒;鸡尾酒;果酒</t>
  </si>
  <si>
    <t>徐四海</t>
  </si>
  <si>
    <t>方乐泉</t>
  </si>
  <si>
    <t>葡萄酒;清酒（⽇本⽶酒）;鸡尾酒;⾕物制蒸馏酒精饮料;酒精饮料原汁;威⼠忌;酒精饮料（啤酒除外）;烈酒（饮料）;伏特加酒;⽶酒</t>
  </si>
  <si>
    <t>⽩兰地;薄荷酒;果酒（含酒精）;烧酒（烈酒）;⽶酒;⾷⽤酒精;烧酒;清酒（⽇本⽶酒）;含酒精⽔果饮料;⻩酒</t>
  </si>
  <si>
    <t>上海舜科酒业食品有限公司</t>
  </si>
  <si>
    <t>醉云芮</t>
  </si>
  <si>
    <t>葡萄酒;甜酒;汽酒;⽩酒;杨梅酒;果酒（含酒精）;⽩兰地;⽶酒;威⼠忌;含酒精的充⽓饮料（啤酒除外）</t>
  </si>
  <si>
    <t>森来农业有限公司</t>
  </si>
  <si>
    <t>苗礼纪</t>
  </si>
  <si>
    <t>含⽔果酒精饮料;⽶酒;⽩酒;果酒（含酒精）;⾷⽤酒精;⻩酒;鸡尾酒;葡萄酒;⽩兰地;酒精饮料（啤酒除外）</t>
  </si>
  <si>
    <t>千钧之力</t>
  </si>
  <si>
    <t>⻩酒;⽩酒;葡萄酒;威⼠忌;⽩兰地;⾷⽤酒精;果酒（含酒精）;酒精饮料（啤酒除外）;烧酒;⽶酒</t>
  </si>
  <si>
    <t>张燕</t>
  </si>
  <si>
    <t>忆紫霞</t>
  </si>
  <si>
    <t>汽酒;果酒（含酒精）;开胃酒;蒸馏饮料;葡萄酒;烈酒（饮料）;⽩酒;⽶酒;威⼠忌;酒精饮料（啤酒除外）</t>
  </si>
  <si>
    <t>河南洛桃里餐饮管理有限公司</t>
  </si>
  <si>
    <t>洛桃里</t>
  </si>
  <si>
    <t>果酒（含酒精）;⻩酒;葡萄酒;鸡尾酒;烈酒（饮料）;⽩酒;⽶酒;烧酒;酒精饮料（啤酒除外）;清酒（⽇本⽶酒）</t>
  </si>
  <si>
    <t>云南国曼云商贸有限责任公司</t>
  </si>
  <si>
    <t>玄盛</t>
  </si>
  <si>
    <t>⽩酒;烧酒（烈酒）;⾼粱酒;⽩⼲酒（中国⽩酒）;烈酒;⽶酒;⻩酒;⾷⽤酒精;⽼酒（中国蒸馏烈酒）</t>
  </si>
  <si>
    <t>张俊喜</t>
  </si>
  <si>
    <t>碓祤</t>
  </si>
  <si>
    <t>汽酒;⽩酒;⽶酒;烧酒</t>
  </si>
  <si>
    <t>殷国强</t>
  </si>
  <si>
    <t>云飓</t>
  </si>
  <si>
    <t>果酒（含酒精）;烧酒;清酒;蒸馏饮料;含⽔果酒精饮料;⽩酒;烈酒（饮料）;威⼠忌;酒精饮料原汁;鸡尾酒</t>
  </si>
  <si>
    <t>杨帅印</t>
  </si>
  <si>
    <t>北江壶</t>
  </si>
  <si>
    <t>烈酒;鸡尾酒;开胃酒;威⼠忌;⽩酒;⻩酒;酒精饮料（啤酒除外）;清酒（⽇本⽶酒）;果酒（含酒精）;葡萄酒</t>
  </si>
  <si>
    <t>陶泽秀</t>
  </si>
  <si>
    <t>优果侬夫</t>
  </si>
  <si>
    <t>酒精饮料（啤酒除外）;⽶酒;⻩酒;烧酒;含⽔果酒精饮料;烈酒（饮料）;⽩酒;⽩兰地;威⼠忌;果酒（含酒精）</t>
  </si>
  <si>
    <t>河南斯干贸易有限公司</t>
  </si>
  <si>
    <t>秩秩斯干</t>
  </si>
  <si>
    <t>鸡尾酒;⽶酒;⻩酒;葡萄酒;清酒;烧酒;果酒;伏特加酒;⽩酒;威⼠忌</t>
  </si>
  <si>
    <t>柏顺</t>
  </si>
  <si>
    <t>峰岭柏家</t>
  </si>
  <si>
    <t>果酒（含酒精）;已调味的蒸馏酒;葡萄酒;⽶酒;清酒;烈酒;⽩酒;烧酒;⻩酒;⾼粱酒</t>
  </si>
  <si>
    <t>宁夏紫驼峰商贸有限公司</t>
  </si>
  <si>
    <t>藤蔓之美</t>
  </si>
  <si>
    <t>⻩酒;调制好的葡萄酒鸡尾酒;果酒（含酒精）;葡萄酒;以葡萄酒为主的饮料;⻘稞酒;利⼝酒;酒精饮料原汁;⽩酒;鸡尾酒</t>
  </si>
  <si>
    <t>论信</t>
  </si>
  <si>
    <t>葡萄酒;⻩酒;⾼粱酒;酒精饮料（啤酒除外）;果酒;⽩酒;露酒;蒸煮提取物（利⼝酒和烈酒）;烧酒（烈酒）;⽶酒</t>
  </si>
  <si>
    <t>郑啟荣420122********0946</t>
  </si>
  <si>
    <t>离耳南大门</t>
  </si>
  <si>
    <t>⽩兰地;朗姆酒;⾕物制蒸馏酒精饮料;葡萄酒;⻩酒;烧酒;果酒（含酒精）;⽩酒;⾷⽤酒精;伏特加酒</t>
  </si>
  <si>
    <t>浙江七秒易购实业股份有限公司</t>
  </si>
  <si>
    <t>SEVENYIGO</t>
  </si>
  <si>
    <t>⻩酒;杨梅酒;葡萄酒;果酒;⽩酒;⽩⼲酒（中国⽩酒）;⾼粱酒;烧酒;含⽔果酒精饮料;⽶酒</t>
  </si>
  <si>
    <t>吴毓斌</t>
  </si>
  <si>
    <t>VITAPIONEER</t>
  </si>
  <si>
    <t>高粱酒;清酒;朝鲜烧酒;白兰地;日本梅子酒;米酒;果酒（含酒精）;杜松子酒;伏特加酒;白酒</t>
  </si>
  <si>
    <t>大连白沙滩海豹海洋公园有限公司</t>
  </si>
  <si>
    <t>斑海豹</t>
  </si>
  <si>
    <t>⾷⽤酒精;⽩酒;果酒（含酒精）;预先混合的酒精饮料（以啤酒为主的除外）;⻩酒;含⽔果酒精饮料;烧酒;⽶酒;汽酒;⻘稞酒</t>
  </si>
  <si>
    <t>听鹊</t>
  </si>
  <si>
    <t>⽶酒;⻩酒;烧酒;葡萄酒;⽩酒;果酒;清酒;酒精饮料（啤酒除外）;⾼粱酒;露酒</t>
  </si>
  <si>
    <t>丘丹妮</t>
  </si>
  <si>
    <t>金龙鳄</t>
  </si>
  <si>
    <t>葡萄酒;烈酒（饮料）;⽩葡萄酒;酒精饮料原汁;烧酒;果酒（含酒精）;⽶酒;⻩酒;⽩酒;汽酒</t>
  </si>
  <si>
    <t>咏宾台</t>
  </si>
  <si>
    <t>果酒（含酒精）;⻩酒;⽶酒;伏特加酒;果酒;鸡尾酒;威⼠忌;⽩酒;葡萄酒;梅酒</t>
  </si>
  <si>
    <t>河北雄安盛星国际贸易有限公司</t>
  </si>
  <si>
    <t>盛星方瓶</t>
  </si>
  <si>
    <t>果酒;⽶酒;⾷⽤酒精;⾼粱酒;⻩酒;由⾕物蒸馏的⽩酒;烈酒;⽩酒;葡萄酒;⽼酒（中国蒸馏烈酒）</t>
  </si>
  <si>
    <t>黄九门</t>
  </si>
  <si>
    <t>果酒（含酒精）;酒精饮料（啤酒除外）;⾷⽤酒精;烧酒;⻘稞酒;葡萄酒;⽩酒;⻩酒;蒸馏饮料;⽶酒</t>
  </si>
  <si>
    <t>河北健鸿科技有限公司</t>
  </si>
  <si>
    <t>和时鲜</t>
  </si>
  <si>
    <t>葡萄酒;⽩酒;烧酒;鸡尾酒;⾷⽤酒精;果酒;蒸馏饮料;蒸煮提取物（利⼝酒和烈酒）;⻩酒;⽶酒</t>
  </si>
  <si>
    <t>新密市马永信清真肉业有限公司</t>
  </si>
  <si>
    <t>马永信</t>
  </si>
  <si>
    <t>开胃酒;烈酒（饮料）;⽩酒;含⽔果酒精饮料;⽩⼲酒（中国⽩酒）;甜酒;葡萄酒;烧酒;果酒;⽶酒</t>
  </si>
  <si>
    <t>湖南元仪生物科技有限公司</t>
  </si>
  <si>
    <t>元仪东升</t>
  </si>
  <si>
    <t>果酒（含酒精）;苦味酒;开胃酒;酒精饮料原汁;酒精饮料浓缩汁;预先混合的酒精饮料（以啤酒为主的除外）;⾕物制蒸馏酒精饮料;⽶酒;蒸馏饮料;鸡尾酒</t>
  </si>
  <si>
    <t>成都市润地农业科技有限公司</t>
  </si>
  <si>
    <t>蜀鸣</t>
  </si>
  <si>
    <t>利⼝酒;烧酒;果酒（含酒精）;酒精饮料原汁;蒸馏饮料;⾷⽤酒精;烈酒（饮料）;开胃酒;⽩酒;蒸煮提取物（利⼝酒和烈酒）</t>
  </si>
  <si>
    <t>红春头</t>
  </si>
  <si>
    <t>⽶酒;烧酒;蒸馏饮料;蜂蜜酒;含酒精的饮料（啤酒除外）;⽩酒;由⾕物蒸馏的⽩酒;⽼酒（中国蒸馏烈酒）;葡萄酒;含⽔果酒精饮料</t>
  </si>
  <si>
    <t>东莞市益国医药有限公司</t>
  </si>
  <si>
    <t>碧央丝</t>
  </si>
  <si>
    <t>烈性⼲酒;以葡萄酒为主的饮料;甜果酒;⽩兰地;⽩酒;烧酒（烈酒）;果酒（含酒精）;⽶酒;红葡萄酒;含酒精⽔果饮料</t>
  </si>
  <si>
    <t>徐小耕</t>
  </si>
  <si>
    <t>雨汪</t>
  </si>
  <si>
    <t>⽶酒;⻘稞酒;杨梅酒;露酒;由⾕物蒸馏的⽩酒;鸡尾酒;⻩酒;清酒;果酒;⽩酒</t>
  </si>
  <si>
    <t>泉州市沙悦商贸有限公司</t>
  </si>
  <si>
    <t>文学匠 WEMSURJAM</t>
  </si>
  <si>
    <t>⻩酒;含⽔果酒精饮料;酒精饮料（啤酒除外）;⽩兰地;蒸馏饮料;鸡尾酒;葡萄酒;⽩酒;威⼠忌;⽶酒</t>
  </si>
  <si>
    <t>仁怀市钰杰酒业销售有限公司</t>
  </si>
  <si>
    <t>可学</t>
  </si>
  <si>
    <t>开胃酒;葡萄酒;汽酒;伏特加酒;⽩酒;烈酒（饮料）;⽶酒;烧酒;⻩酒;果酒（含酒精）</t>
  </si>
  <si>
    <t>朱林立</t>
  </si>
  <si>
    <t>库漠飞驰</t>
  </si>
  <si>
    <t>鸡尾酒;葡萄酒;⽶酒;烧酒;⾷⽤酒精;⽩酒;⻩酒;开胃酒;⻘稞酒;果酒（含酒精）</t>
  </si>
  <si>
    <t>白立民</t>
  </si>
  <si>
    <t>柿源红</t>
  </si>
  <si>
    <t>含⽔果酒精饮料;⽔果汽酒;蜂蜜酒;梨酒;⽶酒;果酒（含酒精）;开胃酒;酒精饮料（啤酒除外）;⽩酒;苹果酒</t>
  </si>
  <si>
    <t>买吐送·亚森</t>
  </si>
  <si>
    <t>阗觅</t>
  </si>
  <si>
    <t>烈酒（饮料）;果酒（含酒精）;⽩兰地;⽶酒;薄荷酒;汽酒;⻩酒;⽩酒;葡萄酒;蜂蜜酒</t>
  </si>
  <si>
    <t>石家庄仁瑞生物科技有限公司</t>
  </si>
  <si>
    <t>天吉人康</t>
  </si>
  <si>
    <t>⽩酒;果酒（含酒精）;含⽔果酒精饮料;苹果酒;⻩酒;⽶酒;梨酒;葡萄酒;⻘稞酒;蜂蜜酒</t>
  </si>
  <si>
    <t>刘玉英</t>
  </si>
  <si>
    <t>喜襄记</t>
  </si>
  <si>
    <t>酒精饮料（啤酒除外）;果酒;鸡尾酒;威⼠忌;⽶酒;⻩酒;⽩酒;蜂蜜酒;⽩兰地;葡萄酒</t>
  </si>
  <si>
    <t>中国邮政集团有限公司河源市分公司</t>
  </si>
  <si>
    <t>河邑源品</t>
  </si>
  <si>
    <t>烧酒（烈酒）;葡萄酒;⽩酒;烈酒（饮料）;蒸馏饮料;果酒（含酒精）;⽶酒;⽼酒（中国蒸馏烈酒）;⾕物制蒸馏酒精饮料;烧酒</t>
  </si>
  <si>
    <t>王业顺</t>
  </si>
  <si>
    <t>汀港山</t>
  </si>
  <si>
    <t>鸡尾酒;葡萄酒;威⼠忌;果酒（含酒精）;⽩兰地;酒精饮料（啤酒除外）;含⽔果酒精饮料;烈酒（饮料）;开胃酒;⽶酒</t>
  </si>
  <si>
    <t>泰安市云亭山封禅文化有限公司</t>
  </si>
  <si>
    <t>龙门涧</t>
  </si>
  <si>
    <t>酒精饮料（啤酒除外）;⽩酒;葡萄酒;樱桃酒;⽩⼲酒（中国⽩酒）;⽼酒（中国蒸馏烈酒）;果酒（含酒精）;果酒;烧酒（烈酒）;含酒精⽔果饮料</t>
  </si>
  <si>
    <t>温洋</t>
  </si>
  <si>
    <t>洒图迈</t>
  </si>
  <si>
    <t>果酒（含酒精）;蒸馏饮料;酒精饮料原汁;鸡尾酒;含⽔果酒精饮料;威⼠忌;烧酒;⽩酒;烈酒（饮料）;清酒</t>
  </si>
  <si>
    <t>贵州老酒藏链科技有限公司</t>
  </si>
  <si>
    <t>龙之浩松</t>
  </si>
  <si>
    <t>烈酒;⽩⼲酒（中国⽩酒）;⽩酒;⾼粱酒;⽼酒（中国蒸馏烈酒）;烧酒（烈酒）;苦荞酒;烧酒;烈性⼲酒;甜酒</t>
  </si>
  <si>
    <t>贵州南窖酒业有限公司</t>
  </si>
  <si>
    <t>州周小福</t>
  </si>
  <si>
    <t>蒸馏饮料;⽶酒;由⾕物蒸馏的⽩酒;汽酒;烈酒（饮料）;⾕物制蒸馏酒精饮料;烧酒;⻩酒;⽩酒;含⽔果酒精饮料</t>
  </si>
  <si>
    <t>南通市哲凡生物科技有限公司</t>
  </si>
  <si>
    <t>愉拂棠</t>
  </si>
  <si>
    <t>果酒（含酒精）;葡萄酒;酒精饮料（啤酒除外）;开胃酒;⽩酒;威⼠忌;薄荷酒;⻩酒;含⽔果酒精饮料;蒸馏饮料</t>
  </si>
  <si>
    <t>企融融（淄博）信息科技有限公司</t>
  </si>
  <si>
    <t>䒕牛华尔</t>
  </si>
  <si>
    <t>⾷⽤酒精;果酒（含酒精）;⽩兰地;葡萄酒;烈酒（饮料）;威⼠忌;朗姆酒;⽩酒;伏特加酒;⻩酒</t>
  </si>
  <si>
    <t>罗优娣</t>
  </si>
  <si>
    <t>韶优顺达</t>
  </si>
  <si>
    <t>⽶酒;蒸馏⽶酒（泡盛酒）</t>
  </si>
  <si>
    <t>裕东北</t>
  </si>
  <si>
    <t>⽩兰地;⽶酒;⾷⽤酒精;酒精饮料（啤酒除外）;⽩酒;果酒（含酒精）;葡萄酒;含⽔果酒精饮料;⻩酒;鸡尾酒</t>
  </si>
  <si>
    <t>张嘉琦</t>
  </si>
  <si>
    <t>森泰康</t>
  </si>
  <si>
    <t>⽇本梅⼦酒;⽩酒;果酒（含酒精）;⽶酒;清酒;伏特加酒;⾼粱酒;杜松⼦酒;⽩兰地;朝鲜烧酒</t>
  </si>
  <si>
    <t>卢双全</t>
  </si>
  <si>
    <t>蓉橙百品</t>
  </si>
  <si>
    <t>清酒;⻘稞酒;含⽔果酒精饮料;⽶酒;开胃酒;烈酒;果酒;⽩酒;酒精饮料（啤酒除外）;葡萄酒</t>
  </si>
  <si>
    <t>福州铭铂投资咨询有限公司</t>
  </si>
  <si>
    <t>传华</t>
  </si>
  <si>
    <t>鸡尾酒;葡萄酒;烈酒（饮料）;烧酒;果酒（含酒精）;⾼粱酒;⽶酒;⻩酒;酒精饮料（啤酒除外）;⽩酒</t>
  </si>
  <si>
    <t>龚季龙</t>
  </si>
  <si>
    <t>琼捞</t>
  </si>
  <si>
    <t>⽩酒;含酒精的⽔果鸡尾酒饮料;果酒;开胃酒;酒精饮料（啤酒除外）;佐餐酒;含⽔果酒精饮料;鸡尾酒;威⼠忌;葡萄酒</t>
  </si>
  <si>
    <t>陌醺庄园</t>
  </si>
  <si>
    <t>蒸煮提取物（利⼝酒和烈酒）;⽩兰地;伏特加酒;果酒（含酒精）;汽酒;鸡尾酒;烧酒;清酒;葡萄酒;威⼠忌</t>
  </si>
  <si>
    <t>广州市佐鸣贸易咨询有限公司</t>
  </si>
  <si>
    <t>茂康谷</t>
  </si>
  <si>
    <t>利⼝酒;⻩酒;果酒（含酒精）;⽩兰地;伏特加酒;葡萄酒;酒精饮料（啤酒除外）;⽩酒;烧酒;⽶酒</t>
  </si>
  <si>
    <t>江西新海浪实业有限公司</t>
  </si>
  <si>
    <t>饶百姓</t>
  </si>
  <si>
    <t>烧酒;⻩酒;⽼酒（中国蒸馏烈酒）;含酒精的饮料（啤酒除外）;⽔果汽酒;⾕物制蒸馏酒精饮料;⽢蔗制酒精饮料;⽩酒;蜂蜜酒;果酒（含酒精）</t>
  </si>
  <si>
    <t>斧将</t>
  </si>
  <si>
    <t>⽩酒;葡萄酒;鸡尾酒;烈酒;⻩酒;果酒（含酒精）;威⼠忌;开胃酒;酒精饮料（啤酒除外）;清酒（⽇本⽶酒）</t>
  </si>
  <si>
    <t>杨凯路</t>
  </si>
  <si>
    <t>酣狮</t>
  </si>
  <si>
    <t>果酒（含酒精）;葡萄酒;汽酒;⻩酒;烈酒（饮料）;清酒;酒精饮料原汁;烧酒;⽩酒;⽶酒</t>
  </si>
  <si>
    <t>新时报文化传媒(济南)有限公司</t>
  </si>
  <si>
    <t>奔流新黄河</t>
  </si>
  <si>
    <t>起泡红葡萄酒;含酒精的饮料（啤酒除外）;⽶酒;除啤酒外的酒精饮料;果酒（含酒精）;烈酒;⽩兰地;⽩酒;⽩葡萄酒;⽔果汽酒</t>
  </si>
  <si>
    <t>上海龙梦国际贸易有限公司</t>
  </si>
  <si>
    <t>蜂鸟炫彩</t>
  </si>
  <si>
    <t>朗姆酒;葡萄酒;⽩酒;伏特加酒;利⼝酒;⽩兰地;清酒;⽶酒;威⼠忌;⻩酒</t>
  </si>
  <si>
    <t>梅多仕</t>
  </si>
  <si>
    <t>酒精饮料（啤酒除外）;⾷⽤酒精;⾕物制蒸馏酒精饮料;汽酒;⽩酒;⽶酒;蒸馏饮料;预先混合的酒精饮料（以啤酒为主的除外）;餐后酒（利⼝酒和烈酒）;开胃酒</t>
  </si>
  <si>
    <t>徐吉哲</t>
  </si>
  <si>
    <t>辅升堂</t>
  </si>
  <si>
    <t>⽩酒;含酒精的饮料（啤酒除外）;汽酒;⻩酒;酒精饮料浓缩汁;蜂蜜酒;果酒;蒸馏饮料;⾷⽤酒精;⽶酒</t>
  </si>
  <si>
    <t>榕江福鑫商贸有限公司</t>
  </si>
  <si>
    <t>里要</t>
  </si>
  <si>
    <t>烈酒;⽩酒;⽶酒;⻩酒;烧酒;葡萄酒;酒精饮料（啤酒除外）;蒸煮提取物（利⼝酒和烈酒）;鸡尾酒;果酒</t>
  </si>
  <si>
    <t>内蒙古蒙特酒业有限公司</t>
  </si>
  <si>
    <t>伊东</t>
  </si>
  <si>
    <t>果酒（含酒精）;葡萄酒;威⼠忌;以葡萄酒为主的饮料;⽶酒;鸡尾酒;⻘稞酒;⽩兰地;⽩酒;⻩酒</t>
  </si>
  <si>
    <t>活当乐</t>
  </si>
  <si>
    <t>威⼠忌;⽶酒;⻩酒;⽩酒;汽酒;⾕物制蒸馏酒精饮料;烧酒;葡萄酒;果酒（含酒精）</t>
  </si>
  <si>
    <t>蔡尚忠</t>
  </si>
  <si>
    <t>蔡尚忠龙窟山</t>
  </si>
  <si>
    <t>⽩酒;开胃酒;蒸煮提取物（利⼝酒和烈酒）;葡萄酒;果酒（含酒精）;酒精饮料（啤酒除外）;⻩酒;烧酒;⽶酒;清酒</t>
  </si>
  <si>
    <t>上海翘诺贸易有限公司</t>
  </si>
  <si>
    <t>得水之韵</t>
  </si>
  <si>
    <t>鸡尾酒;烈酒（饮料）;葡萄酒;清酒（⽇本⽶酒）;⽶酒;⽩酒;果酒（含酒精）;酒精饮料（啤酒除外）;果酒;⻩酒</t>
  </si>
  <si>
    <t>何艳玲</t>
  </si>
  <si>
    <t>易彤佳玉</t>
  </si>
  <si>
    <t>烈酒;⽩酒;⻩酒;烧酒;鸡尾酒;酒精饮料（啤酒除外）;含⽔果酒精饮料;果酒;葡萄酒;清酒</t>
  </si>
  <si>
    <t>倾实</t>
  </si>
  <si>
    <t>葡萄酒;⽩兰地;⽶酒;⽩酒;烧酒;汽酒;清酒;威⼠忌;果酒;⻩酒</t>
  </si>
  <si>
    <t>滋臻福</t>
  </si>
  <si>
    <t>⽩酒;⽶酒;烈酒;⻘梅酒;葡萄酒;甜酒;鸡尾酒;果酒;烧酒;蜂蜜酒</t>
  </si>
  <si>
    <t>君扬天下</t>
  </si>
  <si>
    <t>清酒;⽩兰地;⽶酒;⽩酒;果酒;⻩酒;威⼠忌;葡萄酒;汽酒;烧酒</t>
  </si>
  <si>
    <t>兰陵醉诗仙酒业有限公司</t>
  </si>
  <si>
    <t>鲁味盛德春</t>
  </si>
  <si>
    <t>烧酒;烈酒;果酒（含酒精）;⾼粱酒;⻩酒;⽩酒;含酒精的⽔果鸡尾酒饮料;红葡萄酒;威⼠忌;⽶酒</t>
  </si>
  <si>
    <t>KIMI MOMO</t>
  </si>
  <si>
    <t>⽩兰地;清酒;蒸煮提取物（利⼝酒和烈酒）;威⼠忌;烧酒;汽酒;果酒（含酒精）;伏特加酒;鸡尾酒;葡萄酒</t>
  </si>
  <si>
    <t>北京简岳科技有限公司</t>
  </si>
  <si>
    <t>森醒</t>
  </si>
  <si>
    <t>⽼酒（中国蒸馏烈酒）;⽶酒;葡萄酒;露酒;果酒;⽩酒;⽩⼲酒（中国⽩酒）;蒸馏⽶酒（泡盛酒）;烧酒;⾼粱酒</t>
  </si>
  <si>
    <t>泸州尚载酒业有限公司</t>
  </si>
  <si>
    <t>尚载</t>
  </si>
  <si>
    <t>⽶酒;⻩酒;由⾕物蒸馏的⽩酒;烧酒;果酒（含酒精）;甜酒;⽩酒;果酒;含酒精的饮料（啤酒除外）;葡萄酒</t>
  </si>
  <si>
    <t>吴云望</t>
  </si>
  <si>
    <t>顺望</t>
  </si>
  <si>
    <t>烧酒;酒精饮料（啤酒除外）;⻘稞酒;⽩酒;已调味的⻨芽酿制的酒精饮料（啤酒除外）;⽶酒;葡萄酒;果酒（含酒精）;⾕物制蒸馏酒精饮料;⻩酒</t>
  </si>
  <si>
    <t>酷岛</t>
  </si>
  <si>
    <t>鸡尾酒;烈酒;果酒（含酒精）;葡萄酒;⻩酒;⽩酒;⽼酒（中国蒸馏烈酒）;⽶酒;烧酒;⻘稞酒</t>
  </si>
  <si>
    <t>凤林伙山网络科技（上海）有限责任公司</t>
  </si>
  <si>
    <t>广弘祥</t>
  </si>
  <si>
    <t>果酒（含酒精）;烧酒;⽶酒;⾼粱酒;蒸馏饮料;鸡尾酒;葡萄酒;酒精饮料浓缩汁;以葡萄酒为主的饮料;⽩酒</t>
  </si>
  <si>
    <t>省周小福</t>
  </si>
  <si>
    <t>⾕物制蒸馏酒精饮料;汽酒;由⾕物蒸馏的⽩酒;果酒;含⽔果酒精饮料;蒸馏饮料;⽶酒;烧酒;⻩酒;⽩酒</t>
  </si>
  <si>
    <t>徐斌</t>
  </si>
  <si>
    <t>牧衡</t>
  </si>
  <si>
    <t>⽩酒;含⽔果酒精饮料;清酒;鸡尾酒;蒸馏饮料;威⼠忌;烧酒;果酒（含酒精）;酒精饮料原汁;烈酒（饮料）</t>
  </si>
  <si>
    <t>醉结交</t>
  </si>
  <si>
    <t>葡萄酒;⽩酒;⾼粱酒;酒精饮料（啤酒除外）;蒸煮提取物（利⼝酒和烈酒）;⽶酒;⻩酒;烧酒（烈酒）;果酒;露酒</t>
  </si>
  <si>
    <t>袁存海</t>
  </si>
  <si>
    <t>葡萄酒;⽩兰地;清酒（⽇本⽶酒）;⽩酒;⻩酒;烈酒（饮料）;薄荷酒;果酒（含酒精）;蒸馏饮料;鸡尾酒</t>
  </si>
  <si>
    <t>库漠兄弟</t>
  </si>
  <si>
    <t>果酒（含酒精）;烧酒;⻩酒;开胃酒;⽩酒;⻘稞酒;⽶酒;鸡尾酒;⾷⽤酒精;葡萄酒</t>
  </si>
  <si>
    <t>曼泽</t>
  </si>
  <si>
    <t>⽩⼲酒（中国⽩酒）;⽩酒;⽼酒（中国蒸馏烈酒）;烧酒（烈酒）;⻩酒;⽶酒;⾷⽤酒精;⾼粱酒;烈酒</t>
  </si>
  <si>
    <t>天津大福福科技发展有限公司</t>
  </si>
  <si>
    <t>福胜健</t>
  </si>
  <si>
    <t>利⼝酒;酒精饮料（啤酒除外）;⽩酒;开胃酒;⽩兰地;清酒（⽇本⽶酒）;果酒;葡萄酒;⻩酒;烈酒（饮料）</t>
  </si>
  <si>
    <t>粮九门</t>
  </si>
  <si>
    <t>⾷⽤酒精;果酒（含酒精）;葡萄酒;⽶酒;烧酒;蒸馏饮料;酒精饮料（啤酒除外）;⽩酒;⻩酒;⻘稞酒</t>
  </si>
  <si>
    <t>昆明田康科技有限公司</t>
  </si>
  <si>
    <t>云功麦浪</t>
  </si>
  <si>
    <t>威⼠忌;葡萄酒;⾕物制蒸馏酒精饮料;⻘稞酒;⽩酒;伏特加酒;烧酒;已调味的⻨芽酿制的酒精饮料（啤酒除外）;⾷⽤酒精;果酒（含酒精）</t>
  </si>
  <si>
    <t>麻城市郭延鸽百货店</t>
  </si>
  <si>
    <t>BEBA</t>
  </si>
  <si>
    <t>葡萄酒;含酒精的充⽓饮料（啤酒除外）;朗姆酒（酒精饮料）;鸡尾酒;⻩酒;果酒;清酒;开胃酒;苹果酒;⽩酒</t>
  </si>
  <si>
    <t>刘改侠</t>
  </si>
  <si>
    <t>豹卫</t>
  </si>
  <si>
    <t>开胃酒;清酒;甜酒;⻩酒;葡萄酒;⽩酒;⽶酒;⾷⽤酒精;果酒;汽酒</t>
  </si>
  <si>
    <t>孝鼎</t>
  </si>
  <si>
    <t>⽩酒;⾕物制蒸馏酒精饮料;⻩酒;⽶酒;威⼠忌;酒精饮料（啤酒除外）;烧酒;烈酒（饮料）;果酒（含酒精）;葡萄酒</t>
  </si>
  <si>
    <t>贺九皇</t>
  </si>
  <si>
    <t>鸡尾酒;果酒（含酒精）;烈酒;清酒（日本米酒）;黄酒;威士忌;开胃酒;葡萄酒;酒精饮料（啤酒除外）;白酒</t>
  </si>
  <si>
    <t>广州维易沣酒业有限公司</t>
  </si>
  <si>
    <t>伟湃</t>
  </si>
  <si>
    <t>鸡尾酒;含⽔果酒精饮料;⾷⽤酒精;蒸煮提取物（利⼝酒和烈酒）;果酒;酒精饮料浓缩汁;蒸馏饮料;⽶酒;⽩酒;葡萄酒</t>
  </si>
  <si>
    <t>北京杨氏聚贤阁餐饮管理有限公司</t>
  </si>
  <si>
    <t>杨必路</t>
  </si>
  <si>
    <t>⻩酒;红葡萄酒;蒸馏饮料;⻘梅酒;⽩酒;果酒;威⼠忌;⽶酒;果酒（含酒精）;含⽔果酒精饮料</t>
  </si>
  <si>
    <t>北京普萨露酒业有限公司</t>
  </si>
  <si>
    <t>普洒露</t>
  </si>
  <si>
    <t>⽩酒;开胃酒;葡萄酒;⽶酒;苹果酒;烧酒;⻘稞酒;果酒;蒸馏饮料;⻩酒</t>
  </si>
  <si>
    <t>深圳市研一科技有限公司</t>
  </si>
  <si>
    <t>鸡尾酒;果酒（含酒精）;葡萄酒;清酒;⽩酒;⻩酒;烈酒（饮料）;⽶酒;烧酒;⽩兰地</t>
  </si>
  <si>
    <t>吴端位</t>
  </si>
  <si>
    <t>粱之梦</t>
  </si>
  <si>
    <t>⽩酒;⻩酒;⽶酒;烈酒（饮料）;葡萄酒;烧酒;果酒（含酒精）;清酒（⽇本⽶酒）;鸡尾酒;酒精饮料（啤酒除外）</t>
  </si>
  <si>
    <t>隋古京</t>
  </si>
  <si>
    <t>⽩酒;果酒;烈酒（饮料）;清酒（⽇本⽶酒）;⽩兰地;⻩酒;⽶酒;葡萄酒;威⼠忌;烧酒</t>
  </si>
  <si>
    <t>天津市京建建设集团有限公司</t>
  </si>
  <si>
    <t>御尚鹿潭</t>
  </si>
  <si>
    <t>⽩酒;伏特加酒;⽩兰地;⽶酒;苹果酒;⻩酒;威⼠忌;⻘稞酒;梅酒;⽩葡萄酒</t>
  </si>
  <si>
    <t>海口龙华寒狼科技商行（个体工商户）</t>
  </si>
  <si>
    <t>粮宜品</t>
  </si>
  <si>
    <t>⻩酒;⽩酒;⾕物制蒸馏酒精饮料;以葡萄酒为主的饮料;烈酒（饮料）;⽶酒;果酒（含酒精）;清酒（⽇本⽶酒）;⾷⽤酒精;酒精饮料原汁</t>
  </si>
  <si>
    <t>嵊州开投蓝城城市开发有限公司</t>
  </si>
  <si>
    <t>东前街</t>
  </si>
  <si>
    <t>⽼酒（中国蒸馏烈酒）;果酒（含酒精）;葡萄酒;酒精饮料（啤酒除外）;烧酒;烈酒（饮料）;⻩酒;蒸煮提取物（利⼝酒和烈酒）;⽩酒;⽶酒</t>
  </si>
  <si>
    <t>青州市刘干妈食品有限公司</t>
  </si>
  <si>
    <t>冰润达</t>
  </si>
  <si>
    <t>烈酒;⽶酒;果酒;葡萄酒;⻩酒;以葡萄酒为主的饮料;⽩酒;含酒精⽔果饮料;⾷⽤酒精;鸡尾酒</t>
  </si>
  <si>
    <t>贵州德盛恒嘉商贸有限公司</t>
  </si>
  <si>
    <t>领筑工匠</t>
  </si>
  <si>
    <t>烈酒;烧酒（烈酒）;⽩酒;⽶酒;⻩酒;⾼粱酒;果酒;威⼠忌;果酒（含酒精）;葡萄酒</t>
  </si>
  <si>
    <t>橙真</t>
  </si>
  <si>
    <t>葡萄酒;清酒;开胃酒;烧酒;⽶酒;⻩酒;烈酒;⽩酒;⻘稞酒;酒精饮料（啤酒除外）</t>
  </si>
  <si>
    <t>西林食品有限公司</t>
  </si>
  <si>
    <t>悠叙</t>
  </si>
  <si>
    <t>⾷⽤酒精;葡萄酒;⻩酒;含⽔果酒精饮料;鸡尾酒;⽩兰地;果酒（含酒精）;酒精饮料（啤酒除外）;⽶酒;⽩酒</t>
  </si>
  <si>
    <t>余国辉</t>
  </si>
  <si>
    <t>邻禾</t>
  </si>
  <si>
    <t>葡萄酒;清酒（⽇本⽶酒）;烧酒;烈酒（饮料）;⻩酒;果酒（含酒精）;⽶酒;鸡尾酒;酒精饮料（啤酒除外）;⽩酒</t>
  </si>
  <si>
    <t>美乐城</t>
  </si>
  <si>
    <t>烈酒（饮料）;酒精饮料（啤酒除外）;⾷⽤酒精;开胃酒;⽩酒;酒精饮料原汁;⻩酒;利⼝酒;烧酒;⽶酒</t>
  </si>
  <si>
    <t>永康市长川厨具有限公司</t>
  </si>
  <si>
    <t>迪铂仕</t>
  </si>
  <si>
    <t>⽶酒;开胃酒;果酒（含酒精）;清酒（⽇本⽶酒）;鸡尾酒;⽩酒;酒精饮料（啤酒除外）;⾷⽤酒精;葡萄酒;烈酒（饮料）</t>
  </si>
  <si>
    <t>吴古京</t>
  </si>
  <si>
    <t>⽩酒;葡萄酒;烧酒;果酒;威⼠忌;⻩酒;⽶酒;烈酒（饮料）;⽩兰地;清酒（⽇本⽶酒）</t>
  </si>
  <si>
    <t>浙江龙威酒业有限公司</t>
  </si>
  <si>
    <t>龙岚</t>
  </si>
  <si>
    <t>⽩兰地;⾷⽤酒精;威⼠忌;⽩酒;⾕物制蒸馏酒精饮料;杜松⼦酒;汽酒;伏特加酒;烧酒;烈酒（饮料）</t>
  </si>
  <si>
    <t>健太</t>
  </si>
  <si>
    <t>烧酒;果酒（含酒精）;葡萄酒;鸡尾酒;⻩酒;⽩酒;⽶酒;烈酒（饮料）;清酒（⽇本⽶酒）;酒精饮料（啤酒除外）</t>
  </si>
  <si>
    <t>刘秀梅</t>
  </si>
  <si>
    <t>贵小优</t>
  </si>
  <si>
    <t>果酒（含酒精）;烧酒;⽩酒;酒精饮料（啤酒除外）;⻩酒;⽶酒;鸡尾酒;清酒（⽇本⽶酒）;含⽔果酒精饮料;葡萄酒</t>
  </si>
  <si>
    <t>江苏尊恩国际贸易有限公司</t>
  </si>
  <si>
    <t>拉图掌门</t>
  </si>
  <si>
    <t>烈酒（饮料）;威⼠忌;伏特加酒;酒精饮料（啤酒除外）;⻩酒;果酒（含酒精）;葡萄酒;⽩兰地;预先混合的酒精饮料（以啤酒为主的除外）;⽩酒</t>
  </si>
  <si>
    <t>南京市优益生物科技有限公司</t>
  </si>
  <si>
    <t>山冈岗</t>
  </si>
  <si>
    <t>葡萄酒;⽶酒;⻩酒;烧酒（烈酒）;⾼粱酒;烈酒;含酒精的饮料（啤酒除外）;⽩酒;⻘稞酒;烧酒</t>
  </si>
  <si>
    <t>北京至忠和企业管理有限公司</t>
  </si>
  <si>
    <t>康井</t>
  </si>
  <si>
    <t>葡萄酒;苦荞酒;酒精饮料（啤酒除外）;⽩酒;混合威⼠忌酒;⻨芽威⼠忌;⽩兰地;汽酒;露酒;甜酒;梅酒;威⼠忌;⽶酒;伏特加酒;清酒;果酒（含酒精）;开胃酒;⻘稞酒;⻩酒;⻘梅酒;佐餐酒;蜂蜜酒</t>
  </si>
  <si>
    <t>吕时林</t>
  </si>
  <si>
    <t>均宏汇</t>
  </si>
  <si>
    <t>果酒（含酒精）;刺五加酒;⻩酒;⾷⽤酒精;⽼酒（中国蒸馏烈酒）;蜂蜜酒;⽩兰地;葡萄酒;⽶酒;⽩酒</t>
  </si>
  <si>
    <t>景阳雪</t>
  </si>
  <si>
    <t>葡萄酒;⽶酒;⽩酒;⽼酒（中国蒸馏烈酒）;梅酒;⻩酒;甜酒;果酒（含酒精）;烧酒;烈酒（饮料）</t>
  </si>
  <si>
    <t>民古京</t>
  </si>
  <si>
    <t>烧酒;⽩兰地;⽩酒;威⼠忌;烈酒（饮料）;葡萄酒;清酒（⽇本⽶酒）;果酒;⽶酒;⻩酒</t>
  </si>
  <si>
    <t>中古京</t>
  </si>
  <si>
    <t>⽩酒;烈酒（饮料）;烧酒;果酒;⽶酒;⽩兰地;威⼠忌;清酒（⽇本⽶酒）;⻩酒;葡萄酒</t>
  </si>
  <si>
    <t>杨光碧</t>
  </si>
  <si>
    <t>碧辉三三</t>
  </si>
  <si>
    <t>果酒（含酒精）;威⼠忌;⻩酒;葡萄酒;⽩酒;伏特加酒;烧酒;⽩兰地;鸡尾酒;⽶酒</t>
  </si>
  <si>
    <t>杭州海阔文化科技有限公司</t>
  </si>
  <si>
    <t>梦功坊</t>
  </si>
  <si>
    <t>红葡萄酒;白葡萄酒;果酒;烧酒;黄酒;白酒;高粱酒;已调味的蒸馏酒;老酒（中国蒸馏烈酒）;烈酒</t>
  </si>
  <si>
    <t>刘建华</t>
  </si>
  <si>
    <t>且听春语</t>
  </si>
  <si>
    <t>葡萄酒;果酒;⽶酒;酒精饮料（啤酒除外）;⽩兰地;清酒;鸡尾酒;苹果酒;⽩酒;以葡萄酒为主的饮料</t>
  </si>
  <si>
    <t>华古京</t>
  </si>
  <si>
    <t>烧酒;果酒;烈酒（饮料）;清酒（⽇本⽶酒）;⽩兰地;威⼠忌;⽩酒;⻩酒;葡萄酒;⽶酒</t>
  </si>
  <si>
    <t>太古京</t>
  </si>
  <si>
    <t>烧酒;⽩兰地;清酒（⽇本⽶酒）;⻩酒;烈酒（饮料）;⽩酒;⽶酒;葡萄酒;威⼠忌;果酒</t>
  </si>
  <si>
    <t>安康中盈华泽酒业有限公司</t>
  </si>
  <si>
    <t>汉水候</t>
  </si>
  <si>
    <t>烧酒;鸡尾酒;葡萄酒;果酒（含酒精）;⻩酒;⽩酒;含⽔果酒精饮料;⽶酒;酒精饮料（啤酒除外）;清酒（⽇本⽶酒）</t>
  </si>
  <si>
    <t>南昌泰燕堂生物科技有限公司</t>
  </si>
  <si>
    <t>匡匹</t>
  </si>
  <si>
    <t>果酒（含酒精）;烈酒（饮料）;烧酒;鸡尾酒;酒精饮料（啤酒除外）;⻩酒;⽩酒;⽶酒;清酒（⽇本⽶酒）;葡萄酒</t>
  </si>
  <si>
    <t>伏微320382********8618</t>
  </si>
  <si>
    <t>朴大叔</t>
  </si>
  <si>
    <t>鸡尾酒;⾷⽤酒精;⻩酒;清酒（⽇本⽶酒）;⽩酒;果酒（含酒精）;威⼠忌;蜂蜜酒;苹果酒;葡萄酒</t>
  </si>
  <si>
    <t>沙洋县彭建权小曲酒厂</t>
  </si>
  <si>
    <t>浅澈</t>
  </si>
  <si>
    <t>⻩酒;⾕物制蒸馏酒精饮料;⽶酒;⽩酒;⾷⽤酒精</t>
  </si>
  <si>
    <t>南京积福商贸有限公司</t>
  </si>
  <si>
    <t>善义勤</t>
  </si>
  <si>
    <t>⻩酒;⾷⽤酒精;已调味的蒸馏酒;酒精饮料（啤酒除外）;除啤酒外的酒精饮料;⾕物制蒸馏酒精饮料;⽩酒;果酒（含酒精）;葡萄酒;预先混合的酒精饮料（以啤酒为主的除外）</t>
  </si>
  <si>
    <t>深圳市乐奇科技有限公司</t>
  </si>
  <si>
    <t>TEILIBUN</t>
  </si>
  <si>
    <t>果酒（含酒精）;清酒（⽇本⽶酒）;鸡尾酒;⽩酒;梅酒;⽶酒;⻩酒;开胃酒;葡萄酒;苹果酒</t>
  </si>
  <si>
    <t>深圳市东江制药有限公司</t>
  </si>
  <si>
    <t>正野山</t>
  </si>
  <si>
    <t>蝮蛇酒;樱桃酒;葡萄酒;果酒;⻩酒;苦艾酒;蜂蜜酒;露酒;⽩酒;⻘梅酒</t>
  </si>
  <si>
    <t>魏古京</t>
  </si>
  <si>
    <t>葡萄酒;⽩兰地;烧酒;威⼠忌;烈酒（饮料）;⻩酒;果酒;⽶酒;⽩酒;清酒（⽇本⽶酒）</t>
  </si>
  <si>
    <t>纷之阳</t>
  </si>
  <si>
    <t>葡萄酒;汽酒;⽼酒（中国蒸馏烈酒）;⽩酒;由⾕物蒸馏的⽩酒;果酒;开胃酒;⾼粱酒;利⼝酒;烈酒</t>
  </si>
  <si>
    <t>郡戈涌</t>
  </si>
  <si>
    <t>⽩酒;樱桃酒;含⽔果酒精饮料;伏特加酒;⻩酒;⽩兰地;烧酒;⽶酒;葡萄酒;烈酒（饮料）</t>
  </si>
  <si>
    <t>义戈力</t>
  </si>
  <si>
    <t>烈酒（饮料）;烧酒;⽶酒;含⽔果酒精饮料;樱桃酒;伏特加酒;⽩酒;⽩兰地;⻩酒;葡萄酒</t>
  </si>
  <si>
    <t>令狐潭</t>
  </si>
  <si>
    <t>伏特加酒;⻩酒;⽩兰地;葡萄酒;烧酒;⽩酒;⽶酒;含⽔果酒精饮料;樱桃酒;烈酒（饮料）</t>
  </si>
  <si>
    <t>高密市官和酒业有限公司</t>
  </si>
  <si>
    <t>官和红</t>
  </si>
  <si>
    <t>葡萄酒;⽶酒;烈酒（饮料）;清酒（⽇本⽶酒）;⻩酒;⽩酒;烧酒;⻘稞酒;威⼠忌;汽酒</t>
  </si>
  <si>
    <t>上海椒歌餐饮管理有限公司</t>
  </si>
  <si>
    <t>虹桥乌毡</t>
  </si>
  <si>
    <t>伏特加酒;⻩酒;含酒精⽔果饮料;果酒;⽩酒;烧酒（烈酒）;鸡尾酒;梅酒;⽩葡萄酒;⽶酒</t>
  </si>
  <si>
    <t>大连圣泰利商贸有限公司</t>
  </si>
  <si>
    <t>元宝礁</t>
  </si>
  <si>
    <t>蒸馏饮料;烧酒;果酒（含酒精）;苹果酒;樱桃酒;酸酒（低等葡萄酒）;⻘稞酒;葡萄酒;含⽔果酒精饮料;⽩酒</t>
  </si>
  <si>
    <t>山西时策科技有限公司</t>
  </si>
  <si>
    <t>晋宝地</t>
  </si>
  <si>
    <t>开胃酒;⽩酒;清酒;苦味酒;烧酒;蒸煮提取物（利⼝酒和烈酒）;⻩酒;果酒（含酒精）;葡萄酒;酒精饮料（啤酒除外）</t>
  </si>
  <si>
    <t>广州市玉菲甄选文化传媒有限公司</t>
  </si>
  <si>
    <t>玉美人菲菲</t>
  </si>
  <si>
    <t>⽶酒;烧酒;威⼠忌;葡萄酒;鸡尾酒;预先混合的酒精饮料（以啤酒为主的除外）;薄荷酒;果酒（含酒精）;⽩酒;酒精饮料（啤酒除外）</t>
  </si>
  <si>
    <t>五常大羅新食品有限责任公司</t>
  </si>
  <si>
    <t>⻩酒;⽼酒（中国蒸馏烈酒）;⽩酒;酒精饮料（啤酒除外）;⾼粱酒;烧酒;⾷⽤酒精;汽酒;果酒;刺五加酒</t>
  </si>
  <si>
    <t>大师的味道（邯郸）农业科技有限公司</t>
  </si>
  <si>
    <t>欻爽</t>
  </si>
  <si>
    <t>⻩酒;⽶酒;果酒;⽩酒;⽼酒（中国蒸馏烈酒）;甜酒;清酒;烧酒;起泡红葡萄酒;烈酒</t>
  </si>
  <si>
    <t>深圳市林光网络科技有限公司</t>
  </si>
  <si>
    <t>阿赫德</t>
  </si>
  <si>
    <t>薄荷酒;蒸馏饮料;酒精饮料（啤酒除外）;葡萄酒;⻩酒;含⽔果酒精饮料;⽩酒;果酒（含酒精）;开胃酒;威⼠忌</t>
  </si>
  <si>
    <t>李天珍</t>
  </si>
  <si>
    <t>古黔运</t>
  </si>
  <si>
    <t>⽩兰地;鸡尾酒;葡萄酒;威⼠忌;烈酒（饮料）;果酒（含酒精）;⽩酒;烧酒;⽶酒;酒精饮料（啤酒除外）</t>
  </si>
  <si>
    <t>枣阳市洪日供应链有限公司</t>
  </si>
  <si>
    <t>枣鹿仙</t>
  </si>
  <si>
    <t>果酒（含酒精）;⽶酒;鸡尾酒;⻩酒;葡萄酒;含⽔果酒精饮料;开胃酒;⽩酒;烧酒;清酒（⽇本⽶酒）</t>
  </si>
  <si>
    <t>圣玛尼</t>
  </si>
  <si>
    <t>烈酒（饮料）;鸡尾酒;酒精饮料（啤酒除外）;⽶酒;⽩兰地;烧酒;葡萄酒;⽩酒;威⼠忌;果酒（含酒精）</t>
  </si>
  <si>
    <t>上海协爱中医药科技集团有限公司</t>
  </si>
  <si>
    <t>协爱</t>
  </si>
  <si>
    <t>以葡萄酒为主的饮料;苹果酒;鸡尾酒;蒸馏饮料;葡萄酒;⻩酒;⻘梅酒;开胃酒;果酒（含酒精）;⾕物制蒸馏酒精饮料</t>
  </si>
  <si>
    <t>上海三观和企划咨询有限公司</t>
  </si>
  <si>
    <t>大龙六方</t>
  </si>
  <si>
    <t>鸡尾酒;葡萄酒;⽶酒;⽩酒;蒸馏饮料;烧酒;⻩酒;酒精饮料（啤酒除外）;开胃酒;果酒</t>
  </si>
  <si>
    <t>鑫韵</t>
  </si>
  <si>
    <t>⻩酒;⽩酒;果酒;葡萄酒;⻘稞酒;⽶酒;烧酒;⾼粱酒;清酒;酒精饮料（啤酒除外）</t>
  </si>
  <si>
    <t>云南微扫云科技有限公司</t>
  </si>
  <si>
    <t>美嗞匠</t>
  </si>
  <si>
    <t>酒精饮料（啤酒除外）;梨酒;酒精饮料原汁;⽶酒;酒精饮料浓缩汁;⾷⽤酒精;⽩酒;威⼠忌;含⽔果酒精饮料;⻩酒</t>
  </si>
  <si>
    <t>曼帛</t>
  </si>
  <si>
    <t>⻩酒;⾷⽤酒精;⽩⼲酒（中国⽩酒）;⽶酒;⽼酒（中国蒸馏烈酒）;⾼粱酒;烈酒;⽩酒;烧酒（烈酒）</t>
  </si>
  <si>
    <t>茶班会</t>
  </si>
  <si>
    <t>⽩酒;⾷⽤酒精;⽩兰地;清酒;鸡尾酒;朗姆酒;威⼠忌;果酒（含酒精）;葡萄酒;含⽔果酒精饮料</t>
  </si>
  <si>
    <t>郭卓</t>
  </si>
  <si>
    <t>念恩德</t>
  </si>
  <si>
    <t>葡萄酒;清酒（⽇本⽶酒）;酒精饮料原汁;⻩酒;⽩酒;果酒（含酒精）;鸡尾酒;烈酒（饮料）;⽶酒;烈酒</t>
  </si>
  <si>
    <t>永新县高桥镇江梦源家庭农场</t>
  </si>
  <si>
    <t>橙惠客</t>
  </si>
  <si>
    <t>⻘稞酒;⻩酒;酒精饮料（啤酒除外）;烧酒;⽩酒;清酒（⽇本⽶酒）;蒸煮提取物（利⼝酒和烈酒）;果酒（含酒精）;汽酒;⽶酒</t>
  </si>
  <si>
    <t>白雪娇</t>
  </si>
  <si>
    <t>锦群</t>
  </si>
  <si>
    <t>⻩酒;酒精饮料（啤酒除外）;⽩酒;果酒（含酒精）;露酒;⾼粱酒;⽶酒;烧酒;⻘稞酒;葡萄酒</t>
  </si>
  <si>
    <t>安徽中煌大通商业管理有限公司</t>
  </si>
  <si>
    <t>煌水蕴</t>
  </si>
  <si>
    <t>⾼粱酒;⽼酒（中国蒸馏烈酒）;⽩酒;⻩酒;⽶酒;酒精饮料（啤酒除外）;烈酒;果酒;烧酒;葡萄酒</t>
  </si>
  <si>
    <t>广州温沛思智能电器有限公司</t>
  </si>
  <si>
    <t>VINBESS</t>
  </si>
  <si>
    <t>果酒（含酒精）;利⼝酒;伏特加酒;朗姆酒;威⼠忌;葡萄酒;⽩酒;酒精饮料（啤酒除外）;⽶酒;烧酒</t>
  </si>
  <si>
    <t>贵州省仁怀市君坷酒业有限公司</t>
  </si>
  <si>
    <t>君坷</t>
  </si>
  <si>
    <t>朗姆酒;威⼠忌;开胃酒;伏特加酒;⾼粱酒;⽩酒;果酒（含酒精）;利⼝酒;⽩葡萄酒;烈酒</t>
  </si>
  <si>
    <t>宁夏紫陌轩葡萄酒销售有限公司</t>
  </si>
  <si>
    <t>惊世鸿</t>
  </si>
  <si>
    <t>酒精饮料（啤酒除外）;⽩葡萄酒;红葡萄酒;葡萄酒;果酒（含酒精）;汽酒;⽩兰地;威⼠忌;鸡尾酒;⽩酒</t>
  </si>
  <si>
    <t>厦门市醉若尘贸易有限公司</t>
  </si>
  <si>
    <t>九遵荣</t>
  </si>
  <si>
    <t>鸡尾酒;⽩兰地;酒精饮料（啤酒除外）;果酒（含酒精）;⽩酒;酒精饮料原汁;⻩酒;威⼠忌;蒸煮提取物（利⼝酒和烈酒）;葡萄酒</t>
  </si>
  <si>
    <t>辰辰狗</t>
  </si>
  <si>
    <t>清酒（⽇本⽶酒）;⻩酒;⽩酒;果酒（含酒精）;烈酒（饮料）;葡萄酒;鸡尾酒;⻘稞酒;蒸馏饮料;酒精饮料（啤酒除外）</t>
  </si>
  <si>
    <t>李进文</t>
  </si>
  <si>
    <t>黔町金</t>
  </si>
  <si>
    <t>威⼠忌;⾕物制蒸馏酒精饮料;蒸馏饮料;⽩酒;⻩酒;葡萄酒;酒精饮料（啤酒除外）;鸡尾酒;果酒（含酒精）;⽶酒</t>
  </si>
  <si>
    <t>绍兴江南水乡酒业有限公司</t>
  </si>
  <si>
    <t>绍稽山</t>
  </si>
  <si>
    <t>⽶酒;⻩酒;酒精饮料（啤酒除外）;含⽔果酒精饮料;⽩酒;鸡尾酒;烧酒;汽酒;葡萄酒;果酒（含酒精）</t>
  </si>
  <si>
    <t>昕佳辰</t>
  </si>
  <si>
    <t>蒸馏饮料;果酒（含酒精）;⻩酒;酒精饮料（啤酒除外）;葡萄酒;清酒（⽇本⽶酒）;鸡尾酒;烈酒（饮料）;⽩酒;⻘稞酒</t>
  </si>
  <si>
    <t>枣汉秀</t>
  </si>
  <si>
    <t>含⽔果酒精饮料;⽩酒;⻩酒;果酒（含酒精）;鸡尾酒;⽶酒;开胃酒;烧酒;葡萄酒;清酒（⽇本⽶酒）</t>
  </si>
  <si>
    <t>李振微</t>
  </si>
  <si>
    <t>慕佳德</t>
  </si>
  <si>
    <t>汽酒;⽩酒;葡萄酒;酒精饮料原汁;含⽔果酒精饮料;烧酒;蜂蜜酒;⻩酒;⽶酒;果酒</t>
  </si>
  <si>
    <t>北京蓝天博科科技有限公司</t>
  </si>
  <si>
    <t>蓝天博科</t>
  </si>
  <si>
    <t>清酒（⽇本⽶酒）;⽩兰地;⽶酒;⽼酒（中国蒸馏烈酒）;以蒸馏酒为主的开胃酒;葡萄酒;汽酒;蒸馏⽶酒（泡盛酒）;烧酒;由⾕物蒸馏的⽩酒</t>
  </si>
  <si>
    <t>贵州玺酒酒业有限责任公司</t>
  </si>
  <si>
    <t>贵都玺</t>
  </si>
  <si>
    <t>⽩酒;烈酒（饮料）;⽶酒;清酒（⽇本⽶酒）;果酒（含酒精）;葡萄酒;鸡尾酒;酒精饮料（啤酒除外）;⻩酒;果酒</t>
  </si>
  <si>
    <t>宗郭柏</t>
  </si>
  <si>
    <t>果酒（含酒精）;⽶酒;烈酒;烈酒（饮料）;⽩酒;鸡尾酒;酒精饮料原汁;葡萄酒;⻩酒;清酒（⽇本⽶酒）</t>
  </si>
  <si>
    <t>钱塘门</t>
  </si>
  <si>
    <t>含⽔果酒精饮料;⽶酒;⽩酒;汽酒;烧酒;⻩酒;鸡尾酒;葡萄酒;酒精饮料（啤酒除外）;果酒（含酒精）</t>
  </si>
  <si>
    <t>猴二妮</t>
  </si>
  <si>
    <t>酒精饮料（啤酒除外）;果酒（含酒精）;鸡尾酒;⽩酒;清酒（⽇本⽶酒）;⻘稞酒;烈酒（饮料）;⻩酒;葡萄酒;蒸馏饮料</t>
  </si>
  <si>
    <t>北京青藤育德体育文化发展有限公司</t>
  </si>
  <si>
    <t>金台金伟</t>
  </si>
  <si>
    <t>⻩酒;烈酒（饮料）;⾷⽤酒精;红葡萄酒;葡萄酒;⽩酒;汽酒;果酒（含酒精）;鸡尾酒;含酒精⽔果饮料</t>
  </si>
  <si>
    <t>贵州兴煜源商贸有限公司</t>
  </si>
  <si>
    <t>兴煜源</t>
  </si>
  <si>
    <t>白酒;鸡尾酒;酒精饮料（啤酒除外）;含水果酒精饮料;米酒;烈酒（饮料）;葡萄酒;烧酒;黄酒;果酒（含酒精）</t>
  </si>
  <si>
    <t>格尔木梦幻盐湖旅游文化发展有限公司</t>
  </si>
  <si>
    <t>葡萄酒;鸡尾酒;⽩酒;蒸馏饮料;果酒（含酒精）;酒精饮料（啤酒除外）;汽酒;烧酒;⽶酒;烈酒（饮料）</t>
  </si>
  <si>
    <t>上海脉记信息科技有限公司</t>
  </si>
  <si>
    <t>翘三娘</t>
  </si>
  <si>
    <t>⽩酒;葡萄酒;⻩酒;⽶酒;威⼠忌;鸡尾酒;酒精饮料（啤酒除外）;果酒（含酒精）;苹果酒;⽩兰地</t>
  </si>
  <si>
    <t>康建</t>
  </si>
  <si>
    <t>锦明</t>
  </si>
  <si>
    <t>酒精饮料（啤酒除外）;⽶酒;⻘稞酒;葡萄酒;露酒;⽩酒;⾼粱酒;果酒（含酒精）;⻩酒;烧酒</t>
  </si>
  <si>
    <t>深圳尚都商贸有限公司</t>
  </si>
  <si>
    <t>YINPAGE</t>
  </si>
  <si>
    <t>葡萄酒;果酒（含酒精）;酒精饮料原汁;酒精饮料（啤酒除外）;⽩酒;开胃酒;⽶酒;⻘稞酒;⾷⽤酒精;烧酒</t>
  </si>
  <si>
    <t>青岛儒商饮料有限公司</t>
  </si>
  <si>
    <t>享橙功</t>
  </si>
  <si>
    <t>果酒（含酒精）;⽶酒;⽩酒;杨梅酒;酒精饮料（啤酒除外）;红葡萄酒;烈酒（饮料）;伏特加酒;⻘梅酒;鸡尾酒</t>
  </si>
  <si>
    <t>周丹悦</t>
  </si>
  <si>
    <t>福鹿峰</t>
  </si>
  <si>
    <t>⽩酒;葡萄酒;梨酒;汽酒;⽶酒;酒精饮料（啤酒除外）;果酒（含酒精）;⻩酒;⾷⽤酒精;烧酒</t>
  </si>
  <si>
    <t>秦皇岛秦速商贸有限责任公司</t>
  </si>
  <si>
    <t>艺墨江山颂</t>
  </si>
  <si>
    <t>果酒;⽩葡萄酒;⻩酒;烧酒;葡萄酒;利⼝酒;⽶酒;⽩酒;⽩兰地;果酒（含酒精）</t>
  </si>
  <si>
    <t>哈尔滨海业企业管理咨询有限公司</t>
  </si>
  <si>
    <t>宠多美</t>
  </si>
  <si>
    <t>鸡尾酒;酒精饮料原汁;⽩酒;果酒（含酒精）;已调味的⻨芽酿制的酒精饮料（啤酒除外）;威⼠忌;含⽔果酒精饮料;⽶酒;烧酒;烈酒（饮料）</t>
  </si>
  <si>
    <t>李少刚</t>
  </si>
  <si>
    <t>博尔玛</t>
  </si>
  <si>
    <t>含⽔果酒精饮料;⻘稞酒;⻩酒;⾷⽤酒精;⽩酒;葡萄酒;鸡尾酒;烈酒;蜂蜜酒;果酒（含酒精）</t>
  </si>
  <si>
    <t>沃沃狗</t>
  </si>
  <si>
    <t>蒸馏饮料;⻩酒;酒精饮料（啤酒除外）;⽩酒;烈酒（饮料）;果酒（含酒精）;葡萄酒;⻘稞酒;鸡尾酒;清酒（⽇本⽶酒）</t>
  </si>
  <si>
    <t>佳昕猫</t>
  </si>
  <si>
    <t>鸡尾酒;⽩酒;葡萄酒;⻩酒;⻘稞酒;清酒（⽇本⽶酒）;果酒（含酒精）;烈酒（饮料）;蒸馏饮料;酒精饮料（啤酒除外）</t>
  </si>
  <si>
    <t>猴妮妮</t>
  </si>
  <si>
    <t>葡萄酒;⻘稞酒;清酒（⽇本⽶酒）;蒸馏饮料;⽩酒;果酒（含酒精）;鸡尾酒;⻩酒;烈酒（饮料）;酒精饮料（啤酒除外）</t>
  </si>
  <si>
    <t>房伟</t>
  </si>
  <si>
    <t>浩而健</t>
  </si>
  <si>
    <t>蜂蜜酒;⽶酒;⻩酒;预先混合的酒精饮料（以啤酒为主的除外）;葡萄酒;利⼝酒;⽩酒;烧酒;⾼粱酒;烈酒</t>
  </si>
  <si>
    <t>富汨</t>
  </si>
  <si>
    <t>烈酒（饮料）;含⽔果酒精饮料;开胃酒;葡萄酒;烧酒;利⼝酒;⻩酒;⽩兰地;⽩酒;⽶酒</t>
  </si>
  <si>
    <t>莆田市蒲仙姑娘食品有限公司</t>
  </si>
  <si>
    <t>蒲仙姑娘</t>
  </si>
  <si>
    <t>果酒（含酒精）;⻩酒;葡萄酒;酒精饮料（啤酒除外）;蒸馏饮料;梨酒;⽩酒;蜂蜜酒;含⽔果酒精饮料;⽶酒</t>
  </si>
  <si>
    <t>四川省刀哥商贸有限公司</t>
  </si>
  <si>
    <t>方勤伟</t>
  </si>
  <si>
    <t>果酒（含酒精）;⽩酒;果酒;⾼粱酒;烈酒浓缩汁;烧酒（烈酒）;烈酒（饮料）;含酒精的饮料（啤酒除外）;烈酒;⽩⼲酒（中国⽩酒）</t>
  </si>
  <si>
    <t>江西新华发行集团有限公司上饶市分公司</t>
  </si>
  <si>
    <t>蛙博士</t>
  </si>
  <si>
    <t>⽩兰地;鸡尾酒;梨酒;烧酒;⽩酒;⻩酒;开胃酒;樱桃酒;⽶酒;葡萄酒</t>
  </si>
  <si>
    <t>阔天科技有限公司</t>
  </si>
  <si>
    <t>KUOTIAN</t>
  </si>
  <si>
    <t>鸡尾酒;朗姆酒;薄荷酒;葡萄酒;⽩酒;威⼠忌;伏特加酒;汽酒;⽶酒;⽩兰地</t>
  </si>
  <si>
    <t>吴同德</t>
  </si>
  <si>
    <t>谷一口</t>
  </si>
  <si>
    <t>葡萄酒;⽶酒;鸡尾酒;蜂蜜酒;⽩酒;酒精饮料（啤酒除外）;果酒（含酒精）;烧酒;含⽔果酒精饮料;清酒（⽇本⽶酒）</t>
  </si>
  <si>
    <t>中柯瑞铭建设集团有限公司</t>
  </si>
  <si>
    <t>ZKRM</t>
  </si>
  <si>
    <t>⽩酒;⾼粱酒;红葡萄酒;含酒精⽔果饮料;烧酒（烈酒）;梅酒;果酒;甜酒;果酒（含酒精）;烈酒</t>
  </si>
  <si>
    <t>王若静</t>
  </si>
  <si>
    <t>膨来仙岛</t>
  </si>
  <si>
    <t>⽇式甜⽶酒;果酒（含酒精）;威⼠忌;⽔果汽酒;酒精饮料（啤酒除外）;酒精饮料原汁;除啤酒外的酒精饮料;鸡尾酒;含⽔果酒精饮料;含酒精的⽓泡⽔</t>
  </si>
  <si>
    <t>泰安市恩好食品有限公司</t>
  </si>
  <si>
    <t>厚德东岳</t>
  </si>
  <si>
    <t>鸡尾酒;汽酒;果酒（含酒精）;⽩酒;烧酒;烈酒（饮料）;含⽔果酒精饮料;⻩酒;葡萄酒;开胃酒</t>
  </si>
  <si>
    <t>无锡同道人文化传媒有限公司</t>
  </si>
  <si>
    <t>果酒（含酒精）;苦味酒;餐后酒（利⼝酒和烈酒）;蜂蜜酒;已调味的⻨芽酿制的酒精饮料（啤酒除外）;⽩酒;⻩酒;薄荷酒;⽶酒;酒精饮料原汁</t>
  </si>
  <si>
    <t>龙后生</t>
  </si>
  <si>
    <t>醉湘涟</t>
  </si>
  <si>
    <t>汽酒;酸酒（低等葡萄酒）;⽩酒;烧酒;蒸馏饮料;⻩酒;果酒;⽶酒;葡萄酒;酒精饮料（啤酒除外）</t>
  </si>
  <si>
    <t>味滋匠</t>
  </si>
  <si>
    <t>酒精饮料原汁;酒精饮料浓缩汁;含⽔果酒精饮料;酒精饮料（啤酒除外）;⾷⽤酒精;梨酒;威⼠忌;⻩酒;⽩酒;⽶酒</t>
  </si>
  <si>
    <t>传化集团有限公司</t>
  </si>
  <si>
    <t>谢径安</t>
  </si>
  <si>
    <t>果酒;含酒精⽔果饮料;⽩酒;烈酒（饮料）;⾷⽤酒精;⻩酒;酒精饮料（啤酒除外）;威⼠忌;⽶酒;葡萄酒</t>
  </si>
  <si>
    <t>忆昔年</t>
  </si>
  <si>
    <t>酒精饮料（啤酒除外）;⽩酒;⽶酒;⾼粱酒;⻩酒;葡萄酒;烧酒;果酒;⻘稞酒;清酒</t>
  </si>
  <si>
    <t>丹怀酒厂</t>
  </si>
  <si>
    <t>TANDUAY</t>
  </si>
  <si>
    <t>酒精饮料原汁;含⽔果酒精饮料;葡萄酒;烈酒（饮料）;利⼝酒;含酒精的⽓泡⽔;威⼠忌;鸡尾酒;果酒（含酒精）;酒精饮料（啤酒除外）</t>
  </si>
  <si>
    <t>王春杰</t>
  </si>
  <si>
    <t>麦久屯</t>
  </si>
  <si>
    <t>鸡尾酒;⽩兰地;酒精饮料（啤酒除外）;⽶酒;葡萄酒;果酒（含酒精）;⻩酒;⾷⽤酒精;含⽔果酒精饮料;⽩酒</t>
  </si>
  <si>
    <t>北京鑫鼎旺茂源进出口贸易有限公司</t>
  </si>
  <si>
    <t>鑫鼎旺茂源</t>
  </si>
  <si>
    <t>威⼠忌;鸡尾酒;酒精饮料（啤酒除外）;葡萄酒;酒精饮料原汁;⽩酒;伏特加酒;⽶酒;清酒（⽇本⽶酒）;烈酒（饮料）</t>
  </si>
  <si>
    <t>辽宁神鹿保健食品有限公司</t>
  </si>
  <si>
    <t>QIAO TIAN RAN</t>
  </si>
  <si>
    <t>威⼠忌;汽酒;鸡尾酒;酒精饮料原汁;烧酒;⽶酒;⻩酒;⽩酒;果酒（含酒精）;烈酒（饮料）</t>
  </si>
  <si>
    <t>湘子潭</t>
  </si>
  <si>
    <t>含⽔果酒精饮料;⽩酒;开胃酒;⻩酒;⽶酒;烈酒（饮料）;利⼝酒;葡萄酒;烧酒;⽩兰地</t>
  </si>
  <si>
    <t>泰迪猫</t>
  </si>
  <si>
    <t>⻩酒;葡萄酒;果酒（含酒精）;蒸馏饮料;⻘稞酒;鸡尾酒;烈酒（饮料）;⽩酒;酒精饮料（啤酒除外）;清酒（⽇本⽶酒）</t>
  </si>
  <si>
    <t>享梅丽</t>
  </si>
  <si>
    <t>烈酒（饮料）;⽶酒;伏特加酒;红葡萄酒;杨梅酒;果酒（含酒精）;酒精饮料（啤酒除外）;⻘梅酒;⽩酒;鸡尾酒</t>
  </si>
  <si>
    <t>云阳县洞鹿乡农业服务中心</t>
  </si>
  <si>
    <t>渝云鹿仙洞</t>
  </si>
  <si>
    <t>⾼粱酒;果酒;甜酒;葡萄酒;⾷⽤酒精;清酒;酒精饮料原汁;⽩酒;烧酒;烈酒</t>
  </si>
  <si>
    <t>刘嘉豪</t>
  </si>
  <si>
    <t>鲜岸</t>
  </si>
  <si>
    <t>果酒;⽩酒;⻩酒;清酒;甜酒;⾷⽤酒精;⽶酒;开胃酒;汽酒;葡萄酒</t>
  </si>
  <si>
    <t>郸明</t>
  </si>
  <si>
    <t>⻩酒;⽶酒;烧酒;果酒;葡萄酒;威⼠忌;⽩兰地;⽩酒;鸡尾酒;蒸馏饮料</t>
  </si>
  <si>
    <t>杨慧敏</t>
  </si>
  <si>
    <t>落花潭</t>
  </si>
  <si>
    <t>⾼粱酒;⽢蔗汁酿朗姆酒;苦荞酒;⻘梅酒;梅酒;⽔果汽酒;伏特加酒;⽼酒（中国蒸馏烈酒）;含酒精⽔果饮料;甜酒;鸡尾酒;清酒（⽇本⽶酒）;朗姆酒;汽酒;威⼠忌;清酒;朗姆酒（酒精饮料）;由⾕物蒸馏的⽩酒;天然汽酒;含酒精的饮料（啤酒除外）;红葡萄酒;苹果酒;餐后酒（利⼝酒和烈酒）;⽩葡萄酒;以葡萄酒为主的开胃酒;...</t>
  </si>
  <si>
    <t>国霆城矿绿色科技(北京)有限公司</t>
  </si>
  <si>
    <t>拣循换购</t>
  </si>
  <si>
    <t>红葡萄酒;⽩酒;果酒;预先混合的酒精饮料（以啤酒为主的除外）;以葡萄酒为主的饮料;⽩⼲酒（中国⽩酒）;含酒精的饮料（啤酒除外）;葡萄酒;蒸馏饮料;起泡⽩葡萄酒</t>
  </si>
  <si>
    <t>杨治民</t>
  </si>
  <si>
    <t>昆智祥</t>
  </si>
  <si>
    <t>酒精饮料（啤酒除外）;含水果酒精饮料;米酒;葡萄酒;清酒（日本米酒）;开胃酒;白酒;烧酒;果酒（含酒精）;利口酒</t>
  </si>
  <si>
    <t>李宗行</t>
  </si>
  <si>
    <t>良太医</t>
  </si>
  <si>
    <t>开胃酒;⽩酒;⽶酒;果酒;甜酒;⾷⽤酒精;⻩酒;汽酒;清酒;葡萄酒</t>
  </si>
  <si>
    <t>深圳市深共同贸易有限公司</t>
  </si>
  <si>
    <t>嬉野川</t>
  </si>
  <si>
    <t>利⼝酒;鸡尾酒;伏特加酒;清酒（⽇本⽶酒）;威⼠忌;酒精饮料（啤酒除外）;开胃酒;⽩兰地;⽩酒;果酒（含酒精）</t>
  </si>
  <si>
    <t>听粱</t>
  </si>
  <si>
    <t>⽩酒;葡萄酒;清酒;⽶酒;⾼粱酒;露酒;果酒;⻩酒;酒精饮料（啤酒除外）;烧酒</t>
  </si>
  <si>
    <t>黄生卫</t>
  </si>
  <si>
    <t>海立普</t>
  </si>
  <si>
    <t>开胃酒;⻘稞酒;威⼠忌;⽶酒;烧酒;蒸馏饮料;甜果酒;葡萄酒;⽩酒;⻩酒</t>
  </si>
  <si>
    <t>申請</t>
  </si>
  <si>
    <t>No.</t>
  </si>
  <si>
    <t>=+HYPERLINK("http://trademark.i-assist.jp/data/china/image_1890th/76632908A.pdf",76632908A)</t>
  </si>
  <si>
    <t>=+HYPERLINK("http://trademark.i-assist.jp/data/china/image_1890th/76353927A.pdf",76353927A)</t>
  </si>
  <si>
    <t>=+HYPERLINK("http://trademark.i-assist.jp/data/china/image_1890th/77090602A.pdf",77090602A)</t>
  </si>
  <si>
    <t>=+HYPERLINK("http://trademark.i-assist.jp/data/china/image_1890th/76088089A.pdf",76088089A)</t>
  </si>
  <si>
    <t>=+HYPERLINK("http://trademark.i-assist.jp/data/china/image_1890th/77145805A.pdf",77145805A)</t>
  </si>
  <si>
    <t>=+HYPERLINK("http://trademark.i-assist.jp/data/china/image_1890th/77197411A.pdf",77197411A)</t>
  </si>
  <si>
    <t>=+HYPERLINK("http://trademark.i-assist.jp/data/china/image_1890th/77037697A.pdf",77037697A)</t>
  </si>
  <si>
    <t>=+HYPERLINK("http://trademark.i-assist.jp/data/china/image_1890th/77136017A.pdf",77136017A)</t>
  </si>
  <si>
    <t>=+HYPERLINK("http://trademark.i-assist.jp/data/china/image_1890th/77207192A.pdf",77207192A)</t>
  </si>
  <si>
    <t>=+HYPERLINK("http://trademark.i-assist.jp/data/china/image_1890th/77228855A.pdf",77228855A)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</si>
</sst>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yyyy/mm/dd"/>
    <numFmt numFmtId="177" formatCode="0_ "/>
  </numFmts>
  <fonts count="3" x14ac:knownFonts="1"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2" borderId="1" xfId="0" applyFill="1" applyBorder="1" applyAlignment="1">
      <alignment horizontal="center" vertical="top" wrapText="1"/>
    </xf>
    <xf numFmtId="49" fontId="0" fillId="2" borderId="1" xfId="0" applyNumberFormat="1" applyFill="1" applyBorder="1" applyAlignment="1">
      <alignment horizontal="center" vertical="top" wrapText="1"/>
    </xf>
    <xf numFmtId="177" fontId="0" fillId="2" borderId="1" xfId="0" applyNumberFormat="1" applyFill="1" applyBorder="1" applyAlignment="1">
      <alignment horizontal="center" vertical="top" wrapText="1"/>
    </xf>
    <xf numFmtId="176" fontId="0" fillId="2" borderId="1" xfId="0" applyNumberForma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49" fontId="0" fillId="0" borderId="1" xfId="0" applyNumberFormat="1" applyBorder="1" applyAlignment="1">
      <alignment vertical="top" wrapText="1"/>
    </xf>
    <xf numFmtId="177" fontId="0" fillId="0" borderId="1" xfId="0" applyNumberFormat="1" applyBorder="1" applyAlignment="1">
      <alignment vertical="top" wrapText="1"/>
    </xf>
    <xf numFmtId="176" fontId="0" fillId="0" borderId="1" xfId="0" applyNumberFormat="1" applyBorder="1" applyAlignment="1">
      <alignment vertical="top" wrapText="1"/>
    </xf>
    <xf numFmtId="49" fontId="0" fillId="0" borderId="0" xfId="0" applyNumberFormat="1" applyAlignment="1">
      <alignment vertical="top" wrapText="1"/>
    </xf>
    <xf numFmtId="177" fontId="0" fillId="0" borderId="0" xfId="0" applyNumberFormat="1" applyAlignment="1">
      <alignment vertical="top" wrapText="1"/>
    </xf>
    <xf numFmtId="176" fontId="0" fillId="0" borderId="0" xfId="0" applyNumberFormat="1" applyAlignment="1">
      <alignment vertical="top" wrapText="1"/>
    </xf>
    <xf numFmtId="177" fontId="1" fillId="0" borderId="1" xfId="1" applyNumberFormat="1" applyFill="1" applyBorder="1" applyAlignment="1">
      <alignment vertical="top" wrapText="1"/>
    </xf>
    <xf numFmtId="0" fontId="0" fillId="2" borderId="1" xfId="0" applyNumberFormat="1" applyFill="1" applyBorder="1" applyAlignment="1">
      <alignment horizontal="center" vertical="top" wrapText="1"/>
    </xf>
    <xf numFmtId="0" fontId="0" fillId="0" borderId="0" xfId="0" applyNumberFormat="1" applyAlignment="1">
      <alignment vertical="top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35"/>
  <sheetViews>
    <sheetView tabSelected="1" workbookViewId="0"/>
  </sheetViews>
  <sheetFormatPr defaultRowHeight="13.5" x14ac:dyDescent="0.15"/>
  <cols>
    <col min="1" max="1" width="9" style="5"/>
    <col min="2" max="2" width="9" style="10"/>
    <col min="3" max="3" width="9" style="11"/>
    <col min="4" max="4" width="11.625" style="12" customWidth="1"/>
    <col min="5" max="5" width="10.625" style="11" bestFit="1" customWidth="1"/>
    <col min="6" max="6" width="28.375" style="10" customWidth="1"/>
    <col min="7" max="7" width="31.375" style="10" customWidth="1"/>
    <col min="8" max="8" width="100.625" style="10" customWidth="1"/>
    <col min="9" max="9" width="16.875" style="15" customWidth="1"/>
  </cols>
  <sheetData>
    <row r="1" spans="1:9" x14ac:dyDescent="0.15">
      <c r="A1" s="1" t="s">
        <v>11352</v>
      </c>
      <c r="B1" s="2" t="s">
        <v>0</v>
      </c>
      <c r="C1" s="3" t="s">
        <v>1</v>
      </c>
      <c r="D1" s="4" t="s">
        <v>2</v>
      </c>
      <c r="E1" s="3" t="s">
        <v>3</v>
      </c>
      <c r="F1" s="2" t="s">
        <v>4</v>
      </c>
      <c r="G1" s="2" t="s">
        <v>5</v>
      </c>
      <c r="H1" s="2" t="s">
        <v>6</v>
      </c>
      <c r="I1" s="14" t="s">
        <v>11351</v>
      </c>
    </row>
    <row r="2" spans="1:9" x14ac:dyDescent="0.15">
      <c r="A2" s="6">
        <v>1</v>
      </c>
      <c r="B2" s="7" t="s">
        <v>7</v>
      </c>
      <c r="C2" s="8">
        <v>1890</v>
      </c>
      <c r="D2" s="9">
        <v>45449</v>
      </c>
      <c r="E2" s="13">
        <f>+HYPERLINK("http://trademark.i-assist.jp/data/china/image_1890th/70979754.pdf",70979754)</f>
        <v>70979754</v>
      </c>
      <c r="F2" s="7" t="s">
        <v>47</v>
      </c>
      <c r="G2" s="7" t="s">
        <v>46</v>
      </c>
      <c r="H2" s="7" t="s">
        <v>48</v>
      </c>
      <c r="I2" s="9">
        <v>45034</v>
      </c>
    </row>
    <row r="3" spans="1:9" x14ac:dyDescent="0.15">
      <c r="A3" s="6">
        <v>2</v>
      </c>
      <c r="B3" s="7" t="s">
        <v>7</v>
      </c>
      <c r="C3" s="8">
        <v>1890</v>
      </c>
      <c r="D3" s="9">
        <v>45449</v>
      </c>
      <c r="E3" s="13">
        <f>+HYPERLINK("http://trademark.i-assist.jp/data/china/image_1890th/71034279.pdf",71034279)</f>
        <v>71034279</v>
      </c>
      <c r="F3" s="7" t="s">
        <v>50</v>
      </c>
      <c r="G3" s="7" t="s">
        <v>49</v>
      </c>
      <c r="H3" s="7" t="s">
        <v>51</v>
      </c>
      <c r="I3" s="9">
        <v>45036</v>
      </c>
    </row>
    <row r="4" spans="1:9" x14ac:dyDescent="0.15">
      <c r="A4" s="6">
        <v>3</v>
      </c>
      <c r="B4" s="7" t="s">
        <v>7</v>
      </c>
      <c r="C4" s="8">
        <v>1890</v>
      </c>
      <c r="D4" s="9">
        <v>45449</v>
      </c>
      <c r="E4" s="13">
        <f>+HYPERLINK("http://trademark.i-assist.jp/data/china/image_1890th/71038620.pdf",71038620)</f>
        <v>71038620</v>
      </c>
      <c r="F4" s="7" t="s">
        <v>53</v>
      </c>
      <c r="G4" s="7" t="s">
        <v>52</v>
      </c>
      <c r="H4" s="7" t="s">
        <v>54</v>
      </c>
      <c r="I4" s="9">
        <v>45036</v>
      </c>
    </row>
    <row r="5" spans="1:9" x14ac:dyDescent="0.15">
      <c r="A5" s="6">
        <v>4</v>
      </c>
      <c r="B5" s="7" t="s">
        <v>7</v>
      </c>
      <c r="C5" s="8">
        <v>1890</v>
      </c>
      <c r="D5" s="9">
        <v>45449</v>
      </c>
      <c r="E5" s="13">
        <f>+HYPERLINK("http://trademark.i-assist.jp/data/china/image_1890th/71051054.pdf",71051054)</f>
        <v>71051054</v>
      </c>
      <c r="F5" s="7" t="s">
        <v>56</v>
      </c>
      <c r="G5" s="7" t="s">
        <v>55</v>
      </c>
      <c r="H5" s="7" t="s">
        <v>57</v>
      </c>
      <c r="I5" s="9">
        <v>45036</v>
      </c>
    </row>
    <row r="6" spans="1:9" x14ac:dyDescent="0.15">
      <c r="A6" s="6">
        <v>5</v>
      </c>
      <c r="B6" s="7" t="s">
        <v>7</v>
      </c>
      <c r="C6" s="8">
        <v>1890</v>
      </c>
      <c r="D6" s="9">
        <v>45449</v>
      </c>
      <c r="E6" s="13">
        <f>+HYPERLINK("http://trademark.i-assist.jp/data/china/image_1890th/71051643.pdf",71051643)</f>
        <v>71051643</v>
      </c>
      <c r="F6" s="7" t="s">
        <v>59</v>
      </c>
      <c r="G6" s="7" t="s">
        <v>58</v>
      </c>
      <c r="H6" s="7" t="s">
        <v>60</v>
      </c>
      <c r="I6" s="9">
        <v>45036</v>
      </c>
    </row>
    <row r="7" spans="1:9" x14ac:dyDescent="0.15">
      <c r="A7" s="6">
        <v>6</v>
      </c>
      <c r="B7" s="7" t="s">
        <v>7</v>
      </c>
      <c r="C7" s="8">
        <v>1890</v>
      </c>
      <c r="D7" s="9">
        <v>45449</v>
      </c>
      <c r="E7" s="13">
        <f>+HYPERLINK("http://trademark.i-assist.jp/data/china/image_1890th/71051845.pdf",71051845)</f>
        <v>71051845</v>
      </c>
      <c r="F7" s="7" t="s">
        <v>62</v>
      </c>
      <c r="G7" s="7" t="s">
        <v>61</v>
      </c>
      <c r="H7" s="7" t="s">
        <v>63</v>
      </c>
      <c r="I7" s="9">
        <v>45036</v>
      </c>
    </row>
    <row r="8" spans="1:9" x14ac:dyDescent="0.15">
      <c r="A8" s="6">
        <v>7</v>
      </c>
      <c r="B8" s="7" t="s">
        <v>7</v>
      </c>
      <c r="C8" s="8">
        <v>1890</v>
      </c>
      <c r="D8" s="9">
        <v>45449</v>
      </c>
      <c r="E8" s="13">
        <f>+HYPERLINK("http://trademark.i-assist.jp/data/china/image_1890th/71057577.pdf",71057577)</f>
        <v>71057577</v>
      </c>
      <c r="F8" s="7" t="s">
        <v>65</v>
      </c>
      <c r="G8" s="7" t="s">
        <v>64</v>
      </c>
      <c r="H8" s="7" t="s">
        <v>66</v>
      </c>
      <c r="I8" s="9">
        <v>45036</v>
      </c>
    </row>
    <row r="9" spans="1:9" ht="27" x14ac:dyDescent="0.15">
      <c r="A9" s="6">
        <v>8</v>
      </c>
      <c r="B9" s="7" t="s">
        <v>7</v>
      </c>
      <c r="C9" s="8">
        <v>1890</v>
      </c>
      <c r="D9" s="9">
        <v>45449</v>
      </c>
      <c r="E9" s="13">
        <f>+HYPERLINK("http://trademark.i-assist.jp/data/china/image_1890th/71239275.pdf",71239275)</f>
        <v>71239275</v>
      </c>
      <c r="F9" s="7" t="s">
        <v>68</v>
      </c>
      <c r="G9" s="7" t="s">
        <v>67</v>
      </c>
      <c r="H9" s="7" t="s">
        <v>69</v>
      </c>
      <c r="I9" s="9">
        <v>45043</v>
      </c>
    </row>
    <row r="10" spans="1:9" ht="27" x14ac:dyDescent="0.15">
      <c r="A10" s="6">
        <v>9</v>
      </c>
      <c r="B10" s="7" t="s">
        <v>7</v>
      </c>
      <c r="C10" s="8">
        <v>1890</v>
      </c>
      <c r="D10" s="9">
        <v>45449</v>
      </c>
      <c r="E10" s="13">
        <f>+HYPERLINK("http://trademark.i-assist.jp/data/china/image_1890th/71293085.pdf",71293085)</f>
        <v>71293085</v>
      </c>
      <c r="F10" s="7" t="s">
        <v>71</v>
      </c>
      <c r="G10" s="7" t="s">
        <v>70</v>
      </c>
      <c r="H10" s="7" t="s">
        <v>72</v>
      </c>
      <c r="I10" s="9">
        <v>45050</v>
      </c>
    </row>
    <row r="11" spans="1:9" x14ac:dyDescent="0.15">
      <c r="A11" s="6">
        <v>10</v>
      </c>
      <c r="B11" s="7" t="s">
        <v>7</v>
      </c>
      <c r="C11" s="8">
        <v>1890</v>
      </c>
      <c r="D11" s="9">
        <v>45449</v>
      </c>
      <c r="E11" s="13">
        <f>+HYPERLINK("http://trademark.i-assist.jp/data/china/image_1890th/71293191.pdf",71293191)</f>
        <v>71293191</v>
      </c>
      <c r="F11" s="7" t="s">
        <v>74</v>
      </c>
      <c r="G11" s="7" t="s">
        <v>73</v>
      </c>
      <c r="H11" s="7" t="s">
        <v>75</v>
      </c>
      <c r="I11" s="9">
        <v>45050</v>
      </c>
    </row>
    <row r="12" spans="1:9" ht="27" x14ac:dyDescent="0.15">
      <c r="A12" s="6">
        <v>11</v>
      </c>
      <c r="B12" s="7" t="s">
        <v>7</v>
      </c>
      <c r="C12" s="8">
        <v>1890</v>
      </c>
      <c r="D12" s="9">
        <v>45449</v>
      </c>
      <c r="E12" s="13">
        <f>+HYPERLINK("http://trademark.i-assist.jp/data/china/image_1890th/71294813.pdf",71294813)</f>
        <v>71294813</v>
      </c>
      <c r="F12" s="7" t="s">
        <v>77</v>
      </c>
      <c r="G12" s="7" t="s">
        <v>76</v>
      </c>
      <c r="H12" s="7" t="s">
        <v>78</v>
      </c>
      <c r="I12" s="9">
        <v>45050</v>
      </c>
    </row>
    <row r="13" spans="1:9" ht="27" x14ac:dyDescent="0.15">
      <c r="A13" s="6">
        <v>12</v>
      </c>
      <c r="B13" s="7" t="s">
        <v>7</v>
      </c>
      <c r="C13" s="8">
        <v>1890</v>
      </c>
      <c r="D13" s="9">
        <v>45449</v>
      </c>
      <c r="E13" s="13">
        <f>+HYPERLINK("http://trademark.i-assist.jp/data/china/image_1890th/71308428.pdf",71308428)</f>
        <v>71308428</v>
      </c>
      <c r="F13" s="7" t="s">
        <v>79</v>
      </c>
      <c r="G13" s="7" t="s">
        <v>76</v>
      </c>
      <c r="H13" s="7" t="s">
        <v>80</v>
      </c>
      <c r="I13" s="9">
        <v>45050</v>
      </c>
    </row>
    <row r="14" spans="1:9" ht="27" x14ac:dyDescent="0.15">
      <c r="A14" s="6">
        <v>13</v>
      </c>
      <c r="B14" s="7" t="s">
        <v>7</v>
      </c>
      <c r="C14" s="8">
        <v>1890</v>
      </c>
      <c r="D14" s="9">
        <v>45449</v>
      </c>
      <c r="E14" s="13">
        <f>+HYPERLINK("http://trademark.i-assist.jp/data/china/image_1890th/71308679.pdf",71308679)</f>
        <v>71308679</v>
      </c>
      <c r="F14" s="7" t="s">
        <v>82</v>
      </c>
      <c r="G14" s="7" t="s">
        <v>81</v>
      </c>
      <c r="H14" s="7" t="s">
        <v>83</v>
      </c>
      <c r="I14" s="9">
        <v>45050</v>
      </c>
    </row>
    <row r="15" spans="1:9" ht="27" x14ac:dyDescent="0.15">
      <c r="A15" s="6">
        <v>14</v>
      </c>
      <c r="B15" s="7" t="s">
        <v>7</v>
      </c>
      <c r="C15" s="8">
        <v>1890</v>
      </c>
      <c r="D15" s="9">
        <v>45449</v>
      </c>
      <c r="E15" s="13">
        <f>+HYPERLINK("http://trademark.i-assist.jp/data/china/image_1890th/71379465.pdf",71379465)</f>
        <v>71379465</v>
      </c>
      <c r="F15" s="7" t="s">
        <v>85</v>
      </c>
      <c r="G15" s="7" t="s">
        <v>84</v>
      </c>
      <c r="H15" s="7" t="s">
        <v>86</v>
      </c>
      <c r="I15" s="9">
        <v>45053</v>
      </c>
    </row>
    <row r="16" spans="1:9" x14ac:dyDescent="0.15">
      <c r="A16" s="6">
        <v>15</v>
      </c>
      <c r="B16" s="7" t="s">
        <v>7</v>
      </c>
      <c r="C16" s="8">
        <v>1890</v>
      </c>
      <c r="D16" s="9">
        <v>45449</v>
      </c>
      <c r="E16" s="13">
        <f>+HYPERLINK("http://trademark.i-assist.jp/data/china/image_1890th/71380894.pdf",71380894)</f>
        <v>71380894</v>
      </c>
      <c r="F16" s="7" t="s">
        <v>88</v>
      </c>
      <c r="G16" s="7" t="s">
        <v>87</v>
      </c>
      <c r="H16" s="7" t="s">
        <v>89</v>
      </c>
      <c r="I16" s="9">
        <v>45053</v>
      </c>
    </row>
    <row r="17" spans="1:9" x14ac:dyDescent="0.15">
      <c r="A17" s="6">
        <v>16</v>
      </c>
      <c r="B17" s="7" t="s">
        <v>7</v>
      </c>
      <c r="C17" s="8">
        <v>1890</v>
      </c>
      <c r="D17" s="9">
        <v>45449</v>
      </c>
      <c r="E17" s="13">
        <f>+HYPERLINK("http://trademark.i-assist.jp/data/china/image_1890th/71404832.pdf",71404832)</f>
        <v>71404832</v>
      </c>
      <c r="F17" s="7" t="s">
        <v>91</v>
      </c>
      <c r="G17" s="7" t="s">
        <v>90</v>
      </c>
      <c r="H17" s="7" t="s">
        <v>92</v>
      </c>
      <c r="I17" s="9">
        <v>45054</v>
      </c>
    </row>
    <row r="18" spans="1:9" ht="27" x14ac:dyDescent="0.15">
      <c r="A18" s="6">
        <v>17</v>
      </c>
      <c r="B18" s="7" t="s">
        <v>7</v>
      </c>
      <c r="C18" s="8">
        <v>1890</v>
      </c>
      <c r="D18" s="9">
        <v>45449</v>
      </c>
      <c r="E18" s="13">
        <f>+HYPERLINK("http://trademark.i-assist.jp/data/china/image_1890th/71413493.pdf",71413493)</f>
        <v>71413493</v>
      </c>
      <c r="F18" s="7" t="s">
        <v>94</v>
      </c>
      <c r="G18" s="7" t="s">
        <v>93</v>
      </c>
      <c r="H18" s="7" t="s">
        <v>95</v>
      </c>
      <c r="I18" s="9">
        <v>45055</v>
      </c>
    </row>
    <row r="19" spans="1:9" x14ac:dyDescent="0.15">
      <c r="A19" s="6">
        <v>18</v>
      </c>
      <c r="B19" s="7" t="s">
        <v>7</v>
      </c>
      <c r="C19" s="8">
        <v>1890</v>
      </c>
      <c r="D19" s="9">
        <v>45449</v>
      </c>
      <c r="E19" s="13">
        <f>+HYPERLINK("http://trademark.i-assist.jp/data/china/image_1890th/71461586.pdf",71461586)</f>
        <v>71461586</v>
      </c>
      <c r="F19" s="7" t="s">
        <v>97</v>
      </c>
      <c r="G19" s="7" t="s">
        <v>96</v>
      </c>
      <c r="H19" s="7" t="s">
        <v>98</v>
      </c>
      <c r="I19" s="9">
        <v>45056</v>
      </c>
    </row>
    <row r="20" spans="1:9" x14ac:dyDescent="0.15">
      <c r="A20" s="6">
        <v>19</v>
      </c>
      <c r="B20" s="7" t="s">
        <v>7</v>
      </c>
      <c r="C20" s="8">
        <v>1890</v>
      </c>
      <c r="D20" s="9">
        <v>45449</v>
      </c>
      <c r="E20" s="13">
        <f>+HYPERLINK("http://trademark.i-assist.jp/data/china/image_1890th/71470477.pdf",71470477)</f>
        <v>71470477</v>
      </c>
      <c r="F20" s="7" t="s">
        <v>100</v>
      </c>
      <c r="G20" s="7" t="s">
        <v>99</v>
      </c>
      <c r="H20" s="7" t="s">
        <v>101</v>
      </c>
      <c r="I20" s="9">
        <v>45056</v>
      </c>
    </row>
    <row r="21" spans="1:9" x14ac:dyDescent="0.15">
      <c r="A21" s="6">
        <v>20</v>
      </c>
      <c r="B21" s="7" t="s">
        <v>7</v>
      </c>
      <c r="C21" s="8">
        <v>1890</v>
      </c>
      <c r="D21" s="9">
        <v>45449</v>
      </c>
      <c r="E21" s="13">
        <f>+HYPERLINK("http://trademark.i-assist.jp/data/china/image_1890th/71471690.pdf",71471690)</f>
        <v>71471690</v>
      </c>
      <c r="F21" s="7" t="s">
        <v>103</v>
      </c>
      <c r="G21" s="7" t="s">
        <v>102</v>
      </c>
      <c r="H21" s="7" t="s">
        <v>104</v>
      </c>
      <c r="I21" s="9">
        <v>45056</v>
      </c>
    </row>
    <row r="22" spans="1:9" x14ac:dyDescent="0.15">
      <c r="A22" s="6">
        <v>21</v>
      </c>
      <c r="B22" s="7" t="s">
        <v>7</v>
      </c>
      <c r="C22" s="8">
        <v>1890</v>
      </c>
      <c r="D22" s="9">
        <v>45449</v>
      </c>
      <c r="E22" s="13">
        <f>+HYPERLINK("http://trademark.i-assist.jp/data/china/image_1890th/71499351.pdf",71499351)</f>
        <v>71499351</v>
      </c>
      <c r="F22" s="7" t="s">
        <v>106</v>
      </c>
      <c r="G22" s="7" t="s">
        <v>105</v>
      </c>
      <c r="H22" s="7" t="s">
        <v>107</v>
      </c>
      <c r="I22" s="9">
        <v>45057</v>
      </c>
    </row>
    <row r="23" spans="1:9" x14ac:dyDescent="0.15">
      <c r="A23" s="6">
        <v>22</v>
      </c>
      <c r="B23" s="7" t="s">
        <v>7</v>
      </c>
      <c r="C23" s="8">
        <v>1890</v>
      </c>
      <c r="D23" s="9">
        <v>45449</v>
      </c>
      <c r="E23" s="13">
        <f>+HYPERLINK("http://trademark.i-assist.jp/data/china/image_1890th/71500747.pdf",71500747)</f>
        <v>71500747</v>
      </c>
      <c r="F23" s="7" t="s">
        <v>109</v>
      </c>
      <c r="G23" s="7" t="s">
        <v>108</v>
      </c>
      <c r="H23" s="7" t="s">
        <v>110</v>
      </c>
      <c r="I23" s="9">
        <v>45057</v>
      </c>
    </row>
    <row r="24" spans="1:9" x14ac:dyDescent="0.15">
      <c r="A24" s="6">
        <v>23</v>
      </c>
      <c r="B24" s="7" t="s">
        <v>7</v>
      </c>
      <c r="C24" s="8">
        <v>1890</v>
      </c>
      <c r="D24" s="9">
        <v>45449</v>
      </c>
      <c r="E24" s="13">
        <f>+HYPERLINK("http://trademark.i-assist.jp/data/china/image_1890th/71551161.pdf",71551161)</f>
        <v>71551161</v>
      </c>
      <c r="F24" s="7" t="s">
        <v>111</v>
      </c>
      <c r="G24" s="7" t="s">
        <v>52</v>
      </c>
      <c r="H24" s="7" t="s">
        <v>112</v>
      </c>
      <c r="I24" s="9">
        <v>45061</v>
      </c>
    </row>
    <row r="25" spans="1:9" x14ac:dyDescent="0.15">
      <c r="A25" s="6">
        <v>24</v>
      </c>
      <c r="B25" s="7" t="s">
        <v>7</v>
      </c>
      <c r="C25" s="8">
        <v>1890</v>
      </c>
      <c r="D25" s="9">
        <v>45449</v>
      </c>
      <c r="E25" s="13">
        <f>+HYPERLINK("http://trademark.i-assist.jp/data/china/image_1890th/72493377.pdf",72493377)</f>
        <v>72493377</v>
      </c>
      <c r="F25" s="7" t="s">
        <v>114</v>
      </c>
      <c r="G25" s="7" t="s">
        <v>113</v>
      </c>
      <c r="H25" s="7" t="s">
        <v>115</v>
      </c>
      <c r="I25" s="9">
        <v>45105</v>
      </c>
    </row>
    <row r="26" spans="1:9" x14ac:dyDescent="0.15">
      <c r="A26" s="6">
        <v>25</v>
      </c>
      <c r="B26" s="7" t="s">
        <v>7</v>
      </c>
      <c r="C26" s="8">
        <v>1890</v>
      </c>
      <c r="D26" s="9">
        <v>45449</v>
      </c>
      <c r="E26" s="13">
        <f>+HYPERLINK("http://trademark.i-assist.jp/data/china/image_1890th/72493629.pdf",72493629)</f>
        <v>72493629</v>
      </c>
      <c r="F26" s="7" t="s">
        <v>117</v>
      </c>
      <c r="G26" s="7" t="s">
        <v>116</v>
      </c>
      <c r="H26" s="7" t="s">
        <v>118</v>
      </c>
      <c r="I26" s="9">
        <v>45105</v>
      </c>
    </row>
    <row r="27" spans="1:9" x14ac:dyDescent="0.15">
      <c r="A27" s="6">
        <v>26</v>
      </c>
      <c r="B27" s="7" t="s">
        <v>7</v>
      </c>
      <c r="C27" s="8">
        <v>1890</v>
      </c>
      <c r="D27" s="9">
        <v>45449</v>
      </c>
      <c r="E27" s="13">
        <f>+HYPERLINK("http://trademark.i-assist.jp/data/china/image_1890th/72584089.pdf",72584089)</f>
        <v>72584089</v>
      </c>
      <c r="F27" s="7" t="s">
        <v>120</v>
      </c>
      <c r="G27" s="7" t="s">
        <v>119</v>
      </c>
      <c r="H27" s="7" t="s">
        <v>121</v>
      </c>
      <c r="I27" s="9">
        <v>45110</v>
      </c>
    </row>
    <row r="28" spans="1:9" x14ac:dyDescent="0.15">
      <c r="A28" s="6">
        <v>27</v>
      </c>
      <c r="B28" s="7" t="s">
        <v>7</v>
      </c>
      <c r="C28" s="8">
        <v>1890</v>
      </c>
      <c r="D28" s="9">
        <v>45449</v>
      </c>
      <c r="E28" s="13">
        <f>+HYPERLINK("http://trademark.i-assist.jp/data/china/image_1890th/72588584.pdf",72588584)</f>
        <v>72588584</v>
      </c>
      <c r="F28" s="7" t="s">
        <v>123</v>
      </c>
      <c r="G28" s="7" t="s">
        <v>122</v>
      </c>
      <c r="H28" s="7" t="s">
        <v>124</v>
      </c>
      <c r="I28" s="9">
        <v>45110</v>
      </c>
    </row>
    <row r="29" spans="1:9" x14ac:dyDescent="0.15">
      <c r="A29" s="6">
        <v>28</v>
      </c>
      <c r="B29" s="7" t="s">
        <v>7</v>
      </c>
      <c r="C29" s="8">
        <v>1890</v>
      </c>
      <c r="D29" s="9">
        <v>45449</v>
      </c>
      <c r="E29" s="13">
        <f>+HYPERLINK("http://trademark.i-assist.jp/data/china/image_1890th/72605457.pdf",72605457)</f>
        <v>72605457</v>
      </c>
      <c r="F29" s="7" t="s">
        <v>126</v>
      </c>
      <c r="G29" s="7" t="s">
        <v>125</v>
      </c>
      <c r="H29" s="7" t="s">
        <v>127</v>
      </c>
      <c r="I29" s="9">
        <v>45110</v>
      </c>
    </row>
    <row r="30" spans="1:9" x14ac:dyDescent="0.15">
      <c r="A30" s="6">
        <v>29</v>
      </c>
      <c r="B30" s="7" t="s">
        <v>7</v>
      </c>
      <c r="C30" s="8">
        <v>1890</v>
      </c>
      <c r="D30" s="9">
        <v>45449</v>
      </c>
      <c r="E30" s="13">
        <f>+HYPERLINK("http://trademark.i-assist.jp/data/china/image_1890th/72665726.pdf",72665726)</f>
        <v>72665726</v>
      </c>
      <c r="F30" s="7" t="s">
        <v>129</v>
      </c>
      <c r="G30" s="7" t="s">
        <v>128</v>
      </c>
      <c r="H30" s="7" t="s">
        <v>130</v>
      </c>
      <c r="I30" s="9">
        <v>45113</v>
      </c>
    </row>
    <row r="31" spans="1:9" x14ac:dyDescent="0.15">
      <c r="A31" s="6">
        <v>30</v>
      </c>
      <c r="B31" s="7" t="s">
        <v>7</v>
      </c>
      <c r="C31" s="8">
        <v>1890</v>
      </c>
      <c r="D31" s="9">
        <v>45449</v>
      </c>
      <c r="E31" s="13">
        <f>+HYPERLINK("http://trademark.i-assist.jp/data/china/image_1890th/72676967.pdf",72676967)</f>
        <v>72676967</v>
      </c>
      <c r="F31" s="7" t="s">
        <v>132</v>
      </c>
      <c r="G31" s="7" t="s">
        <v>131</v>
      </c>
      <c r="H31" s="7" t="s">
        <v>133</v>
      </c>
      <c r="I31" s="9">
        <v>45113</v>
      </c>
    </row>
    <row r="32" spans="1:9" x14ac:dyDescent="0.15">
      <c r="A32" s="6">
        <v>31</v>
      </c>
      <c r="B32" s="7" t="s">
        <v>7</v>
      </c>
      <c r="C32" s="8">
        <v>1890</v>
      </c>
      <c r="D32" s="9">
        <v>45449</v>
      </c>
      <c r="E32" s="13">
        <f>+HYPERLINK("http://trademark.i-assist.jp/data/china/image_1890th/72679586.pdf",72679586)</f>
        <v>72679586</v>
      </c>
      <c r="F32" s="7" t="s">
        <v>134</v>
      </c>
      <c r="G32" s="7" t="s">
        <v>131</v>
      </c>
      <c r="H32" s="7" t="s">
        <v>135</v>
      </c>
      <c r="I32" s="9">
        <v>45113</v>
      </c>
    </row>
    <row r="33" spans="1:9" x14ac:dyDescent="0.15">
      <c r="A33" s="6">
        <v>32</v>
      </c>
      <c r="B33" s="7" t="s">
        <v>7</v>
      </c>
      <c r="C33" s="8">
        <v>1890</v>
      </c>
      <c r="D33" s="9">
        <v>45449</v>
      </c>
      <c r="E33" s="13">
        <f>+HYPERLINK("http://trademark.i-assist.jp/data/china/image_1890th/72704426.pdf",72704426)</f>
        <v>72704426</v>
      </c>
      <c r="F33" s="7" t="s">
        <v>137</v>
      </c>
      <c r="G33" s="7" t="s">
        <v>136</v>
      </c>
      <c r="H33" s="7" t="s">
        <v>138</v>
      </c>
      <c r="I33" s="9">
        <v>45114</v>
      </c>
    </row>
    <row r="34" spans="1:9" x14ac:dyDescent="0.15">
      <c r="A34" s="6">
        <v>33</v>
      </c>
      <c r="B34" s="7" t="s">
        <v>7</v>
      </c>
      <c r="C34" s="8">
        <v>1890</v>
      </c>
      <c r="D34" s="9">
        <v>45449</v>
      </c>
      <c r="E34" s="13">
        <f>+HYPERLINK("http://trademark.i-assist.jp/data/china/image_1890th/72736214.pdf",72736214)</f>
        <v>72736214</v>
      </c>
      <c r="F34" s="7" t="s">
        <v>140</v>
      </c>
      <c r="G34" s="7" t="s">
        <v>139</v>
      </c>
      <c r="H34" s="7" t="s">
        <v>141</v>
      </c>
      <c r="I34" s="9">
        <v>45117</v>
      </c>
    </row>
    <row r="35" spans="1:9" x14ac:dyDescent="0.15">
      <c r="A35" s="6">
        <v>34</v>
      </c>
      <c r="B35" s="7" t="s">
        <v>7</v>
      </c>
      <c r="C35" s="8">
        <v>1890</v>
      </c>
      <c r="D35" s="9">
        <v>45449</v>
      </c>
      <c r="E35" s="13">
        <f>+HYPERLINK("http://trademark.i-assist.jp/data/china/image_1890th/72787016.pdf",72787016)</f>
        <v>72787016</v>
      </c>
      <c r="F35" s="7" t="s">
        <v>143</v>
      </c>
      <c r="G35" s="7" t="s">
        <v>142</v>
      </c>
      <c r="H35" s="7" t="s">
        <v>144</v>
      </c>
      <c r="I35" s="9">
        <v>45119</v>
      </c>
    </row>
    <row r="36" spans="1:9" x14ac:dyDescent="0.15">
      <c r="A36" s="6">
        <v>35</v>
      </c>
      <c r="B36" s="7" t="s">
        <v>7</v>
      </c>
      <c r="C36" s="8">
        <v>1890</v>
      </c>
      <c r="D36" s="9">
        <v>45449</v>
      </c>
      <c r="E36" s="13">
        <f>+HYPERLINK("http://trademark.i-assist.jp/data/china/image_1890th/72799153.pdf",72799153)</f>
        <v>72799153</v>
      </c>
      <c r="F36" s="7" t="s">
        <v>146</v>
      </c>
      <c r="G36" s="7" t="s">
        <v>145</v>
      </c>
      <c r="H36" s="7" t="s">
        <v>147</v>
      </c>
      <c r="I36" s="9">
        <v>45119</v>
      </c>
    </row>
    <row r="37" spans="1:9" x14ac:dyDescent="0.15">
      <c r="A37" s="6">
        <v>36</v>
      </c>
      <c r="B37" s="7" t="s">
        <v>7</v>
      </c>
      <c r="C37" s="8">
        <v>1890</v>
      </c>
      <c r="D37" s="9">
        <v>45449</v>
      </c>
      <c r="E37" s="13">
        <f>+HYPERLINK("http://trademark.i-assist.jp/data/china/image_1890th/72813158.pdf",72813158)</f>
        <v>72813158</v>
      </c>
      <c r="F37" s="7" t="s">
        <v>149</v>
      </c>
      <c r="G37" s="7" t="s">
        <v>148</v>
      </c>
      <c r="H37" s="7" t="s">
        <v>150</v>
      </c>
      <c r="I37" s="9">
        <v>45120</v>
      </c>
    </row>
    <row r="38" spans="1:9" x14ac:dyDescent="0.15">
      <c r="A38" s="6">
        <v>37</v>
      </c>
      <c r="B38" s="7" t="s">
        <v>7</v>
      </c>
      <c r="C38" s="8">
        <v>1890</v>
      </c>
      <c r="D38" s="9">
        <v>45449</v>
      </c>
      <c r="E38" s="13">
        <f>+HYPERLINK("http://trademark.i-assist.jp/data/china/image_1890th/72834023.pdf",72834023)</f>
        <v>72834023</v>
      </c>
      <c r="F38" s="7" t="s">
        <v>152</v>
      </c>
      <c r="G38" s="7" t="s">
        <v>151</v>
      </c>
      <c r="H38" s="7" t="s">
        <v>153</v>
      </c>
      <c r="I38" s="9">
        <v>45121</v>
      </c>
    </row>
    <row r="39" spans="1:9" x14ac:dyDescent="0.15">
      <c r="A39" s="6">
        <v>38</v>
      </c>
      <c r="B39" s="7" t="s">
        <v>7</v>
      </c>
      <c r="C39" s="8">
        <v>1890</v>
      </c>
      <c r="D39" s="9">
        <v>45449</v>
      </c>
      <c r="E39" s="13">
        <f>+HYPERLINK("http://trademark.i-assist.jp/data/china/image_1890th/72835288.pdf",72835288)</f>
        <v>72835288</v>
      </c>
      <c r="F39" s="7" t="s">
        <v>155</v>
      </c>
      <c r="G39" s="7" t="s">
        <v>154</v>
      </c>
      <c r="H39" s="7" t="s">
        <v>156</v>
      </c>
      <c r="I39" s="9">
        <v>45121</v>
      </c>
    </row>
    <row r="40" spans="1:9" x14ac:dyDescent="0.15">
      <c r="A40" s="6">
        <v>39</v>
      </c>
      <c r="B40" s="7" t="s">
        <v>7</v>
      </c>
      <c r="C40" s="8">
        <v>1890</v>
      </c>
      <c r="D40" s="9">
        <v>45449</v>
      </c>
      <c r="E40" s="13">
        <f>+HYPERLINK("http://trademark.i-assist.jp/data/china/image_1890th/72837133.pdf",72837133)</f>
        <v>72837133</v>
      </c>
      <c r="F40" s="7" t="s">
        <v>158</v>
      </c>
      <c r="G40" s="7" t="s">
        <v>157</v>
      </c>
      <c r="H40" s="7" t="s">
        <v>159</v>
      </c>
      <c r="I40" s="9">
        <v>45121</v>
      </c>
    </row>
    <row r="41" spans="1:9" x14ac:dyDescent="0.15">
      <c r="A41" s="6">
        <v>40</v>
      </c>
      <c r="B41" s="7" t="s">
        <v>7</v>
      </c>
      <c r="C41" s="8">
        <v>1890</v>
      </c>
      <c r="D41" s="9">
        <v>45449</v>
      </c>
      <c r="E41" s="13">
        <f>+HYPERLINK("http://trademark.i-assist.jp/data/china/image_1890th/72907049.pdf",72907049)</f>
        <v>72907049</v>
      </c>
      <c r="F41" s="7" t="s">
        <v>161</v>
      </c>
      <c r="G41" s="7" t="s">
        <v>160</v>
      </c>
      <c r="H41" s="7" t="s">
        <v>162</v>
      </c>
      <c r="I41" s="9">
        <v>45125</v>
      </c>
    </row>
    <row r="42" spans="1:9" x14ac:dyDescent="0.15">
      <c r="A42" s="6">
        <v>41</v>
      </c>
      <c r="B42" s="7" t="s">
        <v>7</v>
      </c>
      <c r="C42" s="8">
        <v>1890</v>
      </c>
      <c r="D42" s="9">
        <v>45449</v>
      </c>
      <c r="E42" s="13">
        <f>+HYPERLINK("http://trademark.i-assist.jp/data/china/image_1890th/72907211.pdf",72907211)</f>
        <v>72907211</v>
      </c>
      <c r="F42" s="7" t="s">
        <v>164</v>
      </c>
      <c r="G42" s="7" t="s">
        <v>163</v>
      </c>
      <c r="H42" s="7" t="s">
        <v>165</v>
      </c>
      <c r="I42" s="9">
        <v>45125</v>
      </c>
    </row>
    <row r="43" spans="1:9" x14ac:dyDescent="0.15">
      <c r="A43" s="6">
        <v>42</v>
      </c>
      <c r="B43" s="7" t="s">
        <v>7</v>
      </c>
      <c r="C43" s="8">
        <v>1890</v>
      </c>
      <c r="D43" s="9">
        <v>45449</v>
      </c>
      <c r="E43" s="13">
        <f>+HYPERLINK("http://trademark.i-assist.jp/data/china/image_1890th/72909608.pdf",72909608)</f>
        <v>72909608</v>
      </c>
      <c r="F43" s="7" t="s">
        <v>167</v>
      </c>
      <c r="G43" s="7" t="s">
        <v>166</v>
      </c>
      <c r="H43" s="7" t="s">
        <v>168</v>
      </c>
      <c r="I43" s="9">
        <v>45125</v>
      </c>
    </row>
    <row r="44" spans="1:9" x14ac:dyDescent="0.15">
      <c r="A44" s="6">
        <v>43</v>
      </c>
      <c r="B44" s="7" t="s">
        <v>7</v>
      </c>
      <c r="C44" s="8">
        <v>1890</v>
      </c>
      <c r="D44" s="9">
        <v>45449</v>
      </c>
      <c r="E44" s="13">
        <f>+HYPERLINK("http://trademark.i-assist.jp/data/china/image_1890th/72918525.pdf",72918525)</f>
        <v>72918525</v>
      </c>
      <c r="F44" s="7" t="s">
        <v>169</v>
      </c>
      <c r="G44" s="7" t="s">
        <v>163</v>
      </c>
      <c r="H44" s="7" t="s">
        <v>170</v>
      </c>
      <c r="I44" s="9">
        <v>45125</v>
      </c>
    </row>
    <row r="45" spans="1:9" x14ac:dyDescent="0.15">
      <c r="A45" s="6">
        <v>44</v>
      </c>
      <c r="B45" s="7" t="s">
        <v>7</v>
      </c>
      <c r="C45" s="8">
        <v>1890</v>
      </c>
      <c r="D45" s="9">
        <v>45449</v>
      </c>
      <c r="E45" s="13">
        <f>+HYPERLINK("http://trademark.i-assist.jp/data/china/image_1890th/72918598.pdf",72918598)</f>
        <v>72918598</v>
      </c>
      <c r="F45" s="7" t="s">
        <v>172</v>
      </c>
      <c r="G45" s="7" t="s">
        <v>171</v>
      </c>
      <c r="H45" s="7" t="s">
        <v>173</v>
      </c>
      <c r="I45" s="9">
        <v>45125</v>
      </c>
    </row>
    <row r="46" spans="1:9" ht="27" x14ac:dyDescent="0.15">
      <c r="A46" s="6">
        <v>45</v>
      </c>
      <c r="B46" s="7" t="s">
        <v>7</v>
      </c>
      <c r="C46" s="8">
        <v>1890</v>
      </c>
      <c r="D46" s="9">
        <v>45449</v>
      </c>
      <c r="E46" s="13">
        <f>+HYPERLINK("http://trademark.i-assist.jp/data/china/image_1890th/72971158.pdf",72971158)</f>
        <v>72971158</v>
      </c>
      <c r="F46" s="7" t="s">
        <v>10</v>
      </c>
      <c r="G46" s="7" t="s">
        <v>174</v>
      </c>
      <c r="H46" s="7" t="s">
        <v>175</v>
      </c>
      <c r="I46" s="9">
        <v>45127</v>
      </c>
    </row>
    <row r="47" spans="1:9" ht="27" x14ac:dyDescent="0.15">
      <c r="A47" s="6">
        <v>46</v>
      </c>
      <c r="B47" s="7" t="s">
        <v>7</v>
      </c>
      <c r="C47" s="8">
        <v>1890</v>
      </c>
      <c r="D47" s="9">
        <v>45449</v>
      </c>
      <c r="E47" s="13">
        <f>+HYPERLINK("http://trademark.i-assist.jp/data/china/image_1890th/72974465.pdf",72974465)</f>
        <v>72974465</v>
      </c>
      <c r="F47" s="7" t="s">
        <v>177</v>
      </c>
      <c r="G47" s="7" t="s">
        <v>176</v>
      </c>
      <c r="H47" s="7" t="s">
        <v>178</v>
      </c>
      <c r="I47" s="9">
        <v>45127</v>
      </c>
    </row>
    <row r="48" spans="1:9" x14ac:dyDescent="0.15">
      <c r="A48" s="6">
        <v>47</v>
      </c>
      <c r="B48" s="7" t="s">
        <v>7</v>
      </c>
      <c r="C48" s="8">
        <v>1890</v>
      </c>
      <c r="D48" s="9">
        <v>45449</v>
      </c>
      <c r="E48" s="13">
        <f>+HYPERLINK("http://trademark.i-assist.jp/data/china/image_1890th/72988445.pdf",72988445)</f>
        <v>72988445</v>
      </c>
      <c r="F48" s="7" t="s">
        <v>180</v>
      </c>
      <c r="G48" s="7" t="s">
        <v>179</v>
      </c>
      <c r="H48" s="7" t="s">
        <v>181</v>
      </c>
      <c r="I48" s="9">
        <v>45128</v>
      </c>
    </row>
    <row r="49" spans="1:9" x14ac:dyDescent="0.15">
      <c r="A49" s="6">
        <v>48</v>
      </c>
      <c r="B49" s="7" t="s">
        <v>7</v>
      </c>
      <c r="C49" s="8">
        <v>1890</v>
      </c>
      <c r="D49" s="9">
        <v>45449</v>
      </c>
      <c r="E49" s="13">
        <f>+HYPERLINK("http://trademark.i-assist.jp/data/china/image_1890th/73001072.pdf",73001072)</f>
        <v>73001072</v>
      </c>
      <c r="F49" s="7" t="s">
        <v>183</v>
      </c>
      <c r="G49" s="7" t="s">
        <v>182</v>
      </c>
      <c r="H49" s="7" t="s">
        <v>184</v>
      </c>
      <c r="I49" s="9">
        <v>45128</v>
      </c>
    </row>
    <row r="50" spans="1:9" x14ac:dyDescent="0.15">
      <c r="A50" s="6">
        <v>49</v>
      </c>
      <c r="B50" s="7" t="s">
        <v>7</v>
      </c>
      <c r="C50" s="8">
        <v>1890</v>
      </c>
      <c r="D50" s="9">
        <v>45449</v>
      </c>
      <c r="E50" s="13">
        <f>+HYPERLINK("http://trademark.i-assist.jp/data/china/image_1890th/73003955.pdf",73003955)</f>
        <v>73003955</v>
      </c>
      <c r="F50" s="7" t="s">
        <v>186</v>
      </c>
      <c r="G50" s="7" t="s">
        <v>185</v>
      </c>
      <c r="H50" s="7" t="s">
        <v>187</v>
      </c>
      <c r="I50" s="9">
        <v>45128</v>
      </c>
    </row>
    <row r="51" spans="1:9" ht="27" x14ac:dyDescent="0.15">
      <c r="A51" s="6">
        <v>50</v>
      </c>
      <c r="B51" s="7" t="s">
        <v>7</v>
      </c>
      <c r="C51" s="8">
        <v>1890</v>
      </c>
      <c r="D51" s="9">
        <v>45449</v>
      </c>
      <c r="E51" s="13">
        <f>+HYPERLINK("http://trademark.i-assist.jp/data/china/image_1890th/73054252.pdf",73054252)</f>
        <v>73054252</v>
      </c>
      <c r="F51" s="7" t="s">
        <v>189</v>
      </c>
      <c r="G51" s="7" t="s">
        <v>188</v>
      </c>
      <c r="H51" s="7" t="s">
        <v>190</v>
      </c>
      <c r="I51" s="9">
        <v>45132</v>
      </c>
    </row>
    <row r="52" spans="1:9" x14ac:dyDescent="0.15">
      <c r="A52" s="6">
        <v>51</v>
      </c>
      <c r="B52" s="7" t="s">
        <v>7</v>
      </c>
      <c r="C52" s="8">
        <v>1890</v>
      </c>
      <c r="D52" s="9">
        <v>45449</v>
      </c>
      <c r="E52" s="13">
        <f>+HYPERLINK("http://trademark.i-assist.jp/data/china/image_1890th/73063695.pdf",73063695)</f>
        <v>73063695</v>
      </c>
      <c r="F52" s="7" t="s">
        <v>192</v>
      </c>
      <c r="G52" s="7" t="s">
        <v>191</v>
      </c>
      <c r="H52" s="7" t="s">
        <v>193</v>
      </c>
      <c r="I52" s="9">
        <v>45132</v>
      </c>
    </row>
    <row r="53" spans="1:9" x14ac:dyDescent="0.15">
      <c r="A53" s="6">
        <v>52</v>
      </c>
      <c r="B53" s="7" t="s">
        <v>7</v>
      </c>
      <c r="C53" s="8">
        <v>1890</v>
      </c>
      <c r="D53" s="9">
        <v>45449</v>
      </c>
      <c r="E53" s="13">
        <f>+HYPERLINK("http://trademark.i-assist.jp/data/china/image_1890th/73078184.pdf",73078184)</f>
        <v>73078184</v>
      </c>
      <c r="F53" s="7" t="s">
        <v>183</v>
      </c>
      <c r="G53" s="7" t="s">
        <v>194</v>
      </c>
      <c r="H53" s="7" t="s">
        <v>195</v>
      </c>
      <c r="I53" s="9">
        <v>45133</v>
      </c>
    </row>
    <row r="54" spans="1:9" x14ac:dyDescent="0.15">
      <c r="A54" s="6">
        <v>53</v>
      </c>
      <c r="B54" s="7" t="s">
        <v>7</v>
      </c>
      <c r="C54" s="8">
        <v>1890</v>
      </c>
      <c r="D54" s="9">
        <v>45449</v>
      </c>
      <c r="E54" s="13">
        <f>+HYPERLINK("http://trademark.i-assist.jp/data/china/image_1890th/73083928.pdf",73083928)</f>
        <v>73083928</v>
      </c>
      <c r="F54" s="7" t="s">
        <v>197</v>
      </c>
      <c r="G54" s="7" t="s">
        <v>196</v>
      </c>
      <c r="H54" s="7" t="s">
        <v>198</v>
      </c>
      <c r="I54" s="9">
        <v>45133</v>
      </c>
    </row>
    <row r="55" spans="1:9" x14ac:dyDescent="0.15">
      <c r="A55" s="6">
        <v>54</v>
      </c>
      <c r="B55" s="7" t="s">
        <v>7</v>
      </c>
      <c r="C55" s="8">
        <v>1890</v>
      </c>
      <c r="D55" s="9">
        <v>45449</v>
      </c>
      <c r="E55" s="13">
        <f>+HYPERLINK("http://trademark.i-assist.jp/data/china/image_1890th/73287800.pdf",73287800)</f>
        <v>73287800</v>
      </c>
      <c r="F55" s="7" t="s">
        <v>200</v>
      </c>
      <c r="G55" s="7" t="s">
        <v>199</v>
      </c>
      <c r="H55" s="7" t="s">
        <v>201</v>
      </c>
      <c r="I55" s="9">
        <v>45142</v>
      </c>
    </row>
    <row r="56" spans="1:9" x14ac:dyDescent="0.15">
      <c r="A56" s="6">
        <v>55</v>
      </c>
      <c r="B56" s="7" t="s">
        <v>7</v>
      </c>
      <c r="C56" s="8">
        <v>1890</v>
      </c>
      <c r="D56" s="9">
        <v>45449</v>
      </c>
      <c r="E56" s="13">
        <f>+HYPERLINK("http://trademark.i-assist.jp/data/china/image_1890th/73533400.pdf",73533400)</f>
        <v>73533400</v>
      </c>
      <c r="F56" s="7" t="s">
        <v>203</v>
      </c>
      <c r="G56" s="7" t="s">
        <v>202</v>
      </c>
      <c r="H56" s="7" t="s">
        <v>204</v>
      </c>
      <c r="I56" s="9">
        <v>45155</v>
      </c>
    </row>
    <row r="57" spans="1:9" x14ac:dyDescent="0.15">
      <c r="A57" s="6">
        <v>56</v>
      </c>
      <c r="B57" s="7" t="s">
        <v>7</v>
      </c>
      <c r="C57" s="8">
        <v>1890</v>
      </c>
      <c r="D57" s="9">
        <v>45449</v>
      </c>
      <c r="E57" s="13">
        <f>+HYPERLINK("http://trademark.i-assist.jp/data/china/image_1890th/73536372.pdf",73536372)</f>
        <v>73536372</v>
      </c>
      <c r="F57" s="7" t="s">
        <v>206</v>
      </c>
      <c r="G57" s="7" t="s">
        <v>205</v>
      </c>
      <c r="H57" s="7" t="s">
        <v>207</v>
      </c>
      <c r="I57" s="9">
        <v>45155</v>
      </c>
    </row>
    <row r="58" spans="1:9" x14ac:dyDescent="0.15">
      <c r="A58" s="6">
        <v>57</v>
      </c>
      <c r="B58" s="7" t="s">
        <v>7</v>
      </c>
      <c r="C58" s="8">
        <v>1890</v>
      </c>
      <c r="D58" s="9">
        <v>45449</v>
      </c>
      <c r="E58" s="13">
        <f>+HYPERLINK("http://trademark.i-assist.jp/data/china/image_1890th/73790766.pdf",73790766)</f>
        <v>73790766</v>
      </c>
      <c r="F58" s="7" t="s">
        <v>91</v>
      </c>
      <c r="G58" s="7" t="s">
        <v>90</v>
      </c>
      <c r="H58" s="7" t="s">
        <v>208</v>
      </c>
      <c r="I58" s="9">
        <v>45168</v>
      </c>
    </row>
    <row r="59" spans="1:9" ht="27" x14ac:dyDescent="0.15">
      <c r="A59" s="6">
        <v>58</v>
      </c>
      <c r="B59" s="7" t="s">
        <v>7</v>
      </c>
      <c r="C59" s="8">
        <v>1890</v>
      </c>
      <c r="D59" s="9">
        <v>45449</v>
      </c>
      <c r="E59" s="13">
        <f>+HYPERLINK("http://trademark.i-assist.jp/data/china/image_1890th/73983256.pdf",73983256)</f>
        <v>73983256</v>
      </c>
      <c r="F59" s="7" t="s">
        <v>210</v>
      </c>
      <c r="G59" s="7" t="s">
        <v>209</v>
      </c>
      <c r="H59" s="7" t="s">
        <v>211</v>
      </c>
      <c r="I59" s="9">
        <v>45177</v>
      </c>
    </row>
    <row r="60" spans="1:9" x14ac:dyDescent="0.15">
      <c r="A60" s="6">
        <v>59</v>
      </c>
      <c r="B60" s="7" t="s">
        <v>7</v>
      </c>
      <c r="C60" s="8">
        <v>1890</v>
      </c>
      <c r="D60" s="9">
        <v>45449</v>
      </c>
      <c r="E60" s="13">
        <f>+HYPERLINK("http://trademark.i-assist.jp/data/china/image_1890th/73995037.pdf",73995037)</f>
        <v>73995037</v>
      </c>
      <c r="F60" s="7" t="s">
        <v>213</v>
      </c>
      <c r="G60" s="7" t="s">
        <v>212</v>
      </c>
      <c r="H60" s="7" t="s">
        <v>214</v>
      </c>
      <c r="I60" s="9">
        <v>45180</v>
      </c>
    </row>
    <row r="61" spans="1:9" x14ac:dyDescent="0.15">
      <c r="A61" s="6">
        <v>60</v>
      </c>
      <c r="B61" s="7" t="s">
        <v>7</v>
      </c>
      <c r="C61" s="8">
        <v>1890</v>
      </c>
      <c r="D61" s="9">
        <v>45449</v>
      </c>
      <c r="E61" s="13">
        <f>+HYPERLINK("http://trademark.i-assist.jp/data/china/image_1890th/74016731.pdf",74016731)</f>
        <v>74016731</v>
      </c>
      <c r="F61" s="7" t="s">
        <v>213</v>
      </c>
      <c r="G61" s="7" t="s">
        <v>212</v>
      </c>
      <c r="H61" s="7" t="s">
        <v>215</v>
      </c>
      <c r="I61" s="9">
        <v>45180</v>
      </c>
    </row>
    <row r="62" spans="1:9" x14ac:dyDescent="0.15">
      <c r="A62" s="6">
        <v>61</v>
      </c>
      <c r="B62" s="7" t="s">
        <v>7</v>
      </c>
      <c r="C62" s="8">
        <v>1890</v>
      </c>
      <c r="D62" s="9">
        <v>45449</v>
      </c>
      <c r="E62" s="13">
        <f>+HYPERLINK("http://trademark.i-assist.jp/data/china/image_1890th/74018317.pdf",74018317)</f>
        <v>74018317</v>
      </c>
      <c r="F62" s="7" t="s">
        <v>217</v>
      </c>
      <c r="G62" s="7" t="s">
        <v>216</v>
      </c>
      <c r="H62" s="7" t="s">
        <v>218</v>
      </c>
      <c r="I62" s="9">
        <v>45180</v>
      </c>
    </row>
    <row r="63" spans="1:9" ht="27" x14ac:dyDescent="0.15">
      <c r="A63" s="6">
        <v>62</v>
      </c>
      <c r="B63" s="7" t="s">
        <v>7</v>
      </c>
      <c r="C63" s="8">
        <v>1890</v>
      </c>
      <c r="D63" s="9">
        <v>45449</v>
      </c>
      <c r="E63" s="13">
        <f>+HYPERLINK("http://trademark.i-assist.jp/data/china/image_1890th/74582099.pdf",74582099)</f>
        <v>74582099</v>
      </c>
      <c r="F63" s="7" t="s">
        <v>220</v>
      </c>
      <c r="G63" s="7" t="s">
        <v>219</v>
      </c>
      <c r="H63" s="7" t="s">
        <v>221</v>
      </c>
      <c r="I63" s="9">
        <v>45215</v>
      </c>
    </row>
    <row r="64" spans="1:9" ht="27" x14ac:dyDescent="0.15">
      <c r="A64" s="6">
        <v>63</v>
      </c>
      <c r="B64" s="7" t="s">
        <v>7</v>
      </c>
      <c r="C64" s="8">
        <v>1890</v>
      </c>
      <c r="D64" s="9">
        <v>45449</v>
      </c>
      <c r="E64" s="13">
        <f>+HYPERLINK("http://trademark.i-assist.jp/data/china/image_1890th/74862430.pdf",74862430)</f>
        <v>74862430</v>
      </c>
      <c r="F64" s="7" t="s">
        <v>222</v>
      </c>
      <c r="G64" s="7" t="s">
        <v>174</v>
      </c>
      <c r="H64" s="7" t="s">
        <v>223</v>
      </c>
      <c r="I64" s="9">
        <v>45229</v>
      </c>
    </row>
    <row r="65" spans="1:9" ht="27" x14ac:dyDescent="0.15">
      <c r="A65" s="6">
        <v>64</v>
      </c>
      <c r="B65" s="7" t="s">
        <v>7</v>
      </c>
      <c r="C65" s="8">
        <v>1890</v>
      </c>
      <c r="D65" s="9">
        <v>45449</v>
      </c>
      <c r="E65" s="13">
        <f>+HYPERLINK("http://trademark.i-assist.jp/data/china/image_1890th/74866969.pdf",74866969)</f>
        <v>74866969</v>
      </c>
      <c r="F65" s="7" t="s">
        <v>224</v>
      </c>
      <c r="G65" s="7" t="s">
        <v>174</v>
      </c>
      <c r="H65" s="7" t="s">
        <v>225</v>
      </c>
      <c r="I65" s="9">
        <v>45229</v>
      </c>
    </row>
    <row r="66" spans="1:9" x14ac:dyDescent="0.15">
      <c r="A66" s="6">
        <v>65</v>
      </c>
      <c r="B66" s="7" t="s">
        <v>7</v>
      </c>
      <c r="C66" s="8">
        <v>1890</v>
      </c>
      <c r="D66" s="9">
        <v>45449</v>
      </c>
      <c r="E66" s="13">
        <f>+HYPERLINK("http://trademark.i-assist.jp/data/china/image_1890th/75063565.pdf",75063565)</f>
        <v>75063565</v>
      </c>
      <c r="F66" s="7" t="s">
        <v>183</v>
      </c>
      <c r="G66" s="7" t="s">
        <v>226</v>
      </c>
      <c r="H66" s="7" t="s">
        <v>227</v>
      </c>
      <c r="I66" s="9">
        <v>45238</v>
      </c>
    </row>
    <row r="67" spans="1:9" x14ac:dyDescent="0.15">
      <c r="A67" s="6">
        <v>66</v>
      </c>
      <c r="B67" s="7" t="s">
        <v>7</v>
      </c>
      <c r="C67" s="8">
        <v>1890</v>
      </c>
      <c r="D67" s="9">
        <v>45449</v>
      </c>
      <c r="E67" s="13">
        <f>+HYPERLINK("http://trademark.i-assist.jp/data/china/image_1890th/76836837.pdf",76836837)</f>
        <v>76836837</v>
      </c>
      <c r="F67" s="7" t="s">
        <v>229</v>
      </c>
      <c r="G67" s="7" t="s">
        <v>228</v>
      </c>
      <c r="H67" s="7" t="s">
        <v>230</v>
      </c>
      <c r="I67" s="9">
        <v>45340</v>
      </c>
    </row>
    <row r="68" spans="1:9" x14ac:dyDescent="0.15">
      <c r="A68" s="6">
        <v>67</v>
      </c>
      <c r="B68" s="7" t="s">
        <v>7</v>
      </c>
      <c r="C68" s="8">
        <v>1890</v>
      </c>
      <c r="D68" s="9">
        <v>45449</v>
      </c>
      <c r="E68" s="13">
        <f>+HYPERLINK("http://trademark.i-assist.jp/data/china/image_1890th/76838403.pdf",76838403)</f>
        <v>76838403</v>
      </c>
      <c r="F68" s="7" t="s">
        <v>232</v>
      </c>
      <c r="G68" s="7" t="s">
        <v>231</v>
      </c>
      <c r="H68" s="7" t="s">
        <v>233</v>
      </c>
      <c r="I68" s="9">
        <v>45340</v>
      </c>
    </row>
    <row r="69" spans="1:9" x14ac:dyDescent="0.15">
      <c r="A69" s="6">
        <v>68</v>
      </c>
      <c r="B69" s="7" t="s">
        <v>7</v>
      </c>
      <c r="C69" s="8">
        <v>1890</v>
      </c>
      <c r="D69" s="9">
        <v>45449</v>
      </c>
      <c r="E69" s="13">
        <f>+HYPERLINK("http://trademark.i-assist.jp/data/china/image_1890th/76839472.pdf",76839472)</f>
        <v>76839472</v>
      </c>
      <c r="F69" s="7" t="s">
        <v>235</v>
      </c>
      <c r="G69" s="7" t="s">
        <v>234</v>
      </c>
      <c r="H69" s="7" t="s">
        <v>236</v>
      </c>
      <c r="I69" s="9">
        <v>45340</v>
      </c>
    </row>
    <row r="70" spans="1:9" x14ac:dyDescent="0.15">
      <c r="A70" s="6">
        <v>69</v>
      </c>
      <c r="B70" s="7" t="s">
        <v>7</v>
      </c>
      <c r="C70" s="8">
        <v>1890</v>
      </c>
      <c r="D70" s="9">
        <v>45449</v>
      </c>
      <c r="E70" s="13">
        <f>+HYPERLINK("http://trademark.i-assist.jp/data/china/image_1890th/76840220.pdf",76840220)</f>
        <v>76840220</v>
      </c>
      <c r="F70" s="7" t="s">
        <v>238</v>
      </c>
      <c r="G70" s="7" t="s">
        <v>237</v>
      </c>
      <c r="H70" s="7" t="s">
        <v>239</v>
      </c>
      <c r="I70" s="9">
        <v>45340</v>
      </c>
    </row>
    <row r="71" spans="1:9" x14ac:dyDescent="0.15">
      <c r="A71" s="6">
        <v>70</v>
      </c>
      <c r="B71" s="7" t="s">
        <v>7</v>
      </c>
      <c r="C71" s="8">
        <v>1890</v>
      </c>
      <c r="D71" s="9">
        <v>45449</v>
      </c>
      <c r="E71" s="13">
        <f>+HYPERLINK("http://trademark.i-assist.jp/data/china/image_1890th/76840983.pdf",76840983)</f>
        <v>76840983</v>
      </c>
      <c r="F71" s="7" t="s">
        <v>241</v>
      </c>
      <c r="G71" s="7" t="s">
        <v>240</v>
      </c>
      <c r="H71" s="7" t="s">
        <v>242</v>
      </c>
      <c r="I71" s="9">
        <v>45340</v>
      </c>
    </row>
    <row r="72" spans="1:9" x14ac:dyDescent="0.15">
      <c r="A72" s="6">
        <v>71</v>
      </c>
      <c r="B72" s="7" t="s">
        <v>7</v>
      </c>
      <c r="C72" s="8">
        <v>1890</v>
      </c>
      <c r="D72" s="9">
        <v>45449</v>
      </c>
      <c r="E72" s="13">
        <f>+HYPERLINK("http://trademark.i-assist.jp/data/china/image_1890th/77400596.pdf",77400596)</f>
        <v>77400596</v>
      </c>
      <c r="F72" s="7" t="s">
        <v>244</v>
      </c>
      <c r="G72" s="7" t="s">
        <v>243</v>
      </c>
      <c r="H72" s="7" t="s">
        <v>245</v>
      </c>
      <c r="I72" s="9">
        <v>45370</v>
      </c>
    </row>
    <row r="73" spans="1:9" x14ac:dyDescent="0.15">
      <c r="A73" s="6">
        <v>72</v>
      </c>
      <c r="B73" s="7" t="s">
        <v>7</v>
      </c>
      <c r="C73" s="8">
        <v>1890</v>
      </c>
      <c r="D73" s="9">
        <v>45449</v>
      </c>
      <c r="E73" s="13">
        <f>+HYPERLINK("http://trademark.i-assist.jp/data/china/image_1890th/77400953.pdf",77400953)</f>
        <v>77400953</v>
      </c>
      <c r="F73" s="7" t="s">
        <v>247</v>
      </c>
      <c r="G73" s="7" t="s">
        <v>246</v>
      </c>
      <c r="H73" s="7" t="s">
        <v>248</v>
      </c>
      <c r="I73" s="9">
        <v>45370</v>
      </c>
    </row>
    <row r="74" spans="1:9" x14ac:dyDescent="0.15">
      <c r="A74" s="6">
        <v>73</v>
      </c>
      <c r="B74" s="7" t="s">
        <v>7</v>
      </c>
      <c r="C74" s="8">
        <v>1890</v>
      </c>
      <c r="D74" s="9">
        <v>45449</v>
      </c>
      <c r="E74" s="13">
        <f>+HYPERLINK("http://trademark.i-assist.jp/data/china/image_1890th/77401014.pdf",77401014)</f>
        <v>77401014</v>
      </c>
      <c r="F74" s="7" t="s">
        <v>250</v>
      </c>
      <c r="G74" s="7" t="s">
        <v>249</v>
      </c>
      <c r="H74" s="7" t="s">
        <v>251</v>
      </c>
      <c r="I74" s="9">
        <v>45370</v>
      </c>
    </row>
    <row r="75" spans="1:9" x14ac:dyDescent="0.15">
      <c r="A75" s="6">
        <v>74</v>
      </c>
      <c r="B75" s="7" t="s">
        <v>7</v>
      </c>
      <c r="C75" s="8">
        <v>1890</v>
      </c>
      <c r="D75" s="9">
        <v>45449</v>
      </c>
      <c r="E75" s="13">
        <f>+HYPERLINK("http://trademark.i-assist.jp/data/china/image_1890th/77401310.pdf",77401310)</f>
        <v>77401310</v>
      </c>
      <c r="F75" s="7" t="s">
        <v>253</v>
      </c>
      <c r="G75" s="7" t="s">
        <v>252</v>
      </c>
      <c r="H75" s="7" t="s">
        <v>254</v>
      </c>
      <c r="I75" s="9">
        <v>45370</v>
      </c>
    </row>
    <row r="76" spans="1:9" x14ac:dyDescent="0.15">
      <c r="A76" s="6">
        <v>75</v>
      </c>
      <c r="B76" s="7" t="s">
        <v>7</v>
      </c>
      <c r="C76" s="8">
        <v>1890</v>
      </c>
      <c r="D76" s="9">
        <v>45449</v>
      </c>
      <c r="E76" s="13">
        <f>+HYPERLINK("http://trademark.i-assist.jp/data/china/image_1890th/77401372.pdf",77401372)</f>
        <v>77401372</v>
      </c>
      <c r="F76" s="7" t="s">
        <v>256</v>
      </c>
      <c r="G76" s="7" t="s">
        <v>255</v>
      </c>
      <c r="H76" s="7" t="s">
        <v>257</v>
      </c>
      <c r="I76" s="9">
        <v>45370</v>
      </c>
    </row>
    <row r="77" spans="1:9" x14ac:dyDescent="0.15">
      <c r="A77" s="6">
        <v>76</v>
      </c>
      <c r="B77" s="7" t="s">
        <v>7</v>
      </c>
      <c r="C77" s="8">
        <v>1890</v>
      </c>
      <c r="D77" s="9">
        <v>45449</v>
      </c>
      <c r="E77" s="13">
        <f>+HYPERLINK("http://trademark.i-assist.jp/data/china/image_1890th/77401512.pdf",77401512)</f>
        <v>77401512</v>
      </c>
      <c r="F77" s="7" t="s">
        <v>258</v>
      </c>
      <c r="G77" s="7" t="s">
        <v>252</v>
      </c>
      <c r="H77" s="7" t="s">
        <v>259</v>
      </c>
      <c r="I77" s="9">
        <v>45370</v>
      </c>
    </row>
    <row r="78" spans="1:9" x14ac:dyDescent="0.15">
      <c r="A78" s="6">
        <v>77</v>
      </c>
      <c r="B78" s="7" t="s">
        <v>7</v>
      </c>
      <c r="C78" s="8">
        <v>1890</v>
      </c>
      <c r="D78" s="9">
        <v>45449</v>
      </c>
      <c r="E78" s="13">
        <f>+HYPERLINK("http://trademark.i-assist.jp/data/china/image_1890th/77401623.pdf",77401623)</f>
        <v>77401623</v>
      </c>
      <c r="F78" s="7" t="s">
        <v>261</v>
      </c>
      <c r="G78" s="7" t="s">
        <v>260</v>
      </c>
      <c r="H78" s="7" t="s">
        <v>262</v>
      </c>
      <c r="I78" s="9">
        <v>45370</v>
      </c>
    </row>
    <row r="79" spans="1:9" x14ac:dyDescent="0.15">
      <c r="A79" s="6">
        <v>78</v>
      </c>
      <c r="B79" s="7" t="s">
        <v>7</v>
      </c>
      <c r="C79" s="8">
        <v>1890</v>
      </c>
      <c r="D79" s="9">
        <v>45449</v>
      </c>
      <c r="E79" s="13">
        <f>+HYPERLINK("http://trademark.i-assist.jp/data/china/image_1890th/77401649.pdf",77401649)</f>
        <v>77401649</v>
      </c>
      <c r="F79" s="7" t="s">
        <v>263</v>
      </c>
      <c r="G79" s="7" t="s">
        <v>260</v>
      </c>
      <c r="H79" s="7" t="s">
        <v>264</v>
      </c>
      <c r="I79" s="9">
        <v>45370</v>
      </c>
    </row>
    <row r="80" spans="1:9" x14ac:dyDescent="0.15">
      <c r="A80" s="6">
        <v>79</v>
      </c>
      <c r="B80" s="7" t="s">
        <v>7</v>
      </c>
      <c r="C80" s="8">
        <v>1890</v>
      </c>
      <c r="D80" s="9">
        <v>45449</v>
      </c>
      <c r="E80" s="13">
        <f>+HYPERLINK("http://trademark.i-assist.jp/data/china/image_1890th/77401844.pdf",77401844)</f>
        <v>77401844</v>
      </c>
      <c r="F80" s="7" t="s">
        <v>266</v>
      </c>
      <c r="G80" s="7" t="s">
        <v>265</v>
      </c>
      <c r="H80" s="7" t="s">
        <v>267</v>
      </c>
      <c r="I80" s="9">
        <v>45370</v>
      </c>
    </row>
    <row r="81" spans="1:9" x14ac:dyDescent="0.15">
      <c r="A81" s="6">
        <v>80</v>
      </c>
      <c r="B81" s="7" t="s">
        <v>7</v>
      </c>
      <c r="C81" s="8">
        <v>1890</v>
      </c>
      <c r="D81" s="9">
        <v>45449</v>
      </c>
      <c r="E81" s="13">
        <f>+HYPERLINK("http://trademark.i-assist.jp/data/china/image_1890th/77401983.pdf",77401983)</f>
        <v>77401983</v>
      </c>
      <c r="F81" s="7" t="s">
        <v>269</v>
      </c>
      <c r="G81" s="7" t="s">
        <v>268</v>
      </c>
      <c r="H81" s="7" t="s">
        <v>270</v>
      </c>
      <c r="I81" s="9">
        <v>45370</v>
      </c>
    </row>
    <row r="82" spans="1:9" x14ac:dyDescent="0.15">
      <c r="A82" s="6">
        <v>81</v>
      </c>
      <c r="B82" s="7" t="s">
        <v>7</v>
      </c>
      <c r="C82" s="8">
        <v>1890</v>
      </c>
      <c r="D82" s="9">
        <v>45449</v>
      </c>
      <c r="E82" s="13">
        <f>+HYPERLINK("http://trademark.i-assist.jp/data/china/image_1890th/77402172.pdf",77402172)</f>
        <v>77402172</v>
      </c>
      <c r="F82" s="7" t="s">
        <v>272</v>
      </c>
      <c r="G82" s="7" t="s">
        <v>271</v>
      </c>
      <c r="H82" s="7" t="s">
        <v>273</v>
      </c>
      <c r="I82" s="9">
        <v>45370</v>
      </c>
    </row>
    <row r="83" spans="1:9" x14ac:dyDescent="0.15">
      <c r="A83" s="6">
        <v>82</v>
      </c>
      <c r="B83" s="7" t="s">
        <v>7</v>
      </c>
      <c r="C83" s="8">
        <v>1890</v>
      </c>
      <c r="D83" s="9">
        <v>45449</v>
      </c>
      <c r="E83" s="13">
        <f>+HYPERLINK("http://trademark.i-assist.jp/data/china/image_1890th/77442318.pdf",77442318)</f>
        <v>77442318</v>
      </c>
      <c r="F83" s="7" t="s">
        <v>274</v>
      </c>
      <c r="G83" s="7" t="s">
        <v>43</v>
      </c>
      <c r="H83" s="7" t="s">
        <v>275</v>
      </c>
      <c r="I83" s="9">
        <v>45371</v>
      </c>
    </row>
    <row r="84" spans="1:9" x14ac:dyDescent="0.15">
      <c r="A84" s="6">
        <v>83</v>
      </c>
      <c r="B84" s="7" t="s">
        <v>7</v>
      </c>
      <c r="C84" s="8">
        <v>1890</v>
      </c>
      <c r="D84" s="9">
        <v>45449</v>
      </c>
      <c r="E84" s="13">
        <f>+HYPERLINK("http://trademark.i-assist.jp/data/china/image_1890th/77442333.pdf",77442333)</f>
        <v>77442333</v>
      </c>
      <c r="F84" s="7" t="s">
        <v>277</v>
      </c>
      <c r="G84" s="7" t="s">
        <v>276</v>
      </c>
      <c r="H84" s="7" t="s">
        <v>278</v>
      </c>
      <c r="I84" s="9">
        <v>45371</v>
      </c>
    </row>
    <row r="85" spans="1:9" x14ac:dyDescent="0.15">
      <c r="A85" s="6">
        <v>84</v>
      </c>
      <c r="B85" s="7" t="s">
        <v>7</v>
      </c>
      <c r="C85" s="8">
        <v>1890</v>
      </c>
      <c r="D85" s="9">
        <v>45449</v>
      </c>
      <c r="E85" s="13">
        <f>+HYPERLINK("http://trademark.i-assist.jp/data/china/image_1890th/77442616.pdf",77442616)</f>
        <v>77442616</v>
      </c>
      <c r="F85" s="7" t="s">
        <v>280</v>
      </c>
      <c r="G85" s="7" t="s">
        <v>279</v>
      </c>
      <c r="H85" s="7" t="s">
        <v>281</v>
      </c>
      <c r="I85" s="9">
        <v>45371</v>
      </c>
    </row>
    <row r="86" spans="1:9" x14ac:dyDescent="0.15">
      <c r="A86" s="6">
        <v>85</v>
      </c>
      <c r="B86" s="7" t="s">
        <v>7</v>
      </c>
      <c r="C86" s="8">
        <v>1890</v>
      </c>
      <c r="D86" s="9">
        <v>45449</v>
      </c>
      <c r="E86" s="13">
        <f>+HYPERLINK("http://trademark.i-assist.jp/data/china/image_1890th/77442628.pdf",77442628)</f>
        <v>77442628</v>
      </c>
      <c r="F86" s="7" t="s">
        <v>283</v>
      </c>
      <c r="G86" s="7" t="s">
        <v>282</v>
      </c>
      <c r="H86" s="7" t="s">
        <v>284</v>
      </c>
      <c r="I86" s="9">
        <v>45371</v>
      </c>
    </row>
    <row r="87" spans="1:9" ht="27" x14ac:dyDescent="0.15">
      <c r="A87" s="6">
        <v>86</v>
      </c>
      <c r="B87" s="7" t="s">
        <v>7</v>
      </c>
      <c r="C87" s="8">
        <v>1890</v>
      </c>
      <c r="D87" s="9">
        <v>45449</v>
      </c>
      <c r="E87" s="13">
        <f>+HYPERLINK("http://trademark.i-assist.jp/data/china/image_1890th/71573657.pdf",71573657)</f>
        <v>71573657</v>
      </c>
      <c r="F87" s="7" t="s">
        <v>286</v>
      </c>
      <c r="G87" s="7" t="s">
        <v>285</v>
      </c>
      <c r="H87" s="7" t="s">
        <v>287</v>
      </c>
      <c r="I87" s="9">
        <v>45062</v>
      </c>
    </row>
    <row r="88" spans="1:9" x14ac:dyDescent="0.15">
      <c r="A88" s="6">
        <v>87</v>
      </c>
      <c r="B88" s="7" t="s">
        <v>7</v>
      </c>
      <c r="C88" s="8">
        <v>1890</v>
      </c>
      <c r="D88" s="9">
        <v>45449</v>
      </c>
      <c r="E88" s="13">
        <f>+HYPERLINK("http://trademark.i-assist.jp/data/china/image_1890th/71585747.pdf",71585747)</f>
        <v>71585747</v>
      </c>
      <c r="F88" s="7" t="s">
        <v>289</v>
      </c>
      <c r="G88" s="7" t="s">
        <v>288</v>
      </c>
      <c r="H88" s="7" t="s">
        <v>133</v>
      </c>
      <c r="I88" s="9">
        <v>45062</v>
      </c>
    </row>
    <row r="89" spans="1:9" x14ac:dyDescent="0.15">
      <c r="A89" s="6">
        <v>88</v>
      </c>
      <c r="B89" s="7" t="s">
        <v>7</v>
      </c>
      <c r="C89" s="8">
        <v>1890</v>
      </c>
      <c r="D89" s="9">
        <v>45449</v>
      </c>
      <c r="E89" s="13">
        <f>+HYPERLINK("http://trademark.i-assist.jp/data/china/image_1890th/71615882.pdf",71615882)</f>
        <v>71615882</v>
      </c>
      <c r="F89" s="7" t="s">
        <v>291</v>
      </c>
      <c r="G89" s="7" t="s">
        <v>290</v>
      </c>
      <c r="H89" s="7" t="s">
        <v>292</v>
      </c>
      <c r="I89" s="9">
        <v>45063</v>
      </c>
    </row>
    <row r="90" spans="1:9" x14ac:dyDescent="0.15">
      <c r="A90" s="6">
        <v>89</v>
      </c>
      <c r="B90" s="7" t="s">
        <v>7</v>
      </c>
      <c r="C90" s="8">
        <v>1890</v>
      </c>
      <c r="D90" s="9">
        <v>45449</v>
      </c>
      <c r="E90" s="13">
        <f>+HYPERLINK("http://trademark.i-assist.jp/data/china/image_1890th/71640598.pdf",71640598)</f>
        <v>71640598</v>
      </c>
      <c r="F90" s="7" t="s">
        <v>294</v>
      </c>
      <c r="G90" s="7" t="s">
        <v>293</v>
      </c>
      <c r="H90" s="7" t="s">
        <v>295</v>
      </c>
      <c r="I90" s="9">
        <v>45064</v>
      </c>
    </row>
    <row r="91" spans="1:9" x14ac:dyDescent="0.15">
      <c r="A91" s="6">
        <v>90</v>
      </c>
      <c r="B91" s="7" t="s">
        <v>7</v>
      </c>
      <c r="C91" s="8">
        <v>1890</v>
      </c>
      <c r="D91" s="9">
        <v>45449</v>
      </c>
      <c r="E91" s="13">
        <f>+HYPERLINK("http://trademark.i-assist.jp/data/china/image_1890th/71778689.pdf",71778689)</f>
        <v>71778689</v>
      </c>
      <c r="F91" s="7" t="s">
        <v>297</v>
      </c>
      <c r="G91" s="7" t="s">
        <v>296</v>
      </c>
      <c r="H91" s="7" t="s">
        <v>298</v>
      </c>
      <c r="I91" s="9">
        <v>45070</v>
      </c>
    </row>
    <row r="92" spans="1:9" x14ac:dyDescent="0.15">
      <c r="A92" s="6">
        <v>91</v>
      </c>
      <c r="B92" s="7" t="s">
        <v>7</v>
      </c>
      <c r="C92" s="8">
        <v>1890</v>
      </c>
      <c r="D92" s="9">
        <v>45449</v>
      </c>
      <c r="E92" s="13">
        <f>+HYPERLINK("http://trademark.i-assist.jp/data/china/image_1890th/71806289.pdf",71806289)</f>
        <v>71806289</v>
      </c>
      <c r="F92" s="7" t="s">
        <v>300</v>
      </c>
      <c r="G92" s="7" t="s">
        <v>299</v>
      </c>
      <c r="H92" s="7" t="s">
        <v>301</v>
      </c>
      <c r="I92" s="9">
        <v>45071</v>
      </c>
    </row>
    <row r="93" spans="1:9" x14ac:dyDescent="0.15">
      <c r="A93" s="6">
        <v>92</v>
      </c>
      <c r="B93" s="7" t="s">
        <v>7</v>
      </c>
      <c r="C93" s="8">
        <v>1890</v>
      </c>
      <c r="D93" s="9">
        <v>45449</v>
      </c>
      <c r="E93" s="13">
        <f>+HYPERLINK("http://trademark.i-assist.jp/data/china/image_1890th/71839935.pdf",71839935)</f>
        <v>71839935</v>
      </c>
      <c r="F93" s="7" t="s">
        <v>303</v>
      </c>
      <c r="G93" s="7" t="s">
        <v>302</v>
      </c>
      <c r="H93" s="7" t="s">
        <v>304</v>
      </c>
      <c r="I93" s="9">
        <v>45072</v>
      </c>
    </row>
    <row r="94" spans="1:9" x14ac:dyDescent="0.15">
      <c r="A94" s="6">
        <v>93</v>
      </c>
      <c r="B94" s="7" t="s">
        <v>7</v>
      </c>
      <c r="C94" s="8">
        <v>1890</v>
      </c>
      <c r="D94" s="9">
        <v>45449</v>
      </c>
      <c r="E94" s="13">
        <f>+HYPERLINK("http://trademark.i-assist.jp/data/china/image_1890th/71841231.pdf",71841231)</f>
        <v>71841231</v>
      </c>
      <c r="F94" s="7" t="s">
        <v>306</v>
      </c>
      <c r="G94" s="7" t="s">
        <v>305</v>
      </c>
      <c r="H94" s="7" t="s">
        <v>307</v>
      </c>
      <c r="I94" s="9">
        <v>45072</v>
      </c>
    </row>
    <row r="95" spans="1:9" x14ac:dyDescent="0.15">
      <c r="A95" s="6">
        <v>94</v>
      </c>
      <c r="B95" s="7" t="s">
        <v>7</v>
      </c>
      <c r="C95" s="8">
        <v>1890</v>
      </c>
      <c r="D95" s="9">
        <v>45449</v>
      </c>
      <c r="E95" s="13">
        <f>+HYPERLINK("http://trademark.i-assist.jp/data/china/image_1890th/71848453.pdf",71848453)</f>
        <v>71848453</v>
      </c>
      <c r="F95" s="7" t="s">
        <v>309</v>
      </c>
      <c r="G95" s="7" t="s">
        <v>308</v>
      </c>
      <c r="H95" s="7" t="s">
        <v>310</v>
      </c>
      <c r="I95" s="9">
        <v>45072</v>
      </c>
    </row>
    <row r="96" spans="1:9" ht="27" x14ac:dyDescent="0.15">
      <c r="A96" s="6">
        <v>95</v>
      </c>
      <c r="B96" s="7" t="s">
        <v>7</v>
      </c>
      <c r="C96" s="8">
        <v>1890</v>
      </c>
      <c r="D96" s="9">
        <v>45449</v>
      </c>
      <c r="E96" s="13">
        <f>+HYPERLINK("http://trademark.i-assist.jp/data/china/image_1890th/71871247.pdf",71871247)</f>
        <v>71871247</v>
      </c>
      <c r="F96" s="7" t="s">
        <v>312</v>
      </c>
      <c r="G96" s="7" t="s">
        <v>311</v>
      </c>
      <c r="H96" s="7" t="s">
        <v>313</v>
      </c>
      <c r="I96" s="9">
        <v>45075</v>
      </c>
    </row>
    <row r="97" spans="1:9" ht="27" x14ac:dyDescent="0.15">
      <c r="A97" s="6">
        <v>96</v>
      </c>
      <c r="B97" s="7" t="s">
        <v>7</v>
      </c>
      <c r="C97" s="8">
        <v>1890</v>
      </c>
      <c r="D97" s="9">
        <v>45449</v>
      </c>
      <c r="E97" s="13">
        <f>+HYPERLINK("http://trademark.i-assist.jp/data/china/image_1890th/71967387.pdf",71967387)</f>
        <v>71967387</v>
      </c>
      <c r="F97" s="7" t="s">
        <v>315</v>
      </c>
      <c r="G97" s="7" t="s">
        <v>314</v>
      </c>
      <c r="H97" s="7" t="s">
        <v>316</v>
      </c>
      <c r="I97" s="9">
        <v>45078</v>
      </c>
    </row>
    <row r="98" spans="1:9" x14ac:dyDescent="0.15">
      <c r="A98" s="6">
        <v>97</v>
      </c>
      <c r="B98" s="7" t="s">
        <v>7</v>
      </c>
      <c r="C98" s="8">
        <v>1890</v>
      </c>
      <c r="D98" s="9">
        <v>45449</v>
      </c>
      <c r="E98" s="13">
        <f>+HYPERLINK("http://trademark.i-assist.jp/data/china/image_1890th/71986353.pdf",71986353)</f>
        <v>71986353</v>
      </c>
      <c r="F98" s="7" t="s">
        <v>318</v>
      </c>
      <c r="G98" s="7" t="s">
        <v>317</v>
      </c>
      <c r="H98" s="7" t="s">
        <v>319</v>
      </c>
      <c r="I98" s="9">
        <v>45079</v>
      </c>
    </row>
    <row r="99" spans="1:9" ht="27" x14ac:dyDescent="0.15">
      <c r="A99" s="6">
        <v>98</v>
      </c>
      <c r="B99" s="7" t="s">
        <v>7</v>
      </c>
      <c r="C99" s="8">
        <v>1890</v>
      </c>
      <c r="D99" s="9">
        <v>45449</v>
      </c>
      <c r="E99" s="13">
        <f>+HYPERLINK("http://trademark.i-assist.jp/data/china/image_1890th/72007832.pdf",72007832)</f>
        <v>72007832</v>
      </c>
      <c r="F99" s="7" t="s">
        <v>321</v>
      </c>
      <c r="G99" s="7" t="s">
        <v>320</v>
      </c>
      <c r="H99" s="7" t="s">
        <v>322</v>
      </c>
      <c r="I99" s="9">
        <v>45080</v>
      </c>
    </row>
    <row r="100" spans="1:9" x14ac:dyDescent="0.15">
      <c r="A100" s="6">
        <v>99</v>
      </c>
      <c r="B100" s="7" t="s">
        <v>7</v>
      </c>
      <c r="C100" s="8">
        <v>1890</v>
      </c>
      <c r="D100" s="9">
        <v>45449</v>
      </c>
      <c r="E100" s="13">
        <f>+HYPERLINK("http://trademark.i-assist.jp/data/china/image_1890th/72033896.pdf",72033896)</f>
        <v>72033896</v>
      </c>
      <c r="F100" s="7" t="s">
        <v>324</v>
      </c>
      <c r="G100" s="7" t="s">
        <v>323</v>
      </c>
      <c r="H100" s="7" t="s">
        <v>325</v>
      </c>
      <c r="I100" s="9">
        <v>45082</v>
      </c>
    </row>
    <row r="101" spans="1:9" x14ac:dyDescent="0.15">
      <c r="A101" s="6">
        <v>100</v>
      </c>
      <c r="B101" s="7" t="s">
        <v>7</v>
      </c>
      <c r="C101" s="8">
        <v>1890</v>
      </c>
      <c r="D101" s="9">
        <v>45449</v>
      </c>
      <c r="E101" s="13">
        <f>+HYPERLINK("http://trademark.i-assist.jp/data/china/image_1890th/72096072.pdf",72096072)</f>
        <v>72096072</v>
      </c>
      <c r="F101" s="7" t="s">
        <v>327</v>
      </c>
      <c r="G101" s="7" t="s">
        <v>326</v>
      </c>
      <c r="H101" s="7" t="s">
        <v>328</v>
      </c>
      <c r="I101" s="9">
        <v>45085</v>
      </c>
    </row>
    <row r="102" spans="1:9" x14ac:dyDescent="0.15">
      <c r="A102" s="6">
        <v>101</v>
      </c>
      <c r="B102" s="7" t="s">
        <v>7</v>
      </c>
      <c r="C102" s="8">
        <v>1890</v>
      </c>
      <c r="D102" s="9">
        <v>45449</v>
      </c>
      <c r="E102" s="13">
        <f>+HYPERLINK("http://trademark.i-assist.jp/data/china/image_1890th/72106078.pdf",72106078)</f>
        <v>72106078</v>
      </c>
      <c r="F102" s="7" t="s">
        <v>330</v>
      </c>
      <c r="G102" s="7" t="s">
        <v>329</v>
      </c>
      <c r="H102" s="7" t="s">
        <v>331</v>
      </c>
      <c r="I102" s="9">
        <v>45085</v>
      </c>
    </row>
    <row r="103" spans="1:9" x14ac:dyDescent="0.15">
      <c r="A103" s="6">
        <v>102</v>
      </c>
      <c r="B103" s="7" t="s">
        <v>7</v>
      </c>
      <c r="C103" s="8">
        <v>1890</v>
      </c>
      <c r="D103" s="9">
        <v>45449</v>
      </c>
      <c r="E103" s="13">
        <f>+HYPERLINK("http://trademark.i-assist.jp/data/china/image_1890th/72118656.pdf",72118656)</f>
        <v>72118656</v>
      </c>
      <c r="F103" s="7" t="s">
        <v>333</v>
      </c>
      <c r="G103" s="7" t="s">
        <v>332</v>
      </c>
      <c r="H103" s="7" t="s">
        <v>334</v>
      </c>
      <c r="I103" s="9">
        <v>45086</v>
      </c>
    </row>
    <row r="104" spans="1:9" x14ac:dyDescent="0.15">
      <c r="A104" s="6">
        <v>103</v>
      </c>
      <c r="B104" s="7" t="s">
        <v>7</v>
      </c>
      <c r="C104" s="8">
        <v>1890</v>
      </c>
      <c r="D104" s="9">
        <v>45449</v>
      </c>
      <c r="E104" s="13">
        <f>+HYPERLINK("http://trademark.i-assist.jp/data/china/image_1890th/72121500.pdf",72121500)</f>
        <v>72121500</v>
      </c>
      <c r="F104" s="7" t="s">
        <v>336</v>
      </c>
      <c r="G104" s="7" t="s">
        <v>335</v>
      </c>
      <c r="H104" s="7" t="s">
        <v>337</v>
      </c>
      <c r="I104" s="9">
        <v>45086</v>
      </c>
    </row>
    <row r="105" spans="1:9" x14ac:dyDescent="0.15">
      <c r="A105" s="6">
        <v>104</v>
      </c>
      <c r="B105" s="7" t="s">
        <v>7</v>
      </c>
      <c r="C105" s="8">
        <v>1890</v>
      </c>
      <c r="D105" s="9">
        <v>45449</v>
      </c>
      <c r="E105" s="13">
        <f>+HYPERLINK("http://trademark.i-assist.jp/data/china/image_1890th/72131599.pdf",72131599)</f>
        <v>72131599</v>
      </c>
      <c r="F105" s="7" t="s">
        <v>339</v>
      </c>
      <c r="G105" s="7" t="s">
        <v>338</v>
      </c>
      <c r="H105" s="7" t="s">
        <v>340</v>
      </c>
      <c r="I105" s="9">
        <v>45086</v>
      </c>
    </row>
    <row r="106" spans="1:9" x14ac:dyDescent="0.15">
      <c r="A106" s="6">
        <v>105</v>
      </c>
      <c r="B106" s="7" t="s">
        <v>7</v>
      </c>
      <c r="C106" s="8">
        <v>1890</v>
      </c>
      <c r="D106" s="9">
        <v>45449</v>
      </c>
      <c r="E106" s="13">
        <f>+HYPERLINK("http://trademark.i-assist.jp/data/china/image_1890th/72133424.pdf",72133424)</f>
        <v>72133424</v>
      </c>
      <c r="F106" s="7" t="s">
        <v>342</v>
      </c>
      <c r="G106" s="7" t="s">
        <v>341</v>
      </c>
      <c r="H106" s="7" t="s">
        <v>343</v>
      </c>
      <c r="I106" s="9">
        <v>45086</v>
      </c>
    </row>
    <row r="107" spans="1:9" ht="27" x14ac:dyDescent="0.15">
      <c r="A107" s="6">
        <v>106</v>
      </c>
      <c r="B107" s="7" t="s">
        <v>7</v>
      </c>
      <c r="C107" s="8">
        <v>1890</v>
      </c>
      <c r="D107" s="9">
        <v>45449</v>
      </c>
      <c r="E107" s="13">
        <f>+HYPERLINK("http://trademark.i-assist.jp/data/china/image_1890th/72197119.pdf",72197119)</f>
        <v>72197119</v>
      </c>
      <c r="F107" s="7" t="s">
        <v>189</v>
      </c>
      <c r="G107" s="7" t="s">
        <v>188</v>
      </c>
      <c r="H107" s="7" t="s">
        <v>344</v>
      </c>
      <c r="I107" s="9">
        <v>45090</v>
      </c>
    </row>
    <row r="108" spans="1:9" x14ac:dyDescent="0.15">
      <c r="A108" s="6">
        <v>107</v>
      </c>
      <c r="B108" s="7" t="s">
        <v>7</v>
      </c>
      <c r="C108" s="8">
        <v>1890</v>
      </c>
      <c r="D108" s="9">
        <v>45449</v>
      </c>
      <c r="E108" s="13">
        <f>+HYPERLINK("http://trademark.i-assist.jp/data/china/image_1890th/72197396.pdf",72197396)</f>
        <v>72197396</v>
      </c>
      <c r="F108" s="7" t="s">
        <v>346</v>
      </c>
      <c r="G108" s="7" t="s">
        <v>345</v>
      </c>
      <c r="H108" s="7" t="s">
        <v>347</v>
      </c>
      <c r="I108" s="9">
        <v>45090</v>
      </c>
    </row>
    <row r="109" spans="1:9" ht="27" x14ac:dyDescent="0.15">
      <c r="A109" s="6">
        <v>108</v>
      </c>
      <c r="B109" s="7" t="s">
        <v>7</v>
      </c>
      <c r="C109" s="8">
        <v>1890</v>
      </c>
      <c r="D109" s="9">
        <v>45449</v>
      </c>
      <c r="E109" s="13">
        <f>+HYPERLINK("http://trademark.i-assist.jp/data/china/image_1890th/72198709.pdf",72198709)</f>
        <v>72198709</v>
      </c>
      <c r="F109" s="7" t="s">
        <v>189</v>
      </c>
      <c r="G109" s="7" t="s">
        <v>188</v>
      </c>
      <c r="H109" s="7" t="s">
        <v>348</v>
      </c>
      <c r="I109" s="9">
        <v>45090</v>
      </c>
    </row>
    <row r="110" spans="1:9" x14ac:dyDescent="0.15">
      <c r="A110" s="6">
        <v>109</v>
      </c>
      <c r="B110" s="7" t="s">
        <v>7</v>
      </c>
      <c r="C110" s="8">
        <v>1890</v>
      </c>
      <c r="D110" s="9">
        <v>45449</v>
      </c>
      <c r="E110" s="13">
        <f>+HYPERLINK("http://trademark.i-assist.jp/data/china/image_1890th/72211936.pdf",72211936)</f>
        <v>72211936</v>
      </c>
      <c r="F110" s="7" t="s">
        <v>350</v>
      </c>
      <c r="G110" s="7" t="s">
        <v>349</v>
      </c>
      <c r="H110" s="7" t="s">
        <v>351</v>
      </c>
      <c r="I110" s="9">
        <v>45091</v>
      </c>
    </row>
    <row r="111" spans="1:9" x14ac:dyDescent="0.15">
      <c r="A111" s="6">
        <v>110</v>
      </c>
      <c r="B111" s="7" t="s">
        <v>7</v>
      </c>
      <c r="C111" s="8">
        <v>1890</v>
      </c>
      <c r="D111" s="9">
        <v>45449</v>
      </c>
      <c r="E111" s="13">
        <f>+HYPERLINK("http://trademark.i-assist.jp/data/china/image_1890th/72250244.pdf",72250244)</f>
        <v>72250244</v>
      </c>
      <c r="F111" s="7" t="s">
        <v>353</v>
      </c>
      <c r="G111" s="7" t="s">
        <v>352</v>
      </c>
      <c r="H111" s="7" t="s">
        <v>354</v>
      </c>
      <c r="I111" s="9">
        <v>45092</v>
      </c>
    </row>
    <row r="112" spans="1:9" x14ac:dyDescent="0.15">
      <c r="A112" s="6">
        <v>111</v>
      </c>
      <c r="B112" s="7" t="s">
        <v>7</v>
      </c>
      <c r="C112" s="8">
        <v>1890</v>
      </c>
      <c r="D112" s="9">
        <v>45449</v>
      </c>
      <c r="E112" s="13">
        <f>+HYPERLINK("http://trademark.i-assist.jp/data/china/image_1890th/72343784.pdf",72343784)</f>
        <v>72343784</v>
      </c>
      <c r="F112" s="7" t="s">
        <v>356</v>
      </c>
      <c r="G112" s="7" t="s">
        <v>355</v>
      </c>
      <c r="H112" s="7" t="s">
        <v>357</v>
      </c>
      <c r="I112" s="9">
        <v>45097</v>
      </c>
    </row>
    <row r="113" spans="1:9" x14ac:dyDescent="0.15">
      <c r="A113" s="6">
        <v>112</v>
      </c>
      <c r="B113" s="7" t="s">
        <v>7</v>
      </c>
      <c r="C113" s="8">
        <v>1890</v>
      </c>
      <c r="D113" s="9">
        <v>45449</v>
      </c>
      <c r="E113" s="13">
        <f>+HYPERLINK("http://trademark.i-assist.jp/data/china/image_1890th/72344688.pdf",72344688)</f>
        <v>72344688</v>
      </c>
      <c r="F113" s="7" t="s">
        <v>359</v>
      </c>
      <c r="G113" s="7" t="s">
        <v>358</v>
      </c>
      <c r="H113" s="7" t="s">
        <v>360</v>
      </c>
      <c r="I113" s="9">
        <v>45097</v>
      </c>
    </row>
    <row r="114" spans="1:9" x14ac:dyDescent="0.15">
      <c r="A114" s="6">
        <v>113</v>
      </c>
      <c r="B114" s="7" t="s">
        <v>7</v>
      </c>
      <c r="C114" s="8">
        <v>1890</v>
      </c>
      <c r="D114" s="9">
        <v>45449</v>
      </c>
      <c r="E114" s="13">
        <f>+HYPERLINK("http://trademark.i-assist.jp/data/china/image_1890th/72417970.pdf",72417970)</f>
        <v>72417970</v>
      </c>
      <c r="F114" s="7" t="s">
        <v>362</v>
      </c>
      <c r="G114" s="7" t="s">
        <v>361</v>
      </c>
      <c r="H114" s="7" t="s">
        <v>363</v>
      </c>
      <c r="I114" s="9">
        <v>45102</v>
      </c>
    </row>
    <row r="115" spans="1:9" ht="27" x14ac:dyDescent="0.15">
      <c r="A115" s="6">
        <v>114</v>
      </c>
      <c r="B115" s="7" t="s">
        <v>7</v>
      </c>
      <c r="C115" s="8">
        <v>1890</v>
      </c>
      <c r="D115" s="9">
        <v>45449</v>
      </c>
      <c r="E115" s="13">
        <f>+HYPERLINK("http://trademark.i-assist.jp/data/china/image_1890th/72422810.pdf",72422810)</f>
        <v>72422810</v>
      </c>
      <c r="F115" s="7" t="s">
        <v>365</v>
      </c>
      <c r="G115" s="7" t="s">
        <v>364</v>
      </c>
      <c r="H115" s="7" t="s">
        <v>366</v>
      </c>
      <c r="I115" s="9">
        <v>45102</v>
      </c>
    </row>
    <row r="116" spans="1:9" x14ac:dyDescent="0.15">
      <c r="A116" s="6">
        <v>115</v>
      </c>
      <c r="B116" s="7" t="s">
        <v>7</v>
      </c>
      <c r="C116" s="8">
        <v>1890</v>
      </c>
      <c r="D116" s="9">
        <v>45449</v>
      </c>
      <c r="E116" s="13">
        <f>+HYPERLINK("http://trademark.i-assist.jp/data/china/image_1890th/72489975.pdf",72489975)</f>
        <v>72489975</v>
      </c>
      <c r="F116" s="7" t="s">
        <v>368</v>
      </c>
      <c r="G116" s="7" t="s">
        <v>367</v>
      </c>
      <c r="H116" s="7" t="s">
        <v>369</v>
      </c>
      <c r="I116" s="9">
        <v>45105</v>
      </c>
    </row>
    <row r="117" spans="1:9" x14ac:dyDescent="0.15">
      <c r="A117" s="6">
        <v>116</v>
      </c>
      <c r="B117" s="7" t="s">
        <v>7</v>
      </c>
      <c r="C117" s="8">
        <v>1890</v>
      </c>
      <c r="D117" s="9">
        <v>45449</v>
      </c>
      <c r="E117" s="13">
        <f>+HYPERLINK("http://trademark.i-assist.jp/data/china/image_1890th/76449545.pdf",76449545)</f>
        <v>76449545</v>
      </c>
      <c r="F117" s="7" t="s">
        <v>371</v>
      </c>
      <c r="G117" s="7" t="s">
        <v>370</v>
      </c>
      <c r="H117" s="7" t="s">
        <v>372</v>
      </c>
      <c r="I117" s="9">
        <v>45308</v>
      </c>
    </row>
    <row r="118" spans="1:9" ht="54" x14ac:dyDescent="0.15">
      <c r="A118" s="6">
        <v>117</v>
      </c>
      <c r="B118" s="7" t="s">
        <v>7</v>
      </c>
      <c r="C118" s="8">
        <v>1890</v>
      </c>
      <c r="D118" s="9">
        <v>45449</v>
      </c>
      <c r="E118" s="13">
        <f>+HYPERLINK("http://trademark.i-assist.jp/data/china/image_1890th/76451178.pdf",76451178)</f>
        <v>76451178</v>
      </c>
      <c r="F118" s="7" t="s">
        <v>374</v>
      </c>
      <c r="G118" s="7" t="s">
        <v>373</v>
      </c>
      <c r="H118" s="7" t="s">
        <v>375</v>
      </c>
      <c r="I118" s="9">
        <v>45308</v>
      </c>
    </row>
    <row r="119" spans="1:9" x14ac:dyDescent="0.15">
      <c r="A119" s="6">
        <v>118</v>
      </c>
      <c r="B119" s="7" t="s">
        <v>7</v>
      </c>
      <c r="C119" s="8">
        <v>1890</v>
      </c>
      <c r="D119" s="9">
        <v>45449</v>
      </c>
      <c r="E119" s="13">
        <f>+HYPERLINK("http://trademark.i-assist.jp/data/china/image_1890th/76455751.pdf",76455751)</f>
        <v>76455751</v>
      </c>
      <c r="F119" s="7" t="s">
        <v>377</v>
      </c>
      <c r="G119" s="7" t="s">
        <v>376</v>
      </c>
      <c r="H119" s="7" t="s">
        <v>378</v>
      </c>
      <c r="I119" s="9">
        <v>45308</v>
      </c>
    </row>
    <row r="120" spans="1:9" x14ac:dyDescent="0.15">
      <c r="A120" s="6">
        <v>119</v>
      </c>
      <c r="B120" s="7" t="s">
        <v>7</v>
      </c>
      <c r="C120" s="8">
        <v>1890</v>
      </c>
      <c r="D120" s="9">
        <v>45449</v>
      </c>
      <c r="E120" s="13">
        <f>+HYPERLINK("http://trademark.i-assist.jp/data/china/image_1890th/76459665.pdf",76459665)</f>
        <v>76459665</v>
      </c>
      <c r="F120" s="7" t="s">
        <v>183</v>
      </c>
      <c r="G120" s="7" t="s">
        <v>379</v>
      </c>
      <c r="H120" s="7" t="s">
        <v>380</v>
      </c>
      <c r="I120" s="9">
        <v>45309</v>
      </c>
    </row>
    <row r="121" spans="1:9" x14ac:dyDescent="0.15">
      <c r="A121" s="6">
        <v>120</v>
      </c>
      <c r="B121" s="7" t="s">
        <v>7</v>
      </c>
      <c r="C121" s="8">
        <v>1890</v>
      </c>
      <c r="D121" s="9">
        <v>45449</v>
      </c>
      <c r="E121" s="13">
        <f>+HYPERLINK("http://trademark.i-assist.jp/data/china/image_1890th/76483722.pdf",76483722)</f>
        <v>76483722</v>
      </c>
      <c r="F121" s="7" t="s">
        <v>382</v>
      </c>
      <c r="G121" s="7" t="s">
        <v>381</v>
      </c>
      <c r="H121" s="7" t="s">
        <v>383</v>
      </c>
      <c r="I121" s="9">
        <v>45310</v>
      </c>
    </row>
    <row r="122" spans="1:9" x14ac:dyDescent="0.15">
      <c r="A122" s="6">
        <v>121</v>
      </c>
      <c r="B122" s="7" t="s">
        <v>7</v>
      </c>
      <c r="C122" s="8">
        <v>1890</v>
      </c>
      <c r="D122" s="9">
        <v>45449</v>
      </c>
      <c r="E122" s="13">
        <f>+HYPERLINK("http://trademark.i-assist.jp/data/china/image_1890th/76486004.pdf",76486004)</f>
        <v>76486004</v>
      </c>
      <c r="F122" s="7" t="s">
        <v>385</v>
      </c>
      <c r="G122" s="7" t="s">
        <v>384</v>
      </c>
      <c r="H122" s="7" t="s">
        <v>386</v>
      </c>
      <c r="I122" s="9">
        <v>45310</v>
      </c>
    </row>
    <row r="123" spans="1:9" x14ac:dyDescent="0.15">
      <c r="A123" s="6">
        <v>122</v>
      </c>
      <c r="B123" s="7" t="s">
        <v>7</v>
      </c>
      <c r="C123" s="8">
        <v>1890</v>
      </c>
      <c r="D123" s="9">
        <v>45449</v>
      </c>
      <c r="E123" s="13">
        <f>+HYPERLINK("http://trademark.i-assist.jp/data/china/image_1890th/76502776.pdf",76502776)</f>
        <v>76502776</v>
      </c>
      <c r="F123" s="7" t="s">
        <v>387</v>
      </c>
      <c r="G123" s="7" t="s">
        <v>381</v>
      </c>
      <c r="H123" s="7" t="s">
        <v>388</v>
      </c>
      <c r="I123" s="9">
        <v>45310</v>
      </c>
    </row>
    <row r="124" spans="1:9" ht="27" x14ac:dyDescent="0.15">
      <c r="A124" s="6">
        <v>123</v>
      </c>
      <c r="B124" s="7" t="s">
        <v>7</v>
      </c>
      <c r="C124" s="8">
        <v>1890</v>
      </c>
      <c r="D124" s="9">
        <v>45449</v>
      </c>
      <c r="E124" s="13">
        <f>+HYPERLINK("http://trademark.i-assist.jp/data/china/image_1890th/76503630.pdf",76503630)</f>
        <v>76503630</v>
      </c>
      <c r="F124" s="7" t="s">
        <v>390</v>
      </c>
      <c r="G124" s="7" t="s">
        <v>389</v>
      </c>
      <c r="H124" s="7" t="s">
        <v>391</v>
      </c>
      <c r="I124" s="9">
        <v>45310</v>
      </c>
    </row>
    <row r="125" spans="1:9" x14ac:dyDescent="0.15">
      <c r="A125" s="6">
        <v>124</v>
      </c>
      <c r="B125" s="7" t="s">
        <v>7</v>
      </c>
      <c r="C125" s="8">
        <v>1890</v>
      </c>
      <c r="D125" s="9">
        <v>45449</v>
      </c>
      <c r="E125" s="13">
        <f>+HYPERLINK("http://trademark.i-assist.jp/data/china/image_1890th/76505847.pdf",76505847)</f>
        <v>76505847</v>
      </c>
      <c r="F125" s="7" t="s">
        <v>393</v>
      </c>
      <c r="G125" s="7" t="s">
        <v>392</v>
      </c>
      <c r="H125" s="7" t="s">
        <v>394</v>
      </c>
      <c r="I125" s="9">
        <v>45310</v>
      </c>
    </row>
    <row r="126" spans="1:9" x14ac:dyDescent="0.15">
      <c r="A126" s="6">
        <v>125</v>
      </c>
      <c r="B126" s="7" t="s">
        <v>7</v>
      </c>
      <c r="C126" s="8">
        <v>1890</v>
      </c>
      <c r="D126" s="9">
        <v>45449</v>
      </c>
      <c r="E126" s="13">
        <f>+HYPERLINK("http://trademark.i-assist.jp/data/china/image_1890th/76509817.pdf",76509817)</f>
        <v>76509817</v>
      </c>
      <c r="F126" s="7" t="s">
        <v>396</v>
      </c>
      <c r="G126" s="7" t="s">
        <v>395</v>
      </c>
      <c r="H126" s="7" t="s">
        <v>397</v>
      </c>
      <c r="I126" s="9">
        <v>45309</v>
      </c>
    </row>
    <row r="127" spans="1:9" x14ac:dyDescent="0.15">
      <c r="A127" s="6">
        <v>126</v>
      </c>
      <c r="B127" s="7" t="s">
        <v>7</v>
      </c>
      <c r="C127" s="8">
        <v>1890</v>
      </c>
      <c r="D127" s="9">
        <v>45449</v>
      </c>
      <c r="E127" s="13">
        <f>+HYPERLINK("http://trademark.i-assist.jp/data/china/image_1890th/76511750.pdf",76511750)</f>
        <v>76511750</v>
      </c>
      <c r="F127" s="7" t="s">
        <v>399</v>
      </c>
      <c r="G127" s="7" t="s">
        <v>398</v>
      </c>
      <c r="H127" s="7" t="s">
        <v>400</v>
      </c>
      <c r="I127" s="9">
        <v>45311</v>
      </c>
    </row>
    <row r="128" spans="1:9" x14ac:dyDescent="0.15">
      <c r="A128" s="6">
        <v>127</v>
      </c>
      <c r="B128" s="7" t="s">
        <v>7</v>
      </c>
      <c r="C128" s="8">
        <v>1890</v>
      </c>
      <c r="D128" s="9">
        <v>45449</v>
      </c>
      <c r="E128" s="13">
        <f>+HYPERLINK("http://trademark.i-assist.jp/data/china/image_1890th/76525866.pdf",76525866)</f>
        <v>76525866</v>
      </c>
      <c r="F128" s="7" t="s">
        <v>402</v>
      </c>
      <c r="G128" s="7" t="s">
        <v>401</v>
      </c>
      <c r="H128" s="7" t="s">
        <v>403</v>
      </c>
      <c r="I128" s="9">
        <v>45313</v>
      </c>
    </row>
    <row r="129" spans="1:9" x14ac:dyDescent="0.15">
      <c r="A129" s="6">
        <v>128</v>
      </c>
      <c r="B129" s="7" t="s">
        <v>7</v>
      </c>
      <c r="C129" s="8">
        <v>1890</v>
      </c>
      <c r="D129" s="9">
        <v>45449</v>
      </c>
      <c r="E129" s="13">
        <f>+HYPERLINK("http://trademark.i-assist.jp/data/china/image_1890th/76526530.pdf",76526530)</f>
        <v>76526530</v>
      </c>
      <c r="F129" s="7" t="s">
        <v>405</v>
      </c>
      <c r="G129" s="7" t="s">
        <v>404</v>
      </c>
      <c r="H129" s="7" t="s">
        <v>406</v>
      </c>
      <c r="I129" s="9">
        <v>45313</v>
      </c>
    </row>
    <row r="130" spans="1:9" ht="27" x14ac:dyDescent="0.15">
      <c r="A130" s="6">
        <v>129</v>
      </c>
      <c r="B130" s="7" t="s">
        <v>7</v>
      </c>
      <c r="C130" s="8">
        <v>1890</v>
      </c>
      <c r="D130" s="9">
        <v>45449</v>
      </c>
      <c r="E130" s="13">
        <f>+HYPERLINK("http://trademark.i-assist.jp/data/china/image_1890th/76531093.pdf",76531093)</f>
        <v>76531093</v>
      </c>
      <c r="F130" s="7" t="s">
        <v>408</v>
      </c>
      <c r="G130" s="7" t="s">
        <v>407</v>
      </c>
      <c r="H130" s="7" t="s">
        <v>409</v>
      </c>
      <c r="I130" s="9">
        <v>45313</v>
      </c>
    </row>
    <row r="131" spans="1:9" x14ac:dyDescent="0.15">
      <c r="A131" s="6">
        <v>130</v>
      </c>
      <c r="B131" s="7" t="s">
        <v>7</v>
      </c>
      <c r="C131" s="8">
        <v>1890</v>
      </c>
      <c r="D131" s="9">
        <v>45449</v>
      </c>
      <c r="E131" s="13">
        <f>+HYPERLINK("http://trademark.i-assist.jp/data/china/image_1890th/76545130.pdf",76545130)</f>
        <v>76545130</v>
      </c>
      <c r="F131" s="7" t="s">
        <v>411</v>
      </c>
      <c r="G131" s="7" t="s">
        <v>410</v>
      </c>
      <c r="H131" s="7" t="s">
        <v>412</v>
      </c>
      <c r="I131" s="9">
        <v>45314</v>
      </c>
    </row>
    <row r="132" spans="1:9" x14ac:dyDescent="0.15">
      <c r="A132" s="6">
        <v>131</v>
      </c>
      <c r="B132" s="7" t="s">
        <v>7</v>
      </c>
      <c r="C132" s="8">
        <v>1890</v>
      </c>
      <c r="D132" s="9">
        <v>45449</v>
      </c>
      <c r="E132" s="13">
        <f>+HYPERLINK("http://trademark.i-assist.jp/data/china/image_1890th/76558978.pdf",76558978)</f>
        <v>76558978</v>
      </c>
      <c r="F132" s="7" t="s">
        <v>414</v>
      </c>
      <c r="G132" s="7" t="s">
        <v>413</v>
      </c>
      <c r="H132" s="7" t="s">
        <v>415</v>
      </c>
      <c r="I132" s="9">
        <v>45314</v>
      </c>
    </row>
    <row r="133" spans="1:9" x14ac:dyDescent="0.15">
      <c r="A133" s="6">
        <v>132</v>
      </c>
      <c r="B133" s="7" t="s">
        <v>7</v>
      </c>
      <c r="C133" s="8">
        <v>1890</v>
      </c>
      <c r="D133" s="9">
        <v>45449</v>
      </c>
      <c r="E133" s="13">
        <f>+HYPERLINK("http://trademark.i-assist.jp/data/china/image_1890th/76559338.pdf",76559338)</f>
        <v>76559338</v>
      </c>
      <c r="F133" s="7" t="s">
        <v>417</v>
      </c>
      <c r="G133" s="7" t="s">
        <v>416</v>
      </c>
      <c r="H133" s="7" t="s">
        <v>418</v>
      </c>
      <c r="I133" s="9">
        <v>45314</v>
      </c>
    </row>
    <row r="134" spans="1:9" x14ac:dyDescent="0.15">
      <c r="A134" s="6">
        <v>133</v>
      </c>
      <c r="B134" s="7" t="s">
        <v>7</v>
      </c>
      <c r="C134" s="8">
        <v>1890</v>
      </c>
      <c r="D134" s="9">
        <v>45449</v>
      </c>
      <c r="E134" s="13">
        <f>+HYPERLINK("http://trademark.i-assist.jp/data/china/image_1890th/76566727.pdf",76566727)</f>
        <v>76566727</v>
      </c>
      <c r="F134" s="7" t="s">
        <v>420</v>
      </c>
      <c r="G134" s="7" t="s">
        <v>419</v>
      </c>
      <c r="H134" s="7" t="s">
        <v>421</v>
      </c>
      <c r="I134" s="9">
        <v>45314</v>
      </c>
    </row>
    <row r="135" spans="1:9" x14ac:dyDescent="0.15">
      <c r="A135" s="6">
        <v>134</v>
      </c>
      <c r="B135" s="7" t="s">
        <v>7</v>
      </c>
      <c r="C135" s="8">
        <v>1890</v>
      </c>
      <c r="D135" s="9">
        <v>45449</v>
      </c>
      <c r="E135" s="13">
        <f>+HYPERLINK("http://trademark.i-assist.jp/data/china/image_1890th/76569203.pdf",76569203)</f>
        <v>76569203</v>
      </c>
      <c r="F135" s="7" t="s">
        <v>423</v>
      </c>
      <c r="G135" s="7" t="s">
        <v>422</v>
      </c>
      <c r="H135" s="7" t="s">
        <v>424</v>
      </c>
      <c r="I135" s="9">
        <v>45314</v>
      </c>
    </row>
    <row r="136" spans="1:9" x14ac:dyDescent="0.15">
      <c r="A136" s="6">
        <v>135</v>
      </c>
      <c r="B136" s="7" t="s">
        <v>7</v>
      </c>
      <c r="C136" s="8">
        <v>1890</v>
      </c>
      <c r="D136" s="9">
        <v>45449</v>
      </c>
      <c r="E136" s="13">
        <f>+HYPERLINK("http://trademark.i-assist.jp/data/china/image_1890th/76581644.pdf",76581644)</f>
        <v>76581644</v>
      </c>
      <c r="F136" s="7" t="s">
        <v>426</v>
      </c>
      <c r="G136" s="7" t="s">
        <v>425</v>
      </c>
      <c r="H136" s="7" t="s">
        <v>427</v>
      </c>
      <c r="I136" s="9">
        <v>45315</v>
      </c>
    </row>
    <row r="137" spans="1:9" x14ac:dyDescent="0.15">
      <c r="A137" s="6">
        <v>136</v>
      </c>
      <c r="B137" s="7" t="s">
        <v>7</v>
      </c>
      <c r="C137" s="8">
        <v>1890</v>
      </c>
      <c r="D137" s="9">
        <v>45449</v>
      </c>
      <c r="E137" s="13">
        <f>+HYPERLINK("http://trademark.i-assist.jp/data/china/image_1890th/76582099.pdf",76582099)</f>
        <v>76582099</v>
      </c>
      <c r="F137" s="7" t="s">
        <v>428</v>
      </c>
      <c r="G137" s="7" t="s">
        <v>13</v>
      </c>
      <c r="H137" s="7" t="s">
        <v>429</v>
      </c>
      <c r="I137" s="9">
        <v>45315</v>
      </c>
    </row>
    <row r="138" spans="1:9" ht="27" x14ac:dyDescent="0.15">
      <c r="A138" s="6">
        <v>137</v>
      </c>
      <c r="B138" s="7" t="s">
        <v>7</v>
      </c>
      <c r="C138" s="8">
        <v>1890</v>
      </c>
      <c r="D138" s="9">
        <v>45449</v>
      </c>
      <c r="E138" s="13">
        <f>+HYPERLINK("http://trademark.i-assist.jp/data/china/image_1890th/76585821.pdf",76585821)</f>
        <v>76585821</v>
      </c>
      <c r="F138" s="7" t="s">
        <v>431</v>
      </c>
      <c r="G138" s="7" t="s">
        <v>430</v>
      </c>
      <c r="H138" s="7" t="s">
        <v>432</v>
      </c>
      <c r="I138" s="9">
        <v>45315</v>
      </c>
    </row>
    <row r="139" spans="1:9" x14ac:dyDescent="0.15">
      <c r="A139" s="6">
        <v>138</v>
      </c>
      <c r="B139" s="7" t="s">
        <v>7</v>
      </c>
      <c r="C139" s="8">
        <v>1890</v>
      </c>
      <c r="D139" s="9">
        <v>45449</v>
      </c>
      <c r="E139" s="13">
        <f>+HYPERLINK("http://trademark.i-assist.jp/data/china/image_1890th/76590680.pdf",76590680)</f>
        <v>76590680</v>
      </c>
      <c r="F139" s="7" t="s">
        <v>434</v>
      </c>
      <c r="G139" s="7" t="s">
        <v>433</v>
      </c>
      <c r="H139" s="7" t="s">
        <v>435</v>
      </c>
      <c r="I139" s="9">
        <v>45315</v>
      </c>
    </row>
    <row r="140" spans="1:9" x14ac:dyDescent="0.15">
      <c r="A140" s="6">
        <v>139</v>
      </c>
      <c r="B140" s="7" t="s">
        <v>7</v>
      </c>
      <c r="C140" s="8">
        <v>1890</v>
      </c>
      <c r="D140" s="9">
        <v>45449</v>
      </c>
      <c r="E140" s="13">
        <f>+HYPERLINK("http://trademark.i-assist.jp/data/china/image_1890th/76602688.pdf",76602688)</f>
        <v>76602688</v>
      </c>
      <c r="F140" s="7" t="s">
        <v>437</v>
      </c>
      <c r="G140" s="7" t="s">
        <v>436</v>
      </c>
      <c r="H140" s="7" t="s">
        <v>438</v>
      </c>
      <c r="I140" s="9">
        <v>45316</v>
      </c>
    </row>
    <row r="141" spans="1:9" x14ac:dyDescent="0.15">
      <c r="A141" s="6">
        <v>140</v>
      </c>
      <c r="B141" s="7" t="s">
        <v>7</v>
      </c>
      <c r="C141" s="8">
        <v>1890</v>
      </c>
      <c r="D141" s="9">
        <v>45449</v>
      </c>
      <c r="E141" s="13">
        <f>+HYPERLINK("http://trademark.i-assist.jp/data/china/image_1890th/76611035.pdf",76611035)</f>
        <v>76611035</v>
      </c>
      <c r="F141" s="7" t="s">
        <v>440</v>
      </c>
      <c r="G141" s="7" t="s">
        <v>439</v>
      </c>
      <c r="H141" s="7" t="s">
        <v>441</v>
      </c>
      <c r="I141" s="9">
        <v>45316</v>
      </c>
    </row>
    <row r="142" spans="1:9" ht="27" x14ac:dyDescent="0.15">
      <c r="A142" s="6">
        <v>141</v>
      </c>
      <c r="B142" s="7" t="s">
        <v>7</v>
      </c>
      <c r="C142" s="8">
        <v>1890</v>
      </c>
      <c r="D142" s="9">
        <v>45449</v>
      </c>
      <c r="E142" s="13">
        <f>+HYPERLINK("http://trademark.i-assist.jp/data/china/image_1890th/76612196.pdf",76612196)</f>
        <v>76612196</v>
      </c>
      <c r="F142" s="7" t="s">
        <v>443</v>
      </c>
      <c r="G142" s="7" t="s">
        <v>442</v>
      </c>
      <c r="H142" s="7" t="s">
        <v>444</v>
      </c>
      <c r="I142" s="9">
        <v>45316</v>
      </c>
    </row>
    <row r="143" spans="1:9" x14ac:dyDescent="0.15">
      <c r="A143" s="6">
        <v>142</v>
      </c>
      <c r="B143" s="7" t="s">
        <v>7</v>
      </c>
      <c r="C143" s="8">
        <v>1890</v>
      </c>
      <c r="D143" s="9">
        <v>45449</v>
      </c>
      <c r="E143" s="13">
        <f>+HYPERLINK("http://trademark.i-assist.jp/data/china/image_1890th/76615277.pdf",76615277)</f>
        <v>76615277</v>
      </c>
      <c r="F143" s="7" t="s">
        <v>445</v>
      </c>
      <c r="G143" s="7" t="s">
        <v>445</v>
      </c>
      <c r="H143" s="7" t="s">
        <v>446</v>
      </c>
      <c r="I143" s="9">
        <v>45316</v>
      </c>
    </row>
    <row r="144" spans="1:9" x14ac:dyDescent="0.15">
      <c r="A144" s="6">
        <v>143</v>
      </c>
      <c r="B144" s="7" t="s">
        <v>7</v>
      </c>
      <c r="C144" s="8">
        <v>1890</v>
      </c>
      <c r="D144" s="9">
        <v>45449</v>
      </c>
      <c r="E144" s="13">
        <f>+HYPERLINK("http://trademark.i-assist.jp/data/china/image_1890th/76630995.pdf",76630995)</f>
        <v>76630995</v>
      </c>
      <c r="F144" s="7" t="s">
        <v>448</v>
      </c>
      <c r="G144" s="7" t="s">
        <v>447</v>
      </c>
      <c r="H144" s="7" t="s">
        <v>421</v>
      </c>
      <c r="I144" s="9">
        <v>45317</v>
      </c>
    </row>
    <row r="145" spans="1:9" ht="121.5" x14ac:dyDescent="0.15">
      <c r="A145" s="6">
        <v>144</v>
      </c>
      <c r="B145" s="7" t="s">
        <v>7</v>
      </c>
      <c r="C145" s="8">
        <v>1890</v>
      </c>
      <c r="D145" s="9">
        <v>45449</v>
      </c>
      <c r="E145" s="13" t="s">
        <v>11353</v>
      </c>
      <c r="F145" s="7" t="s">
        <v>450</v>
      </c>
      <c r="G145" s="7" t="s">
        <v>449</v>
      </c>
      <c r="H145" s="7" t="s">
        <v>451</v>
      </c>
      <c r="I145" s="9">
        <v>45317</v>
      </c>
    </row>
    <row r="146" spans="1:9" x14ac:dyDescent="0.15">
      <c r="A146" s="6">
        <v>145</v>
      </c>
      <c r="B146" s="7" t="s">
        <v>7</v>
      </c>
      <c r="C146" s="8">
        <v>1890</v>
      </c>
      <c r="D146" s="9">
        <v>45449</v>
      </c>
      <c r="E146" s="13">
        <f>+HYPERLINK("http://trademark.i-assist.jp/data/china/image_1890th/76643080.pdf",76643080)</f>
        <v>76643080</v>
      </c>
      <c r="F146" s="7" t="s">
        <v>453</v>
      </c>
      <c r="G146" s="7" t="s">
        <v>452</v>
      </c>
      <c r="H146" s="7" t="s">
        <v>454</v>
      </c>
      <c r="I146" s="9">
        <v>45318</v>
      </c>
    </row>
    <row r="147" spans="1:9" x14ac:dyDescent="0.15">
      <c r="A147" s="6">
        <v>146</v>
      </c>
      <c r="B147" s="7" t="s">
        <v>7</v>
      </c>
      <c r="C147" s="8">
        <v>1890</v>
      </c>
      <c r="D147" s="9">
        <v>45449</v>
      </c>
      <c r="E147" s="13">
        <f>+HYPERLINK("http://trademark.i-assist.jp/data/china/image_1890th/76643081.pdf",76643081)</f>
        <v>76643081</v>
      </c>
      <c r="F147" s="7" t="s">
        <v>455</v>
      </c>
      <c r="G147" s="7" t="s">
        <v>452</v>
      </c>
      <c r="H147" s="7" t="s">
        <v>456</v>
      </c>
      <c r="I147" s="9">
        <v>45318</v>
      </c>
    </row>
    <row r="148" spans="1:9" x14ac:dyDescent="0.15">
      <c r="A148" s="6">
        <v>147</v>
      </c>
      <c r="B148" s="7" t="s">
        <v>7</v>
      </c>
      <c r="C148" s="8">
        <v>1890</v>
      </c>
      <c r="D148" s="9">
        <v>45449</v>
      </c>
      <c r="E148" s="13">
        <f>+HYPERLINK("http://trademark.i-assist.jp/data/china/image_1890th/76645836.pdf",76645836)</f>
        <v>76645836</v>
      </c>
      <c r="F148" s="7" t="s">
        <v>457</v>
      </c>
      <c r="G148" s="7" t="s">
        <v>452</v>
      </c>
      <c r="H148" s="7" t="s">
        <v>456</v>
      </c>
      <c r="I148" s="9">
        <v>45318</v>
      </c>
    </row>
    <row r="149" spans="1:9" x14ac:dyDescent="0.15">
      <c r="A149" s="6">
        <v>148</v>
      </c>
      <c r="B149" s="7" t="s">
        <v>7</v>
      </c>
      <c r="C149" s="8">
        <v>1890</v>
      </c>
      <c r="D149" s="9">
        <v>45449</v>
      </c>
      <c r="E149" s="13">
        <f>+HYPERLINK("http://trademark.i-assist.jp/data/china/image_1890th/76649081.pdf",76649081)</f>
        <v>76649081</v>
      </c>
      <c r="F149" s="7" t="s">
        <v>459</v>
      </c>
      <c r="G149" s="7" t="s">
        <v>458</v>
      </c>
      <c r="H149" s="7" t="s">
        <v>460</v>
      </c>
      <c r="I149" s="9">
        <v>45319</v>
      </c>
    </row>
    <row r="150" spans="1:9" x14ac:dyDescent="0.15">
      <c r="A150" s="6">
        <v>149</v>
      </c>
      <c r="B150" s="7" t="s">
        <v>7</v>
      </c>
      <c r="C150" s="8">
        <v>1890</v>
      </c>
      <c r="D150" s="9">
        <v>45449</v>
      </c>
      <c r="E150" s="13">
        <f>+HYPERLINK("http://trademark.i-assist.jp/data/china/image_1890th/76649912.pdf",76649912)</f>
        <v>76649912</v>
      </c>
      <c r="F150" s="7" t="s">
        <v>461</v>
      </c>
      <c r="G150" s="7" t="s">
        <v>45</v>
      </c>
      <c r="H150" s="7" t="s">
        <v>462</v>
      </c>
      <c r="I150" s="9">
        <v>45320</v>
      </c>
    </row>
    <row r="151" spans="1:9" x14ac:dyDescent="0.15">
      <c r="A151" s="6">
        <v>150</v>
      </c>
      <c r="B151" s="7" t="s">
        <v>7</v>
      </c>
      <c r="C151" s="8">
        <v>1890</v>
      </c>
      <c r="D151" s="9">
        <v>45449</v>
      </c>
      <c r="E151" s="13">
        <f>+HYPERLINK("http://trademark.i-assist.jp/data/china/image_1890th/76656475.pdf",76656475)</f>
        <v>76656475</v>
      </c>
      <c r="F151" s="7" t="s">
        <v>464</v>
      </c>
      <c r="G151" s="7" t="s">
        <v>463</v>
      </c>
      <c r="H151" s="7" t="s">
        <v>465</v>
      </c>
      <c r="I151" s="9">
        <v>45320</v>
      </c>
    </row>
    <row r="152" spans="1:9" x14ac:dyDescent="0.15">
      <c r="A152" s="6">
        <v>151</v>
      </c>
      <c r="B152" s="7" t="s">
        <v>7</v>
      </c>
      <c r="C152" s="8">
        <v>1890</v>
      </c>
      <c r="D152" s="9">
        <v>45449</v>
      </c>
      <c r="E152" s="13">
        <f>+HYPERLINK("http://trademark.i-assist.jp/data/china/image_1890th/76660773.pdf",76660773)</f>
        <v>76660773</v>
      </c>
      <c r="F152" s="7" t="s">
        <v>466</v>
      </c>
      <c r="G152" s="7" t="s">
        <v>45</v>
      </c>
      <c r="H152" s="7" t="s">
        <v>467</v>
      </c>
      <c r="I152" s="9">
        <v>45320</v>
      </c>
    </row>
    <row r="153" spans="1:9" x14ac:dyDescent="0.15">
      <c r="A153" s="6">
        <v>152</v>
      </c>
      <c r="B153" s="7" t="s">
        <v>7</v>
      </c>
      <c r="C153" s="8">
        <v>1890</v>
      </c>
      <c r="D153" s="9">
        <v>45449</v>
      </c>
      <c r="E153" s="13">
        <f>+HYPERLINK("http://trademark.i-assist.jp/data/china/image_1890th/76663271.pdf",76663271)</f>
        <v>76663271</v>
      </c>
      <c r="F153" s="7" t="s">
        <v>469</v>
      </c>
      <c r="G153" s="7" t="s">
        <v>468</v>
      </c>
      <c r="H153" s="7" t="s">
        <v>470</v>
      </c>
      <c r="I153" s="9">
        <v>45320</v>
      </c>
    </row>
    <row r="154" spans="1:9" x14ac:dyDescent="0.15">
      <c r="A154" s="6">
        <v>153</v>
      </c>
      <c r="B154" s="7" t="s">
        <v>7</v>
      </c>
      <c r="C154" s="8">
        <v>1890</v>
      </c>
      <c r="D154" s="9">
        <v>45449</v>
      </c>
      <c r="E154" s="13">
        <f>+HYPERLINK("http://trademark.i-assist.jp/data/china/image_1890th/76678689.pdf",76678689)</f>
        <v>76678689</v>
      </c>
      <c r="F154" s="7" t="s">
        <v>472</v>
      </c>
      <c r="G154" s="7" t="s">
        <v>471</v>
      </c>
      <c r="H154" s="7" t="s">
        <v>473</v>
      </c>
      <c r="I154" s="9">
        <v>45321</v>
      </c>
    </row>
    <row r="155" spans="1:9" x14ac:dyDescent="0.15">
      <c r="A155" s="6">
        <v>154</v>
      </c>
      <c r="B155" s="7" t="s">
        <v>7</v>
      </c>
      <c r="C155" s="8">
        <v>1890</v>
      </c>
      <c r="D155" s="9">
        <v>45449</v>
      </c>
      <c r="E155" s="13">
        <f>+HYPERLINK("http://trademark.i-assist.jp/data/china/image_1890th/76678979.pdf",76678979)</f>
        <v>76678979</v>
      </c>
      <c r="F155" s="7" t="s">
        <v>475</v>
      </c>
      <c r="G155" s="7" t="s">
        <v>474</v>
      </c>
      <c r="H155" s="7" t="s">
        <v>476</v>
      </c>
      <c r="I155" s="9">
        <v>45321</v>
      </c>
    </row>
    <row r="156" spans="1:9" x14ac:dyDescent="0.15">
      <c r="A156" s="6">
        <v>155</v>
      </c>
      <c r="B156" s="7" t="s">
        <v>7</v>
      </c>
      <c r="C156" s="8">
        <v>1890</v>
      </c>
      <c r="D156" s="9">
        <v>45449</v>
      </c>
      <c r="E156" s="13">
        <f>+HYPERLINK("http://trademark.i-assist.jp/data/china/image_1890th/76684494.pdf",76684494)</f>
        <v>76684494</v>
      </c>
      <c r="F156" s="7" t="s">
        <v>478</v>
      </c>
      <c r="G156" s="7" t="s">
        <v>477</v>
      </c>
      <c r="H156" s="7" t="s">
        <v>479</v>
      </c>
      <c r="I156" s="9">
        <v>45321</v>
      </c>
    </row>
    <row r="157" spans="1:9" x14ac:dyDescent="0.15">
      <c r="A157" s="6">
        <v>156</v>
      </c>
      <c r="B157" s="7" t="s">
        <v>7</v>
      </c>
      <c r="C157" s="8">
        <v>1890</v>
      </c>
      <c r="D157" s="9">
        <v>45449</v>
      </c>
      <c r="E157" s="13">
        <f>+HYPERLINK("http://trademark.i-assist.jp/data/china/image_1890th/76687113.pdf",76687113)</f>
        <v>76687113</v>
      </c>
      <c r="F157" s="7" t="s">
        <v>481</v>
      </c>
      <c r="G157" s="7" t="s">
        <v>480</v>
      </c>
      <c r="H157" s="7" t="s">
        <v>482</v>
      </c>
      <c r="I157" s="9">
        <v>45321</v>
      </c>
    </row>
    <row r="158" spans="1:9" x14ac:dyDescent="0.15">
      <c r="A158" s="6">
        <v>157</v>
      </c>
      <c r="B158" s="7" t="s">
        <v>7</v>
      </c>
      <c r="C158" s="8">
        <v>1890</v>
      </c>
      <c r="D158" s="9">
        <v>45449</v>
      </c>
      <c r="E158" s="13">
        <f>+HYPERLINK("http://trademark.i-assist.jp/data/china/image_1890th/76690364.pdf",76690364)</f>
        <v>76690364</v>
      </c>
      <c r="F158" s="7" t="s">
        <v>484</v>
      </c>
      <c r="G158" s="7" t="s">
        <v>483</v>
      </c>
      <c r="H158" s="7" t="s">
        <v>485</v>
      </c>
      <c r="I158" s="9">
        <v>45321</v>
      </c>
    </row>
    <row r="159" spans="1:9" ht="27" x14ac:dyDescent="0.15">
      <c r="A159" s="6">
        <v>158</v>
      </c>
      <c r="B159" s="7" t="s">
        <v>7</v>
      </c>
      <c r="C159" s="8">
        <v>1890</v>
      </c>
      <c r="D159" s="9">
        <v>45449</v>
      </c>
      <c r="E159" s="13">
        <f>+HYPERLINK("http://trademark.i-assist.jp/data/china/image_1890th/76696172.pdf",76696172)</f>
        <v>76696172</v>
      </c>
      <c r="F159" s="7" t="s">
        <v>183</v>
      </c>
      <c r="G159" s="7" t="s">
        <v>174</v>
      </c>
      <c r="H159" s="7" t="s">
        <v>486</v>
      </c>
      <c r="I159" s="9">
        <v>45321</v>
      </c>
    </row>
    <row r="160" spans="1:9" ht="27" x14ac:dyDescent="0.15">
      <c r="A160" s="6">
        <v>159</v>
      </c>
      <c r="B160" s="7" t="s">
        <v>7</v>
      </c>
      <c r="C160" s="8">
        <v>1890</v>
      </c>
      <c r="D160" s="9">
        <v>45449</v>
      </c>
      <c r="E160" s="13">
        <f>+HYPERLINK("http://trademark.i-assist.jp/data/china/image_1890th/76702888.pdf",76702888)</f>
        <v>76702888</v>
      </c>
      <c r="F160" s="7" t="s">
        <v>488</v>
      </c>
      <c r="G160" s="7" t="s">
        <v>487</v>
      </c>
      <c r="H160" s="7" t="s">
        <v>489</v>
      </c>
      <c r="I160" s="9">
        <v>45322</v>
      </c>
    </row>
    <row r="161" spans="1:9" x14ac:dyDescent="0.15">
      <c r="A161" s="6">
        <v>160</v>
      </c>
      <c r="B161" s="7" t="s">
        <v>7</v>
      </c>
      <c r="C161" s="8">
        <v>1890</v>
      </c>
      <c r="D161" s="9">
        <v>45449</v>
      </c>
      <c r="E161" s="13">
        <f>+HYPERLINK("http://trademark.i-assist.jp/data/china/image_1890th/76706963.pdf",76706963)</f>
        <v>76706963</v>
      </c>
      <c r="F161" s="7" t="s">
        <v>491</v>
      </c>
      <c r="G161" s="7" t="s">
        <v>490</v>
      </c>
      <c r="H161" s="7" t="s">
        <v>492</v>
      </c>
      <c r="I161" s="9">
        <v>45322</v>
      </c>
    </row>
    <row r="162" spans="1:9" x14ac:dyDescent="0.15">
      <c r="A162" s="6">
        <v>161</v>
      </c>
      <c r="B162" s="7" t="s">
        <v>7</v>
      </c>
      <c r="C162" s="8">
        <v>1890</v>
      </c>
      <c r="D162" s="9">
        <v>45449</v>
      </c>
      <c r="E162" s="13">
        <f>+HYPERLINK("http://trademark.i-assist.jp/data/china/image_1890th/48936717.pdf",48936717)</f>
        <v>48936717</v>
      </c>
      <c r="F162" s="7" t="s">
        <v>494</v>
      </c>
      <c r="G162" s="7" t="s">
        <v>493</v>
      </c>
      <c r="H162" s="7" t="s">
        <v>495</v>
      </c>
      <c r="I162" s="9">
        <v>44057</v>
      </c>
    </row>
    <row r="163" spans="1:9" ht="27" x14ac:dyDescent="0.15">
      <c r="A163" s="6">
        <v>162</v>
      </c>
      <c r="B163" s="7" t="s">
        <v>7</v>
      </c>
      <c r="C163" s="8">
        <v>1890</v>
      </c>
      <c r="D163" s="9">
        <v>45449</v>
      </c>
      <c r="E163" s="13">
        <f>+HYPERLINK("http://trademark.i-assist.jp/data/china/image_1890th/50537623.pdf",50537623)</f>
        <v>50537623</v>
      </c>
      <c r="F163" s="7" t="s">
        <v>497</v>
      </c>
      <c r="G163" s="7" t="s">
        <v>496</v>
      </c>
      <c r="H163" s="7" t="s">
        <v>498</v>
      </c>
      <c r="I163" s="9">
        <v>44123</v>
      </c>
    </row>
    <row r="164" spans="1:9" x14ac:dyDescent="0.15">
      <c r="A164" s="6">
        <v>163</v>
      </c>
      <c r="B164" s="7" t="s">
        <v>7</v>
      </c>
      <c r="C164" s="8">
        <v>1890</v>
      </c>
      <c r="D164" s="9">
        <v>45449</v>
      </c>
      <c r="E164" s="13">
        <f>+HYPERLINK("http://trademark.i-assist.jp/data/china/image_1890th/52187860.pdf",52187860)</f>
        <v>52187860</v>
      </c>
      <c r="F164" s="7" t="s">
        <v>500</v>
      </c>
      <c r="G164" s="7" t="s">
        <v>499</v>
      </c>
      <c r="H164" s="7" t="s">
        <v>501</v>
      </c>
      <c r="I164" s="9">
        <v>44180</v>
      </c>
    </row>
    <row r="165" spans="1:9" x14ac:dyDescent="0.15">
      <c r="A165" s="6">
        <v>164</v>
      </c>
      <c r="B165" s="7" t="s">
        <v>7</v>
      </c>
      <c r="C165" s="8">
        <v>1890</v>
      </c>
      <c r="D165" s="9">
        <v>45449</v>
      </c>
      <c r="E165" s="13">
        <f>+HYPERLINK("http://trademark.i-assist.jp/data/china/image_1890th/52198263.pdf",52198263)</f>
        <v>52198263</v>
      </c>
      <c r="F165" s="7" t="s">
        <v>502</v>
      </c>
      <c r="G165" s="7" t="s">
        <v>499</v>
      </c>
      <c r="H165" s="7" t="s">
        <v>501</v>
      </c>
      <c r="I165" s="9">
        <v>44181</v>
      </c>
    </row>
    <row r="166" spans="1:9" x14ac:dyDescent="0.15">
      <c r="A166" s="6">
        <v>165</v>
      </c>
      <c r="B166" s="7" t="s">
        <v>7</v>
      </c>
      <c r="C166" s="8">
        <v>1890</v>
      </c>
      <c r="D166" s="9">
        <v>45449</v>
      </c>
      <c r="E166" s="13">
        <f>+HYPERLINK("http://trademark.i-assist.jp/data/china/image_1890th/52351887.pdf",52351887)</f>
        <v>52351887</v>
      </c>
      <c r="F166" s="7" t="s">
        <v>503</v>
      </c>
      <c r="G166" s="7" t="s">
        <v>499</v>
      </c>
      <c r="H166" s="7" t="s">
        <v>501</v>
      </c>
      <c r="I166" s="9">
        <v>44186</v>
      </c>
    </row>
    <row r="167" spans="1:9" x14ac:dyDescent="0.15">
      <c r="A167" s="6">
        <v>166</v>
      </c>
      <c r="B167" s="7" t="s">
        <v>7</v>
      </c>
      <c r="C167" s="8">
        <v>1890</v>
      </c>
      <c r="D167" s="9">
        <v>45449</v>
      </c>
      <c r="E167" s="13">
        <f>+HYPERLINK("http://trademark.i-assist.jp/data/china/image_1890th/52390811.pdf",52390811)</f>
        <v>52390811</v>
      </c>
      <c r="F167" s="7" t="s">
        <v>505</v>
      </c>
      <c r="G167" s="7" t="s">
        <v>504</v>
      </c>
      <c r="H167" s="7" t="s">
        <v>506</v>
      </c>
      <c r="I167" s="9">
        <v>44187</v>
      </c>
    </row>
    <row r="168" spans="1:9" ht="27" x14ac:dyDescent="0.15">
      <c r="A168" s="6">
        <v>167</v>
      </c>
      <c r="B168" s="7" t="s">
        <v>7</v>
      </c>
      <c r="C168" s="8">
        <v>1890</v>
      </c>
      <c r="D168" s="9">
        <v>45449</v>
      </c>
      <c r="E168" s="13">
        <f>+HYPERLINK("http://trademark.i-assist.jp/data/china/image_1890th/52966380.pdf",52966380)</f>
        <v>52966380</v>
      </c>
      <c r="F168" s="7" t="s">
        <v>508</v>
      </c>
      <c r="G168" s="7" t="s">
        <v>507</v>
      </c>
      <c r="H168" s="7" t="s">
        <v>509</v>
      </c>
      <c r="I168" s="9">
        <v>44209</v>
      </c>
    </row>
    <row r="169" spans="1:9" x14ac:dyDescent="0.15">
      <c r="A169" s="6">
        <v>168</v>
      </c>
      <c r="B169" s="7" t="s">
        <v>7</v>
      </c>
      <c r="C169" s="8">
        <v>1890</v>
      </c>
      <c r="D169" s="9">
        <v>45449</v>
      </c>
      <c r="E169" s="13">
        <f>+HYPERLINK("http://trademark.i-assist.jp/data/china/image_1890th/55551593.pdf",55551593)</f>
        <v>55551593</v>
      </c>
      <c r="F169" s="7" t="s">
        <v>511</v>
      </c>
      <c r="G169" s="7" t="s">
        <v>510</v>
      </c>
      <c r="H169" s="7" t="s">
        <v>509</v>
      </c>
      <c r="I169" s="9">
        <v>44209</v>
      </c>
    </row>
    <row r="170" spans="1:9" x14ac:dyDescent="0.15">
      <c r="A170" s="6">
        <v>169</v>
      </c>
      <c r="B170" s="7" t="s">
        <v>7</v>
      </c>
      <c r="C170" s="8">
        <v>1890</v>
      </c>
      <c r="D170" s="9">
        <v>45449</v>
      </c>
      <c r="E170" s="13">
        <f>+HYPERLINK("http://trademark.i-assist.jp/data/china/image_1890th/57289207.pdf",57289207)</f>
        <v>57289207</v>
      </c>
      <c r="F170" s="7" t="s">
        <v>513</v>
      </c>
      <c r="G170" s="7" t="s">
        <v>512</v>
      </c>
      <c r="H170" s="7" t="s">
        <v>514</v>
      </c>
      <c r="I170" s="9">
        <v>44376</v>
      </c>
    </row>
    <row r="171" spans="1:9" x14ac:dyDescent="0.15">
      <c r="A171" s="6">
        <v>170</v>
      </c>
      <c r="B171" s="7" t="s">
        <v>7</v>
      </c>
      <c r="C171" s="8">
        <v>1890</v>
      </c>
      <c r="D171" s="9">
        <v>45449</v>
      </c>
      <c r="E171" s="13">
        <f>+HYPERLINK("http://trademark.i-assist.jp/data/china/image_1890th/57650715.pdf",57650715)</f>
        <v>57650715</v>
      </c>
      <c r="F171" s="7" t="s">
        <v>516</v>
      </c>
      <c r="G171" s="7" t="s">
        <v>515</v>
      </c>
      <c r="H171" s="7" t="s">
        <v>517</v>
      </c>
      <c r="I171" s="9">
        <v>44390</v>
      </c>
    </row>
    <row r="172" spans="1:9" x14ac:dyDescent="0.15">
      <c r="A172" s="6">
        <v>171</v>
      </c>
      <c r="B172" s="7" t="s">
        <v>7</v>
      </c>
      <c r="C172" s="8">
        <v>1890</v>
      </c>
      <c r="D172" s="9">
        <v>45449</v>
      </c>
      <c r="E172" s="13">
        <f>+HYPERLINK("http://trademark.i-assist.jp/data/china/image_1890th/57670059.pdf",57670059)</f>
        <v>57670059</v>
      </c>
      <c r="F172" s="7" t="s">
        <v>518</v>
      </c>
      <c r="G172" s="7" t="s">
        <v>515</v>
      </c>
      <c r="H172" s="7" t="s">
        <v>517</v>
      </c>
      <c r="I172" s="9">
        <v>44390</v>
      </c>
    </row>
    <row r="173" spans="1:9" x14ac:dyDescent="0.15">
      <c r="A173" s="6">
        <v>172</v>
      </c>
      <c r="B173" s="7" t="s">
        <v>7</v>
      </c>
      <c r="C173" s="8">
        <v>1890</v>
      </c>
      <c r="D173" s="9">
        <v>45449</v>
      </c>
      <c r="E173" s="13">
        <f>+HYPERLINK("http://trademark.i-assist.jp/data/china/image_1890th/57670097.pdf",57670097)</f>
        <v>57670097</v>
      </c>
      <c r="F173" s="7" t="s">
        <v>516</v>
      </c>
      <c r="G173" s="7" t="s">
        <v>515</v>
      </c>
      <c r="H173" s="7" t="s">
        <v>517</v>
      </c>
      <c r="I173" s="9">
        <v>44390</v>
      </c>
    </row>
    <row r="174" spans="1:9" ht="27" x14ac:dyDescent="0.15">
      <c r="A174" s="6">
        <v>173</v>
      </c>
      <c r="B174" s="7" t="s">
        <v>7</v>
      </c>
      <c r="C174" s="8">
        <v>1890</v>
      </c>
      <c r="D174" s="9">
        <v>45449</v>
      </c>
      <c r="E174" s="13">
        <f>+HYPERLINK("http://trademark.i-assist.jp/data/china/image_1890th/60131860.pdf",60131860)</f>
        <v>60131860</v>
      </c>
      <c r="F174" s="7" t="s">
        <v>520</v>
      </c>
      <c r="G174" s="7" t="s">
        <v>519</v>
      </c>
      <c r="H174" s="7" t="s">
        <v>521</v>
      </c>
      <c r="I174" s="9">
        <v>44496</v>
      </c>
    </row>
    <row r="175" spans="1:9" ht="27" x14ac:dyDescent="0.15">
      <c r="A175" s="6">
        <v>174</v>
      </c>
      <c r="B175" s="7" t="s">
        <v>7</v>
      </c>
      <c r="C175" s="8">
        <v>1890</v>
      </c>
      <c r="D175" s="9">
        <v>45449</v>
      </c>
      <c r="E175" s="13">
        <f>+HYPERLINK("http://trademark.i-assist.jp/data/china/image_1890th/60505039.pdf",60505039)</f>
        <v>60505039</v>
      </c>
      <c r="F175" s="7" t="s">
        <v>523</v>
      </c>
      <c r="G175" s="7" t="s">
        <v>522</v>
      </c>
      <c r="H175" s="7" t="s">
        <v>524</v>
      </c>
      <c r="I175" s="9">
        <v>44511</v>
      </c>
    </row>
    <row r="176" spans="1:9" ht="27" x14ac:dyDescent="0.15">
      <c r="A176" s="6">
        <v>175</v>
      </c>
      <c r="B176" s="7" t="s">
        <v>7</v>
      </c>
      <c r="C176" s="8">
        <v>1890</v>
      </c>
      <c r="D176" s="9">
        <v>45449</v>
      </c>
      <c r="E176" s="13">
        <f>+HYPERLINK("http://trademark.i-assist.jp/data/china/image_1890th/61405463.pdf",61405463)</f>
        <v>61405463</v>
      </c>
      <c r="F176" s="7" t="s">
        <v>526</v>
      </c>
      <c r="G176" s="7" t="s">
        <v>525</v>
      </c>
      <c r="H176" s="7" t="s">
        <v>527</v>
      </c>
      <c r="I176" s="9">
        <v>44545</v>
      </c>
    </row>
    <row r="177" spans="1:9" x14ac:dyDescent="0.15">
      <c r="A177" s="6">
        <v>176</v>
      </c>
      <c r="B177" s="7" t="s">
        <v>7</v>
      </c>
      <c r="C177" s="8">
        <v>1890</v>
      </c>
      <c r="D177" s="9">
        <v>45449</v>
      </c>
      <c r="E177" s="13">
        <f>+HYPERLINK("http://trademark.i-assist.jp/data/china/image_1890th/61846218.pdf",61846218)</f>
        <v>61846218</v>
      </c>
      <c r="F177" s="7" t="s">
        <v>529</v>
      </c>
      <c r="G177" s="7" t="s">
        <v>528</v>
      </c>
      <c r="H177" s="7" t="s">
        <v>530</v>
      </c>
      <c r="I177" s="9">
        <v>44560</v>
      </c>
    </row>
    <row r="178" spans="1:9" x14ac:dyDescent="0.15">
      <c r="A178" s="6">
        <v>177</v>
      </c>
      <c r="B178" s="7" t="s">
        <v>7</v>
      </c>
      <c r="C178" s="8">
        <v>1890</v>
      </c>
      <c r="D178" s="9">
        <v>45449</v>
      </c>
      <c r="E178" s="13">
        <f>+HYPERLINK("http://trademark.i-assist.jp/data/china/image_1890th/62645614.pdf",62645614)</f>
        <v>62645614</v>
      </c>
      <c r="F178" s="7" t="s">
        <v>532</v>
      </c>
      <c r="G178" s="7" t="s">
        <v>531</v>
      </c>
      <c r="H178" s="7" t="s">
        <v>533</v>
      </c>
      <c r="I178" s="9">
        <v>44608</v>
      </c>
    </row>
    <row r="179" spans="1:9" ht="27" x14ac:dyDescent="0.15">
      <c r="A179" s="6">
        <v>178</v>
      </c>
      <c r="B179" s="7" t="s">
        <v>7</v>
      </c>
      <c r="C179" s="8">
        <v>1890</v>
      </c>
      <c r="D179" s="9">
        <v>45449</v>
      </c>
      <c r="E179" s="13">
        <f>+HYPERLINK("http://trademark.i-assist.jp/data/china/image_1890th/62738024.pdf",62738024)</f>
        <v>62738024</v>
      </c>
      <c r="F179" s="7" t="s">
        <v>535</v>
      </c>
      <c r="G179" s="7" t="s">
        <v>534</v>
      </c>
      <c r="H179" s="7" t="s">
        <v>536</v>
      </c>
      <c r="I179" s="9">
        <v>44613</v>
      </c>
    </row>
    <row r="180" spans="1:9" x14ac:dyDescent="0.15">
      <c r="A180" s="6">
        <v>179</v>
      </c>
      <c r="B180" s="7" t="s">
        <v>7</v>
      </c>
      <c r="C180" s="8">
        <v>1890</v>
      </c>
      <c r="D180" s="9">
        <v>45449</v>
      </c>
      <c r="E180" s="13">
        <f>+HYPERLINK("http://trademark.i-assist.jp/data/china/image_1890th/64983454.pdf",64983454)</f>
        <v>64983454</v>
      </c>
      <c r="F180" s="7" t="s">
        <v>538</v>
      </c>
      <c r="G180" s="7" t="s">
        <v>537</v>
      </c>
      <c r="H180" s="7" t="s">
        <v>539</v>
      </c>
      <c r="I180" s="9">
        <v>44711</v>
      </c>
    </row>
    <row r="181" spans="1:9" x14ac:dyDescent="0.15">
      <c r="A181" s="6">
        <v>180</v>
      </c>
      <c r="B181" s="7" t="s">
        <v>7</v>
      </c>
      <c r="C181" s="8">
        <v>1890</v>
      </c>
      <c r="D181" s="9">
        <v>45449</v>
      </c>
      <c r="E181" s="13">
        <f>+HYPERLINK("http://trademark.i-assist.jp/data/china/image_1890th/64990313.pdf",64990313)</f>
        <v>64990313</v>
      </c>
      <c r="F181" s="7" t="s">
        <v>541</v>
      </c>
      <c r="G181" s="7" t="s">
        <v>540</v>
      </c>
      <c r="H181" s="7" t="s">
        <v>542</v>
      </c>
      <c r="I181" s="9">
        <v>44712</v>
      </c>
    </row>
    <row r="182" spans="1:9" x14ac:dyDescent="0.15">
      <c r="A182" s="6">
        <v>181</v>
      </c>
      <c r="B182" s="7" t="s">
        <v>7</v>
      </c>
      <c r="C182" s="8">
        <v>1890</v>
      </c>
      <c r="D182" s="9">
        <v>45449</v>
      </c>
      <c r="E182" s="13">
        <f>+HYPERLINK("http://trademark.i-assist.jp/data/china/image_1890th/65113486.pdf",65113486)</f>
        <v>65113486</v>
      </c>
      <c r="F182" s="7" t="s">
        <v>544</v>
      </c>
      <c r="G182" s="7" t="s">
        <v>543</v>
      </c>
      <c r="H182" s="7" t="s">
        <v>545</v>
      </c>
      <c r="I182" s="9">
        <v>44719</v>
      </c>
    </row>
    <row r="183" spans="1:9" x14ac:dyDescent="0.15">
      <c r="A183" s="6">
        <v>182</v>
      </c>
      <c r="B183" s="7" t="s">
        <v>7</v>
      </c>
      <c r="C183" s="8">
        <v>1890</v>
      </c>
      <c r="D183" s="9">
        <v>45449</v>
      </c>
      <c r="E183" s="13">
        <f>+HYPERLINK("http://trademark.i-assist.jp/data/china/image_1890th/65135260.pdf",65135260)</f>
        <v>65135260</v>
      </c>
      <c r="F183" s="7" t="s">
        <v>546</v>
      </c>
      <c r="G183" s="7" t="s">
        <v>119</v>
      </c>
      <c r="H183" s="7" t="s">
        <v>547</v>
      </c>
      <c r="I183" s="9">
        <v>44719</v>
      </c>
    </row>
    <row r="184" spans="1:9" ht="27" x14ac:dyDescent="0.15">
      <c r="A184" s="6">
        <v>183</v>
      </c>
      <c r="B184" s="7" t="s">
        <v>7</v>
      </c>
      <c r="C184" s="8">
        <v>1890</v>
      </c>
      <c r="D184" s="9">
        <v>45449</v>
      </c>
      <c r="E184" s="13">
        <f>+HYPERLINK("http://trademark.i-assist.jp/data/china/image_1890th/65368183.pdf",65368183)</f>
        <v>65368183</v>
      </c>
      <c r="F184" s="7" t="s">
        <v>548</v>
      </c>
      <c r="G184" s="7" t="s">
        <v>534</v>
      </c>
      <c r="H184" s="7" t="s">
        <v>536</v>
      </c>
      <c r="I184" s="9">
        <v>44729</v>
      </c>
    </row>
    <row r="185" spans="1:9" x14ac:dyDescent="0.15">
      <c r="A185" s="6">
        <v>184</v>
      </c>
      <c r="B185" s="7" t="s">
        <v>7</v>
      </c>
      <c r="C185" s="8">
        <v>1890</v>
      </c>
      <c r="D185" s="9">
        <v>45449</v>
      </c>
      <c r="E185" s="13">
        <f>+HYPERLINK("http://trademark.i-assist.jp/data/china/image_1890th/65712185.pdf",65712185)</f>
        <v>65712185</v>
      </c>
      <c r="F185" s="7" t="s">
        <v>550</v>
      </c>
      <c r="G185" s="7" t="s">
        <v>549</v>
      </c>
      <c r="H185" s="7" t="s">
        <v>551</v>
      </c>
      <c r="I185" s="9">
        <v>44745</v>
      </c>
    </row>
    <row r="186" spans="1:9" x14ac:dyDescent="0.15">
      <c r="A186" s="6">
        <v>185</v>
      </c>
      <c r="B186" s="7" t="s">
        <v>7</v>
      </c>
      <c r="C186" s="8">
        <v>1890</v>
      </c>
      <c r="D186" s="9">
        <v>45449</v>
      </c>
      <c r="E186" s="13">
        <f>+HYPERLINK("http://trademark.i-assist.jp/data/china/image_1890th/65756092.pdf",65756092)</f>
        <v>65756092</v>
      </c>
      <c r="F186" s="7" t="s">
        <v>553</v>
      </c>
      <c r="G186" s="7" t="s">
        <v>552</v>
      </c>
      <c r="H186" s="7" t="s">
        <v>554</v>
      </c>
      <c r="I186" s="9">
        <v>44747</v>
      </c>
    </row>
    <row r="187" spans="1:9" x14ac:dyDescent="0.15">
      <c r="A187" s="6">
        <v>186</v>
      </c>
      <c r="B187" s="7" t="s">
        <v>7</v>
      </c>
      <c r="C187" s="8">
        <v>1890</v>
      </c>
      <c r="D187" s="9">
        <v>45449</v>
      </c>
      <c r="E187" s="13">
        <f>+HYPERLINK("http://trademark.i-assist.jp/data/china/image_1890th/65779002.pdf",65779002)</f>
        <v>65779002</v>
      </c>
      <c r="F187" s="7" t="s">
        <v>556</v>
      </c>
      <c r="G187" s="7" t="s">
        <v>555</v>
      </c>
      <c r="H187" s="7" t="s">
        <v>557</v>
      </c>
      <c r="I187" s="9">
        <v>44748</v>
      </c>
    </row>
    <row r="188" spans="1:9" x14ac:dyDescent="0.15">
      <c r="A188" s="6">
        <v>187</v>
      </c>
      <c r="B188" s="7" t="s">
        <v>7</v>
      </c>
      <c r="C188" s="8">
        <v>1890</v>
      </c>
      <c r="D188" s="9">
        <v>45449</v>
      </c>
      <c r="E188" s="13">
        <f>+HYPERLINK("http://trademark.i-assist.jp/data/china/image_1890th/66297374.pdf",66297374)</f>
        <v>66297374</v>
      </c>
      <c r="F188" s="7" t="s">
        <v>559</v>
      </c>
      <c r="G188" s="7" t="s">
        <v>558</v>
      </c>
      <c r="H188" s="7" t="s">
        <v>560</v>
      </c>
      <c r="I188" s="9">
        <v>44772</v>
      </c>
    </row>
    <row r="189" spans="1:9" x14ac:dyDescent="0.15">
      <c r="A189" s="6">
        <v>188</v>
      </c>
      <c r="B189" s="7" t="s">
        <v>7</v>
      </c>
      <c r="C189" s="8">
        <v>1890</v>
      </c>
      <c r="D189" s="9">
        <v>45449</v>
      </c>
      <c r="E189" s="13">
        <f>+HYPERLINK("http://trademark.i-assist.jp/data/china/image_1890th/66795624.pdf",66795624)</f>
        <v>66795624</v>
      </c>
      <c r="F189" s="7" t="s">
        <v>561</v>
      </c>
      <c r="G189" s="7" t="s">
        <v>329</v>
      </c>
      <c r="H189" s="7" t="s">
        <v>562</v>
      </c>
      <c r="I189" s="9">
        <v>44797</v>
      </c>
    </row>
    <row r="190" spans="1:9" x14ac:dyDescent="0.15">
      <c r="A190" s="6">
        <v>189</v>
      </c>
      <c r="B190" s="7" t="s">
        <v>7</v>
      </c>
      <c r="C190" s="8">
        <v>1890</v>
      </c>
      <c r="D190" s="9">
        <v>45449</v>
      </c>
      <c r="E190" s="13">
        <f>+HYPERLINK("http://trademark.i-assist.jp/data/china/image_1890th/66941233.pdf",66941233)</f>
        <v>66941233</v>
      </c>
      <c r="F190" s="7" t="s">
        <v>564</v>
      </c>
      <c r="G190" s="7" t="s">
        <v>563</v>
      </c>
      <c r="H190" s="7" t="s">
        <v>565</v>
      </c>
      <c r="I190" s="9">
        <v>44804</v>
      </c>
    </row>
    <row r="191" spans="1:9" x14ac:dyDescent="0.15">
      <c r="A191" s="6">
        <v>190</v>
      </c>
      <c r="B191" s="7" t="s">
        <v>7</v>
      </c>
      <c r="C191" s="8">
        <v>1890</v>
      </c>
      <c r="D191" s="9">
        <v>45449</v>
      </c>
      <c r="E191" s="13">
        <f>+HYPERLINK("http://trademark.i-assist.jp/data/china/image_1890th/67332506.pdf",67332506)</f>
        <v>67332506</v>
      </c>
      <c r="F191" s="7" t="s">
        <v>183</v>
      </c>
      <c r="G191" s="7" t="s">
        <v>566</v>
      </c>
      <c r="H191" s="7" t="s">
        <v>567</v>
      </c>
      <c r="I191" s="9">
        <v>44825</v>
      </c>
    </row>
    <row r="192" spans="1:9" x14ac:dyDescent="0.15">
      <c r="A192" s="6">
        <v>191</v>
      </c>
      <c r="B192" s="7" t="s">
        <v>7</v>
      </c>
      <c r="C192" s="8">
        <v>1890</v>
      </c>
      <c r="D192" s="9">
        <v>45449</v>
      </c>
      <c r="E192" s="13">
        <f>+HYPERLINK("http://trademark.i-assist.jp/data/china/image_1890th/67496690.pdf",67496690)</f>
        <v>67496690</v>
      </c>
      <c r="F192" s="7" t="s">
        <v>569</v>
      </c>
      <c r="G192" s="7" t="s">
        <v>568</v>
      </c>
      <c r="H192" s="7" t="s">
        <v>570</v>
      </c>
      <c r="I192" s="9">
        <v>44832</v>
      </c>
    </row>
    <row r="193" spans="1:9" x14ac:dyDescent="0.15">
      <c r="A193" s="6">
        <v>192</v>
      </c>
      <c r="B193" s="7" t="s">
        <v>7</v>
      </c>
      <c r="C193" s="8">
        <v>1890</v>
      </c>
      <c r="D193" s="9">
        <v>45449</v>
      </c>
      <c r="E193" s="13">
        <f>+HYPERLINK("http://trademark.i-assist.jp/data/china/image_1890th/67580470.pdf",67580470)</f>
        <v>67580470</v>
      </c>
      <c r="F193" s="7" t="s">
        <v>9</v>
      </c>
      <c r="G193" s="7" t="s">
        <v>571</v>
      </c>
      <c r="H193" s="7" t="s">
        <v>572</v>
      </c>
      <c r="I193" s="9">
        <v>44842</v>
      </c>
    </row>
    <row r="194" spans="1:9" x14ac:dyDescent="0.15">
      <c r="A194" s="6">
        <v>193</v>
      </c>
      <c r="B194" s="7" t="s">
        <v>7</v>
      </c>
      <c r="C194" s="8">
        <v>1890</v>
      </c>
      <c r="D194" s="9">
        <v>45449</v>
      </c>
      <c r="E194" s="13">
        <f>+HYPERLINK("http://trademark.i-assist.jp/data/china/image_1890th/67700108.pdf",67700108)</f>
        <v>67700108</v>
      </c>
      <c r="F194" s="7" t="s">
        <v>553</v>
      </c>
      <c r="G194" s="7" t="s">
        <v>552</v>
      </c>
      <c r="H194" s="7" t="s">
        <v>554</v>
      </c>
      <c r="I194" s="9">
        <v>44846</v>
      </c>
    </row>
    <row r="195" spans="1:9" x14ac:dyDescent="0.15">
      <c r="A195" s="6">
        <v>194</v>
      </c>
      <c r="B195" s="7" t="s">
        <v>7</v>
      </c>
      <c r="C195" s="8">
        <v>1890</v>
      </c>
      <c r="D195" s="9">
        <v>45449</v>
      </c>
      <c r="E195" s="13">
        <f>+HYPERLINK("http://trademark.i-assist.jp/data/china/image_1890th/67912388.pdf",67912388)</f>
        <v>67912388</v>
      </c>
      <c r="F195" s="7" t="s">
        <v>574</v>
      </c>
      <c r="G195" s="7" t="s">
        <v>573</v>
      </c>
      <c r="H195" s="7" t="s">
        <v>575</v>
      </c>
      <c r="I195" s="9">
        <v>44858</v>
      </c>
    </row>
    <row r="196" spans="1:9" x14ac:dyDescent="0.15">
      <c r="A196" s="6">
        <v>195</v>
      </c>
      <c r="B196" s="7" t="s">
        <v>7</v>
      </c>
      <c r="C196" s="8">
        <v>1890</v>
      </c>
      <c r="D196" s="9">
        <v>45449</v>
      </c>
      <c r="E196" s="13">
        <f>+HYPERLINK("http://trademark.i-assist.jp/data/china/image_1890th/68273627.pdf",68273627)</f>
        <v>68273627</v>
      </c>
      <c r="F196" s="7" t="s">
        <v>577</v>
      </c>
      <c r="G196" s="7" t="s">
        <v>576</v>
      </c>
      <c r="H196" s="7" t="s">
        <v>578</v>
      </c>
      <c r="I196" s="9">
        <v>44875</v>
      </c>
    </row>
    <row r="197" spans="1:9" x14ac:dyDescent="0.15">
      <c r="A197" s="6">
        <v>196</v>
      </c>
      <c r="B197" s="7" t="s">
        <v>7</v>
      </c>
      <c r="C197" s="8">
        <v>1890</v>
      </c>
      <c r="D197" s="9">
        <v>45449</v>
      </c>
      <c r="E197" s="13">
        <f>+HYPERLINK("http://trademark.i-assist.jp/data/china/image_1890th/68423260.pdf",68423260)</f>
        <v>68423260</v>
      </c>
      <c r="F197" s="7" t="s">
        <v>579</v>
      </c>
      <c r="G197" s="7" t="s">
        <v>119</v>
      </c>
      <c r="H197" s="7" t="s">
        <v>547</v>
      </c>
      <c r="I197" s="9">
        <v>44883</v>
      </c>
    </row>
    <row r="198" spans="1:9" ht="40.5" x14ac:dyDescent="0.15">
      <c r="A198" s="6">
        <v>197</v>
      </c>
      <c r="B198" s="7" t="s">
        <v>7</v>
      </c>
      <c r="C198" s="8">
        <v>1890</v>
      </c>
      <c r="D198" s="9">
        <v>45449</v>
      </c>
      <c r="E198" s="13">
        <f>+HYPERLINK("http://trademark.i-assist.jp/data/china/image_1890th/68504478.pdf",68504478)</f>
        <v>68504478</v>
      </c>
      <c r="F198" s="7" t="s">
        <v>581</v>
      </c>
      <c r="G198" s="7" t="s">
        <v>580</v>
      </c>
      <c r="H198" s="7" t="s">
        <v>547</v>
      </c>
      <c r="I198" s="9">
        <v>44888</v>
      </c>
    </row>
    <row r="199" spans="1:9" x14ac:dyDescent="0.15">
      <c r="A199" s="6">
        <v>198</v>
      </c>
      <c r="B199" s="7" t="s">
        <v>7</v>
      </c>
      <c r="C199" s="8">
        <v>1890</v>
      </c>
      <c r="D199" s="9">
        <v>45449</v>
      </c>
      <c r="E199" s="13">
        <f>+HYPERLINK("http://trademark.i-assist.jp/data/china/image_1890th/68836063.pdf",68836063)</f>
        <v>68836063</v>
      </c>
      <c r="F199" s="7" t="s">
        <v>583</v>
      </c>
      <c r="G199" s="7" t="s">
        <v>582</v>
      </c>
      <c r="H199" s="7" t="s">
        <v>584</v>
      </c>
      <c r="I199" s="9">
        <v>44908</v>
      </c>
    </row>
    <row r="200" spans="1:9" x14ac:dyDescent="0.15">
      <c r="A200" s="6">
        <v>199</v>
      </c>
      <c r="B200" s="7" t="s">
        <v>7</v>
      </c>
      <c r="C200" s="8">
        <v>1890</v>
      </c>
      <c r="D200" s="9">
        <v>45449</v>
      </c>
      <c r="E200" s="13">
        <f>+HYPERLINK("http://trademark.i-assist.jp/data/china/image_1890th/68926721.pdf",68926721)</f>
        <v>68926721</v>
      </c>
      <c r="F200" s="7" t="s">
        <v>586</v>
      </c>
      <c r="G200" s="7" t="s">
        <v>585</v>
      </c>
      <c r="H200" s="7" t="s">
        <v>587</v>
      </c>
      <c r="I200" s="9">
        <v>44914</v>
      </c>
    </row>
    <row r="201" spans="1:9" x14ac:dyDescent="0.15">
      <c r="A201" s="6">
        <v>200</v>
      </c>
      <c r="B201" s="7" t="s">
        <v>7</v>
      </c>
      <c r="C201" s="8">
        <v>1890</v>
      </c>
      <c r="D201" s="9">
        <v>45449</v>
      </c>
      <c r="E201" s="13">
        <f>+HYPERLINK("http://trademark.i-assist.jp/data/china/image_1890th/68957758.pdf",68957758)</f>
        <v>68957758</v>
      </c>
      <c r="F201" s="7" t="s">
        <v>588</v>
      </c>
      <c r="G201" s="7" t="s">
        <v>580</v>
      </c>
      <c r="H201" s="7" t="s">
        <v>589</v>
      </c>
      <c r="I201" s="9">
        <v>44917</v>
      </c>
    </row>
    <row r="202" spans="1:9" x14ac:dyDescent="0.15">
      <c r="A202" s="6">
        <v>201</v>
      </c>
      <c r="B202" s="7" t="s">
        <v>7</v>
      </c>
      <c r="C202" s="8">
        <v>1890</v>
      </c>
      <c r="D202" s="9">
        <v>45449</v>
      </c>
      <c r="E202" s="13">
        <f>+HYPERLINK("http://trademark.i-assist.jp/data/china/image_1890th/69097815.pdf",69097815)</f>
        <v>69097815</v>
      </c>
      <c r="F202" s="7" t="s">
        <v>591</v>
      </c>
      <c r="G202" s="7" t="s">
        <v>590</v>
      </c>
      <c r="H202" s="7" t="s">
        <v>592</v>
      </c>
      <c r="I202" s="9">
        <v>44930</v>
      </c>
    </row>
    <row r="203" spans="1:9" x14ac:dyDescent="0.15">
      <c r="A203" s="6">
        <v>202</v>
      </c>
      <c r="B203" s="7" t="s">
        <v>7</v>
      </c>
      <c r="C203" s="8">
        <v>1890</v>
      </c>
      <c r="D203" s="9">
        <v>45449</v>
      </c>
      <c r="E203" s="13">
        <f>+HYPERLINK("http://trademark.i-assist.jp/data/china/image_1890th/69105490.pdf",69105490)</f>
        <v>69105490</v>
      </c>
      <c r="F203" s="7" t="s">
        <v>594</v>
      </c>
      <c r="G203" s="7" t="s">
        <v>593</v>
      </c>
      <c r="H203" s="7" t="s">
        <v>595</v>
      </c>
      <c r="I203" s="9">
        <v>44931</v>
      </c>
    </row>
    <row r="204" spans="1:9" x14ac:dyDescent="0.15">
      <c r="A204" s="6">
        <v>203</v>
      </c>
      <c r="B204" s="7" t="s">
        <v>7</v>
      </c>
      <c r="C204" s="8">
        <v>1890</v>
      </c>
      <c r="D204" s="9">
        <v>45449</v>
      </c>
      <c r="E204" s="13">
        <f>+HYPERLINK("http://trademark.i-assist.jp/data/china/image_1890th/69195061.pdf",69195061)</f>
        <v>69195061</v>
      </c>
      <c r="F204" s="7" t="s">
        <v>597</v>
      </c>
      <c r="G204" s="7" t="s">
        <v>596</v>
      </c>
      <c r="H204" s="7" t="s">
        <v>598</v>
      </c>
      <c r="I204" s="9">
        <v>44938</v>
      </c>
    </row>
    <row r="205" spans="1:9" ht="27" x14ac:dyDescent="0.15">
      <c r="A205" s="6">
        <v>204</v>
      </c>
      <c r="B205" s="7" t="s">
        <v>7</v>
      </c>
      <c r="C205" s="8">
        <v>1890</v>
      </c>
      <c r="D205" s="9">
        <v>45449</v>
      </c>
      <c r="E205" s="13">
        <f>+HYPERLINK("http://trademark.i-assist.jp/data/china/image_1890th/69243323.pdf",69243323)</f>
        <v>69243323</v>
      </c>
      <c r="F205" s="7" t="s">
        <v>600</v>
      </c>
      <c r="G205" s="7" t="s">
        <v>599</v>
      </c>
      <c r="H205" s="7" t="s">
        <v>601</v>
      </c>
      <c r="I205" s="9">
        <v>44942</v>
      </c>
    </row>
    <row r="206" spans="1:9" x14ac:dyDescent="0.15">
      <c r="A206" s="6">
        <v>205</v>
      </c>
      <c r="B206" s="7" t="s">
        <v>7</v>
      </c>
      <c r="C206" s="8">
        <v>1890</v>
      </c>
      <c r="D206" s="9">
        <v>45449</v>
      </c>
      <c r="E206" s="13">
        <f>+HYPERLINK("http://trademark.i-assist.jp/data/china/image_1890th/69364130.pdf",69364130)</f>
        <v>69364130</v>
      </c>
      <c r="F206" s="7" t="s">
        <v>603</v>
      </c>
      <c r="G206" s="7" t="s">
        <v>602</v>
      </c>
      <c r="H206" s="7" t="s">
        <v>604</v>
      </c>
      <c r="I206" s="9">
        <v>44959</v>
      </c>
    </row>
    <row r="207" spans="1:9" x14ac:dyDescent="0.15">
      <c r="A207" s="6">
        <v>206</v>
      </c>
      <c r="B207" s="7" t="s">
        <v>7</v>
      </c>
      <c r="C207" s="8">
        <v>1890</v>
      </c>
      <c r="D207" s="9">
        <v>45449</v>
      </c>
      <c r="E207" s="13">
        <f>+HYPERLINK("http://trademark.i-assist.jp/data/china/image_1890th/69390414.pdf",69390414)</f>
        <v>69390414</v>
      </c>
      <c r="F207" s="7" t="s">
        <v>606</v>
      </c>
      <c r="G207" s="7" t="s">
        <v>605</v>
      </c>
      <c r="H207" s="7" t="s">
        <v>607</v>
      </c>
      <c r="I207" s="9">
        <v>44960</v>
      </c>
    </row>
    <row r="208" spans="1:9" x14ac:dyDescent="0.15">
      <c r="A208" s="6">
        <v>207</v>
      </c>
      <c r="B208" s="7" t="s">
        <v>7</v>
      </c>
      <c r="C208" s="8">
        <v>1890</v>
      </c>
      <c r="D208" s="9">
        <v>45449</v>
      </c>
      <c r="E208" s="13">
        <f>+HYPERLINK("http://trademark.i-assist.jp/data/china/image_1890th/69444790.pdf",69444790)</f>
        <v>69444790</v>
      </c>
      <c r="F208" s="7" t="s">
        <v>183</v>
      </c>
      <c r="G208" s="7" t="s">
        <v>608</v>
      </c>
      <c r="H208" s="7" t="s">
        <v>547</v>
      </c>
      <c r="I208" s="9">
        <v>44965</v>
      </c>
    </row>
    <row r="209" spans="1:9" ht="27" x14ac:dyDescent="0.15">
      <c r="A209" s="6">
        <v>208</v>
      </c>
      <c r="B209" s="7" t="s">
        <v>7</v>
      </c>
      <c r="C209" s="8">
        <v>1890</v>
      </c>
      <c r="D209" s="9">
        <v>45449</v>
      </c>
      <c r="E209" s="13">
        <f>+HYPERLINK("http://trademark.i-assist.jp/data/china/image_1890th/69491141.pdf",69491141)</f>
        <v>69491141</v>
      </c>
      <c r="F209" s="7" t="s">
        <v>610</v>
      </c>
      <c r="G209" s="7" t="s">
        <v>609</v>
      </c>
      <c r="H209" s="7" t="s">
        <v>611</v>
      </c>
      <c r="I209" s="9">
        <v>44967</v>
      </c>
    </row>
    <row r="210" spans="1:9" x14ac:dyDescent="0.15">
      <c r="A210" s="6">
        <v>209</v>
      </c>
      <c r="B210" s="7" t="s">
        <v>7</v>
      </c>
      <c r="C210" s="8">
        <v>1890</v>
      </c>
      <c r="D210" s="9">
        <v>45449</v>
      </c>
      <c r="E210" s="13">
        <f>+HYPERLINK("http://trademark.i-assist.jp/data/china/image_1890th/69566732.pdf",69566732)</f>
        <v>69566732</v>
      </c>
      <c r="F210" s="7" t="s">
        <v>613</v>
      </c>
      <c r="G210" s="7" t="s">
        <v>612</v>
      </c>
      <c r="H210" s="7" t="s">
        <v>614</v>
      </c>
      <c r="I210" s="9">
        <v>44971</v>
      </c>
    </row>
    <row r="211" spans="1:9" x14ac:dyDescent="0.15">
      <c r="A211" s="6">
        <v>210</v>
      </c>
      <c r="B211" s="7" t="s">
        <v>7</v>
      </c>
      <c r="C211" s="8">
        <v>1890</v>
      </c>
      <c r="D211" s="9">
        <v>45449</v>
      </c>
      <c r="E211" s="13">
        <f>+HYPERLINK("http://trademark.i-assist.jp/data/china/image_1890th/69671409.pdf",69671409)</f>
        <v>69671409</v>
      </c>
      <c r="F211" s="7" t="s">
        <v>616</v>
      </c>
      <c r="G211" s="7" t="s">
        <v>615</v>
      </c>
      <c r="H211" s="7" t="s">
        <v>617</v>
      </c>
      <c r="I211" s="9">
        <v>44977</v>
      </c>
    </row>
    <row r="212" spans="1:9" x14ac:dyDescent="0.15">
      <c r="A212" s="6">
        <v>211</v>
      </c>
      <c r="B212" s="7" t="s">
        <v>7</v>
      </c>
      <c r="C212" s="8">
        <v>1890</v>
      </c>
      <c r="D212" s="9">
        <v>45449</v>
      </c>
      <c r="E212" s="13">
        <f>+HYPERLINK("http://trademark.i-assist.jp/data/china/image_1890th/69740883.pdf",69740883)</f>
        <v>69740883</v>
      </c>
      <c r="F212" s="7" t="s">
        <v>619</v>
      </c>
      <c r="G212" s="7" t="s">
        <v>618</v>
      </c>
      <c r="H212" s="7" t="s">
        <v>620</v>
      </c>
      <c r="I212" s="9">
        <v>44979</v>
      </c>
    </row>
    <row r="213" spans="1:9" x14ac:dyDescent="0.15">
      <c r="A213" s="6">
        <v>212</v>
      </c>
      <c r="B213" s="7" t="s">
        <v>7</v>
      </c>
      <c r="C213" s="8">
        <v>1890</v>
      </c>
      <c r="D213" s="9">
        <v>45449</v>
      </c>
      <c r="E213" s="13">
        <f>+HYPERLINK("http://trademark.i-assist.jp/data/china/image_1890th/69754193.pdf",69754193)</f>
        <v>69754193</v>
      </c>
      <c r="F213" s="7" t="s">
        <v>183</v>
      </c>
      <c r="G213" s="7" t="s">
        <v>11</v>
      </c>
      <c r="H213" s="7" t="s">
        <v>621</v>
      </c>
      <c r="I213" s="9">
        <v>44981</v>
      </c>
    </row>
    <row r="214" spans="1:9" x14ac:dyDescent="0.15">
      <c r="A214" s="6">
        <v>213</v>
      </c>
      <c r="B214" s="7" t="s">
        <v>7</v>
      </c>
      <c r="C214" s="8">
        <v>1890</v>
      </c>
      <c r="D214" s="9">
        <v>45449</v>
      </c>
      <c r="E214" s="13">
        <f>+HYPERLINK("http://trademark.i-assist.jp/data/china/image_1890th/69766224.pdf",69766224)</f>
        <v>69766224</v>
      </c>
      <c r="F214" s="7" t="s">
        <v>623</v>
      </c>
      <c r="G214" s="7" t="s">
        <v>622</v>
      </c>
      <c r="H214" s="7" t="s">
        <v>624</v>
      </c>
      <c r="I214" s="9">
        <v>44980</v>
      </c>
    </row>
    <row r="215" spans="1:9" x14ac:dyDescent="0.15">
      <c r="A215" s="6">
        <v>214</v>
      </c>
      <c r="B215" s="7" t="s">
        <v>7</v>
      </c>
      <c r="C215" s="8">
        <v>1890</v>
      </c>
      <c r="D215" s="9">
        <v>45449</v>
      </c>
      <c r="E215" s="13">
        <f>+HYPERLINK("http://trademark.i-assist.jp/data/china/image_1890th/69768718.pdf",69768718)</f>
        <v>69768718</v>
      </c>
      <c r="F215" s="7" t="s">
        <v>626</v>
      </c>
      <c r="G215" s="7" t="s">
        <v>625</v>
      </c>
      <c r="H215" s="7" t="s">
        <v>627</v>
      </c>
      <c r="I215" s="9">
        <v>44980</v>
      </c>
    </row>
    <row r="216" spans="1:9" x14ac:dyDescent="0.15">
      <c r="A216" s="6">
        <v>215</v>
      </c>
      <c r="B216" s="7" t="s">
        <v>7</v>
      </c>
      <c r="C216" s="8">
        <v>1890</v>
      </c>
      <c r="D216" s="9">
        <v>45449</v>
      </c>
      <c r="E216" s="13">
        <f>+HYPERLINK("http://trademark.i-assist.jp/data/china/image_1890th/69781553.pdf",69781553)</f>
        <v>69781553</v>
      </c>
      <c r="F216" s="7" t="s">
        <v>629</v>
      </c>
      <c r="G216" s="7" t="s">
        <v>628</v>
      </c>
      <c r="H216" s="7" t="s">
        <v>630</v>
      </c>
      <c r="I216" s="9">
        <v>44981</v>
      </c>
    </row>
    <row r="217" spans="1:9" ht="27" x14ac:dyDescent="0.15">
      <c r="A217" s="6">
        <v>216</v>
      </c>
      <c r="B217" s="7" t="s">
        <v>7</v>
      </c>
      <c r="C217" s="8">
        <v>1890</v>
      </c>
      <c r="D217" s="9">
        <v>45449</v>
      </c>
      <c r="E217" s="13">
        <f>+HYPERLINK("http://trademark.i-assist.jp/data/china/image_1890th/69799023.pdf",69799023)</f>
        <v>69799023</v>
      </c>
      <c r="F217" s="7" t="s">
        <v>632</v>
      </c>
      <c r="G217" s="7" t="s">
        <v>631</v>
      </c>
      <c r="H217" s="7" t="s">
        <v>633</v>
      </c>
      <c r="I217" s="9">
        <v>44981</v>
      </c>
    </row>
    <row r="218" spans="1:9" ht="27" x14ac:dyDescent="0.15">
      <c r="A218" s="6">
        <v>217</v>
      </c>
      <c r="B218" s="7" t="s">
        <v>7</v>
      </c>
      <c r="C218" s="8">
        <v>1890</v>
      </c>
      <c r="D218" s="9">
        <v>45449</v>
      </c>
      <c r="E218" s="13">
        <f>+HYPERLINK("http://trademark.i-assist.jp/data/china/image_1890th/69878041.pdf",69878041)</f>
        <v>69878041</v>
      </c>
      <c r="F218" s="7" t="s">
        <v>635</v>
      </c>
      <c r="G218" s="7" t="s">
        <v>634</v>
      </c>
      <c r="H218" s="7" t="s">
        <v>636</v>
      </c>
      <c r="I218" s="9">
        <v>44986</v>
      </c>
    </row>
    <row r="219" spans="1:9" ht="27" x14ac:dyDescent="0.15">
      <c r="A219" s="6">
        <v>218</v>
      </c>
      <c r="B219" s="7" t="s">
        <v>7</v>
      </c>
      <c r="C219" s="8">
        <v>1890</v>
      </c>
      <c r="D219" s="9">
        <v>45449</v>
      </c>
      <c r="E219" s="13">
        <f>+HYPERLINK("http://trademark.i-assist.jp/data/china/image_1890th/69900251.pdf",69900251)</f>
        <v>69900251</v>
      </c>
      <c r="F219" s="7" t="s">
        <v>638</v>
      </c>
      <c r="G219" s="7" t="s">
        <v>637</v>
      </c>
      <c r="H219" s="7" t="s">
        <v>639</v>
      </c>
      <c r="I219" s="9">
        <v>44987</v>
      </c>
    </row>
    <row r="220" spans="1:9" x14ac:dyDescent="0.15">
      <c r="A220" s="6">
        <v>219</v>
      </c>
      <c r="B220" s="7" t="s">
        <v>7</v>
      </c>
      <c r="C220" s="8">
        <v>1890</v>
      </c>
      <c r="D220" s="9">
        <v>45449</v>
      </c>
      <c r="E220" s="13">
        <f>+HYPERLINK("http://trademark.i-assist.jp/data/china/image_1890th/69931875.pdf",69931875)</f>
        <v>69931875</v>
      </c>
      <c r="F220" s="7" t="s">
        <v>641</v>
      </c>
      <c r="G220" s="7" t="s">
        <v>640</v>
      </c>
      <c r="H220" s="7" t="s">
        <v>8</v>
      </c>
      <c r="I220" s="9">
        <v>44988</v>
      </c>
    </row>
    <row r="221" spans="1:9" ht="27" x14ac:dyDescent="0.15">
      <c r="A221" s="6">
        <v>220</v>
      </c>
      <c r="B221" s="7" t="s">
        <v>7</v>
      </c>
      <c r="C221" s="8">
        <v>1890</v>
      </c>
      <c r="D221" s="9">
        <v>45449</v>
      </c>
      <c r="E221" s="13">
        <f>+HYPERLINK("http://trademark.i-assist.jp/data/china/image_1890th/70145284.pdf",70145284)</f>
        <v>70145284</v>
      </c>
      <c r="F221" s="7" t="s">
        <v>643</v>
      </c>
      <c r="G221" s="7" t="s">
        <v>642</v>
      </c>
      <c r="H221" s="7" t="s">
        <v>644</v>
      </c>
      <c r="I221" s="9">
        <v>44998</v>
      </c>
    </row>
    <row r="222" spans="1:9" ht="27" x14ac:dyDescent="0.15">
      <c r="A222" s="6">
        <v>221</v>
      </c>
      <c r="B222" s="7" t="s">
        <v>7</v>
      </c>
      <c r="C222" s="8">
        <v>1890</v>
      </c>
      <c r="D222" s="9">
        <v>45449</v>
      </c>
      <c r="E222" s="13">
        <f>+HYPERLINK("http://trademark.i-assist.jp/data/china/image_1890th/70279713.pdf",70279713)</f>
        <v>70279713</v>
      </c>
      <c r="F222" s="7" t="s">
        <v>646</v>
      </c>
      <c r="G222" s="7" t="s">
        <v>645</v>
      </c>
      <c r="H222" s="7" t="s">
        <v>647</v>
      </c>
      <c r="I222" s="9">
        <v>45002</v>
      </c>
    </row>
    <row r="223" spans="1:9" x14ac:dyDescent="0.15">
      <c r="A223" s="6">
        <v>222</v>
      </c>
      <c r="B223" s="7" t="s">
        <v>7</v>
      </c>
      <c r="C223" s="8">
        <v>1890</v>
      </c>
      <c r="D223" s="9">
        <v>45449</v>
      </c>
      <c r="E223" s="13">
        <f>+HYPERLINK("http://trademark.i-assist.jp/data/china/image_1890th/70296770.pdf",70296770)</f>
        <v>70296770</v>
      </c>
      <c r="F223" s="7" t="s">
        <v>649</v>
      </c>
      <c r="G223" s="7" t="s">
        <v>648</v>
      </c>
      <c r="H223" s="7" t="s">
        <v>650</v>
      </c>
      <c r="I223" s="9">
        <v>45005</v>
      </c>
    </row>
    <row r="224" spans="1:9" x14ac:dyDescent="0.15">
      <c r="A224" s="6">
        <v>223</v>
      </c>
      <c r="B224" s="7" t="s">
        <v>7</v>
      </c>
      <c r="C224" s="8">
        <v>1890</v>
      </c>
      <c r="D224" s="9">
        <v>45449</v>
      </c>
      <c r="E224" s="13">
        <f>+HYPERLINK("http://trademark.i-assist.jp/data/china/image_1890th/70327514.pdf",70327514)</f>
        <v>70327514</v>
      </c>
      <c r="F224" s="7" t="s">
        <v>652</v>
      </c>
      <c r="G224" s="7" t="s">
        <v>651</v>
      </c>
      <c r="H224" s="7" t="s">
        <v>653</v>
      </c>
      <c r="I224" s="9">
        <v>45006</v>
      </c>
    </row>
    <row r="225" spans="1:9" x14ac:dyDescent="0.15">
      <c r="A225" s="6">
        <v>224</v>
      </c>
      <c r="B225" s="7" t="s">
        <v>7</v>
      </c>
      <c r="C225" s="8">
        <v>1890</v>
      </c>
      <c r="D225" s="9">
        <v>45449</v>
      </c>
      <c r="E225" s="13">
        <f>+HYPERLINK("http://trademark.i-assist.jp/data/china/image_1890th/70357400.pdf",70357400)</f>
        <v>70357400</v>
      </c>
      <c r="F225" s="7" t="s">
        <v>655</v>
      </c>
      <c r="G225" s="7" t="s">
        <v>654</v>
      </c>
      <c r="H225" s="7" t="s">
        <v>656</v>
      </c>
      <c r="I225" s="9">
        <v>45006</v>
      </c>
    </row>
    <row r="226" spans="1:9" x14ac:dyDescent="0.15">
      <c r="A226" s="6">
        <v>225</v>
      </c>
      <c r="B226" s="7" t="s">
        <v>7</v>
      </c>
      <c r="C226" s="8">
        <v>1890</v>
      </c>
      <c r="D226" s="9">
        <v>45449</v>
      </c>
      <c r="E226" s="13">
        <f>+HYPERLINK("http://trademark.i-assist.jp/data/china/image_1890th/70364130.pdf",70364130)</f>
        <v>70364130</v>
      </c>
      <c r="F226" s="7" t="s">
        <v>658</v>
      </c>
      <c r="G226" s="7" t="s">
        <v>657</v>
      </c>
      <c r="H226" s="7" t="s">
        <v>659</v>
      </c>
      <c r="I226" s="9">
        <v>45007</v>
      </c>
    </row>
    <row r="227" spans="1:9" ht="27" x14ac:dyDescent="0.15">
      <c r="A227" s="6">
        <v>226</v>
      </c>
      <c r="B227" s="7" t="s">
        <v>7</v>
      </c>
      <c r="C227" s="8">
        <v>1890</v>
      </c>
      <c r="D227" s="9">
        <v>45449</v>
      </c>
      <c r="E227" s="13">
        <f>+HYPERLINK("http://trademark.i-assist.jp/data/china/image_1890th/70374571.pdf",70374571)</f>
        <v>70374571</v>
      </c>
      <c r="F227" s="7" t="s">
        <v>661</v>
      </c>
      <c r="G227" s="7" t="s">
        <v>660</v>
      </c>
      <c r="H227" s="7" t="s">
        <v>662</v>
      </c>
      <c r="I227" s="9">
        <v>45007</v>
      </c>
    </row>
    <row r="228" spans="1:9" x14ac:dyDescent="0.15">
      <c r="A228" s="6">
        <v>227</v>
      </c>
      <c r="B228" s="7" t="s">
        <v>7</v>
      </c>
      <c r="C228" s="8">
        <v>1890</v>
      </c>
      <c r="D228" s="9">
        <v>45449</v>
      </c>
      <c r="E228" s="13">
        <f>+HYPERLINK("http://trademark.i-assist.jp/data/china/image_1890th/76904809.pdf",76904809)</f>
        <v>76904809</v>
      </c>
      <c r="F228" s="7" t="s">
        <v>664</v>
      </c>
      <c r="G228" s="7" t="s">
        <v>663</v>
      </c>
      <c r="H228" s="7" t="s">
        <v>665</v>
      </c>
      <c r="I228" s="9">
        <v>45344</v>
      </c>
    </row>
    <row r="229" spans="1:9" x14ac:dyDescent="0.15">
      <c r="A229" s="6">
        <v>228</v>
      </c>
      <c r="B229" s="7" t="s">
        <v>7</v>
      </c>
      <c r="C229" s="8">
        <v>1890</v>
      </c>
      <c r="D229" s="9">
        <v>45449</v>
      </c>
      <c r="E229" s="13">
        <f>+HYPERLINK("http://trademark.i-assist.jp/data/china/image_1890th/76906230.pdf",76906230)</f>
        <v>76906230</v>
      </c>
      <c r="F229" s="7" t="s">
        <v>667</v>
      </c>
      <c r="G229" s="7" t="s">
        <v>666</v>
      </c>
      <c r="H229" s="7" t="s">
        <v>668</v>
      </c>
      <c r="I229" s="9">
        <v>45344</v>
      </c>
    </row>
    <row r="230" spans="1:9" x14ac:dyDescent="0.15">
      <c r="A230" s="6">
        <v>229</v>
      </c>
      <c r="B230" s="7" t="s">
        <v>7</v>
      </c>
      <c r="C230" s="8">
        <v>1890</v>
      </c>
      <c r="D230" s="9">
        <v>45449</v>
      </c>
      <c r="E230" s="13">
        <f>+HYPERLINK("http://trademark.i-assist.jp/data/china/image_1890th/76906242.pdf",76906242)</f>
        <v>76906242</v>
      </c>
      <c r="F230" s="7" t="s">
        <v>669</v>
      </c>
      <c r="G230" s="7" t="s">
        <v>663</v>
      </c>
      <c r="H230" s="7" t="s">
        <v>670</v>
      </c>
      <c r="I230" s="9">
        <v>45344</v>
      </c>
    </row>
    <row r="231" spans="1:9" x14ac:dyDescent="0.15">
      <c r="A231" s="6">
        <v>230</v>
      </c>
      <c r="B231" s="7" t="s">
        <v>7</v>
      </c>
      <c r="C231" s="8">
        <v>1890</v>
      </c>
      <c r="D231" s="9">
        <v>45449</v>
      </c>
      <c r="E231" s="13">
        <f>+HYPERLINK("http://trademark.i-assist.jp/data/china/image_1890th/76906387.pdf",76906387)</f>
        <v>76906387</v>
      </c>
      <c r="F231" s="7" t="s">
        <v>672</v>
      </c>
      <c r="G231" s="7" t="s">
        <v>671</v>
      </c>
      <c r="H231" s="7" t="s">
        <v>673</v>
      </c>
      <c r="I231" s="9">
        <v>45344</v>
      </c>
    </row>
    <row r="232" spans="1:9" x14ac:dyDescent="0.15">
      <c r="A232" s="6">
        <v>231</v>
      </c>
      <c r="B232" s="7" t="s">
        <v>7</v>
      </c>
      <c r="C232" s="8">
        <v>1890</v>
      </c>
      <c r="D232" s="9">
        <v>45449</v>
      </c>
      <c r="E232" s="13">
        <f>+HYPERLINK("http://trademark.i-assist.jp/data/china/image_1890th/76907263.pdf",76907263)</f>
        <v>76907263</v>
      </c>
      <c r="F232" s="7" t="s">
        <v>675</v>
      </c>
      <c r="G232" s="7" t="s">
        <v>674</v>
      </c>
      <c r="H232" s="7" t="s">
        <v>676</v>
      </c>
      <c r="I232" s="9">
        <v>45344</v>
      </c>
    </row>
    <row r="233" spans="1:9" ht="27" x14ac:dyDescent="0.15">
      <c r="A233" s="6">
        <v>232</v>
      </c>
      <c r="B233" s="7" t="s">
        <v>7</v>
      </c>
      <c r="C233" s="8">
        <v>1890</v>
      </c>
      <c r="D233" s="9">
        <v>45449</v>
      </c>
      <c r="E233" s="13">
        <f>+HYPERLINK("http://trademark.i-assist.jp/data/china/image_1890th/76909303.pdf",76909303)</f>
        <v>76909303</v>
      </c>
      <c r="F233" s="7" t="s">
        <v>678</v>
      </c>
      <c r="G233" s="7" t="s">
        <v>677</v>
      </c>
      <c r="H233" s="7" t="s">
        <v>679</v>
      </c>
      <c r="I233" s="9">
        <v>45344</v>
      </c>
    </row>
    <row r="234" spans="1:9" x14ac:dyDescent="0.15">
      <c r="A234" s="6">
        <v>233</v>
      </c>
      <c r="B234" s="7" t="s">
        <v>7</v>
      </c>
      <c r="C234" s="8">
        <v>1890</v>
      </c>
      <c r="D234" s="9">
        <v>45449</v>
      </c>
      <c r="E234" s="13">
        <f>+HYPERLINK("http://trademark.i-assist.jp/data/china/image_1890th/76910428.pdf",76910428)</f>
        <v>76910428</v>
      </c>
      <c r="F234" s="7" t="s">
        <v>680</v>
      </c>
      <c r="G234" s="7" t="s">
        <v>663</v>
      </c>
      <c r="H234" s="7" t="s">
        <v>681</v>
      </c>
      <c r="I234" s="9">
        <v>45344</v>
      </c>
    </row>
    <row r="235" spans="1:9" x14ac:dyDescent="0.15">
      <c r="A235" s="6">
        <v>234</v>
      </c>
      <c r="B235" s="7" t="s">
        <v>7</v>
      </c>
      <c r="C235" s="8">
        <v>1890</v>
      </c>
      <c r="D235" s="9">
        <v>45449</v>
      </c>
      <c r="E235" s="13">
        <f>+HYPERLINK("http://trademark.i-assist.jp/data/china/image_1890th/77187897.pdf",77187897)</f>
        <v>77187897</v>
      </c>
      <c r="F235" s="7" t="s">
        <v>683</v>
      </c>
      <c r="G235" s="7" t="s">
        <v>682</v>
      </c>
      <c r="H235" s="7" t="s">
        <v>684</v>
      </c>
      <c r="I235" s="9">
        <v>45359</v>
      </c>
    </row>
    <row r="236" spans="1:9" x14ac:dyDescent="0.15">
      <c r="A236" s="6">
        <v>235</v>
      </c>
      <c r="B236" s="7" t="s">
        <v>7</v>
      </c>
      <c r="C236" s="8">
        <v>1890</v>
      </c>
      <c r="D236" s="9">
        <v>45449</v>
      </c>
      <c r="E236" s="13">
        <f>+HYPERLINK("http://trademark.i-assist.jp/data/china/image_1890th/77187977.pdf",77187977)</f>
        <v>77187977</v>
      </c>
      <c r="F236" s="7" t="s">
        <v>686</v>
      </c>
      <c r="G236" s="7" t="s">
        <v>685</v>
      </c>
      <c r="H236" s="7" t="s">
        <v>687</v>
      </c>
      <c r="I236" s="9">
        <v>45359</v>
      </c>
    </row>
    <row r="237" spans="1:9" x14ac:dyDescent="0.15">
      <c r="A237" s="6">
        <v>236</v>
      </c>
      <c r="B237" s="7" t="s">
        <v>7</v>
      </c>
      <c r="C237" s="8">
        <v>1890</v>
      </c>
      <c r="D237" s="9">
        <v>45449</v>
      </c>
      <c r="E237" s="13">
        <f>+HYPERLINK("http://trademark.i-assist.jp/data/china/image_1890th/77188116.pdf",77188116)</f>
        <v>77188116</v>
      </c>
      <c r="F237" s="7" t="s">
        <v>689</v>
      </c>
      <c r="G237" s="7" t="s">
        <v>688</v>
      </c>
      <c r="H237" s="7" t="s">
        <v>690</v>
      </c>
      <c r="I237" s="9">
        <v>45359</v>
      </c>
    </row>
    <row r="238" spans="1:9" ht="27" x14ac:dyDescent="0.15">
      <c r="A238" s="6">
        <v>237</v>
      </c>
      <c r="B238" s="7" t="s">
        <v>7</v>
      </c>
      <c r="C238" s="8">
        <v>1890</v>
      </c>
      <c r="D238" s="9">
        <v>45449</v>
      </c>
      <c r="E238" s="13">
        <f>+HYPERLINK("http://trademark.i-assist.jp/data/china/image_1890th/77188317.pdf",77188317)</f>
        <v>77188317</v>
      </c>
      <c r="F238" s="7" t="s">
        <v>692</v>
      </c>
      <c r="G238" s="7" t="s">
        <v>691</v>
      </c>
      <c r="H238" s="7" t="s">
        <v>693</v>
      </c>
      <c r="I238" s="9">
        <v>45359</v>
      </c>
    </row>
    <row r="239" spans="1:9" x14ac:dyDescent="0.15">
      <c r="A239" s="6">
        <v>238</v>
      </c>
      <c r="B239" s="7" t="s">
        <v>7</v>
      </c>
      <c r="C239" s="8">
        <v>1890</v>
      </c>
      <c r="D239" s="9">
        <v>45449</v>
      </c>
      <c r="E239" s="13">
        <f>+HYPERLINK("http://trademark.i-assist.jp/data/china/image_1890th/77188357.pdf",77188357)</f>
        <v>77188357</v>
      </c>
      <c r="F239" s="7" t="s">
        <v>695</v>
      </c>
      <c r="G239" s="7" t="s">
        <v>694</v>
      </c>
      <c r="H239" s="7" t="s">
        <v>696</v>
      </c>
      <c r="I239" s="9">
        <v>45359</v>
      </c>
    </row>
    <row r="240" spans="1:9" ht="27" x14ac:dyDescent="0.15">
      <c r="A240" s="6">
        <v>239</v>
      </c>
      <c r="B240" s="7" t="s">
        <v>7</v>
      </c>
      <c r="C240" s="8">
        <v>1890</v>
      </c>
      <c r="D240" s="9">
        <v>45449</v>
      </c>
      <c r="E240" s="13">
        <f>+HYPERLINK("http://trademark.i-assist.jp/data/china/image_1890th/77188384.pdf",77188384)</f>
        <v>77188384</v>
      </c>
      <c r="F240" s="7" t="s">
        <v>698</v>
      </c>
      <c r="G240" s="7" t="s">
        <v>697</v>
      </c>
      <c r="H240" s="7" t="s">
        <v>699</v>
      </c>
      <c r="I240" s="9">
        <v>45359</v>
      </c>
    </row>
    <row r="241" spans="1:9" x14ac:dyDescent="0.15">
      <c r="A241" s="6">
        <v>240</v>
      </c>
      <c r="B241" s="7" t="s">
        <v>7</v>
      </c>
      <c r="C241" s="8">
        <v>1890</v>
      </c>
      <c r="D241" s="9">
        <v>45449</v>
      </c>
      <c r="E241" s="13">
        <f>+HYPERLINK("http://trademark.i-assist.jp/data/china/image_1890th/77188412.pdf",77188412)</f>
        <v>77188412</v>
      </c>
      <c r="F241" s="7" t="s">
        <v>701</v>
      </c>
      <c r="G241" s="7" t="s">
        <v>700</v>
      </c>
      <c r="H241" s="7" t="s">
        <v>702</v>
      </c>
      <c r="I241" s="9">
        <v>45359</v>
      </c>
    </row>
    <row r="242" spans="1:9" x14ac:dyDescent="0.15">
      <c r="A242" s="6">
        <v>241</v>
      </c>
      <c r="B242" s="7" t="s">
        <v>7</v>
      </c>
      <c r="C242" s="8">
        <v>1890</v>
      </c>
      <c r="D242" s="9">
        <v>45449</v>
      </c>
      <c r="E242" s="13">
        <f>+HYPERLINK("http://trademark.i-assist.jp/data/china/image_1890th/77197938.pdf",77197938)</f>
        <v>77197938</v>
      </c>
      <c r="F242" s="7" t="s">
        <v>704</v>
      </c>
      <c r="G242" s="7" t="s">
        <v>703</v>
      </c>
      <c r="H242" s="7" t="s">
        <v>705</v>
      </c>
      <c r="I242" s="9">
        <v>45360</v>
      </c>
    </row>
    <row r="243" spans="1:9" x14ac:dyDescent="0.15">
      <c r="A243" s="6">
        <v>242</v>
      </c>
      <c r="B243" s="7" t="s">
        <v>7</v>
      </c>
      <c r="C243" s="8">
        <v>1890</v>
      </c>
      <c r="D243" s="9">
        <v>45449</v>
      </c>
      <c r="E243" s="13">
        <f>+HYPERLINK("http://trademark.i-assist.jp/data/china/image_1890th/77198693.pdf",77198693)</f>
        <v>77198693</v>
      </c>
      <c r="F243" s="7" t="s">
        <v>706</v>
      </c>
      <c r="G243" s="7" t="s">
        <v>32</v>
      </c>
      <c r="H243" s="7" t="s">
        <v>707</v>
      </c>
      <c r="I243" s="9">
        <v>45360</v>
      </c>
    </row>
    <row r="244" spans="1:9" x14ac:dyDescent="0.15">
      <c r="A244" s="6">
        <v>243</v>
      </c>
      <c r="B244" s="7" t="s">
        <v>7</v>
      </c>
      <c r="C244" s="8">
        <v>1890</v>
      </c>
      <c r="D244" s="9">
        <v>45449</v>
      </c>
      <c r="E244" s="13">
        <f>+HYPERLINK("http://trademark.i-assist.jp/data/china/image_1890th/77198727.pdf",77198727)</f>
        <v>77198727</v>
      </c>
      <c r="F244" s="7" t="s">
        <v>709</v>
      </c>
      <c r="G244" s="7" t="s">
        <v>708</v>
      </c>
      <c r="H244" s="7" t="s">
        <v>710</v>
      </c>
      <c r="I244" s="9">
        <v>45360</v>
      </c>
    </row>
    <row r="245" spans="1:9" x14ac:dyDescent="0.15">
      <c r="A245" s="6">
        <v>244</v>
      </c>
      <c r="B245" s="7" t="s">
        <v>7</v>
      </c>
      <c r="C245" s="8">
        <v>1890</v>
      </c>
      <c r="D245" s="9">
        <v>45449</v>
      </c>
      <c r="E245" s="13">
        <f>+HYPERLINK("http://trademark.i-assist.jp/data/china/image_1890th/77199226.pdf",77199226)</f>
        <v>77199226</v>
      </c>
      <c r="F245" s="7" t="s">
        <v>712</v>
      </c>
      <c r="G245" s="7" t="s">
        <v>711</v>
      </c>
      <c r="H245" s="7" t="s">
        <v>713</v>
      </c>
      <c r="I245" s="9">
        <v>45360</v>
      </c>
    </row>
    <row r="246" spans="1:9" x14ac:dyDescent="0.15">
      <c r="A246" s="6">
        <v>245</v>
      </c>
      <c r="B246" s="7" t="s">
        <v>7</v>
      </c>
      <c r="C246" s="8">
        <v>1890</v>
      </c>
      <c r="D246" s="9">
        <v>45449</v>
      </c>
      <c r="E246" s="13">
        <f>+HYPERLINK("http://trademark.i-assist.jp/data/china/image_1890th/77199584.pdf",77199584)</f>
        <v>77199584</v>
      </c>
      <c r="F246" s="7" t="s">
        <v>715</v>
      </c>
      <c r="G246" s="7" t="s">
        <v>714</v>
      </c>
      <c r="H246" s="7" t="s">
        <v>716</v>
      </c>
      <c r="I246" s="9">
        <v>45360</v>
      </c>
    </row>
    <row r="247" spans="1:9" ht="27" x14ac:dyDescent="0.15">
      <c r="A247" s="6">
        <v>246</v>
      </c>
      <c r="B247" s="7" t="s">
        <v>7</v>
      </c>
      <c r="C247" s="8">
        <v>1890</v>
      </c>
      <c r="D247" s="9">
        <v>45449</v>
      </c>
      <c r="E247" s="13">
        <f>+HYPERLINK("http://trademark.i-assist.jp/data/china/image_1890th/77199730.pdf",77199730)</f>
        <v>77199730</v>
      </c>
      <c r="F247" s="7" t="s">
        <v>718</v>
      </c>
      <c r="G247" s="7" t="s">
        <v>717</v>
      </c>
      <c r="H247" s="7" t="s">
        <v>719</v>
      </c>
      <c r="I247" s="9">
        <v>45360</v>
      </c>
    </row>
    <row r="248" spans="1:9" x14ac:dyDescent="0.15">
      <c r="A248" s="6">
        <v>247</v>
      </c>
      <c r="B248" s="7" t="s">
        <v>7</v>
      </c>
      <c r="C248" s="8">
        <v>1890</v>
      </c>
      <c r="D248" s="9">
        <v>45449</v>
      </c>
      <c r="E248" s="13">
        <f>+HYPERLINK("http://trademark.i-assist.jp/data/china/image_1890th/77200158.pdf",77200158)</f>
        <v>77200158</v>
      </c>
      <c r="F248" s="7" t="s">
        <v>721</v>
      </c>
      <c r="G248" s="7" t="s">
        <v>720</v>
      </c>
      <c r="H248" s="7" t="s">
        <v>722</v>
      </c>
      <c r="I248" s="9">
        <v>45359</v>
      </c>
    </row>
    <row r="249" spans="1:9" x14ac:dyDescent="0.15">
      <c r="A249" s="6">
        <v>248</v>
      </c>
      <c r="B249" s="7" t="s">
        <v>7</v>
      </c>
      <c r="C249" s="8">
        <v>1890</v>
      </c>
      <c r="D249" s="9">
        <v>45449</v>
      </c>
      <c r="E249" s="13">
        <f>+HYPERLINK("http://trademark.i-assist.jp/data/china/image_1890th/77200331.pdf",77200331)</f>
        <v>77200331</v>
      </c>
      <c r="F249" s="7" t="s">
        <v>724</v>
      </c>
      <c r="G249" s="7" t="s">
        <v>723</v>
      </c>
      <c r="H249" s="7" t="s">
        <v>725</v>
      </c>
      <c r="I249" s="9">
        <v>45359</v>
      </c>
    </row>
    <row r="250" spans="1:9" ht="27" x14ac:dyDescent="0.15">
      <c r="A250" s="6">
        <v>249</v>
      </c>
      <c r="B250" s="7" t="s">
        <v>7</v>
      </c>
      <c r="C250" s="8">
        <v>1890</v>
      </c>
      <c r="D250" s="9">
        <v>45449</v>
      </c>
      <c r="E250" s="13">
        <f>+HYPERLINK("http://trademark.i-assist.jp/data/china/image_1890th/77201161.pdf",77201161)</f>
        <v>77201161</v>
      </c>
      <c r="F250" s="7" t="s">
        <v>727</v>
      </c>
      <c r="G250" s="7" t="s">
        <v>726</v>
      </c>
      <c r="H250" s="7" t="s">
        <v>728</v>
      </c>
      <c r="I250" s="9">
        <v>45360</v>
      </c>
    </row>
    <row r="251" spans="1:9" x14ac:dyDescent="0.15">
      <c r="A251" s="6">
        <v>250</v>
      </c>
      <c r="B251" s="7" t="s">
        <v>7</v>
      </c>
      <c r="C251" s="8">
        <v>1890</v>
      </c>
      <c r="D251" s="9">
        <v>45449</v>
      </c>
      <c r="E251" s="13">
        <f>+HYPERLINK("http://trademark.i-assist.jp/data/china/image_1890th/77201244.pdf",77201244)</f>
        <v>77201244</v>
      </c>
      <c r="F251" s="7" t="s">
        <v>730</v>
      </c>
      <c r="G251" s="7" t="s">
        <v>729</v>
      </c>
      <c r="H251" s="7" t="s">
        <v>731</v>
      </c>
      <c r="I251" s="9">
        <v>45360</v>
      </c>
    </row>
    <row r="252" spans="1:9" ht="27" x14ac:dyDescent="0.15">
      <c r="A252" s="6">
        <v>251</v>
      </c>
      <c r="B252" s="7" t="s">
        <v>7</v>
      </c>
      <c r="C252" s="8">
        <v>1890</v>
      </c>
      <c r="D252" s="9">
        <v>45449</v>
      </c>
      <c r="E252" s="13">
        <f>+HYPERLINK("http://trademark.i-assist.jp/data/china/image_1890th/77201827.pdf",77201827)</f>
        <v>77201827</v>
      </c>
      <c r="F252" s="7" t="s">
        <v>733</v>
      </c>
      <c r="G252" s="7" t="s">
        <v>732</v>
      </c>
      <c r="H252" s="7" t="s">
        <v>734</v>
      </c>
      <c r="I252" s="9">
        <v>45360</v>
      </c>
    </row>
    <row r="253" spans="1:9" x14ac:dyDescent="0.15">
      <c r="A253" s="6">
        <v>252</v>
      </c>
      <c r="B253" s="7" t="s">
        <v>7</v>
      </c>
      <c r="C253" s="8">
        <v>1890</v>
      </c>
      <c r="D253" s="9">
        <v>45449</v>
      </c>
      <c r="E253" s="13">
        <f>+HYPERLINK("http://trademark.i-assist.jp/data/china/image_1890th/77202009.pdf",77202009)</f>
        <v>77202009</v>
      </c>
      <c r="F253" s="7" t="s">
        <v>736</v>
      </c>
      <c r="G253" s="7" t="s">
        <v>735</v>
      </c>
      <c r="H253" s="7" t="s">
        <v>737</v>
      </c>
      <c r="I253" s="9">
        <v>45360</v>
      </c>
    </row>
    <row r="254" spans="1:9" x14ac:dyDescent="0.15">
      <c r="A254" s="6">
        <v>253</v>
      </c>
      <c r="B254" s="7" t="s">
        <v>7</v>
      </c>
      <c r="C254" s="8">
        <v>1890</v>
      </c>
      <c r="D254" s="9">
        <v>45449</v>
      </c>
      <c r="E254" s="13">
        <f>+HYPERLINK("http://trademark.i-assist.jp/data/china/image_1890th/77202308.pdf",77202308)</f>
        <v>77202308</v>
      </c>
      <c r="F254" s="7" t="s">
        <v>739</v>
      </c>
      <c r="G254" s="7" t="s">
        <v>738</v>
      </c>
      <c r="H254" s="7" t="s">
        <v>740</v>
      </c>
      <c r="I254" s="9">
        <v>45360</v>
      </c>
    </row>
    <row r="255" spans="1:9" x14ac:dyDescent="0.15">
      <c r="A255" s="6">
        <v>254</v>
      </c>
      <c r="B255" s="7" t="s">
        <v>7</v>
      </c>
      <c r="C255" s="8">
        <v>1890</v>
      </c>
      <c r="D255" s="9">
        <v>45449</v>
      </c>
      <c r="E255" s="13">
        <f>+HYPERLINK("http://trademark.i-assist.jp/data/china/image_1890th/77293156.pdf",77293156)</f>
        <v>77293156</v>
      </c>
      <c r="F255" s="7" t="s">
        <v>742</v>
      </c>
      <c r="G255" s="7" t="s">
        <v>741</v>
      </c>
      <c r="H255" s="7" t="s">
        <v>743</v>
      </c>
      <c r="I255" s="9">
        <v>45365</v>
      </c>
    </row>
    <row r="256" spans="1:9" x14ac:dyDescent="0.15">
      <c r="A256" s="6">
        <v>255</v>
      </c>
      <c r="B256" s="7" t="s">
        <v>7</v>
      </c>
      <c r="C256" s="8">
        <v>1890</v>
      </c>
      <c r="D256" s="9">
        <v>45449</v>
      </c>
      <c r="E256" s="13">
        <f>+HYPERLINK("http://trademark.i-assist.jp/data/china/image_1890th/77123499.pdf",77123499)</f>
        <v>77123499</v>
      </c>
      <c r="F256" s="7" t="s">
        <v>745</v>
      </c>
      <c r="G256" s="7" t="s">
        <v>744</v>
      </c>
      <c r="H256" s="7" t="s">
        <v>746</v>
      </c>
      <c r="I256" s="9">
        <v>45357</v>
      </c>
    </row>
    <row r="257" spans="1:9" x14ac:dyDescent="0.15">
      <c r="A257" s="6">
        <v>256</v>
      </c>
      <c r="B257" s="7" t="s">
        <v>7</v>
      </c>
      <c r="C257" s="8">
        <v>1890</v>
      </c>
      <c r="D257" s="9">
        <v>45449</v>
      </c>
      <c r="E257" s="13">
        <f>+HYPERLINK("http://trademark.i-assist.jp/data/china/image_1890th/77123737.pdf",77123737)</f>
        <v>77123737</v>
      </c>
      <c r="F257" s="7" t="s">
        <v>748</v>
      </c>
      <c r="G257" s="7" t="s">
        <v>747</v>
      </c>
      <c r="H257" s="7" t="s">
        <v>749</v>
      </c>
      <c r="I257" s="9">
        <v>45357</v>
      </c>
    </row>
    <row r="258" spans="1:9" x14ac:dyDescent="0.15">
      <c r="A258" s="6">
        <v>257</v>
      </c>
      <c r="B258" s="7" t="s">
        <v>7</v>
      </c>
      <c r="C258" s="8">
        <v>1890</v>
      </c>
      <c r="D258" s="9">
        <v>45449</v>
      </c>
      <c r="E258" s="13">
        <f>+HYPERLINK("http://trademark.i-assist.jp/data/china/image_1890th/77123745.pdf",77123745)</f>
        <v>77123745</v>
      </c>
      <c r="F258" s="7" t="s">
        <v>751</v>
      </c>
      <c r="G258" s="7" t="s">
        <v>750</v>
      </c>
      <c r="H258" s="7" t="s">
        <v>752</v>
      </c>
      <c r="I258" s="9">
        <v>45357</v>
      </c>
    </row>
    <row r="259" spans="1:9" x14ac:dyDescent="0.15">
      <c r="A259" s="6">
        <v>258</v>
      </c>
      <c r="B259" s="7" t="s">
        <v>7</v>
      </c>
      <c r="C259" s="8">
        <v>1890</v>
      </c>
      <c r="D259" s="9">
        <v>45449</v>
      </c>
      <c r="E259" s="13">
        <f>+HYPERLINK("http://trademark.i-assist.jp/data/china/image_1890th/77125182.pdf",77125182)</f>
        <v>77125182</v>
      </c>
      <c r="F259" s="7" t="s">
        <v>754</v>
      </c>
      <c r="G259" s="7" t="s">
        <v>753</v>
      </c>
      <c r="H259" s="7" t="s">
        <v>755</v>
      </c>
      <c r="I259" s="9">
        <v>45357</v>
      </c>
    </row>
    <row r="260" spans="1:9" ht="27" x14ac:dyDescent="0.15">
      <c r="A260" s="6">
        <v>259</v>
      </c>
      <c r="B260" s="7" t="s">
        <v>7</v>
      </c>
      <c r="C260" s="8">
        <v>1890</v>
      </c>
      <c r="D260" s="9">
        <v>45449</v>
      </c>
      <c r="E260" s="13">
        <f>+HYPERLINK("http://trademark.i-assist.jp/data/china/image_1890th/77125223.pdf",77125223)</f>
        <v>77125223</v>
      </c>
      <c r="F260" s="7" t="s">
        <v>757</v>
      </c>
      <c r="G260" s="7" t="s">
        <v>756</v>
      </c>
      <c r="H260" s="7" t="s">
        <v>758</v>
      </c>
      <c r="I260" s="9">
        <v>45357</v>
      </c>
    </row>
    <row r="261" spans="1:9" x14ac:dyDescent="0.15">
      <c r="A261" s="6">
        <v>260</v>
      </c>
      <c r="B261" s="7" t="s">
        <v>7</v>
      </c>
      <c r="C261" s="8">
        <v>1890</v>
      </c>
      <c r="D261" s="9">
        <v>45449</v>
      </c>
      <c r="E261" s="13">
        <f>+HYPERLINK("http://trademark.i-assist.jp/data/china/image_1890th/77125321.pdf",77125321)</f>
        <v>77125321</v>
      </c>
      <c r="F261" s="7" t="s">
        <v>760</v>
      </c>
      <c r="G261" s="7" t="s">
        <v>759</v>
      </c>
      <c r="H261" s="7" t="s">
        <v>761</v>
      </c>
      <c r="I261" s="9">
        <v>45357</v>
      </c>
    </row>
    <row r="262" spans="1:9" x14ac:dyDescent="0.15">
      <c r="A262" s="6">
        <v>261</v>
      </c>
      <c r="B262" s="7" t="s">
        <v>7</v>
      </c>
      <c r="C262" s="8">
        <v>1890</v>
      </c>
      <c r="D262" s="9">
        <v>45449</v>
      </c>
      <c r="E262" s="13">
        <f>+HYPERLINK("http://trademark.i-assist.jp/data/china/image_1890th/77125414.pdf",77125414)</f>
        <v>77125414</v>
      </c>
      <c r="F262" s="7" t="s">
        <v>763</v>
      </c>
      <c r="G262" s="7" t="s">
        <v>762</v>
      </c>
      <c r="H262" s="7" t="s">
        <v>764</v>
      </c>
      <c r="I262" s="9">
        <v>45357</v>
      </c>
    </row>
    <row r="263" spans="1:9" x14ac:dyDescent="0.15">
      <c r="A263" s="6">
        <v>262</v>
      </c>
      <c r="B263" s="7" t="s">
        <v>7</v>
      </c>
      <c r="C263" s="8">
        <v>1890</v>
      </c>
      <c r="D263" s="9">
        <v>45449</v>
      </c>
      <c r="E263" s="13">
        <f>+HYPERLINK("http://trademark.i-assist.jp/data/china/image_1890th/77125653.pdf",77125653)</f>
        <v>77125653</v>
      </c>
      <c r="F263" s="7" t="s">
        <v>766</v>
      </c>
      <c r="G263" s="7" t="s">
        <v>765</v>
      </c>
      <c r="H263" s="7" t="s">
        <v>767</v>
      </c>
      <c r="I263" s="9">
        <v>45357</v>
      </c>
    </row>
    <row r="264" spans="1:9" x14ac:dyDescent="0.15">
      <c r="A264" s="6">
        <v>263</v>
      </c>
      <c r="B264" s="7" t="s">
        <v>7</v>
      </c>
      <c r="C264" s="8">
        <v>1890</v>
      </c>
      <c r="D264" s="9">
        <v>45449</v>
      </c>
      <c r="E264" s="13">
        <f>+HYPERLINK("http://trademark.i-assist.jp/data/china/image_1890th/77126398.pdf",77126398)</f>
        <v>77126398</v>
      </c>
      <c r="F264" s="7" t="s">
        <v>769</v>
      </c>
      <c r="G264" s="7" t="s">
        <v>768</v>
      </c>
      <c r="H264" s="7" t="s">
        <v>770</v>
      </c>
      <c r="I264" s="9">
        <v>45357</v>
      </c>
    </row>
    <row r="265" spans="1:9" x14ac:dyDescent="0.15">
      <c r="A265" s="6">
        <v>264</v>
      </c>
      <c r="B265" s="7" t="s">
        <v>7</v>
      </c>
      <c r="C265" s="8">
        <v>1890</v>
      </c>
      <c r="D265" s="9">
        <v>45449</v>
      </c>
      <c r="E265" s="13">
        <f>+HYPERLINK("http://trademark.i-assist.jp/data/china/image_1890th/77127394.pdf",77127394)</f>
        <v>77127394</v>
      </c>
      <c r="F265" s="7" t="s">
        <v>772</v>
      </c>
      <c r="G265" s="7" t="s">
        <v>771</v>
      </c>
      <c r="H265" s="7" t="s">
        <v>773</v>
      </c>
      <c r="I265" s="9">
        <v>45357</v>
      </c>
    </row>
    <row r="266" spans="1:9" x14ac:dyDescent="0.15">
      <c r="A266" s="6">
        <v>265</v>
      </c>
      <c r="B266" s="7" t="s">
        <v>7</v>
      </c>
      <c r="C266" s="8">
        <v>1890</v>
      </c>
      <c r="D266" s="9">
        <v>45449</v>
      </c>
      <c r="E266" s="13">
        <f>+HYPERLINK("http://trademark.i-assist.jp/data/china/image_1890th/77129636.pdf",77129636)</f>
        <v>77129636</v>
      </c>
      <c r="F266" s="7" t="s">
        <v>775</v>
      </c>
      <c r="G266" s="7" t="s">
        <v>774</v>
      </c>
      <c r="H266" s="7" t="s">
        <v>776</v>
      </c>
      <c r="I266" s="9">
        <v>45357</v>
      </c>
    </row>
    <row r="267" spans="1:9" x14ac:dyDescent="0.15">
      <c r="A267" s="6">
        <v>266</v>
      </c>
      <c r="B267" s="7" t="s">
        <v>7</v>
      </c>
      <c r="C267" s="8">
        <v>1890</v>
      </c>
      <c r="D267" s="9">
        <v>45449</v>
      </c>
      <c r="E267" s="13">
        <f>+HYPERLINK("http://trademark.i-assist.jp/data/china/image_1890th/77129659.pdf",77129659)</f>
        <v>77129659</v>
      </c>
      <c r="F267" s="7" t="s">
        <v>778</v>
      </c>
      <c r="G267" s="7" t="s">
        <v>777</v>
      </c>
      <c r="H267" s="7" t="s">
        <v>779</v>
      </c>
      <c r="I267" s="9">
        <v>45357</v>
      </c>
    </row>
    <row r="268" spans="1:9" x14ac:dyDescent="0.15">
      <c r="A268" s="6">
        <v>267</v>
      </c>
      <c r="B268" s="7" t="s">
        <v>7</v>
      </c>
      <c r="C268" s="8">
        <v>1890</v>
      </c>
      <c r="D268" s="9">
        <v>45449</v>
      </c>
      <c r="E268" s="13">
        <f>+HYPERLINK("http://trademark.i-assist.jp/data/china/image_1890th/77129898.pdf",77129898)</f>
        <v>77129898</v>
      </c>
      <c r="F268" s="7" t="s">
        <v>781</v>
      </c>
      <c r="G268" s="7" t="s">
        <v>780</v>
      </c>
      <c r="H268" s="7" t="s">
        <v>782</v>
      </c>
      <c r="I268" s="9">
        <v>45357</v>
      </c>
    </row>
    <row r="269" spans="1:9" x14ac:dyDescent="0.15">
      <c r="A269" s="6">
        <v>268</v>
      </c>
      <c r="B269" s="7" t="s">
        <v>7</v>
      </c>
      <c r="C269" s="8">
        <v>1890</v>
      </c>
      <c r="D269" s="9">
        <v>45449</v>
      </c>
      <c r="E269" s="13">
        <f>+HYPERLINK("http://trademark.i-assist.jp/data/china/image_1890th/77130533.pdf",77130533)</f>
        <v>77130533</v>
      </c>
      <c r="F269" s="7" t="s">
        <v>784</v>
      </c>
      <c r="G269" s="7" t="s">
        <v>783</v>
      </c>
      <c r="H269" s="7" t="s">
        <v>785</v>
      </c>
      <c r="I269" s="9">
        <v>45357</v>
      </c>
    </row>
    <row r="270" spans="1:9" x14ac:dyDescent="0.15">
      <c r="A270" s="6">
        <v>269</v>
      </c>
      <c r="B270" s="7" t="s">
        <v>7</v>
      </c>
      <c r="C270" s="8">
        <v>1890</v>
      </c>
      <c r="D270" s="9">
        <v>45449</v>
      </c>
      <c r="E270" s="13">
        <f>+HYPERLINK("http://trademark.i-assist.jp/data/china/image_1890th/77287203.pdf",77287203)</f>
        <v>77287203</v>
      </c>
      <c r="F270" s="7" t="s">
        <v>787</v>
      </c>
      <c r="G270" s="7" t="s">
        <v>786</v>
      </c>
      <c r="H270" s="7" t="s">
        <v>788</v>
      </c>
      <c r="I270" s="9">
        <v>45364</v>
      </c>
    </row>
    <row r="271" spans="1:9" x14ac:dyDescent="0.15">
      <c r="A271" s="6">
        <v>270</v>
      </c>
      <c r="B271" s="7" t="s">
        <v>7</v>
      </c>
      <c r="C271" s="8">
        <v>1890</v>
      </c>
      <c r="D271" s="9">
        <v>45449</v>
      </c>
      <c r="E271" s="13">
        <f>+HYPERLINK("http://trademark.i-assist.jp/data/china/image_1890th/77287390.pdf",77287390)</f>
        <v>77287390</v>
      </c>
      <c r="F271" s="7" t="s">
        <v>789</v>
      </c>
      <c r="G271" s="7" t="s">
        <v>42</v>
      </c>
      <c r="H271" s="7" t="s">
        <v>790</v>
      </c>
      <c r="I271" s="9">
        <v>45364</v>
      </c>
    </row>
    <row r="272" spans="1:9" x14ac:dyDescent="0.15">
      <c r="A272" s="6">
        <v>271</v>
      </c>
      <c r="B272" s="7" t="s">
        <v>7</v>
      </c>
      <c r="C272" s="8">
        <v>1890</v>
      </c>
      <c r="D272" s="9">
        <v>45449</v>
      </c>
      <c r="E272" s="13">
        <f>+HYPERLINK("http://trademark.i-assist.jp/data/china/image_1890th/77287422.pdf",77287422)</f>
        <v>77287422</v>
      </c>
      <c r="F272" s="7" t="s">
        <v>792</v>
      </c>
      <c r="G272" s="7" t="s">
        <v>791</v>
      </c>
      <c r="H272" s="7" t="s">
        <v>793</v>
      </c>
      <c r="I272" s="9">
        <v>45364</v>
      </c>
    </row>
    <row r="273" spans="1:9" x14ac:dyDescent="0.15">
      <c r="A273" s="6">
        <v>272</v>
      </c>
      <c r="B273" s="7" t="s">
        <v>7</v>
      </c>
      <c r="C273" s="8">
        <v>1890</v>
      </c>
      <c r="D273" s="9">
        <v>45449</v>
      </c>
      <c r="E273" s="13">
        <f>+HYPERLINK("http://trademark.i-assist.jp/data/china/image_1890th/77287520.pdf",77287520)</f>
        <v>77287520</v>
      </c>
      <c r="F273" s="7" t="s">
        <v>795</v>
      </c>
      <c r="G273" s="7" t="s">
        <v>794</v>
      </c>
      <c r="H273" s="7" t="s">
        <v>796</v>
      </c>
      <c r="I273" s="9">
        <v>45364</v>
      </c>
    </row>
    <row r="274" spans="1:9" x14ac:dyDescent="0.15">
      <c r="A274" s="6">
        <v>273</v>
      </c>
      <c r="B274" s="7" t="s">
        <v>7</v>
      </c>
      <c r="C274" s="8">
        <v>1890</v>
      </c>
      <c r="D274" s="9">
        <v>45449</v>
      </c>
      <c r="E274" s="13">
        <f>+HYPERLINK("http://trademark.i-assist.jp/data/china/image_1890th/77287537.pdf",77287537)</f>
        <v>77287537</v>
      </c>
      <c r="F274" s="7" t="s">
        <v>798</v>
      </c>
      <c r="G274" s="7" t="s">
        <v>797</v>
      </c>
      <c r="H274" s="7" t="s">
        <v>799</v>
      </c>
      <c r="I274" s="9">
        <v>45364</v>
      </c>
    </row>
    <row r="275" spans="1:9" x14ac:dyDescent="0.15">
      <c r="A275" s="6">
        <v>274</v>
      </c>
      <c r="B275" s="7" t="s">
        <v>7</v>
      </c>
      <c r="C275" s="8">
        <v>1890</v>
      </c>
      <c r="D275" s="9">
        <v>45449</v>
      </c>
      <c r="E275" s="13">
        <f>+HYPERLINK("http://trademark.i-assist.jp/data/china/image_1890th/77287547.pdf",77287547)</f>
        <v>77287547</v>
      </c>
      <c r="F275" s="7" t="s">
        <v>800</v>
      </c>
      <c r="G275" s="7" t="s">
        <v>797</v>
      </c>
      <c r="H275" s="7" t="s">
        <v>801</v>
      </c>
      <c r="I275" s="9">
        <v>45364</v>
      </c>
    </row>
    <row r="276" spans="1:9" x14ac:dyDescent="0.15">
      <c r="A276" s="6">
        <v>275</v>
      </c>
      <c r="B276" s="7" t="s">
        <v>7</v>
      </c>
      <c r="C276" s="8">
        <v>1890</v>
      </c>
      <c r="D276" s="9">
        <v>45449</v>
      </c>
      <c r="E276" s="13">
        <f>+HYPERLINK("http://trademark.i-assist.jp/data/china/image_1890th/77287587.pdf",77287587)</f>
        <v>77287587</v>
      </c>
      <c r="F276" s="7" t="s">
        <v>803</v>
      </c>
      <c r="G276" s="7" t="s">
        <v>802</v>
      </c>
      <c r="H276" s="7" t="s">
        <v>804</v>
      </c>
      <c r="I276" s="9">
        <v>45364</v>
      </c>
    </row>
    <row r="277" spans="1:9" ht="27" x14ac:dyDescent="0.15">
      <c r="A277" s="6">
        <v>276</v>
      </c>
      <c r="B277" s="7" t="s">
        <v>7</v>
      </c>
      <c r="C277" s="8">
        <v>1890</v>
      </c>
      <c r="D277" s="9">
        <v>45449</v>
      </c>
      <c r="E277" s="13">
        <f>+HYPERLINK("http://trademark.i-assist.jp/data/china/image_1890th/77287781.pdf",77287781)</f>
        <v>77287781</v>
      </c>
      <c r="F277" s="7" t="s">
        <v>806</v>
      </c>
      <c r="G277" s="7" t="s">
        <v>805</v>
      </c>
      <c r="H277" s="7" t="s">
        <v>807</v>
      </c>
      <c r="I277" s="9">
        <v>45364</v>
      </c>
    </row>
    <row r="278" spans="1:9" x14ac:dyDescent="0.15">
      <c r="A278" s="6">
        <v>277</v>
      </c>
      <c r="B278" s="7" t="s">
        <v>7</v>
      </c>
      <c r="C278" s="8">
        <v>1890</v>
      </c>
      <c r="D278" s="9">
        <v>45449</v>
      </c>
      <c r="E278" s="13">
        <f>+HYPERLINK("http://trademark.i-assist.jp/data/china/image_1890th/77287950.pdf",77287950)</f>
        <v>77287950</v>
      </c>
      <c r="F278" s="7" t="s">
        <v>809</v>
      </c>
      <c r="G278" s="7" t="s">
        <v>808</v>
      </c>
      <c r="H278" s="7" t="s">
        <v>810</v>
      </c>
      <c r="I278" s="9">
        <v>45364</v>
      </c>
    </row>
    <row r="279" spans="1:9" x14ac:dyDescent="0.15">
      <c r="A279" s="6">
        <v>278</v>
      </c>
      <c r="B279" s="7" t="s">
        <v>7</v>
      </c>
      <c r="C279" s="8">
        <v>1890</v>
      </c>
      <c r="D279" s="9">
        <v>45449</v>
      </c>
      <c r="E279" s="13">
        <f>+HYPERLINK("http://trademark.i-assist.jp/data/china/image_1890th/77287979.pdf",77287979)</f>
        <v>77287979</v>
      </c>
      <c r="F279" s="7" t="s">
        <v>812</v>
      </c>
      <c r="G279" s="7" t="s">
        <v>811</v>
      </c>
      <c r="H279" s="7" t="s">
        <v>813</v>
      </c>
      <c r="I279" s="9">
        <v>45364</v>
      </c>
    </row>
    <row r="280" spans="1:9" x14ac:dyDescent="0.15">
      <c r="A280" s="6">
        <v>279</v>
      </c>
      <c r="B280" s="7" t="s">
        <v>7</v>
      </c>
      <c r="C280" s="8">
        <v>1890</v>
      </c>
      <c r="D280" s="9">
        <v>45449</v>
      </c>
      <c r="E280" s="13">
        <f>+HYPERLINK("http://trademark.i-assist.jp/data/china/image_1890th/77288491.pdf",77288491)</f>
        <v>77288491</v>
      </c>
      <c r="F280" s="7" t="s">
        <v>815</v>
      </c>
      <c r="G280" s="7" t="s">
        <v>814</v>
      </c>
      <c r="H280" s="7" t="s">
        <v>813</v>
      </c>
      <c r="I280" s="9">
        <v>45364</v>
      </c>
    </row>
    <row r="281" spans="1:9" x14ac:dyDescent="0.15">
      <c r="A281" s="6">
        <v>280</v>
      </c>
      <c r="B281" s="7" t="s">
        <v>7</v>
      </c>
      <c r="C281" s="8">
        <v>1890</v>
      </c>
      <c r="D281" s="9">
        <v>45449</v>
      </c>
      <c r="E281" s="13">
        <f>+HYPERLINK("http://trademark.i-assist.jp/data/china/image_1890th/77288964.pdf",77288964)</f>
        <v>77288964</v>
      </c>
      <c r="F281" s="7" t="s">
        <v>817</v>
      </c>
      <c r="G281" s="7" t="s">
        <v>816</v>
      </c>
      <c r="H281" s="7" t="s">
        <v>818</v>
      </c>
      <c r="I281" s="9">
        <v>45364</v>
      </c>
    </row>
    <row r="282" spans="1:9" x14ac:dyDescent="0.15">
      <c r="A282" s="6">
        <v>281</v>
      </c>
      <c r="B282" s="7" t="s">
        <v>7</v>
      </c>
      <c r="C282" s="8">
        <v>1890</v>
      </c>
      <c r="D282" s="9">
        <v>45449</v>
      </c>
      <c r="E282" s="13">
        <f>+HYPERLINK("http://trademark.i-assist.jp/data/china/image_1890th/77288966.pdf",77288966)</f>
        <v>77288966</v>
      </c>
      <c r="F282" s="7" t="s">
        <v>820</v>
      </c>
      <c r="G282" s="7" t="s">
        <v>819</v>
      </c>
      <c r="H282" s="7" t="s">
        <v>821</v>
      </c>
      <c r="I282" s="9">
        <v>45364</v>
      </c>
    </row>
    <row r="283" spans="1:9" x14ac:dyDescent="0.15">
      <c r="A283" s="6">
        <v>282</v>
      </c>
      <c r="B283" s="7" t="s">
        <v>7</v>
      </c>
      <c r="C283" s="8">
        <v>1890</v>
      </c>
      <c r="D283" s="9">
        <v>45449</v>
      </c>
      <c r="E283" s="13">
        <f>+HYPERLINK("http://trademark.i-assist.jp/data/china/image_1890th/77289073.pdf",77289073)</f>
        <v>77289073</v>
      </c>
      <c r="F283" s="7" t="s">
        <v>823</v>
      </c>
      <c r="G283" s="7" t="s">
        <v>822</v>
      </c>
      <c r="H283" s="7" t="s">
        <v>824</v>
      </c>
      <c r="I283" s="9">
        <v>45364</v>
      </c>
    </row>
    <row r="284" spans="1:9" x14ac:dyDescent="0.15">
      <c r="A284" s="6">
        <v>283</v>
      </c>
      <c r="B284" s="7" t="s">
        <v>7</v>
      </c>
      <c r="C284" s="8">
        <v>1890</v>
      </c>
      <c r="D284" s="9">
        <v>45449</v>
      </c>
      <c r="E284" s="13">
        <f>+HYPERLINK("http://trademark.i-assist.jp/data/china/image_1890th/77289101.pdf",77289101)</f>
        <v>77289101</v>
      </c>
      <c r="F284" s="7" t="s">
        <v>826</v>
      </c>
      <c r="G284" s="7" t="s">
        <v>825</v>
      </c>
      <c r="H284" s="7" t="s">
        <v>827</v>
      </c>
      <c r="I284" s="9">
        <v>45364</v>
      </c>
    </row>
    <row r="285" spans="1:9" x14ac:dyDescent="0.15">
      <c r="A285" s="6">
        <v>284</v>
      </c>
      <c r="B285" s="7" t="s">
        <v>7</v>
      </c>
      <c r="C285" s="8">
        <v>1890</v>
      </c>
      <c r="D285" s="9">
        <v>45449</v>
      </c>
      <c r="E285" s="13">
        <f>+HYPERLINK("http://trademark.i-assist.jp/data/china/image_1890th/77435199.pdf",77435199)</f>
        <v>77435199</v>
      </c>
      <c r="F285" s="7" t="s">
        <v>829</v>
      </c>
      <c r="G285" s="7" t="s">
        <v>828</v>
      </c>
      <c r="H285" s="7" t="s">
        <v>830</v>
      </c>
      <c r="I285" s="9">
        <v>45371</v>
      </c>
    </row>
    <row r="286" spans="1:9" x14ac:dyDescent="0.15">
      <c r="A286" s="6">
        <v>285</v>
      </c>
      <c r="B286" s="7" t="s">
        <v>7</v>
      </c>
      <c r="C286" s="8">
        <v>1890</v>
      </c>
      <c r="D286" s="9">
        <v>45449</v>
      </c>
      <c r="E286" s="13">
        <f>+HYPERLINK("http://trademark.i-assist.jp/data/china/image_1890th/77435357.pdf",77435357)</f>
        <v>77435357</v>
      </c>
      <c r="F286" s="7" t="s">
        <v>832</v>
      </c>
      <c r="G286" s="7" t="s">
        <v>831</v>
      </c>
      <c r="H286" s="7" t="s">
        <v>833</v>
      </c>
      <c r="I286" s="9">
        <v>45371</v>
      </c>
    </row>
    <row r="287" spans="1:9" x14ac:dyDescent="0.15">
      <c r="A287" s="6">
        <v>286</v>
      </c>
      <c r="B287" s="7" t="s">
        <v>7</v>
      </c>
      <c r="C287" s="8">
        <v>1890</v>
      </c>
      <c r="D287" s="9">
        <v>45449</v>
      </c>
      <c r="E287" s="13">
        <f>+HYPERLINK("http://trademark.i-assist.jp/data/china/image_1890th/77435390.pdf",77435390)</f>
        <v>77435390</v>
      </c>
      <c r="F287" s="7" t="s">
        <v>835</v>
      </c>
      <c r="G287" s="7" t="s">
        <v>834</v>
      </c>
      <c r="H287" s="7" t="s">
        <v>836</v>
      </c>
      <c r="I287" s="9">
        <v>45371</v>
      </c>
    </row>
    <row r="288" spans="1:9" ht="27" x14ac:dyDescent="0.15">
      <c r="A288" s="6">
        <v>287</v>
      </c>
      <c r="B288" s="7" t="s">
        <v>7</v>
      </c>
      <c r="C288" s="8">
        <v>1890</v>
      </c>
      <c r="D288" s="9">
        <v>45449</v>
      </c>
      <c r="E288" s="13">
        <f>+HYPERLINK("http://trademark.i-assist.jp/data/china/image_1890th/77435501.pdf",77435501)</f>
        <v>77435501</v>
      </c>
      <c r="F288" s="7" t="s">
        <v>838</v>
      </c>
      <c r="G288" s="7" t="s">
        <v>837</v>
      </c>
      <c r="H288" s="7" t="s">
        <v>839</v>
      </c>
      <c r="I288" s="9">
        <v>45371</v>
      </c>
    </row>
    <row r="289" spans="1:9" x14ac:dyDescent="0.15">
      <c r="A289" s="6">
        <v>288</v>
      </c>
      <c r="B289" s="7" t="s">
        <v>7</v>
      </c>
      <c r="C289" s="8">
        <v>1890</v>
      </c>
      <c r="D289" s="9">
        <v>45449</v>
      </c>
      <c r="E289" s="13">
        <f>+HYPERLINK("http://trademark.i-assist.jp/data/china/image_1890th/77435553.pdf",77435553)</f>
        <v>77435553</v>
      </c>
      <c r="F289" s="7" t="s">
        <v>183</v>
      </c>
      <c r="G289" s="7" t="s">
        <v>840</v>
      </c>
      <c r="H289" s="7" t="s">
        <v>841</v>
      </c>
      <c r="I289" s="9">
        <v>45371</v>
      </c>
    </row>
    <row r="290" spans="1:9" x14ac:dyDescent="0.15">
      <c r="A290" s="6">
        <v>289</v>
      </c>
      <c r="B290" s="7" t="s">
        <v>7</v>
      </c>
      <c r="C290" s="8">
        <v>1890</v>
      </c>
      <c r="D290" s="9">
        <v>45449</v>
      </c>
      <c r="E290" s="13">
        <f>+HYPERLINK("http://trademark.i-assist.jp/data/china/image_1890th/77435569.pdf",77435569)</f>
        <v>77435569</v>
      </c>
      <c r="F290" s="7" t="s">
        <v>843</v>
      </c>
      <c r="G290" s="7" t="s">
        <v>842</v>
      </c>
      <c r="H290" s="7" t="s">
        <v>844</v>
      </c>
      <c r="I290" s="9">
        <v>45371</v>
      </c>
    </row>
    <row r="291" spans="1:9" x14ac:dyDescent="0.15">
      <c r="A291" s="6">
        <v>290</v>
      </c>
      <c r="B291" s="7" t="s">
        <v>7</v>
      </c>
      <c r="C291" s="8">
        <v>1890</v>
      </c>
      <c r="D291" s="9">
        <v>45449</v>
      </c>
      <c r="E291" s="13">
        <f>+HYPERLINK("http://trademark.i-assist.jp/data/china/image_1890th/77435862.pdf",77435862)</f>
        <v>77435862</v>
      </c>
      <c r="F291" s="7" t="s">
        <v>846</v>
      </c>
      <c r="G291" s="7" t="s">
        <v>845</v>
      </c>
      <c r="H291" s="7" t="s">
        <v>847</v>
      </c>
      <c r="I291" s="9">
        <v>45371</v>
      </c>
    </row>
    <row r="292" spans="1:9" x14ac:dyDescent="0.15">
      <c r="A292" s="6">
        <v>291</v>
      </c>
      <c r="B292" s="7" t="s">
        <v>7</v>
      </c>
      <c r="C292" s="8">
        <v>1890</v>
      </c>
      <c r="D292" s="9">
        <v>45449</v>
      </c>
      <c r="E292" s="13">
        <f>+HYPERLINK("http://trademark.i-assist.jp/data/china/image_1890th/77435947.pdf",77435947)</f>
        <v>77435947</v>
      </c>
      <c r="F292" s="7" t="s">
        <v>849</v>
      </c>
      <c r="G292" s="7" t="s">
        <v>848</v>
      </c>
      <c r="H292" s="7" t="s">
        <v>850</v>
      </c>
      <c r="I292" s="9">
        <v>45371</v>
      </c>
    </row>
    <row r="293" spans="1:9" x14ac:dyDescent="0.15">
      <c r="A293" s="6">
        <v>292</v>
      </c>
      <c r="B293" s="7" t="s">
        <v>7</v>
      </c>
      <c r="C293" s="8">
        <v>1890</v>
      </c>
      <c r="D293" s="9">
        <v>45449</v>
      </c>
      <c r="E293" s="13">
        <f>+HYPERLINK("http://trademark.i-assist.jp/data/china/image_1890th/77436177.pdf",77436177)</f>
        <v>77436177</v>
      </c>
      <c r="F293" s="7" t="s">
        <v>852</v>
      </c>
      <c r="G293" s="7" t="s">
        <v>851</v>
      </c>
      <c r="H293" s="7" t="s">
        <v>853</v>
      </c>
      <c r="I293" s="9">
        <v>45371</v>
      </c>
    </row>
    <row r="294" spans="1:9" x14ac:dyDescent="0.15">
      <c r="A294" s="6">
        <v>293</v>
      </c>
      <c r="B294" s="7" t="s">
        <v>7</v>
      </c>
      <c r="C294" s="8">
        <v>1890</v>
      </c>
      <c r="D294" s="9">
        <v>45449</v>
      </c>
      <c r="E294" s="13">
        <f>+HYPERLINK("http://trademark.i-assist.jp/data/china/image_1890th/77436241.pdf",77436241)</f>
        <v>77436241</v>
      </c>
      <c r="F294" s="7" t="s">
        <v>855</v>
      </c>
      <c r="G294" s="7" t="s">
        <v>854</v>
      </c>
      <c r="H294" s="7" t="s">
        <v>856</v>
      </c>
      <c r="I294" s="9">
        <v>45371</v>
      </c>
    </row>
    <row r="295" spans="1:9" x14ac:dyDescent="0.15">
      <c r="A295" s="6">
        <v>294</v>
      </c>
      <c r="B295" s="7" t="s">
        <v>7</v>
      </c>
      <c r="C295" s="8">
        <v>1890</v>
      </c>
      <c r="D295" s="9">
        <v>45449</v>
      </c>
      <c r="E295" s="13">
        <f>+HYPERLINK("http://trademark.i-assist.jp/data/china/image_1890th/77436330.pdf",77436330)</f>
        <v>77436330</v>
      </c>
      <c r="F295" s="7" t="s">
        <v>858</v>
      </c>
      <c r="G295" s="7" t="s">
        <v>857</v>
      </c>
      <c r="H295" s="7" t="s">
        <v>859</v>
      </c>
      <c r="I295" s="9">
        <v>45371</v>
      </c>
    </row>
    <row r="296" spans="1:9" x14ac:dyDescent="0.15">
      <c r="A296" s="6">
        <v>295</v>
      </c>
      <c r="B296" s="7" t="s">
        <v>7</v>
      </c>
      <c r="C296" s="8">
        <v>1890</v>
      </c>
      <c r="D296" s="9">
        <v>45449</v>
      </c>
      <c r="E296" s="13">
        <f>+HYPERLINK("http://trademark.i-assist.jp/data/china/image_1890th/77436378.pdf",77436378)</f>
        <v>77436378</v>
      </c>
      <c r="F296" s="7" t="s">
        <v>861</v>
      </c>
      <c r="G296" s="7" t="s">
        <v>860</v>
      </c>
      <c r="H296" s="7" t="s">
        <v>862</v>
      </c>
      <c r="I296" s="9">
        <v>45371</v>
      </c>
    </row>
    <row r="297" spans="1:9" x14ac:dyDescent="0.15">
      <c r="A297" s="6">
        <v>296</v>
      </c>
      <c r="B297" s="7" t="s">
        <v>7</v>
      </c>
      <c r="C297" s="8">
        <v>1890</v>
      </c>
      <c r="D297" s="9">
        <v>45449</v>
      </c>
      <c r="E297" s="13">
        <f>+HYPERLINK("http://trademark.i-assist.jp/data/china/image_1890th/77436393.pdf",77436393)</f>
        <v>77436393</v>
      </c>
      <c r="F297" s="7" t="s">
        <v>864</v>
      </c>
      <c r="G297" s="7" t="s">
        <v>863</v>
      </c>
      <c r="H297" s="7" t="s">
        <v>865</v>
      </c>
      <c r="I297" s="9">
        <v>45371</v>
      </c>
    </row>
    <row r="298" spans="1:9" x14ac:dyDescent="0.15">
      <c r="A298" s="6">
        <v>297</v>
      </c>
      <c r="B298" s="7" t="s">
        <v>7</v>
      </c>
      <c r="C298" s="8">
        <v>1890</v>
      </c>
      <c r="D298" s="9">
        <v>45449</v>
      </c>
      <c r="E298" s="13">
        <f>+HYPERLINK("http://trademark.i-assist.jp/data/china/image_1890th/77436632.pdf",77436632)</f>
        <v>77436632</v>
      </c>
      <c r="F298" s="7" t="s">
        <v>867</v>
      </c>
      <c r="G298" s="7" t="s">
        <v>866</v>
      </c>
      <c r="H298" s="7" t="s">
        <v>868</v>
      </c>
      <c r="I298" s="9">
        <v>45371</v>
      </c>
    </row>
    <row r="299" spans="1:9" x14ac:dyDescent="0.15">
      <c r="A299" s="6">
        <v>298</v>
      </c>
      <c r="B299" s="7" t="s">
        <v>7</v>
      </c>
      <c r="C299" s="8">
        <v>1890</v>
      </c>
      <c r="D299" s="9">
        <v>45449</v>
      </c>
      <c r="E299" s="13">
        <f>+HYPERLINK("http://trademark.i-assist.jp/data/china/image_1890th/77311833.pdf",77311833)</f>
        <v>77311833</v>
      </c>
      <c r="F299" s="7" t="s">
        <v>870</v>
      </c>
      <c r="G299" s="7" t="s">
        <v>869</v>
      </c>
      <c r="H299" s="7" t="s">
        <v>871</v>
      </c>
      <c r="I299" s="9">
        <v>45365</v>
      </c>
    </row>
    <row r="300" spans="1:9" x14ac:dyDescent="0.15">
      <c r="A300" s="6">
        <v>299</v>
      </c>
      <c r="B300" s="7" t="s">
        <v>7</v>
      </c>
      <c r="C300" s="8">
        <v>1890</v>
      </c>
      <c r="D300" s="9">
        <v>45449</v>
      </c>
      <c r="E300" s="13">
        <f>+HYPERLINK("http://trademark.i-assist.jp/data/china/image_1890th/77311880.pdf",77311880)</f>
        <v>77311880</v>
      </c>
      <c r="F300" s="7" t="s">
        <v>873</v>
      </c>
      <c r="G300" s="7" t="s">
        <v>872</v>
      </c>
      <c r="H300" s="7" t="s">
        <v>874</v>
      </c>
      <c r="I300" s="9">
        <v>45365</v>
      </c>
    </row>
    <row r="301" spans="1:9" x14ac:dyDescent="0.15">
      <c r="A301" s="6">
        <v>300</v>
      </c>
      <c r="B301" s="7" t="s">
        <v>7</v>
      </c>
      <c r="C301" s="8">
        <v>1890</v>
      </c>
      <c r="D301" s="9">
        <v>45449</v>
      </c>
      <c r="E301" s="13">
        <f>+HYPERLINK("http://trademark.i-assist.jp/data/china/image_1890th/77312155.pdf",77312155)</f>
        <v>77312155</v>
      </c>
      <c r="F301" s="7" t="s">
        <v>876</v>
      </c>
      <c r="G301" s="7" t="s">
        <v>875</v>
      </c>
      <c r="H301" s="7" t="s">
        <v>877</v>
      </c>
      <c r="I301" s="9">
        <v>45365</v>
      </c>
    </row>
    <row r="302" spans="1:9" x14ac:dyDescent="0.15">
      <c r="A302" s="6">
        <v>301</v>
      </c>
      <c r="B302" s="7" t="s">
        <v>7</v>
      </c>
      <c r="C302" s="8">
        <v>1890</v>
      </c>
      <c r="D302" s="9">
        <v>45449</v>
      </c>
      <c r="E302" s="13">
        <f>+HYPERLINK("http://trademark.i-assist.jp/data/china/image_1890th/77312190.pdf",77312190)</f>
        <v>77312190</v>
      </c>
      <c r="F302" s="7" t="s">
        <v>879</v>
      </c>
      <c r="G302" s="7" t="s">
        <v>878</v>
      </c>
      <c r="H302" s="7" t="s">
        <v>880</v>
      </c>
      <c r="I302" s="9">
        <v>45365</v>
      </c>
    </row>
    <row r="303" spans="1:9" x14ac:dyDescent="0.15">
      <c r="A303" s="6">
        <v>302</v>
      </c>
      <c r="B303" s="7" t="s">
        <v>7</v>
      </c>
      <c r="C303" s="8">
        <v>1890</v>
      </c>
      <c r="D303" s="9">
        <v>45449</v>
      </c>
      <c r="E303" s="13">
        <f>+HYPERLINK("http://trademark.i-assist.jp/data/china/image_1890th/77312233.pdf",77312233)</f>
        <v>77312233</v>
      </c>
      <c r="F303" s="7" t="s">
        <v>882</v>
      </c>
      <c r="G303" s="7" t="s">
        <v>881</v>
      </c>
      <c r="H303" s="7" t="s">
        <v>883</v>
      </c>
      <c r="I303" s="9">
        <v>45365</v>
      </c>
    </row>
    <row r="304" spans="1:9" x14ac:dyDescent="0.15">
      <c r="A304" s="6">
        <v>303</v>
      </c>
      <c r="B304" s="7" t="s">
        <v>7</v>
      </c>
      <c r="C304" s="8">
        <v>1890</v>
      </c>
      <c r="D304" s="9">
        <v>45449</v>
      </c>
      <c r="E304" s="13">
        <f>+HYPERLINK("http://trademark.i-assist.jp/data/china/image_1890th/77312878.pdf",77312878)</f>
        <v>77312878</v>
      </c>
      <c r="F304" s="7" t="s">
        <v>885</v>
      </c>
      <c r="G304" s="7" t="s">
        <v>884</v>
      </c>
      <c r="H304" s="7" t="s">
        <v>886</v>
      </c>
      <c r="I304" s="9">
        <v>45365</v>
      </c>
    </row>
    <row r="305" spans="1:9" ht="27" x14ac:dyDescent="0.15">
      <c r="A305" s="6">
        <v>304</v>
      </c>
      <c r="B305" s="7" t="s">
        <v>7</v>
      </c>
      <c r="C305" s="8">
        <v>1890</v>
      </c>
      <c r="D305" s="9">
        <v>45449</v>
      </c>
      <c r="E305" s="13">
        <f>+HYPERLINK("http://trademark.i-assist.jp/data/china/image_1890th/77312941.pdf",77312941)</f>
        <v>77312941</v>
      </c>
      <c r="F305" s="7" t="s">
        <v>888</v>
      </c>
      <c r="G305" s="7" t="s">
        <v>887</v>
      </c>
      <c r="H305" s="7" t="s">
        <v>889</v>
      </c>
      <c r="I305" s="9">
        <v>45365</v>
      </c>
    </row>
    <row r="306" spans="1:9" x14ac:dyDescent="0.15">
      <c r="A306" s="6">
        <v>305</v>
      </c>
      <c r="B306" s="7" t="s">
        <v>7</v>
      </c>
      <c r="C306" s="8">
        <v>1890</v>
      </c>
      <c r="D306" s="9">
        <v>45449</v>
      </c>
      <c r="E306" s="13">
        <f>+HYPERLINK("http://trademark.i-assist.jp/data/china/image_1890th/77312969.pdf",77312969)</f>
        <v>77312969</v>
      </c>
      <c r="F306" s="7" t="s">
        <v>891</v>
      </c>
      <c r="G306" s="7" t="s">
        <v>890</v>
      </c>
      <c r="H306" s="7" t="s">
        <v>892</v>
      </c>
      <c r="I306" s="9">
        <v>45365</v>
      </c>
    </row>
    <row r="307" spans="1:9" x14ac:dyDescent="0.15">
      <c r="A307" s="6">
        <v>306</v>
      </c>
      <c r="B307" s="7" t="s">
        <v>7</v>
      </c>
      <c r="C307" s="8">
        <v>1890</v>
      </c>
      <c r="D307" s="9">
        <v>45449</v>
      </c>
      <c r="E307" s="13">
        <f>+HYPERLINK("http://trademark.i-assist.jp/data/china/image_1890th/77313002.pdf",77313002)</f>
        <v>77313002</v>
      </c>
      <c r="F307" s="7" t="s">
        <v>894</v>
      </c>
      <c r="G307" s="7" t="s">
        <v>893</v>
      </c>
      <c r="H307" s="7" t="s">
        <v>895</v>
      </c>
      <c r="I307" s="9">
        <v>45365</v>
      </c>
    </row>
    <row r="308" spans="1:9" x14ac:dyDescent="0.15">
      <c r="A308" s="6">
        <v>307</v>
      </c>
      <c r="B308" s="7" t="s">
        <v>7</v>
      </c>
      <c r="C308" s="8">
        <v>1890</v>
      </c>
      <c r="D308" s="9">
        <v>45449</v>
      </c>
      <c r="E308" s="13">
        <f>+HYPERLINK("http://trademark.i-assist.jp/data/china/image_1890th/77313275.pdf",77313275)</f>
        <v>77313275</v>
      </c>
      <c r="F308" s="7" t="s">
        <v>897</v>
      </c>
      <c r="G308" s="7" t="s">
        <v>896</v>
      </c>
      <c r="H308" s="7" t="s">
        <v>898</v>
      </c>
      <c r="I308" s="9">
        <v>45365</v>
      </c>
    </row>
    <row r="309" spans="1:9" x14ac:dyDescent="0.15">
      <c r="A309" s="6">
        <v>308</v>
      </c>
      <c r="B309" s="7" t="s">
        <v>7</v>
      </c>
      <c r="C309" s="8">
        <v>1890</v>
      </c>
      <c r="D309" s="9">
        <v>45449</v>
      </c>
      <c r="E309" s="13">
        <f>+HYPERLINK("http://trademark.i-assist.jp/data/china/image_1890th/77313720.pdf",77313720)</f>
        <v>77313720</v>
      </c>
      <c r="F309" s="7" t="s">
        <v>900</v>
      </c>
      <c r="G309" s="7" t="s">
        <v>899</v>
      </c>
      <c r="H309" s="7" t="s">
        <v>901</v>
      </c>
      <c r="I309" s="9">
        <v>45365</v>
      </c>
    </row>
    <row r="310" spans="1:9" x14ac:dyDescent="0.15">
      <c r="A310" s="6">
        <v>309</v>
      </c>
      <c r="B310" s="7" t="s">
        <v>7</v>
      </c>
      <c r="C310" s="8">
        <v>1890</v>
      </c>
      <c r="D310" s="9">
        <v>45449</v>
      </c>
      <c r="E310" s="13">
        <f>+HYPERLINK("http://trademark.i-assist.jp/data/china/image_1890th/77313722.pdf",77313722)</f>
        <v>77313722</v>
      </c>
      <c r="F310" s="7" t="s">
        <v>903</v>
      </c>
      <c r="G310" s="7" t="s">
        <v>902</v>
      </c>
      <c r="H310" s="7" t="s">
        <v>904</v>
      </c>
      <c r="I310" s="9">
        <v>45365</v>
      </c>
    </row>
    <row r="311" spans="1:9" x14ac:dyDescent="0.15">
      <c r="A311" s="6">
        <v>310</v>
      </c>
      <c r="B311" s="7" t="s">
        <v>7</v>
      </c>
      <c r="C311" s="8">
        <v>1890</v>
      </c>
      <c r="D311" s="9">
        <v>45449</v>
      </c>
      <c r="E311" s="13">
        <f>+HYPERLINK("http://trademark.i-assist.jp/data/china/image_1890th/77313725.pdf",77313725)</f>
        <v>77313725</v>
      </c>
      <c r="F311" s="7" t="s">
        <v>906</v>
      </c>
      <c r="G311" s="7" t="s">
        <v>905</v>
      </c>
      <c r="H311" s="7" t="s">
        <v>907</v>
      </c>
      <c r="I311" s="9">
        <v>45365</v>
      </c>
    </row>
    <row r="312" spans="1:9" x14ac:dyDescent="0.15">
      <c r="A312" s="6">
        <v>311</v>
      </c>
      <c r="B312" s="7" t="s">
        <v>7</v>
      </c>
      <c r="C312" s="8">
        <v>1890</v>
      </c>
      <c r="D312" s="9">
        <v>45449</v>
      </c>
      <c r="E312" s="13">
        <f>+HYPERLINK("http://trademark.i-assist.jp/data/china/image_1890th/77313757.pdf",77313757)</f>
        <v>77313757</v>
      </c>
      <c r="F312" s="7" t="s">
        <v>909</v>
      </c>
      <c r="G312" s="7" t="s">
        <v>908</v>
      </c>
      <c r="H312" s="7" t="s">
        <v>910</v>
      </c>
      <c r="I312" s="9">
        <v>45365</v>
      </c>
    </row>
    <row r="313" spans="1:9" x14ac:dyDescent="0.15">
      <c r="A313" s="6">
        <v>312</v>
      </c>
      <c r="B313" s="7" t="s">
        <v>7</v>
      </c>
      <c r="C313" s="8">
        <v>1890</v>
      </c>
      <c r="D313" s="9">
        <v>45449</v>
      </c>
      <c r="E313" s="13">
        <f>+HYPERLINK("http://trademark.i-assist.jp/data/china/image_1890th/77267319.pdf",77267319)</f>
        <v>77267319</v>
      </c>
      <c r="F313" s="7" t="s">
        <v>912</v>
      </c>
      <c r="G313" s="7" t="s">
        <v>911</v>
      </c>
      <c r="H313" s="7" t="s">
        <v>913</v>
      </c>
      <c r="I313" s="9">
        <v>45364</v>
      </c>
    </row>
    <row r="314" spans="1:9" ht="27" x14ac:dyDescent="0.15">
      <c r="A314" s="6">
        <v>313</v>
      </c>
      <c r="B314" s="7" t="s">
        <v>7</v>
      </c>
      <c r="C314" s="8">
        <v>1890</v>
      </c>
      <c r="D314" s="9">
        <v>45449</v>
      </c>
      <c r="E314" s="13">
        <f>+HYPERLINK("http://trademark.i-assist.jp/data/china/image_1890th/77267320.pdf",77267320)</f>
        <v>77267320</v>
      </c>
      <c r="F314" s="7" t="s">
        <v>915</v>
      </c>
      <c r="G314" s="7" t="s">
        <v>914</v>
      </c>
      <c r="H314" s="7" t="s">
        <v>916</v>
      </c>
      <c r="I314" s="9">
        <v>45364</v>
      </c>
    </row>
    <row r="315" spans="1:9" x14ac:dyDescent="0.15">
      <c r="A315" s="6">
        <v>314</v>
      </c>
      <c r="B315" s="7" t="s">
        <v>7</v>
      </c>
      <c r="C315" s="8">
        <v>1890</v>
      </c>
      <c r="D315" s="9">
        <v>45449</v>
      </c>
      <c r="E315" s="13">
        <f>+HYPERLINK("http://trademark.i-assist.jp/data/china/image_1890th/77267423.pdf",77267423)</f>
        <v>77267423</v>
      </c>
      <c r="F315" s="7" t="s">
        <v>918</v>
      </c>
      <c r="G315" s="7" t="s">
        <v>917</v>
      </c>
      <c r="H315" s="7" t="s">
        <v>919</v>
      </c>
      <c r="I315" s="9">
        <v>45364</v>
      </c>
    </row>
    <row r="316" spans="1:9" x14ac:dyDescent="0.15">
      <c r="A316" s="6">
        <v>315</v>
      </c>
      <c r="B316" s="7" t="s">
        <v>7</v>
      </c>
      <c r="C316" s="8">
        <v>1890</v>
      </c>
      <c r="D316" s="9">
        <v>45449</v>
      </c>
      <c r="E316" s="13">
        <f>+HYPERLINK("http://trademark.i-assist.jp/data/china/image_1890th/77267547.pdf",77267547)</f>
        <v>77267547</v>
      </c>
      <c r="F316" s="7" t="s">
        <v>921</v>
      </c>
      <c r="G316" s="7" t="s">
        <v>920</v>
      </c>
      <c r="H316" s="7" t="s">
        <v>922</v>
      </c>
      <c r="I316" s="9">
        <v>45364</v>
      </c>
    </row>
    <row r="317" spans="1:9" x14ac:dyDescent="0.15">
      <c r="A317" s="6">
        <v>316</v>
      </c>
      <c r="B317" s="7" t="s">
        <v>7</v>
      </c>
      <c r="C317" s="8">
        <v>1890</v>
      </c>
      <c r="D317" s="9">
        <v>45449</v>
      </c>
      <c r="E317" s="13">
        <f>+HYPERLINK("http://trademark.i-assist.jp/data/china/image_1890th/77267747.pdf",77267747)</f>
        <v>77267747</v>
      </c>
      <c r="F317" s="7" t="s">
        <v>924</v>
      </c>
      <c r="G317" s="7" t="s">
        <v>923</v>
      </c>
      <c r="H317" s="7" t="s">
        <v>925</v>
      </c>
      <c r="I317" s="9">
        <v>45364</v>
      </c>
    </row>
    <row r="318" spans="1:9" x14ac:dyDescent="0.15">
      <c r="A318" s="6">
        <v>317</v>
      </c>
      <c r="B318" s="7" t="s">
        <v>7</v>
      </c>
      <c r="C318" s="8">
        <v>1890</v>
      </c>
      <c r="D318" s="9">
        <v>45449</v>
      </c>
      <c r="E318" s="13">
        <f>+HYPERLINK("http://trademark.i-assist.jp/data/china/image_1890th/77267808.pdf",77267808)</f>
        <v>77267808</v>
      </c>
      <c r="F318" s="7" t="s">
        <v>927</v>
      </c>
      <c r="G318" s="7" t="s">
        <v>926</v>
      </c>
      <c r="H318" s="7" t="s">
        <v>928</v>
      </c>
      <c r="I318" s="9">
        <v>45364</v>
      </c>
    </row>
    <row r="319" spans="1:9" x14ac:dyDescent="0.15">
      <c r="A319" s="6">
        <v>318</v>
      </c>
      <c r="B319" s="7" t="s">
        <v>7</v>
      </c>
      <c r="C319" s="8">
        <v>1890</v>
      </c>
      <c r="D319" s="9">
        <v>45449</v>
      </c>
      <c r="E319" s="13">
        <f>+HYPERLINK("http://trademark.i-assist.jp/data/china/image_1890th/77267830.pdf",77267830)</f>
        <v>77267830</v>
      </c>
      <c r="F319" s="7" t="s">
        <v>929</v>
      </c>
      <c r="G319" s="7" t="s">
        <v>797</v>
      </c>
      <c r="H319" s="7" t="s">
        <v>930</v>
      </c>
      <c r="I319" s="9">
        <v>45364</v>
      </c>
    </row>
    <row r="320" spans="1:9" x14ac:dyDescent="0.15">
      <c r="A320" s="6">
        <v>319</v>
      </c>
      <c r="B320" s="7" t="s">
        <v>7</v>
      </c>
      <c r="C320" s="8">
        <v>1890</v>
      </c>
      <c r="D320" s="9">
        <v>45449</v>
      </c>
      <c r="E320" s="13">
        <f>+HYPERLINK("http://trademark.i-assist.jp/data/china/image_1890th/77268014.pdf",77268014)</f>
        <v>77268014</v>
      </c>
      <c r="F320" s="7" t="s">
        <v>932</v>
      </c>
      <c r="G320" s="7" t="s">
        <v>931</v>
      </c>
      <c r="H320" s="7" t="s">
        <v>933</v>
      </c>
      <c r="I320" s="9">
        <v>45364</v>
      </c>
    </row>
    <row r="321" spans="1:9" x14ac:dyDescent="0.15">
      <c r="A321" s="6">
        <v>320</v>
      </c>
      <c r="B321" s="7" t="s">
        <v>7</v>
      </c>
      <c r="C321" s="8">
        <v>1890</v>
      </c>
      <c r="D321" s="9">
        <v>45449</v>
      </c>
      <c r="E321" s="13">
        <f>+HYPERLINK("http://trademark.i-assist.jp/data/china/image_1890th/77268142.pdf",77268142)</f>
        <v>77268142</v>
      </c>
      <c r="F321" s="7" t="s">
        <v>935</v>
      </c>
      <c r="G321" s="7" t="s">
        <v>934</v>
      </c>
      <c r="H321" s="7" t="s">
        <v>936</v>
      </c>
      <c r="I321" s="9">
        <v>45364</v>
      </c>
    </row>
    <row r="322" spans="1:9" x14ac:dyDescent="0.15">
      <c r="A322" s="6">
        <v>321</v>
      </c>
      <c r="B322" s="7" t="s">
        <v>7</v>
      </c>
      <c r="C322" s="8">
        <v>1890</v>
      </c>
      <c r="D322" s="9">
        <v>45449</v>
      </c>
      <c r="E322" s="13">
        <f>+HYPERLINK("http://trademark.i-assist.jp/data/china/image_1890th/77268172.pdf",77268172)</f>
        <v>77268172</v>
      </c>
      <c r="F322" s="7" t="s">
        <v>938</v>
      </c>
      <c r="G322" s="7" t="s">
        <v>937</v>
      </c>
      <c r="H322" s="7" t="s">
        <v>939</v>
      </c>
      <c r="I322" s="9">
        <v>45364</v>
      </c>
    </row>
    <row r="323" spans="1:9" x14ac:dyDescent="0.15">
      <c r="A323" s="6">
        <v>322</v>
      </c>
      <c r="B323" s="7" t="s">
        <v>7</v>
      </c>
      <c r="C323" s="8">
        <v>1890</v>
      </c>
      <c r="D323" s="9">
        <v>45449</v>
      </c>
      <c r="E323" s="13">
        <f>+HYPERLINK("http://trademark.i-assist.jp/data/china/image_1890th/77268436.pdf",77268436)</f>
        <v>77268436</v>
      </c>
      <c r="F323" s="7" t="s">
        <v>941</v>
      </c>
      <c r="G323" s="7" t="s">
        <v>940</v>
      </c>
      <c r="H323" s="7" t="s">
        <v>942</v>
      </c>
      <c r="I323" s="9">
        <v>45364</v>
      </c>
    </row>
    <row r="324" spans="1:9" x14ac:dyDescent="0.15">
      <c r="A324" s="6">
        <v>323</v>
      </c>
      <c r="B324" s="7" t="s">
        <v>7</v>
      </c>
      <c r="C324" s="8">
        <v>1890</v>
      </c>
      <c r="D324" s="9">
        <v>45449</v>
      </c>
      <c r="E324" s="13">
        <f>+HYPERLINK("http://trademark.i-assist.jp/data/china/image_1890th/77268458.pdf",77268458)</f>
        <v>77268458</v>
      </c>
      <c r="F324" s="7" t="s">
        <v>944</v>
      </c>
      <c r="G324" s="7" t="s">
        <v>943</v>
      </c>
      <c r="H324" s="7" t="s">
        <v>945</v>
      </c>
      <c r="I324" s="9">
        <v>45364</v>
      </c>
    </row>
    <row r="325" spans="1:9" x14ac:dyDescent="0.15">
      <c r="A325" s="6">
        <v>324</v>
      </c>
      <c r="B325" s="7" t="s">
        <v>7</v>
      </c>
      <c r="C325" s="8">
        <v>1890</v>
      </c>
      <c r="D325" s="9">
        <v>45449</v>
      </c>
      <c r="E325" s="13">
        <f>+HYPERLINK("http://trademark.i-assist.jp/data/china/image_1890th/77268578.pdf",77268578)</f>
        <v>77268578</v>
      </c>
      <c r="F325" s="7" t="s">
        <v>947</v>
      </c>
      <c r="G325" s="7" t="s">
        <v>946</v>
      </c>
      <c r="H325" s="7" t="s">
        <v>948</v>
      </c>
      <c r="I325" s="9">
        <v>45364</v>
      </c>
    </row>
    <row r="326" spans="1:9" ht="27" x14ac:dyDescent="0.15">
      <c r="A326" s="6">
        <v>325</v>
      </c>
      <c r="B326" s="7" t="s">
        <v>7</v>
      </c>
      <c r="C326" s="8">
        <v>1890</v>
      </c>
      <c r="D326" s="9">
        <v>45449</v>
      </c>
      <c r="E326" s="13">
        <f>+HYPERLINK("http://trademark.i-assist.jp/data/china/image_1890th/77268782.pdf",77268782)</f>
        <v>77268782</v>
      </c>
      <c r="F326" s="7" t="s">
        <v>950</v>
      </c>
      <c r="G326" s="7" t="s">
        <v>949</v>
      </c>
      <c r="H326" s="7" t="s">
        <v>951</v>
      </c>
      <c r="I326" s="9">
        <v>45364</v>
      </c>
    </row>
    <row r="327" spans="1:9" x14ac:dyDescent="0.15">
      <c r="A327" s="6">
        <v>326</v>
      </c>
      <c r="B327" s="7" t="s">
        <v>7</v>
      </c>
      <c r="C327" s="8">
        <v>1890</v>
      </c>
      <c r="D327" s="9">
        <v>45449</v>
      </c>
      <c r="E327" s="13">
        <f>+HYPERLINK("http://trademark.i-assist.jp/data/china/image_1890th/76918309.pdf",76918309)</f>
        <v>76918309</v>
      </c>
      <c r="F327" s="7" t="s">
        <v>953</v>
      </c>
      <c r="G327" s="7" t="s">
        <v>952</v>
      </c>
      <c r="H327" s="7" t="s">
        <v>954</v>
      </c>
      <c r="I327" s="9">
        <v>45344</v>
      </c>
    </row>
    <row r="328" spans="1:9" x14ac:dyDescent="0.15">
      <c r="A328" s="6">
        <v>327</v>
      </c>
      <c r="B328" s="7" t="s">
        <v>7</v>
      </c>
      <c r="C328" s="8">
        <v>1890</v>
      </c>
      <c r="D328" s="9">
        <v>45449</v>
      </c>
      <c r="E328" s="13">
        <f>+HYPERLINK("http://trademark.i-assist.jp/data/china/image_1890th/76918317.pdf",76918317)</f>
        <v>76918317</v>
      </c>
      <c r="F328" s="7" t="s">
        <v>955</v>
      </c>
      <c r="G328" s="7" t="s">
        <v>952</v>
      </c>
      <c r="H328" s="7" t="s">
        <v>956</v>
      </c>
      <c r="I328" s="9">
        <v>45344</v>
      </c>
    </row>
    <row r="329" spans="1:9" x14ac:dyDescent="0.15">
      <c r="A329" s="6">
        <v>328</v>
      </c>
      <c r="B329" s="7" t="s">
        <v>7</v>
      </c>
      <c r="C329" s="8">
        <v>1890</v>
      </c>
      <c r="D329" s="9">
        <v>45449</v>
      </c>
      <c r="E329" s="13">
        <f>+HYPERLINK("http://trademark.i-assist.jp/data/china/image_1890th/76918555.pdf",76918555)</f>
        <v>76918555</v>
      </c>
      <c r="F329" s="7" t="s">
        <v>958</v>
      </c>
      <c r="G329" s="7" t="s">
        <v>957</v>
      </c>
      <c r="H329" s="7" t="s">
        <v>959</v>
      </c>
      <c r="I329" s="9">
        <v>45344</v>
      </c>
    </row>
    <row r="330" spans="1:9" x14ac:dyDescent="0.15">
      <c r="A330" s="6">
        <v>329</v>
      </c>
      <c r="B330" s="7" t="s">
        <v>7</v>
      </c>
      <c r="C330" s="8">
        <v>1890</v>
      </c>
      <c r="D330" s="9">
        <v>45449</v>
      </c>
      <c r="E330" s="13">
        <f>+HYPERLINK("http://trademark.i-assist.jp/data/china/image_1890th/76919010.pdf",76919010)</f>
        <v>76919010</v>
      </c>
      <c r="F330" s="7" t="s">
        <v>961</v>
      </c>
      <c r="G330" s="7" t="s">
        <v>960</v>
      </c>
      <c r="H330" s="7" t="s">
        <v>962</v>
      </c>
      <c r="I330" s="9">
        <v>45344</v>
      </c>
    </row>
    <row r="331" spans="1:9" x14ac:dyDescent="0.15">
      <c r="A331" s="6">
        <v>330</v>
      </c>
      <c r="B331" s="7" t="s">
        <v>7</v>
      </c>
      <c r="C331" s="8">
        <v>1890</v>
      </c>
      <c r="D331" s="9">
        <v>45449</v>
      </c>
      <c r="E331" s="13">
        <f>+HYPERLINK("http://trademark.i-assist.jp/data/china/image_1890th/76920139.pdf",76920139)</f>
        <v>76920139</v>
      </c>
      <c r="F331" s="7" t="s">
        <v>964</v>
      </c>
      <c r="G331" s="7" t="s">
        <v>963</v>
      </c>
      <c r="H331" s="7" t="s">
        <v>965</v>
      </c>
      <c r="I331" s="9">
        <v>45345</v>
      </c>
    </row>
    <row r="332" spans="1:9" x14ac:dyDescent="0.15">
      <c r="A332" s="6">
        <v>331</v>
      </c>
      <c r="B332" s="7" t="s">
        <v>7</v>
      </c>
      <c r="C332" s="8">
        <v>1890</v>
      </c>
      <c r="D332" s="9">
        <v>45449</v>
      </c>
      <c r="E332" s="13">
        <f>+HYPERLINK("http://trademark.i-assist.jp/data/china/image_1890th/76920467.pdf",76920467)</f>
        <v>76920467</v>
      </c>
      <c r="F332" s="7" t="s">
        <v>967</v>
      </c>
      <c r="G332" s="7" t="s">
        <v>966</v>
      </c>
      <c r="H332" s="7" t="s">
        <v>968</v>
      </c>
      <c r="I332" s="9">
        <v>45345</v>
      </c>
    </row>
    <row r="333" spans="1:9" ht="27" x14ac:dyDescent="0.15">
      <c r="A333" s="6">
        <v>332</v>
      </c>
      <c r="B333" s="7" t="s">
        <v>7</v>
      </c>
      <c r="C333" s="8">
        <v>1890</v>
      </c>
      <c r="D333" s="9">
        <v>45449</v>
      </c>
      <c r="E333" s="13">
        <f>+HYPERLINK("http://trademark.i-assist.jp/data/china/image_1890th/76923172.pdf",76923172)</f>
        <v>76923172</v>
      </c>
      <c r="F333" s="7" t="s">
        <v>970</v>
      </c>
      <c r="G333" s="7" t="s">
        <v>969</v>
      </c>
      <c r="H333" s="7" t="s">
        <v>971</v>
      </c>
      <c r="I333" s="9">
        <v>45345</v>
      </c>
    </row>
    <row r="334" spans="1:9" x14ac:dyDescent="0.15">
      <c r="A334" s="6">
        <v>333</v>
      </c>
      <c r="B334" s="7" t="s">
        <v>7</v>
      </c>
      <c r="C334" s="8">
        <v>1890</v>
      </c>
      <c r="D334" s="9">
        <v>45449</v>
      </c>
      <c r="E334" s="13">
        <f>+HYPERLINK("http://trademark.i-assist.jp/data/china/image_1890th/76923819.pdf",76923819)</f>
        <v>76923819</v>
      </c>
      <c r="F334" s="7" t="s">
        <v>973</v>
      </c>
      <c r="G334" s="7" t="s">
        <v>972</v>
      </c>
      <c r="H334" s="7" t="s">
        <v>974</v>
      </c>
      <c r="I334" s="9">
        <v>45345</v>
      </c>
    </row>
    <row r="335" spans="1:9" x14ac:dyDescent="0.15">
      <c r="A335" s="6">
        <v>334</v>
      </c>
      <c r="B335" s="7" t="s">
        <v>7</v>
      </c>
      <c r="C335" s="8">
        <v>1890</v>
      </c>
      <c r="D335" s="9">
        <v>45449</v>
      </c>
      <c r="E335" s="13">
        <f>+HYPERLINK("http://trademark.i-assist.jp/data/china/image_1890th/76925177.pdf",76925177)</f>
        <v>76925177</v>
      </c>
      <c r="F335" s="7" t="s">
        <v>976</v>
      </c>
      <c r="G335" s="7" t="s">
        <v>975</v>
      </c>
      <c r="H335" s="7" t="s">
        <v>977</v>
      </c>
      <c r="I335" s="9">
        <v>45345</v>
      </c>
    </row>
    <row r="336" spans="1:9" x14ac:dyDescent="0.15">
      <c r="A336" s="6">
        <v>335</v>
      </c>
      <c r="B336" s="7" t="s">
        <v>7</v>
      </c>
      <c r="C336" s="8">
        <v>1890</v>
      </c>
      <c r="D336" s="9">
        <v>45449</v>
      </c>
      <c r="E336" s="13">
        <f>+HYPERLINK("http://trademark.i-assist.jp/data/china/image_1890th/76925389.pdf",76925389)</f>
        <v>76925389</v>
      </c>
      <c r="F336" s="7" t="s">
        <v>978</v>
      </c>
      <c r="G336" s="7" t="s">
        <v>975</v>
      </c>
      <c r="H336" s="7" t="s">
        <v>979</v>
      </c>
      <c r="I336" s="9">
        <v>45345</v>
      </c>
    </row>
    <row r="337" spans="1:9" ht="27" x14ac:dyDescent="0.15">
      <c r="A337" s="6">
        <v>336</v>
      </c>
      <c r="B337" s="7" t="s">
        <v>7</v>
      </c>
      <c r="C337" s="8">
        <v>1890</v>
      </c>
      <c r="D337" s="9">
        <v>45449</v>
      </c>
      <c r="E337" s="13">
        <f>+HYPERLINK("http://trademark.i-assist.jp/data/china/image_1890th/76927057.pdf",76927057)</f>
        <v>76927057</v>
      </c>
      <c r="F337" s="7" t="s">
        <v>981</v>
      </c>
      <c r="G337" s="7" t="s">
        <v>980</v>
      </c>
      <c r="H337" s="7" t="s">
        <v>982</v>
      </c>
      <c r="I337" s="9">
        <v>45345</v>
      </c>
    </row>
    <row r="338" spans="1:9" ht="27" x14ac:dyDescent="0.15">
      <c r="A338" s="6">
        <v>337</v>
      </c>
      <c r="B338" s="7" t="s">
        <v>7</v>
      </c>
      <c r="C338" s="8">
        <v>1890</v>
      </c>
      <c r="D338" s="9">
        <v>45449</v>
      </c>
      <c r="E338" s="13">
        <f>+HYPERLINK("http://trademark.i-assist.jp/data/china/image_1890th/76928521.pdf",76928521)</f>
        <v>76928521</v>
      </c>
      <c r="F338" s="7" t="s">
        <v>984</v>
      </c>
      <c r="G338" s="7" t="s">
        <v>983</v>
      </c>
      <c r="H338" s="7" t="s">
        <v>985</v>
      </c>
      <c r="I338" s="9">
        <v>45345</v>
      </c>
    </row>
    <row r="339" spans="1:9" x14ac:dyDescent="0.15">
      <c r="A339" s="6">
        <v>338</v>
      </c>
      <c r="B339" s="7" t="s">
        <v>7</v>
      </c>
      <c r="C339" s="8">
        <v>1890</v>
      </c>
      <c r="D339" s="9">
        <v>45449</v>
      </c>
      <c r="E339" s="13">
        <f>+HYPERLINK("http://trademark.i-assist.jp/data/china/image_1890th/76929496.pdf",76929496)</f>
        <v>76929496</v>
      </c>
      <c r="F339" s="7" t="s">
        <v>987</v>
      </c>
      <c r="G339" s="7" t="s">
        <v>986</v>
      </c>
      <c r="H339" s="7" t="s">
        <v>988</v>
      </c>
      <c r="I339" s="9">
        <v>45345</v>
      </c>
    </row>
    <row r="340" spans="1:9" x14ac:dyDescent="0.15">
      <c r="A340" s="6">
        <v>339</v>
      </c>
      <c r="B340" s="7" t="s">
        <v>7</v>
      </c>
      <c r="C340" s="8">
        <v>1890</v>
      </c>
      <c r="D340" s="9">
        <v>45449</v>
      </c>
      <c r="E340" s="13">
        <f>+HYPERLINK("http://trademark.i-assist.jp/data/china/image_1890th/76929518.pdf",76929518)</f>
        <v>76929518</v>
      </c>
      <c r="F340" s="7" t="s">
        <v>990</v>
      </c>
      <c r="G340" s="7" t="s">
        <v>989</v>
      </c>
      <c r="H340" s="7" t="s">
        <v>991</v>
      </c>
      <c r="I340" s="9">
        <v>45345</v>
      </c>
    </row>
    <row r="341" spans="1:9" x14ac:dyDescent="0.15">
      <c r="A341" s="6">
        <v>340</v>
      </c>
      <c r="B341" s="7" t="s">
        <v>7</v>
      </c>
      <c r="C341" s="8">
        <v>1890</v>
      </c>
      <c r="D341" s="9">
        <v>45449</v>
      </c>
      <c r="E341" s="13">
        <f>+HYPERLINK("http://trademark.i-assist.jp/data/china/image_1890th/76149803.pdf",76149803)</f>
        <v>76149803</v>
      </c>
      <c r="F341" s="7" t="s">
        <v>993</v>
      </c>
      <c r="G341" s="7" t="s">
        <v>992</v>
      </c>
      <c r="H341" s="7" t="s">
        <v>994</v>
      </c>
      <c r="I341" s="9">
        <v>45293</v>
      </c>
    </row>
    <row r="342" spans="1:9" ht="27" x14ac:dyDescent="0.15">
      <c r="A342" s="6">
        <v>341</v>
      </c>
      <c r="B342" s="7" t="s">
        <v>7</v>
      </c>
      <c r="C342" s="8">
        <v>1890</v>
      </c>
      <c r="D342" s="9">
        <v>45449</v>
      </c>
      <c r="E342" s="13">
        <f>+HYPERLINK("http://trademark.i-assist.jp/data/china/image_1890th/76169086.pdf",76169086)</f>
        <v>76169086</v>
      </c>
      <c r="F342" s="7" t="s">
        <v>996</v>
      </c>
      <c r="G342" s="7" t="s">
        <v>995</v>
      </c>
      <c r="H342" s="7" t="s">
        <v>997</v>
      </c>
      <c r="I342" s="9">
        <v>45294</v>
      </c>
    </row>
    <row r="343" spans="1:9" x14ac:dyDescent="0.15">
      <c r="A343" s="6">
        <v>342</v>
      </c>
      <c r="B343" s="7" t="s">
        <v>7</v>
      </c>
      <c r="C343" s="8">
        <v>1890</v>
      </c>
      <c r="D343" s="9">
        <v>45449</v>
      </c>
      <c r="E343" s="13">
        <f>+HYPERLINK("http://trademark.i-assist.jp/data/china/image_1890th/76170923.pdf",76170923)</f>
        <v>76170923</v>
      </c>
      <c r="F343" s="7" t="s">
        <v>999</v>
      </c>
      <c r="G343" s="7" t="s">
        <v>998</v>
      </c>
      <c r="H343" s="7" t="s">
        <v>1000</v>
      </c>
      <c r="I343" s="9">
        <v>45294</v>
      </c>
    </row>
    <row r="344" spans="1:9" x14ac:dyDescent="0.15">
      <c r="A344" s="6">
        <v>343</v>
      </c>
      <c r="B344" s="7" t="s">
        <v>7</v>
      </c>
      <c r="C344" s="8">
        <v>1890</v>
      </c>
      <c r="D344" s="9">
        <v>45449</v>
      </c>
      <c r="E344" s="13">
        <f>+HYPERLINK("http://trademark.i-assist.jp/data/china/image_1890th/76174820.pdf",76174820)</f>
        <v>76174820</v>
      </c>
      <c r="F344" s="7" t="s">
        <v>1001</v>
      </c>
      <c r="G344" s="7" t="s">
        <v>439</v>
      </c>
      <c r="H344" s="7" t="s">
        <v>1002</v>
      </c>
      <c r="I344" s="9">
        <v>45294</v>
      </c>
    </row>
    <row r="345" spans="1:9" x14ac:dyDescent="0.15">
      <c r="A345" s="6">
        <v>344</v>
      </c>
      <c r="B345" s="7" t="s">
        <v>7</v>
      </c>
      <c r="C345" s="8">
        <v>1890</v>
      </c>
      <c r="D345" s="9">
        <v>45449</v>
      </c>
      <c r="E345" s="13">
        <f>+HYPERLINK("http://trademark.i-assist.jp/data/china/image_1890th/76201083.pdf",76201083)</f>
        <v>76201083</v>
      </c>
      <c r="F345" s="7" t="s">
        <v>1004</v>
      </c>
      <c r="G345" s="7" t="s">
        <v>1003</v>
      </c>
      <c r="H345" s="7" t="s">
        <v>1005</v>
      </c>
      <c r="I345" s="9">
        <v>45295</v>
      </c>
    </row>
    <row r="346" spans="1:9" x14ac:dyDescent="0.15">
      <c r="A346" s="6">
        <v>345</v>
      </c>
      <c r="B346" s="7" t="s">
        <v>7</v>
      </c>
      <c r="C346" s="8">
        <v>1890</v>
      </c>
      <c r="D346" s="9">
        <v>45449</v>
      </c>
      <c r="E346" s="13">
        <f>+HYPERLINK("http://trademark.i-assist.jp/data/china/image_1890th/76205420.pdf",76205420)</f>
        <v>76205420</v>
      </c>
      <c r="F346" s="7" t="s">
        <v>1007</v>
      </c>
      <c r="G346" s="7" t="s">
        <v>1006</v>
      </c>
      <c r="H346" s="7" t="s">
        <v>1008</v>
      </c>
      <c r="I346" s="9">
        <v>45296</v>
      </c>
    </row>
    <row r="347" spans="1:9" x14ac:dyDescent="0.15">
      <c r="A347" s="6">
        <v>346</v>
      </c>
      <c r="B347" s="7" t="s">
        <v>7</v>
      </c>
      <c r="C347" s="8">
        <v>1890</v>
      </c>
      <c r="D347" s="9">
        <v>45449</v>
      </c>
      <c r="E347" s="13">
        <f>+HYPERLINK("http://trademark.i-assist.jp/data/china/image_1890th/76206894.pdf",76206894)</f>
        <v>76206894</v>
      </c>
      <c r="F347" s="7" t="s">
        <v>1010</v>
      </c>
      <c r="G347" s="7" t="s">
        <v>1009</v>
      </c>
      <c r="H347" s="7" t="s">
        <v>1011</v>
      </c>
      <c r="I347" s="9">
        <v>45296</v>
      </c>
    </row>
    <row r="348" spans="1:9" x14ac:dyDescent="0.15">
      <c r="A348" s="6">
        <v>347</v>
      </c>
      <c r="B348" s="7" t="s">
        <v>7</v>
      </c>
      <c r="C348" s="8">
        <v>1890</v>
      </c>
      <c r="D348" s="9">
        <v>45449</v>
      </c>
      <c r="E348" s="13">
        <f>+HYPERLINK("http://trademark.i-assist.jp/data/china/image_1890th/76243085.pdf",76243085)</f>
        <v>76243085</v>
      </c>
      <c r="F348" s="7" t="s">
        <v>1013</v>
      </c>
      <c r="G348" s="7" t="s">
        <v>1012</v>
      </c>
      <c r="H348" s="7" t="s">
        <v>1014</v>
      </c>
      <c r="I348" s="9">
        <v>45299</v>
      </c>
    </row>
    <row r="349" spans="1:9" x14ac:dyDescent="0.15">
      <c r="A349" s="6">
        <v>348</v>
      </c>
      <c r="B349" s="7" t="s">
        <v>7</v>
      </c>
      <c r="C349" s="8">
        <v>1890</v>
      </c>
      <c r="D349" s="9">
        <v>45449</v>
      </c>
      <c r="E349" s="13">
        <f>+HYPERLINK("http://trademark.i-assist.jp/data/china/image_1890th/76246618.pdf",76246618)</f>
        <v>76246618</v>
      </c>
      <c r="F349" s="7" t="s">
        <v>1016</v>
      </c>
      <c r="G349" s="7" t="s">
        <v>1015</v>
      </c>
      <c r="H349" s="7" t="s">
        <v>1017</v>
      </c>
      <c r="I349" s="9">
        <v>45299</v>
      </c>
    </row>
    <row r="350" spans="1:9" x14ac:dyDescent="0.15">
      <c r="A350" s="6">
        <v>349</v>
      </c>
      <c r="B350" s="7" t="s">
        <v>7</v>
      </c>
      <c r="C350" s="8">
        <v>1890</v>
      </c>
      <c r="D350" s="9">
        <v>45449</v>
      </c>
      <c r="E350" s="13">
        <f>+HYPERLINK("http://trademark.i-assist.jp/data/china/image_1890th/76248732.pdf",76248732)</f>
        <v>76248732</v>
      </c>
      <c r="F350" s="7" t="s">
        <v>1019</v>
      </c>
      <c r="G350" s="7" t="s">
        <v>1018</v>
      </c>
      <c r="H350" s="7" t="s">
        <v>1020</v>
      </c>
      <c r="I350" s="9">
        <v>45299</v>
      </c>
    </row>
    <row r="351" spans="1:9" x14ac:dyDescent="0.15">
      <c r="A351" s="6">
        <v>350</v>
      </c>
      <c r="B351" s="7" t="s">
        <v>7</v>
      </c>
      <c r="C351" s="8">
        <v>1890</v>
      </c>
      <c r="D351" s="9">
        <v>45449</v>
      </c>
      <c r="E351" s="13">
        <f>+HYPERLINK("http://trademark.i-assist.jp/data/china/image_1890th/76274153.pdf",76274153)</f>
        <v>76274153</v>
      </c>
      <c r="F351" s="7" t="s">
        <v>1022</v>
      </c>
      <c r="G351" s="7" t="s">
        <v>1021</v>
      </c>
      <c r="H351" s="7" t="s">
        <v>1023</v>
      </c>
      <c r="I351" s="9">
        <v>45300</v>
      </c>
    </row>
    <row r="352" spans="1:9" x14ac:dyDescent="0.15">
      <c r="A352" s="6">
        <v>351</v>
      </c>
      <c r="B352" s="7" t="s">
        <v>7</v>
      </c>
      <c r="C352" s="8">
        <v>1890</v>
      </c>
      <c r="D352" s="9">
        <v>45449</v>
      </c>
      <c r="E352" s="13">
        <f>+HYPERLINK("http://trademark.i-assist.jp/data/china/image_1890th/76296816.pdf",76296816)</f>
        <v>76296816</v>
      </c>
      <c r="F352" s="7" t="s">
        <v>1025</v>
      </c>
      <c r="G352" s="7" t="s">
        <v>1024</v>
      </c>
      <c r="H352" s="7" t="s">
        <v>1026</v>
      </c>
      <c r="I352" s="9">
        <v>45301</v>
      </c>
    </row>
    <row r="353" spans="1:9" x14ac:dyDescent="0.15">
      <c r="A353" s="6">
        <v>352</v>
      </c>
      <c r="B353" s="7" t="s">
        <v>7</v>
      </c>
      <c r="C353" s="8">
        <v>1890</v>
      </c>
      <c r="D353" s="9">
        <v>45449</v>
      </c>
      <c r="E353" s="13">
        <f>+HYPERLINK("http://trademark.i-assist.jp/data/china/image_1890th/76306848.pdf",76306848)</f>
        <v>76306848</v>
      </c>
      <c r="F353" s="7" t="s">
        <v>1028</v>
      </c>
      <c r="G353" s="7" t="s">
        <v>1027</v>
      </c>
      <c r="H353" s="7" t="s">
        <v>1029</v>
      </c>
      <c r="I353" s="9">
        <v>45301</v>
      </c>
    </row>
    <row r="354" spans="1:9" ht="27" x14ac:dyDescent="0.15">
      <c r="A354" s="6">
        <v>353</v>
      </c>
      <c r="B354" s="7" t="s">
        <v>7</v>
      </c>
      <c r="C354" s="8">
        <v>1890</v>
      </c>
      <c r="D354" s="9">
        <v>45449</v>
      </c>
      <c r="E354" s="13">
        <f>+HYPERLINK("http://trademark.i-assist.jp/data/china/image_1890th/76320526.pdf",76320526)</f>
        <v>76320526</v>
      </c>
      <c r="F354" s="7" t="s">
        <v>1031</v>
      </c>
      <c r="G354" s="7" t="s">
        <v>1030</v>
      </c>
      <c r="H354" s="7" t="s">
        <v>1032</v>
      </c>
      <c r="I354" s="9">
        <v>45302</v>
      </c>
    </row>
    <row r="355" spans="1:9" x14ac:dyDescent="0.15">
      <c r="A355" s="6">
        <v>354</v>
      </c>
      <c r="B355" s="7" t="s">
        <v>7</v>
      </c>
      <c r="C355" s="8">
        <v>1890</v>
      </c>
      <c r="D355" s="9">
        <v>45449</v>
      </c>
      <c r="E355" s="13">
        <f>+HYPERLINK("http://trademark.i-assist.jp/data/china/image_1890th/76332639.pdf",76332639)</f>
        <v>76332639</v>
      </c>
      <c r="F355" s="7" t="s">
        <v>1034</v>
      </c>
      <c r="G355" s="7" t="s">
        <v>1033</v>
      </c>
      <c r="H355" s="7" t="s">
        <v>1035</v>
      </c>
      <c r="I355" s="9">
        <v>45302</v>
      </c>
    </row>
    <row r="356" spans="1:9" x14ac:dyDescent="0.15">
      <c r="A356" s="6">
        <v>355</v>
      </c>
      <c r="B356" s="7" t="s">
        <v>7</v>
      </c>
      <c r="C356" s="8">
        <v>1890</v>
      </c>
      <c r="D356" s="9">
        <v>45449</v>
      </c>
      <c r="E356" s="13">
        <f>+HYPERLINK("http://trademark.i-assist.jp/data/china/image_1890th/76336683.pdf",76336683)</f>
        <v>76336683</v>
      </c>
      <c r="F356" s="7" t="s">
        <v>1037</v>
      </c>
      <c r="G356" s="7" t="s">
        <v>1036</v>
      </c>
      <c r="H356" s="7" t="s">
        <v>1038</v>
      </c>
      <c r="I356" s="9">
        <v>45302</v>
      </c>
    </row>
    <row r="357" spans="1:9" x14ac:dyDescent="0.15">
      <c r="A357" s="6">
        <v>356</v>
      </c>
      <c r="B357" s="7" t="s">
        <v>7</v>
      </c>
      <c r="C357" s="8">
        <v>1890</v>
      </c>
      <c r="D357" s="9">
        <v>45449</v>
      </c>
      <c r="E357" s="13">
        <f>+HYPERLINK("http://trademark.i-assist.jp/data/china/image_1890th/76349647.pdf",76349647)</f>
        <v>76349647</v>
      </c>
      <c r="F357" s="7" t="s">
        <v>1040</v>
      </c>
      <c r="G357" s="7" t="s">
        <v>1039</v>
      </c>
      <c r="H357" s="7" t="s">
        <v>1041</v>
      </c>
      <c r="I357" s="9">
        <v>45303</v>
      </c>
    </row>
    <row r="358" spans="1:9" ht="121.5" x14ac:dyDescent="0.15">
      <c r="A358" s="6">
        <v>357</v>
      </c>
      <c r="B358" s="7" t="s">
        <v>7</v>
      </c>
      <c r="C358" s="8">
        <v>1890</v>
      </c>
      <c r="D358" s="9">
        <v>45449</v>
      </c>
      <c r="E358" s="13" t="s">
        <v>11354</v>
      </c>
      <c r="F358" s="7" t="s">
        <v>1043</v>
      </c>
      <c r="G358" s="7" t="s">
        <v>1042</v>
      </c>
      <c r="H358" s="7" t="s">
        <v>1044</v>
      </c>
      <c r="I358" s="9">
        <v>45303</v>
      </c>
    </row>
    <row r="359" spans="1:9" x14ac:dyDescent="0.15">
      <c r="A359" s="6">
        <v>358</v>
      </c>
      <c r="B359" s="7" t="s">
        <v>7</v>
      </c>
      <c r="C359" s="8">
        <v>1890</v>
      </c>
      <c r="D359" s="9">
        <v>45449</v>
      </c>
      <c r="E359" s="13">
        <f>+HYPERLINK("http://trademark.i-assist.jp/data/china/image_1890th/76357879.pdf",76357879)</f>
        <v>76357879</v>
      </c>
      <c r="F359" s="7" t="s">
        <v>1046</v>
      </c>
      <c r="G359" s="7" t="s">
        <v>1045</v>
      </c>
      <c r="H359" s="7" t="s">
        <v>1047</v>
      </c>
      <c r="I359" s="9">
        <v>45303</v>
      </c>
    </row>
    <row r="360" spans="1:9" x14ac:dyDescent="0.15">
      <c r="A360" s="6">
        <v>359</v>
      </c>
      <c r="B360" s="7" t="s">
        <v>7</v>
      </c>
      <c r="C360" s="8">
        <v>1890</v>
      </c>
      <c r="D360" s="9">
        <v>45449</v>
      </c>
      <c r="E360" s="13">
        <f>+HYPERLINK("http://trademark.i-assist.jp/data/china/image_1890th/76366308.pdf",76366308)</f>
        <v>76366308</v>
      </c>
      <c r="F360" s="7" t="s">
        <v>1049</v>
      </c>
      <c r="G360" s="7" t="s">
        <v>1048</v>
      </c>
      <c r="H360" s="7" t="s">
        <v>1050</v>
      </c>
      <c r="I360" s="9">
        <v>45303</v>
      </c>
    </row>
    <row r="361" spans="1:9" x14ac:dyDescent="0.15">
      <c r="A361" s="6">
        <v>360</v>
      </c>
      <c r="B361" s="7" t="s">
        <v>7</v>
      </c>
      <c r="C361" s="8">
        <v>1890</v>
      </c>
      <c r="D361" s="9">
        <v>45449</v>
      </c>
      <c r="E361" s="13">
        <f>+HYPERLINK("http://trademark.i-assist.jp/data/china/image_1890th/76403074.pdf",76403074)</f>
        <v>76403074</v>
      </c>
      <c r="F361" s="7" t="s">
        <v>1052</v>
      </c>
      <c r="G361" s="7" t="s">
        <v>1051</v>
      </c>
      <c r="H361" s="7" t="s">
        <v>1053</v>
      </c>
      <c r="I361" s="9">
        <v>45306</v>
      </c>
    </row>
    <row r="362" spans="1:9" x14ac:dyDescent="0.15">
      <c r="A362" s="6">
        <v>361</v>
      </c>
      <c r="B362" s="7" t="s">
        <v>7</v>
      </c>
      <c r="C362" s="8">
        <v>1890</v>
      </c>
      <c r="D362" s="9">
        <v>45449</v>
      </c>
      <c r="E362" s="13">
        <f>+HYPERLINK("http://trademark.i-assist.jp/data/china/image_1890th/76421941.pdf",76421941)</f>
        <v>76421941</v>
      </c>
      <c r="F362" s="7" t="s">
        <v>1055</v>
      </c>
      <c r="G362" s="7" t="s">
        <v>1054</v>
      </c>
      <c r="H362" s="7" t="s">
        <v>1056</v>
      </c>
      <c r="I362" s="9">
        <v>45307</v>
      </c>
    </row>
    <row r="363" spans="1:9" ht="27" x14ac:dyDescent="0.15">
      <c r="A363" s="6">
        <v>362</v>
      </c>
      <c r="B363" s="7" t="s">
        <v>7</v>
      </c>
      <c r="C363" s="8">
        <v>1890</v>
      </c>
      <c r="D363" s="9">
        <v>45449</v>
      </c>
      <c r="E363" s="13">
        <f>+HYPERLINK("http://trademark.i-assist.jp/data/china/image_1890th/76423422.pdf",76423422)</f>
        <v>76423422</v>
      </c>
      <c r="F363" s="7" t="s">
        <v>1057</v>
      </c>
      <c r="G363" s="7" t="s">
        <v>174</v>
      </c>
      <c r="H363" s="7" t="s">
        <v>1058</v>
      </c>
      <c r="I363" s="9">
        <v>45307</v>
      </c>
    </row>
    <row r="364" spans="1:9" x14ac:dyDescent="0.15">
      <c r="A364" s="6">
        <v>363</v>
      </c>
      <c r="B364" s="7" t="s">
        <v>7</v>
      </c>
      <c r="C364" s="8">
        <v>1890</v>
      </c>
      <c r="D364" s="9">
        <v>45449</v>
      </c>
      <c r="E364" s="13">
        <f>+HYPERLINK("http://trademark.i-assist.jp/data/china/image_1890th/76426287.pdf",76426287)</f>
        <v>76426287</v>
      </c>
      <c r="F364" s="7" t="s">
        <v>1060</v>
      </c>
      <c r="G364" s="7" t="s">
        <v>1059</v>
      </c>
      <c r="H364" s="7" t="s">
        <v>1061</v>
      </c>
      <c r="I364" s="9">
        <v>45307</v>
      </c>
    </row>
    <row r="365" spans="1:9" x14ac:dyDescent="0.15">
      <c r="A365" s="6">
        <v>364</v>
      </c>
      <c r="B365" s="7" t="s">
        <v>7</v>
      </c>
      <c r="C365" s="8">
        <v>1890</v>
      </c>
      <c r="D365" s="9">
        <v>45449</v>
      </c>
      <c r="E365" s="13">
        <f>+HYPERLINK("http://trademark.i-assist.jp/data/china/image_1890th/76429542.pdf",76429542)</f>
        <v>76429542</v>
      </c>
      <c r="F365" s="7" t="s">
        <v>1063</v>
      </c>
      <c r="G365" s="7" t="s">
        <v>1062</v>
      </c>
      <c r="H365" s="7" t="s">
        <v>1064</v>
      </c>
      <c r="I365" s="9">
        <v>45307</v>
      </c>
    </row>
    <row r="366" spans="1:9" x14ac:dyDescent="0.15">
      <c r="A366" s="6">
        <v>365</v>
      </c>
      <c r="B366" s="7" t="s">
        <v>7</v>
      </c>
      <c r="C366" s="8">
        <v>1890</v>
      </c>
      <c r="D366" s="9">
        <v>45449</v>
      </c>
      <c r="E366" s="13">
        <f>+HYPERLINK("http://trademark.i-assist.jp/data/china/image_1890th/76430522.pdf",76430522)</f>
        <v>76430522</v>
      </c>
      <c r="F366" s="7" t="s">
        <v>1066</v>
      </c>
      <c r="G366" s="7" t="s">
        <v>1065</v>
      </c>
      <c r="H366" s="7" t="s">
        <v>1067</v>
      </c>
      <c r="I366" s="9">
        <v>45307</v>
      </c>
    </row>
    <row r="367" spans="1:9" x14ac:dyDescent="0.15">
      <c r="A367" s="6">
        <v>366</v>
      </c>
      <c r="B367" s="7" t="s">
        <v>7</v>
      </c>
      <c r="C367" s="8">
        <v>1890</v>
      </c>
      <c r="D367" s="9">
        <v>45449</v>
      </c>
      <c r="E367" s="13">
        <f>+HYPERLINK("http://trademark.i-assist.jp/data/china/image_1890th/77143891.pdf",77143891)</f>
        <v>77143891</v>
      </c>
      <c r="F367" s="7" t="s">
        <v>1069</v>
      </c>
      <c r="G367" s="7" t="s">
        <v>1068</v>
      </c>
      <c r="H367" s="7" t="s">
        <v>1070</v>
      </c>
      <c r="I367" s="9">
        <v>45357</v>
      </c>
    </row>
    <row r="368" spans="1:9" x14ac:dyDescent="0.15">
      <c r="A368" s="6">
        <v>367</v>
      </c>
      <c r="B368" s="7" t="s">
        <v>7</v>
      </c>
      <c r="C368" s="8">
        <v>1890</v>
      </c>
      <c r="D368" s="9">
        <v>45449</v>
      </c>
      <c r="E368" s="13">
        <f>+HYPERLINK("http://trademark.i-assist.jp/data/china/image_1890th/77144132.pdf",77144132)</f>
        <v>77144132</v>
      </c>
      <c r="F368" s="7" t="s">
        <v>1072</v>
      </c>
      <c r="G368" s="7" t="s">
        <v>1071</v>
      </c>
      <c r="H368" s="7" t="s">
        <v>1073</v>
      </c>
      <c r="I368" s="9">
        <v>45357</v>
      </c>
    </row>
    <row r="369" spans="1:9" x14ac:dyDescent="0.15">
      <c r="A369" s="6">
        <v>368</v>
      </c>
      <c r="B369" s="7" t="s">
        <v>7</v>
      </c>
      <c r="C369" s="8">
        <v>1890</v>
      </c>
      <c r="D369" s="9">
        <v>45449</v>
      </c>
      <c r="E369" s="13">
        <f>+HYPERLINK("http://trademark.i-assist.jp/data/china/image_1890th/76971419.pdf",76971419)</f>
        <v>76971419</v>
      </c>
      <c r="F369" s="7" t="s">
        <v>1075</v>
      </c>
      <c r="G369" s="7" t="s">
        <v>1074</v>
      </c>
      <c r="H369" s="7" t="s">
        <v>1076</v>
      </c>
      <c r="I369" s="9">
        <v>45349</v>
      </c>
    </row>
    <row r="370" spans="1:9" x14ac:dyDescent="0.15">
      <c r="A370" s="6">
        <v>369</v>
      </c>
      <c r="B370" s="7" t="s">
        <v>7</v>
      </c>
      <c r="C370" s="8">
        <v>1890</v>
      </c>
      <c r="D370" s="9">
        <v>45449</v>
      </c>
      <c r="E370" s="13">
        <f>+HYPERLINK("http://trademark.i-assist.jp/data/china/image_1890th/76972470.pdf",76972470)</f>
        <v>76972470</v>
      </c>
      <c r="F370" s="7" t="s">
        <v>1078</v>
      </c>
      <c r="G370" s="7" t="s">
        <v>1077</v>
      </c>
      <c r="H370" s="7" t="s">
        <v>1079</v>
      </c>
      <c r="I370" s="9">
        <v>45349</v>
      </c>
    </row>
    <row r="371" spans="1:9" x14ac:dyDescent="0.15">
      <c r="A371" s="6">
        <v>370</v>
      </c>
      <c r="B371" s="7" t="s">
        <v>7</v>
      </c>
      <c r="C371" s="8">
        <v>1890</v>
      </c>
      <c r="D371" s="9">
        <v>45449</v>
      </c>
      <c r="E371" s="13">
        <f>+HYPERLINK("http://trademark.i-assist.jp/data/china/image_1890th/76973104.pdf",76973104)</f>
        <v>76973104</v>
      </c>
      <c r="F371" s="7" t="s">
        <v>1081</v>
      </c>
      <c r="G371" s="7" t="s">
        <v>1080</v>
      </c>
      <c r="H371" s="7" t="s">
        <v>1082</v>
      </c>
      <c r="I371" s="9">
        <v>45349</v>
      </c>
    </row>
    <row r="372" spans="1:9" ht="27" x14ac:dyDescent="0.15">
      <c r="A372" s="6">
        <v>371</v>
      </c>
      <c r="B372" s="7" t="s">
        <v>7</v>
      </c>
      <c r="C372" s="8">
        <v>1890</v>
      </c>
      <c r="D372" s="9">
        <v>45449</v>
      </c>
      <c r="E372" s="13">
        <f>+HYPERLINK("http://trademark.i-assist.jp/data/china/image_1890th/76976059.pdf",76976059)</f>
        <v>76976059</v>
      </c>
      <c r="F372" s="7" t="s">
        <v>1084</v>
      </c>
      <c r="G372" s="7" t="s">
        <v>1083</v>
      </c>
      <c r="H372" s="7" t="s">
        <v>1085</v>
      </c>
      <c r="I372" s="9">
        <v>45349</v>
      </c>
    </row>
    <row r="373" spans="1:9" ht="27" x14ac:dyDescent="0.15">
      <c r="A373" s="6">
        <v>372</v>
      </c>
      <c r="B373" s="7" t="s">
        <v>7</v>
      </c>
      <c r="C373" s="8">
        <v>1890</v>
      </c>
      <c r="D373" s="9">
        <v>45449</v>
      </c>
      <c r="E373" s="13">
        <f>+HYPERLINK("http://trademark.i-assist.jp/data/china/image_1890th/76977672.pdf",76977672)</f>
        <v>76977672</v>
      </c>
      <c r="F373" s="7" t="s">
        <v>1087</v>
      </c>
      <c r="G373" s="7" t="s">
        <v>1086</v>
      </c>
      <c r="H373" s="7" t="s">
        <v>1088</v>
      </c>
      <c r="I373" s="9">
        <v>45349</v>
      </c>
    </row>
    <row r="374" spans="1:9" x14ac:dyDescent="0.15">
      <c r="A374" s="6">
        <v>373</v>
      </c>
      <c r="B374" s="7" t="s">
        <v>7</v>
      </c>
      <c r="C374" s="8">
        <v>1890</v>
      </c>
      <c r="D374" s="9">
        <v>45449</v>
      </c>
      <c r="E374" s="13">
        <f>+HYPERLINK("http://trademark.i-assist.jp/data/china/image_1890th/76978365.pdf",76978365)</f>
        <v>76978365</v>
      </c>
      <c r="F374" s="7" t="s">
        <v>1090</v>
      </c>
      <c r="G374" s="7" t="s">
        <v>1089</v>
      </c>
      <c r="H374" s="7" t="s">
        <v>1091</v>
      </c>
      <c r="I374" s="9">
        <v>45349</v>
      </c>
    </row>
    <row r="375" spans="1:9" x14ac:dyDescent="0.15">
      <c r="A375" s="6">
        <v>374</v>
      </c>
      <c r="B375" s="7" t="s">
        <v>7</v>
      </c>
      <c r="C375" s="8">
        <v>1890</v>
      </c>
      <c r="D375" s="9">
        <v>45449</v>
      </c>
      <c r="E375" s="13">
        <f>+HYPERLINK("http://trademark.i-assist.jp/data/china/image_1890th/76980071.pdf",76980071)</f>
        <v>76980071</v>
      </c>
      <c r="F375" s="7" t="s">
        <v>183</v>
      </c>
      <c r="G375" s="7" t="s">
        <v>1092</v>
      </c>
      <c r="H375" s="7" t="s">
        <v>1093</v>
      </c>
      <c r="I375" s="9">
        <v>45349</v>
      </c>
    </row>
    <row r="376" spans="1:9" x14ac:dyDescent="0.15">
      <c r="A376" s="6">
        <v>375</v>
      </c>
      <c r="B376" s="7" t="s">
        <v>7</v>
      </c>
      <c r="C376" s="8">
        <v>1890</v>
      </c>
      <c r="D376" s="9">
        <v>45449</v>
      </c>
      <c r="E376" s="13">
        <f>+HYPERLINK("http://trademark.i-assist.jp/data/china/image_1890th/76980101.pdf",76980101)</f>
        <v>76980101</v>
      </c>
      <c r="F376" s="7" t="s">
        <v>1094</v>
      </c>
      <c r="G376" s="7" t="s">
        <v>20</v>
      </c>
      <c r="H376" s="7" t="s">
        <v>1095</v>
      </c>
      <c r="I376" s="9">
        <v>45349</v>
      </c>
    </row>
    <row r="377" spans="1:9" x14ac:dyDescent="0.15">
      <c r="A377" s="6">
        <v>376</v>
      </c>
      <c r="B377" s="7" t="s">
        <v>7</v>
      </c>
      <c r="C377" s="8">
        <v>1890</v>
      </c>
      <c r="D377" s="9">
        <v>45449</v>
      </c>
      <c r="E377" s="13">
        <f>+HYPERLINK("http://trademark.i-assist.jp/data/china/image_1890th/76981945.pdf",76981945)</f>
        <v>76981945</v>
      </c>
      <c r="F377" s="7" t="s">
        <v>1097</v>
      </c>
      <c r="G377" s="7" t="s">
        <v>1096</v>
      </c>
      <c r="H377" s="7" t="s">
        <v>1098</v>
      </c>
      <c r="I377" s="9">
        <v>45349</v>
      </c>
    </row>
    <row r="378" spans="1:9" x14ac:dyDescent="0.15">
      <c r="A378" s="6">
        <v>377</v>
      </c>
      <c r="B378" s="7" t="s">
        <v>7</v>
      </c>
      <c r="C378" s="8">
        <v>1890</v>
      </c>
      <c r="D378" s="9">
        <v>45449</v>
      </c>
      <c r="E378" s="13">
        <f>+HYPERLINK("http://trademark.i-assist.jp/data/china/image_1890th/76982848.pdf",76982848)</f>
        <v>76982848</v>
      </c>
      <c r="F378" s="7" t="s">
        <v>1100</v>
      </c>
      <c r="G378" s="7" t="s">
        <v>1099</v>
      </c>
      <c r="H378" s="7" t="s">
        <v>1101</v>
      </c>
      <c r="I378" s="9">
        <v>45349</v>
      </c>
    </row>
    <row r="379" spans="1:9" x14ac:dyDescent="0.15">
      <c r="A379" s="6">
        <v>378</v>
      </c>
      <c r="B379" s="7" t="s">
        <v>7</v>
      </c>
      <c r="C379" s="8">
        <v>1890</v>
      </c>
      <c r="D379" s="9">
        <v>45449</v>
      </c>
      <c r="E379" s="13">
        <f>+HYPERLINK("http://trademark.i-assist.jp/data/china/image_1890th/76983087.pdf",76983087)</f>
        <v>76983087</v>
      </c>
      <c r="F379" s="7" t="s">
        <v>1103</v>
      </c>
      <c r="G379" s="7" t="s">
        <v>1102</v>
      </c>
      <c r="H379" s="7" t="s">
        <v>1104</v>
      </c>
      <c r="I379" s="9">
        <v>45349</v>
      </c>
    </row>
    <row r="380" spans="1:9" x14ac:dyDescent="0.15">
      <c r="A380" s="6">
        <v>379</v>
      </c>
      <c r="B380" s="7" t="s">
        <v>7</v>
      </c>
      <c r="C380" s="8">
        <v>1890</v>
      </c>
      <c r="D380" s="9">
        <v>45449</v>
      </c>
      <c r="E380" s="13">
        <f>+HYPERLINK("http://trademark.i-assist.jp/data/china/image_1890th/76983106.pdf",76983106)</f>
        <v>76983106</v>
      </c>
      <c r="F380" s="7" t="s">
        <v>1106</v>
      </c>
      <c r="G380" s="7" t="s">
        <v>1105</v>
      </c>
      <c r="H380" s="7" t="s">
        <v>1107</v>
      </c>
      <c r="I380" s="9">
        <v>45349</v>
      </c>
    </row>
    <row r="381" spans="1:9" x14ac:dyDescent="0.15">
      <c r="A381" s="6">
        <v>380</v>
      </c>
      <c r="B381" s="7" t="s">
        <v>7</v>
      </c>
      <c r="C381" s="8">
        <v>1890</v>
      </c>
      <c r="D381" s="9">
        <v>45449</v>
      </c>
      <c r="E381" s="13">
        <f>+HYPERLINK("http://trademark.i-assist.jp/data/china/image_1890th/76983129.pdf",76983129)</f>
        <v>76983129</v>
      </c>
      <c r="F381" s="7" t="s">
        <v>1108</v>
      </c>
      <c r="G381" s="7" t="s">
        <v>1089</v>
      </c>
      <c r="H381" s="7" t="s">
        <v>1109</v>
      </c>
      <c r="I381" s="9">
        <v>45349</v>
      </c>
    </row>
    <row r="382" spans="1:9" x14ac:dyDescent="0.15">
      <c r="A382" s="6">
        <v>381</v>
      </c>
      <c r="B382" s="7" t="s">
        <v>7</v>
      </c>
      <c r="C382" s="8">
        <v>1890</v>
      </c>
      <c r="D382" s="9">
        <v>45449</v>
      </c>
      <c r="E382" s="13">
        <f>+HYPERLINK("http://trademark.i-assist.jp/data/china/image_1890th/76983200.pdf",76983200)</f>
        <v>76983200</v>
      </c>
      <c r="F382" s="7" t="s">
        <v>1111</v>
      </c>
      <c r="G382" s="7" t="s">
        <v>1110</v>
      </c>
      <c r="H382" s="7" t="s">
        <v>1112</v>
      </c>
      <c r="I382" s="9">
        <v>45349</v>
      </c>
    </row>
    <row r="383" spans="1:9" x14ac:dyDescent="0.15">
      <c r="A383" s="6">
        <v>382</v>
      </c>
      <c r="B383" s="7" t="s">
        <v>7</v>
      </c>
      <c r="C383" s="8">
        <v>1890</v>
      </c>
      <c r="D383" s="9">
        <v>45449</v>
      </c>
      <c r="E383" s="13">
        <f>+HYPERLINK("http://trademark.i-assist.jp/data/china/image_1890th/77090561.pdf",77090561)</f>
        <v>77090561</v>
      </c>
      <c r="F383" s="7" t="s">
        <v>1114</v>
      </c>
      <c r="G383" s="7" t="s">
        <v>1113</v>
      </c>
      <c r="H383" s="7" t="s">
        <v>1115</v>
      </c>
      <c r="I383" s="9">
        <v>45355</v>
      </c>
    </row>
    <row r="384" spans="1:9" ht="121.5" x14ac:dyDescent="0.15">
      <c r="A384" s="6">
        <v>383</v>
      </c>
      <c r="B384" s="7" t="s">
        <v>7</v>
      </c>
      <c r="C384" s="8">
        <v>1890</v>
      </c>
      <c r="D384" s="9">
        <v>45449</v>
      </c>
      <c r="E384" s="13" t="s">
        <v>11355</v>
      </c>
      <c r="F384" s="7" t="s">
        <v>1117</v>
      </c>
      <c r="G384" s="7" t="s">
        <v>1116</v>
      </c>
      <c r="H384" s="7" t="s">
        <v>8</v>
      </c>
      <c r="I384" s="9">
        <v>45355</v>
      </c>
    </row>
    <row r="385" spans="1:9" x14ac:dyDescent="0.15">
      <c r="A385" s="6">
        <v>384</v>
      </c>
      <c r="B385" s="7" t="s">
        <v>7</v>
      </c>
      <c r="C385" s="8">
        <v>1890</v>
      </c>
      <c r="D385" s="9">
        <v>45449</v>
      </c>
      <c r="E385" s="13">
        <f>+HYPERLINK("http://trademark.i-assist.jp/data/china/image_1890th/77090672.pdf",77090672)</f>
        <v>77090672</v>
      </c>
      <c r="F385" s="7" t="s">
        <v>1119</v>
      </c>
      <c r="G385" s="7" t="s">
        <v>1118</v>
      </c>
      <c r="H385" s="7" t="s">
        <v>1120</v>
      </c>
      <c r="I385" s="9">
        <v>45355</v>
      </c>
    </row>
    <row r="386" spans="1:9" x14ac:dyDescent="0.15">
      <c r="A386" s="6">
        <v>385</v>
      </c>
      <c r="B386" s="7" t="s">
        <v>7</v>
      </c>
      <c r="C386" s="8">
        <v>1890</v>
      </c>
      <c r="D386" s="9">
        <v>45449</v>
      </c>
      <c r="E386" s="13">
        <f>+HYPERLINK("http://trademark.i-assist.jp/data/china/image_1890th/77090740.pdf",77090740)</f>
        <v>77090740</v>
      </c>
      <c r="F386" s="7" t="s">
        <v>1121</v>
      </c>
      <c r="G386" s="7" t="s">
        <v>744</v>
      </c>
      <c r="H386" s="7" t="s">
        <v>1122</v>
      </c>
      <c r="I386" s="9">
        <v>45355</v>
      </c>
    </row>
    <row r="387" spans="1:9" x14ac:dyDescent="0.15">
      <c r="A387" s="6">
        <v>386</v>
      </c>
      <c r="B387" s="7" t="s">
        <v>7</v>
      </c>
      <c r="C387" s="8">
        <v>1890</v>
      </c>
      <c r="D387" s="9">
        <v>45449</v>
      </c>
      <c r="E387" s="13">
        <f>+HYPERLINK("http://trademark.i-assist.jp/data/china/image_1890th/77090805.pdf",77090805)</f>
        <v>77090805</v>
      </c>
      <c r="F387" s="7" t="s">
        <v>1123</v>
      </c>
      <c r="G387" s="7" t="s">
        <v>744</v>
      </c>
      <c r="H387" s="7" t="s">
        <v>1124</v>
      </c>
      <c r="I387" s="9">
        <v>45355</v>
      </c>
    </row>
    <row r="388" spans="1:9" x14ac:dyDescent="0.15">
      <c r="A388" s="6">
        <v>387</v>
      </c>
      <c r="B388" s="7" t="s">
        <v>7</v>
      </c>
      <c r="C388" s="8">
        <v>1890</v>
      </c>
      <c r="D388" s="9">
        <v>45449</v>
      </c>
      <c r="E388" s="13">
        <f>+HYPERLINK("http://trademark.i-assist.jp/data/china/image_1890th/77091839.pdf",77091839)</f>
        <v>77091839</v>
      </c>
      <c r="F388" s="7" t="s">
        <v>1126</v>
      </c>
      <c r="G388" s="7" t="s">
        <v>1125</v>
      </c>
      <c r="H388" s="7" t="s">
        <v>1127</v>
      </c>
      <c r="I388" s="9">
        <v>45355</v>
      </c>
    </row>
    <row r="389" spans="1:9" x14ac:dyDescent="0.15">
      <c r="A389" s="6">
        <v>388</v>
      </c>
      <c r="B389" s="7" t="s">
        <v>7</v>
      </c>
      <c r="C389" s="8">
        <v>1890</v>
      </c>
      <c r="D389" s="9">
        <v>45449</v>
      </c>
      <c r="E389" s="13">
        <f>+HYPERLINK("http://trademark.i-assist.jp/data/china/image_1890th/77091940.pdf",77091940)</f>
        <v>77091940</v>
      </c>
      <c r="F389" s="7" t="s">
        <v>1129</v>
      </c>
      <c r="G389" s="7" t="s">
        <v>1128</v>
      </c>
      <c r="H389" s="7" t="s">
        <v>1130</v>
      </c>
      <c r="I389" s="9">
        <v>45355</v>
      </c>
    </row>
    <row r="390" spans="1:9" x14ac:dyDescent="0.15">
      <c r="A390" s="6">
        <v>389</v>
      </c>
      <c r="B390" s="7" t="s">
        <v>7</v>
      </c>
      <c r="C390" s="8">
        <v>1890</v>
      </c>
      <c r="D390" s="9">
        <v>45449</v>
      </c>
      <c r="E390" s="13">
        <f>+HYPERLINK("http://trademark.i-assist.jp/data/china/image_1890th/77092074.pdf",77092074)</f>
        <v>77092074</v>
      </c>
      <c r="F390" s="7" t="s">
        <v>1132</v>
      </c>
      <c r="G390" s="7" t="s">
        <v>1131</v>
      </c>
      <c r="H390" s="7" t="s">
        <v>1133</v>
      </c>
      <c r="I390" s="9">
        <v>45355</v>
      </c>
    </row>
    <row r="391" spans="1:9" x14ac:dyDescent="0.15">
      <c r="A391" s="6">
        <v>390</v>
      </c>
      <c r="B391" s="7" t="s">
        <v>7</v>
      </c>
      <c r="C391" s="8">
        <v>1890</v>
      </c>
      <c r="D391" s="9">
        <v>45449</v>
      </c>
      <c r="E391" s="13">
        <f>+HYPERLINK("http://trademark.i-assist.jp/data/china/image_1890th/77092354.pdf",77092354)</f>
        <v>77092354</v>
      </c>
      <c r="F391" s="7" t="s">
        <v>1135</v>
      </c>
      <c r="G391" s="7" t="s">
        <v>1134</v>
      </c>
      <c r="H391" s="7" t="s">
        <v>1136</v>
      </c>
      <c r="I391" s="9">
        <v>45355</v>
      </c>
    </row>
    <row r="392" spans="1:9" x14ac:dyDescent="0.15">
      <c r="A392" s="6">
        <v>391</v>
      </c>
      <c r="B392" s="7" t="s">
        <v>7</v>
      </c>
      <c r="C392" s="8">
        <v>1890</v>
      </c>
      <c r="D392" s="9">
        <v>45449</v>
      </c>
      <c r="E392" s="13">
        <f>+HYPERLINK("http://trademark.i-assist.jp/data/china/image_1890th/77092376.pdf",77092376)</f>
        <v>77092376</v>
      </c>
      <c r="F392" s="7" t="s">
        <v>1138</v>
      </c>
      <c r="G392" s="7" t="s">
        <v>1137</v>
      </c>
      <c r="H392" s="7" t="s">
        <v>1139</v>
      </c>
      <c r="I392" s="9">
        <v>45355</v>
      </c>
    </row>
    <row r="393" spans="1:9" x14ac:dyDescent="0.15">
      <c r="A393" s="6">
        <v>392</v>
      </c>
      <c r="B393" s="7" t="s">
        <v>7</v>
      </c>
      <c r="C393" s="8">
        <v>1890</v>
      </c>
      <c r="D393" s="9">
        <v>45449</v>
      </c>
      <c r="E393" s="13">
        <f>+HYPERLINK("http://trademark.i-assist.jp/data/china/image_1890th/77092531.pdf",77092531)</f>
        <v>77092531</v>
      </c>
      <c r="F393" s="7" t="s">
        <v>1141</v>
      </c>
      <c r="G393" s="7" t="s">
        <v>1140</v>
      </c>
      <c r="H393" s="7" t="s">
        <v>1142</v>
      </c>
      <c r="I393" s="9">
        <v>45355</v>
      </c>
    </row>
    <row r="394" spans="1:9" x14ac:dyDescent="0.15">
      <c r="A394" s="6">
        <v>393</v>
      </c>
      <c r="B394" s="7" t="s">
        <v>7</v>
      </c>
      <c r="C394" s="8">
        <v>1890</v>
      </c>
      <c r="D394" s="9">
        <v>45449</v>
      </c>
      <c r="E394" s="13">
        <f>+HYPERLINK("http://trademark.i-assist.jp/data/china/image_1890th/77093996.pdf",77093996)</f>
        <v>77093996</v>
      </c>
      <c r="F394" s="7" t="s">
        <v>1144</v>
      </c>
      <c r="G394" s="7" t="s">
        <v>1143</v>
      </c>
      <c r="H394" s="7" t="s">
        <v>1145</v>
      </c>
      <c r="I394" s="9">
        <v>45355</v>
      </c>
    </row>
    <row r="395" spans="1:9" x14ac:dyDescent="0.15">
      <c r="A395" s="6">
        <v>394</v>
      </c>
      <c r="B395" s="7" t="s">
        <v>7</v>
      </c>
      <c r="C395" s="8">
        <v>1890</v>
      </c>
      <c r="D395" s="9">
        <v>45449</v>
      </c>
      <c r="E395" s="13">
        <f>+HYPERLINK("http://trademark.i-assist.jp/data/china/image_1890th/77094895.pdf",77094895)</f>
        <v>77094895</v>
      </c>
      <c r="F395" s="7" t="s">
        <v>1147</v>
      </c>
      <c r="G395" s="7" t="s">
        <v>1146</v>
      </c>
      <c r="H395" s="7" t="s">
        <v>1148</v>
      </c>
      <c r="I395" s="9">
        <v>45355</v>
      </c>
    </row>
    <row r="396" spans="1:9" x14ac:dyDescent="0.15">
      <c r="A396" s="6">
        <v>395</v>
      </c>
      <c r="B396" s="7" t="s">
        <v>7</v>
      </c>
      <c r="C396" s="8">
        <v>1890</v>
      </c>
      <c r="D396" s="9">
        <v>45449</v>
      </c>
      <c r="E396" s="13">
        <f>+HYPERLINK("http://trademark.i-assist.jp/data/china/image_1890th/77095315.pdf",77095315)</f>
        <v>77095315</v>
      </c>
      <c r="F396" s="7" t="s">
        <v>1150</v>
      </c>
      <c r="G396" s="7" t="s">
        <v>1149</v>
      </c>
      <c r="H396" s="7" t="s">
        <v>1151</v>
      </c>
      <c r="I396" s="9">
        <v>45355</v>
      </c>
    </row>
    <row r="397" spans="1:9" x14ac:dyDescent="0.15">
      <c r="A397" s="6">
        <v>396</v>
      </c>
      <c r="B397" s="7" t="s">
        <v>7</v>
      </c>
      <c r="C397" s="8">
        <v>1890</v>
      </c>
      <c r="D397" s="9">
        <v>45449</v>
      </c>
      <c r="E397" s="13">
        <f>+HYPERLINK("http://trademark.i-assist.jp/data/china/image_1890th/77095373.pdf",77095373)</f>
        <v>77095373</v>
      </c>
      <c r="F397" s="7" t="s">
        <v>1153</v>
      </c>
      <c r="G397" s="7" t="s">
        <v>1152</v>
      </c>
      <c r="H397" s="7" t="s">
        <v>1154</v>
      </c>
      <c r="I397" s="9">
        <v>45355</v>
      </c>
    </row>
    <row r="398" spans="1:9" x14ac:dyDescent="0.15">
      <c r="A398" s="6">
        <v>397</v>
      </c>
      <c r="B398" s="7" t="s">
        <v>7</v>
      </c>
      <c r="C398" s="8">
        <v>1890</v>
      </c>
      <c r="D398" s="9">
        <v>45449</v>
      </c>
      <c r="E398" s="13">
        <f>+HYPERLINK("http://trademark.i-assist.jp/data/china/image_1890th/77095478.pdf",77095478)</f>
        <v>77095478</v>
      </c>
      <c r="F398" s="7" t="s">
        <v>1156</v>
      </c>
      <c r="G398" s="7" t="s">
        <v>1155</v>
      </c>
      <c r="H398" s="7" t="s">
        <v>1157</v>
      </c>
      <c r="I398" s="9">
        <v>45355</v>
      </c>
    </row>
    <row r="399" spans="1:9" x14ac:dyDescent="0.15">
      <c r="A399" s="6">
        <v>398</v>
      </c>
      <c r="B399" s="7" t="s">
        <v>7</v>
      </c>
      <c r="C399" s="8">
        <v>1890</v>
      </c>
      <c r="D399" s="9">
        <v>45449</v>
      </c>
      <c r="E399" s="13">
        <f>+HYPERLINK("http://trademark.i-assist.jp/data/china/image_1890th/77095512.pdf",77095512)</f>
        <v>77095512</v>
      </c>
      <c r="F399" s="7" t="s">
        <v>1159</v>
      </c>
      <c r="G399" s="7" t="s">
        <v>1158</v>
      </c>
      <c r="H399" s="7" t="s">
        <v>1160</v>
      </c>
      <c r="I399" s="9">
        <v>45355</v>
      </c>
    </row>
    <row r="400" spans="1:9" ht="27" x14ac:dyDescent="0.15">
      <c r="A400" s="6">
        <v>399</v>
      </c>
      <c r="B400" s="7" t="s">
        <v>7</v>
      </c>
      <c r="C400" s="8">
        <v>1890</v>
      </c>
      <c r="D400" s="9">
        <v>45449</v>
      </c>
      <c r="E400" s="13">
        <f>+HYPERLINK("http://trademark.i-assist.jp/data/china/image_1890th/77095782.pdf",77095782)</f>
        <v>77095782</v>
      </c>
      <c r="F400" s="7" t="s">
        <v>1162</v>
      </c>
      <c r="G400" s="7" t="s">
        <v>1161</v>
      </c>
      <c r="H400" s="7" t="s">
        <v>1163</v>
      </c>
      <c r="I400" s="9">
        <v>45355</v>
      </c>
    </row>
    <row r="401" spans="1:9" x14ac:dyDescent="0.15">
      <c r="A401" s="6">
        <v>400</v>
      </c>
      <c r="B401" s="7" t="s">
        <v>7</v>
      </c>
      <c r="C401" s="8">
        <v>1890</v>
      </c>
      <c r="D401" s="9">
        <v>45449</v>
      </c>
      <c r="E401" s="13">
        <f>+HYPERLINK("http://trademark.i-assist.jp/data/china/image_1890th/77095820.pdf",77095820)</f>
        <v>77095820</v>
      </c>
      <c r="F401" s="7" t="s">
        <v>1165</v>
      </c>
      <c r="G401" s="7" t="s">
        <v>1164</v>
      </c>
      <c r="H401" s="7" t="s">
        <v>1166</v>
      </c>
      <c r="I401" s="9">
        <v>45355</v>
      </c>
    </row>
    <row r="402" spans="1:9" x14ac:dyDescent="0.15">
      <c r="A402" s="6">
        <v>401</v>
      </c>
      <c r="B402" s="7" t="s">
        <v>7</v>
      </c>
      <c r="C402" s="8">
        <v>1890</v>
      </c>
      <c r="D402" s="9">
        <v>45449</v>
      </c>
      <c r="E402" s="13">
        <f>+HYPERLINK("http://trademark.i-assist.jp/data/china/image_1890th/77096216.pdf",77096216)</f>
        <v>77096216</v>
      </c>
      <c r="F402" s="7" t="s">
        <v>1144</v>
      </c>
      <c r="G402" s="7" t="s">
        <v>1143</v>
      </c>
      <c r="H402" s="7" t="s">
        <v>1167</v>
      </c>
      <c r="I402" s="9">
        <v>45355</v>
      </c>
    </row>
    <row r="403" spans="1:9" x14ac:dyDescent="0.15">
      <c r="A403" s="6">
        <v>402</v>
      </c>
      <c r="B403" s="7" t="s">
        <v>7</v>
      </c>
      <c r="C403" s="8">
        <v>1890</v>
      </c>
      <c r="D403" s="9">
        <v>45449</v>
      </c>
      <c r="E403" s="13">
        <f>+HYPERLINK("http://trademark.i-assist.jp/data/china/image_1890th/77097783.pdf",77097783)</f>
        <v>77097783</v>
      </c>
      <c r="F403" s="7" t="s">
        <v>1169</v>
      </c>
      <c r="G403" s="7" t="s">
        <v>1168</v>
      </c>
      <c r="H403" s="7" t="s">
        <v>1170</v>
      </c>
      <c r="I403" s="9">
        <v>45356</v>
      </c>
    </row>
    <row r="404" spans="1:9" x14ac:dyDescent="0.15">
      <c r="A404" s="6">
        <v>403</v>
      </c>
      <c r="B404" s="7" t="s">
        <v>7</v>
      </c>
      <c r="C404" s="8">
        <v>1890</v>
      </c>
      <c r="D404" s="9">
        <v>45449</v>
      </c>
      <c r="E404" s="13">
        <f>+HYPERLINK("http://trademark.i-assist.jp/data/china/image_1890th/77097916.pdf",77097916)</f>
        <v>77097916</v>
      </c>
      <c r="F404" s="7" t="s">
        <v>1172</v>
      </c>
      <c r="G404" s="7" t="s">
        <v>1171</v>
      </c>
      <c r="H404" s="7" t="s">
        <v>1173</v>
      </c>
      <c r="I404" s="9">
        <v>45356</v>
      </c>
    </row>
    <row r="405" spans="1:9" x14ac:dyDescent="0.15">
      <c r="A405" s="6">
        <v>404</v>
      </c>
      <c r="B405" s="7" t="s">
        <v>7</v>
      </c>
      <c r="C405" s="8">
        <v>1890</v>
      </c>
      <c r="D405" s="9">
        <v>45449</v>
      </c>
      <c r="E405" s="13">
        <f>+HYPERLINK("http://trademark.i-assist.jp/data/china/image_1890th/77098491.pdf",77098491)</f>
        <v>77098491</v>
      </c>
      <c r="F405" s="7" t="s">
        <v>1175</v>
      </c>
      <c r="G405" s="7" t="s">
        <v>1174</v>
      </c>
      <c r="H405" s="7" t="s">
        <v>1176</v>
      </c>
      <c r="I405" s="9">
        <v>45356</v>
      </c>
    </row>
    <row r="406" spans="1:9" x14ac:dyDescent="0.15">
      <c r="A406" s="6">
        <v>405</v>
      </c>
      <c r="B406" s="7" t="s">
        <v>7</v>
      </c>
      <c r="C406" s="8">
        <v>1890</v>
      </c>
      <c r="D406" s="9">
        <v>45449</v>
      </c>
      <c r="E406" s="13">
        <f>+HYPERLINK("http://trademark.i-assist.jp/data/china/image_1890th/77098515.pdf",77098515)</f>
        <v>77098515</v>
      </c>
      <c r="F406" s="7" t="s">
        <v>1178</v>
      </c>
      <c r="G406" s="7" t="s">
        <v>1177</v>
      </c>
      <c r="H406" s="7" t="s">
        <v>1179</v>
      </c>
      <c r="I406" s="9">
        <v>45356</v>
      </c>
    </row>
    <row r="407" spans="1:9" x14ac:dyDescent="0.15">
      <c r="A407" s="6">
        <v>406</v>
      </c>
      <c r="B407" s="7" t="s">
        <v>7</v>
      </c>
      <c r="C407" s="8">
        <v>1890</v>
      </c>
      <c r="D407" s="9">
        <v>45449</v>
      </c>
      <c r="E407" s="13">
        <f>+HYPERLINK("http://trademark.i-assist.jp/data/china/image_1890th/77099140.pdf",77099140)</f>
        <v>77099140</v>
      </c>
      <c r="F407" s="7" t="s">
        <v>1181</v>
      </c>
      <c r="G407" s="7" t="s">
        <v>1180</v>
      </c>
      <c r="H407" s="7" t="s">
        <v>1182</v>
      </c>
      <c r="I407" s="9">
        <v>45356</v>
      </c>
    </row>
    <row r="408" spans="1:9" x14ac:dyDescent="0.15">
      <c r="A408" s="6">
        <v>407</v>
      </c>
      <c r="B408" s="7" t="s">
        <v>7</v>
      </c>
      <c r="C408" s="8">
        <v>1890</v>
      </c>
      <c r="D408" s="9">
        <v>45449</v>
      </c>
      <c r="E408" s="13">
        <f>+HYPERLINK("http://trademark.i-assist.jp/data/china/image_1890th/77099759.pdf",77099759)</f>
        <v>77099759</v>
      </c>
      <c r="F408" s="7" t="s">
        <v>1184</v>
      </c>
      <c r="G408" s="7" t="s">
        <v>1183</v>
      </c>
      <c r="H408" s="7" t="s">
        <v>1185</v>
      </c>
      <c r="I408" s="9">
        <v>45356</v>
      </c>
    </row>
    <row r="409" spans="1:9" x14ac:dyDescent="0.15">
      <c r="A409" s="6">
        <v>408</v>
      </c>
      <c r="B409" s="7" t="s">
        <v>7</v>
      </c>
      <c r="C409" s="8">
        <v>1890</v>
      </c>
      <c r="D409" s="9">
        <v>45449</v>
      </c>
      <c r="E409" s="13">
        <f>+HYPERLINK("http://trademark.i-assist.jp/data/china/image_1890th/77101276.pdf",77101276)</f>
        <v>77101276</v>
      </c>
      <c r="F409" s="7" t="s">
        <v>1187</v>
      </c>
      <c r="G409" s="7" t="s">
        <v>1186</v>
      </c>
      <c r="H409" s="7" t="s">
        <v>1188</v>
      </c>
      <c r="I409" s="9">
        <v>45356</v>
      </c>
    </row>
    <row r="410" spans="1:9" x14ac:dyDescent="0.15">
      <c r="A410" s="6">
        <v>409</v>
      </c>
      <c r="B410" s="7" t="s">
        <v>7</v>
      </c>
      <c r="C410" s="8">
        <v>1890</v>
      </c>
      <c r="D410" s="9">
        <v>45449</v>
      </c>
      <c r="E410" s="13">
        <f>+HYPERLINK("http://trademark.i-assist.jp/data/china/image_1890th/77102349.pdf",77102349)</f>
        <v>77102349</v>
      </c>
      <c r="F410" s="7" t="s">
        <v>1189</v>
      </c>
      <c r="G410" s="7" t="s">
        <v>31</v>
      </c>
      <c r="H410" s="7" t="s">
        <v>1190</v>
      </c>
      <c r="I410" s="9">
        <v>45356</v>
      </c>
    </row>
    <row r="411" spans="1:9" x14ac:dyDescent="0.15">
      <c r="A411" s="6">
        <v>410</v>
      </c>
      <c r="B411" s="7" t="s">
        <v>7</v>
      </c>
      <c r="C411" s="8">
        <v>1890</v>
      </c>
      <c r="D411" s="9">
        <v>45449</v>
      </c>
      <c r="E411" s="13">
        <f>+HYPERLINK("http://trademark.i-assist.jp/data/china/image_1890th/77102409.pdf",77102409)</f>
        <v>77102409</v>
      </c>
      <c r="F411" s="7" t="s">
        <v>1192</v>
      </c>
      <c r="G411" s="7" t="s">
        <v>1191</v>
      </c>
      <c r="H411" s="7" t="s">
        <v>1193</v>
      </c>
      <c r="I411" s="9">
        <v>45356</v>
      </c>
    </row>
    <row r="412" spans="1:9" x14ac:dyDescent="0.15">
      <c r="A412" s="6">
        <v>411</v>
      </c>
      <c r="B412" s="7" t="s">
        <v>7</v>
      </c>
      <c r="C412" s="8">
        <v>1890</v>
      </c>
      <c r="D412" s="9">
        <v>45449</v>
      </c>
      <c r="E412" s="13">
        <f>+HYPERLINK("http://trademark.i-assist.jp/data/china/image_1890th/77102797.pdf",77102797)</f>
        <v>77102797</v>
      </c>
      <c r="F412" s="7" t="s">
        <v>1195</v>
      </c>
      <c r="G412" s="7" t="s">
        <v>1194</v>
      </c>
      <c r="H412" s="7" t="s">
        <v>1196</v>
      </c>
      <c r="I412" s="9">
        <v>45356</v>
      </c>
    </row>
    <row r="413" spans="1:9" x14ac:dyDescent="0.15">
      <c r="A413" s="6">
        <v>412</v>
      </c>
      <c r="B413" s="7" t="s">
        <v>7</v>
      </c>
      <c r="C413" s="8">
        <v>1890</v>
      </c>
      <c r="D413" s="9">
        <v>45449</v>
      </c>
      <c r="E413" s="13">
        <f>+HYPERLINK("http://trademark.i-assist.jp/data/china/image_1890th/77102813.pdf",77102813)</f>
        <v>77102813</v>
      </c>
      <c r="F413" s="7" t="s">
        <v>1197</v>
      </c>
      <c r="G413" s="7" t="s">
        <v>1194</v>
      </c>
      <c r="H413" s="7" t="s">
        <v>1198</v>
      </c>
      <c r="I413" s="9">
        <v>45356</v>
      </c>
    </row>
    <row r="414" spans="1:9" x14ac:dyDescent="0.15">
      <c r="A414" s="6">
        <v>413</v>
      </c>
      <c r="B414" s="7" t="s">
        <v>7</v>
      </c>
      <c r="C414" s="8">
        <v>1890</v>
      </c>
      <c r="D414" s="9">
        <v>45449</v>
      </c>
      <c r="E414" s="13">
        <f>+HYPERLINK("http://trademark.i-assist.jp/data/china/image_1890th/77103022.pdf",77103022)</f>
        <v>77103022</v>
      </c>
      <c r="F414" s="7" t="s">
        <v>183</v>
      </c>
      <c r="G414" s="7" t="s">
        <v>1199</v>
      </c>
      <c r="H414" s="7" t="s">
        <v>1200</v>
      </c>
      <c r="I414" s="9">
        <v>45356</v>
      </c>
    </row>
    <row r="415" spans="1:9" x14ac:dyDescent="0.15">
      <c r="A415" s="6">
        <v>414</v>
      </c>
      <c r="B415" s="7" t="s">
        <v>7</v>
      </c>
      <c r="C415" s="8">
        <v>1890</v>
      </c>
      <c r="D415" s="9">
        <v>45449</v>
      </c>
      <c r="E415" s="13">
        <f>+HYPERLINK("http://trademark.i-assist.jp/data/china/image_1890th/77103369.pdf",77103369)</f>
        <v>77103369</v>
      </c>
      <c r="F415" s="7" t="s">
        <v>183</v>
      </c>
      <c r="G415" s="7" t="s">
        <v>1174</v>
      </c>
      <c r="H415" s="7" t="s">
        <v>1201</v>
      </c>
      <c r="I415" s="9">
        <v>45356</v>
      </c>
    </row>
    <row r="416" spans="1:9" x14ac:dyDescent="0.15">
      <c r="A416" s="6">
        <v>415</v>
      </c>
      <c r="B416" s="7" t="s">
        <v>7</v>
      </c>
      <c r="C416" s="8">
        <v>1890</v>
      </c>
      <c r="D416" s="9">
        <v>45449</v>
      </c>
      <c r="E416" s="13">
        <f>+HYPERLINK("http://trademark.i-assist.jp/data/china/image_1890th/77104314.pdf",77104314)</f>
        <v>77104314</v>
      </c>
      <c r="F416" s="7" t="s">
        <v>1203</v>
      </c>
      <c r="G416" s="7" t="s">
        <v>1202</v>
      </c>
      <c r="H416" s="7" t="s">
        <v>1204</v>
      </c>
      <c r="I416" s="9">
        <v>45356</v>
      </c>
    </row>
    <row r="417" spans="1:9" x14ac:dyDescent="0.15">
      <c r="A417" s="6">
        <v>416</v>
      </c>
      <c r="B417" s="7" t="s">
        <v>7</v>
      </c>
      <c r="C417" s="8">
        <v>1890</v>
      </c>
      <c r="D417" s="9">
        <v>45449</v>
      </c>
      <c r="E417" s="13">
        <f>+HYPERLINK("http://trademark.i-assist.jp/data/china/image_1890th/77104479.pdf",77104479)</f>
        <v>77104479</v>
      </c>
      <c r="F417" s="7" t="s">
        <v>1206</v>
      </c>
      <c r="G417" s="7" t="s">
        <v>1205</v>
      </c>
      <c r="H417" s="7" t="s">
        <v>1207</v>
      </c>
      <c r="I417" s="9">
        <v>45356</v>
      </c>
    </row>
    <row r="418" spans="1:9" x14ac:dyDescent="0.15">
      <c r="A418" s="6">
        <v>417</v>
      </c>
      <c r="B418" s="7" t="s">
        <v>7</v>
      </c>
      <c r="C418" s="8">
        <v>1890</v>
      </c>
      <c r="D418" s="9">
        <v>45449</v>
      </c>
      <c r="E418" s="13">
        <f>+HYPERLINK("http://trademark.i-assist.jp/data/china/image_1890th/77104490.pdf",77104490)</f>
        <v>77104490</v>
      </c>
      <c r="F418" s="7" t="s">
        <v>1209</v>
      </c>
      <c r="G418" s="7" t="s">
        <v>1208</v>
      </c>
      <c r="H418" s="7" t="s">
        <v>1210</v>
      </c>
      <c r="I418" s="9">
        <v>45356</v>
      </c>
    </row>
    <row r="419" spans="1:9" x14ac:dyDescent="0.15">
      <c r="A419" s="6">
        <v>418</v>
      </c>
      <c r="B419" s="7" t="s">
        <v>7</v>
      </c>
      <c r="C419" s="8">
        <v>1890</v>
      </c>
      <c r="D419" s="9">
        <v>45449</v>
      </c>
      <c r="E419" s="13">
        <f>+HYPERLINK("http://trademark.i-assist.jp/data/china/image_1890th/77104825.pdf",77104825)</f>
        <v>77104825</v>
      </c>
      <c r="F419" s="7" t="s">
        <v>1211</v>
      </c>
      <c r="G419" s="7" t="s">
        <v>1194</v>
      </c>
      <c r="H419" s="7" t="s">
        <v>1212</v>
      </c>
      <c r="I419" s="9">
        <v>45356</v>
      </c>
    </row>
    <row r="420" spans="1:9" x14ac:dyDescent="0.15">
      <c r="A420" s="6">
        <v>419</v>
      </c>
      <c r="B420" s="7" t="s">
        <v>7</v>
      </c>
      <c r="C420" s="8">
        <v>1890</v>
      </c>
      <c r="D420" s="9">
        <v>45449</v>
      </c>
      <c r="E420" s="13">
        <f>+HYPERLINK("http://trademark.i-assist.jp/data/china/image_1890th/77104903.pdf",77104903)</f>
        <v>77104903</v>
      </c>
      <c r="F420" s="7" t="s">
        <v>1214</v>
      </c>
      <c r="G420" s="7" t="s">
        <v>1213</v>
      </c>
      <c r="H420" s="7" t="s">
        <v>1215</v>
      </c>
      <c r="I420" s="9">
        <v>45356</v>
      </c>
    </row>
    <row r="421" spans="1:9" x14ac:dyDescent="0.15">
      <c r="A421" s="6">
        <v>420</v>
      </c>
      <c r="B421" s="7" t="s">
        <v>7</v>
      </c>
      <c r="C421" s="8">
        <v>1890</v>
      </c>
      <c r="D421" s="9">
        <v>45449</v>
      </c>
      <c r="E421" s="13">
        <f>+HYPERLINK("http://trademark.i-assist.jp/data/china/image_1890th/77105448.pdf",77105448)</f>
        <v>77105448</v>
      </c>
      <c r="F421" s="7" t="s">
        <v>1216</v>
      </c>
      <c r="G421" s="7" t="s">
        <v>1194</v>
      </c>
      <c r="H421" s="7" t="s">
        <v>1217</v>
      </c>
      <c r="I421" s="9">
        <v>45356</v>
      </c>
    </row>
    <row r="422" spans="1:9" x14ac:dyDescent="0.15">
      <c r="A422" s="6">
        <v>421</v>
      </c>
      <c r="B422" s="7" t="s">
        <v>7</v>
      </c>
      <c r="C422" s="8">
        <v>1890</v>
      </c>
      <c r="D422" s="9">
        <v>45449</v>
      </c>
      <c r="E422" s="13">
        <f>+HYPERLINK("http://trademark.i-assist.jp/data/china/image_1890th/77105484.pdf",77105484)</f>
        <v>77105484</v>
      </c>
      <c r="F422" s="7" t="s">
        <v>1218</v>
      </c>
      <c r="G422" s="7" t="s">
        <v>1194</v>
      </c>
      <c r="H422" s="7" t="s">
        <v>1219</v>
      </c>
      <c r="I422" s="9">
        <v>45356</v>
      </c>
    </row>
    <row r="423" spans="1:9" ht="27" x14ac:dyDescent="0.15">
      <c r="A423" s="6">
        <v>422</v>
      </c>
      <c r="B423" s="7" t="s">
        <v>7</v>
      </c>
      <c r="C423" s="8">
        <v>1890</v>
      </c>
      <c r="D423" s="9">
        <v>45449</v>
      </c>
      <c r="E423" s="13">
        <f>+HYPERLINK("http://trademark.i-assist.jp/data/china/image_1890th/77105706.pdf",77105706)</f>
        <v>77105706</v>
      </c>
      <c r="F423" s="7" t="s">
        <v>1221</v>
      </c>
      <c r="G423" s="7" t="s">
        <v>1220</v>
      </c>
      <c r="H423" s="7" t="s">
        <v>1222</v>
      </c>
      <c r="I423" s="9">
        <v>45356</v>
      </c>
    </row>
    <row r="424" spans="1:9" x14ac:dyDescent="0.15">
      <c r="A424" s="6">
        <v>423</v>
      </c>
      <c r="B424" s="7" t="s">
        <v>7</v>
      </c>
      <c r="C424" s="8">
        <v>1890</v>
      </c>
      <c r="D424" s="9">
        <v>45449</v>
      </c>
      <c r="E424" s="13">
        <f>+HYPERLINK("http://trademark.i-assist.jp/data/china/image_1890th/77105816.pdf",77105816)</f>
        <v>77105816</v>
      </c>
      <c r="F424" s="7" t="s">
        <v>1223</v>
      </c>
      <c r="G424" s="7" t="s">
        <v>1194</v>
      </c>
      <c r="H424" s="7" t="s">
        <v>1224</v>
      </c>
      <c r="I424" s="9">
        <v>45356</v>
      </c>
    </row>
    <row r="425" spans="1:9" x14ac:dyDescent="0.15">
      <c r="A425" s="6">
        <v>424</v>
      </c>
      <c r="B425" s="7" t="s">
        <v>7</v>
      </c>
      <c r="C425" s="8">
        <v>1890</v>
      </c>
      <c r="D425" s="9">
        <v>45449</v>
      </c>
      <c r="E425" s="13">
        <f>+HYPERLINK("http://trademark.i-assist.jp/data/china/image_1890th/76929829.pdf",76929829)</f>
        <v>76929829</v>
      </c>
      <c r="F425" s="7" t="s">
        <v>1226</v>
      </c>
      <c r="G425" s="7" t="s">
        <v>1225</v>
      </c>
      <c r="H425" s="7" t="s">
        <v>991</v>
      </c>
      <c r="I425" s="9">
        <v>45345</v>
      </c>
    </row>
    <row r="426" spans="1:9" x14ac:dyDescent="0.15">
      <c r="A426" s="6">
        <v>425</v>
      </c>
      <c r="B426" s="7" t="s">
        <v>7</v>
      </c>
      <c r="C426" s="8">
        <v>1890</v>
      </c>
      <c r="D426" s="9">
        <v>45449</v>
      </c>
      <c r="E426" s="13">
        <f>+HYPERLINK("http://trademark.i-assist.jp/data/china/image_1890th/76931976.pdf",76931976)</f>
        <v>76931976</v>
      </c>
      <c r="F426" s="7" t="s">
        <v>1227</v>
      </c>
      <c r="G426" s="7" t="s">
        <v>966</v>
      </c>
      <c r="H426" s="7" t="s">
        <v>1228</v>
      </c>
      <c r="I426" s="9">
        <v>45345</v>
      </c>
    </row>
    <row r="427" spans="1:9" ht="27" x14ac:dyDescent="0.15">
      <c r="A427" s="6">
        <v>426</v>
      </c>
      <c r="B427" s="7" t="s">
        <v>7</v>
      </c>
      <c r="C427" s="8">
        <v>1890</v>
      </c>
      <c r="D427" s="9">
        <v>45449</v>
      </c>
      <c r="E427" s="13">
        <f>+HYPERLINK("http://trademark.i-assist.jp/data/china/image_1890th/76932024.pdf",76932024)</f>
        <v>76932024</v>
      </c>
      <c r="F427" s="7" t="s">
        <v>1230</v>
      </c>
      <c r="G427" s="7" t="s">
        <v>1229</v>
      </c>
      <c r="H427" s="7" t="s">
        <v>1231</v>
      </c>
      <c r="I427" s="9">
        <v>45345</v>
      </c>
    </row>
    <row r="428" spans="1:9" x14ac:dyDescent="0.15">
      <c r="A428" s="6">
        <v>427</v>
      </c>
      <c r="B428" s="7" t="s">
        <v>7</v>
      </c>
      <c r="C428" s="8">
        <v>1890</v>
      </c>
      <c r="D428" s="9">
        <v>45449</v>
      </c>
      <c r="E428" s="13">
        <f>+HYPERLINK("http://trademark.i-assist.jp/data/china/image_1890th/76933072.pdf",76933072)</f>
        <v>76933072</v>
      </c>
      <c r="F428" s="7" t="s">
        <v>1233</v>
      </c>
      <c r="G428" s="7" t="s">
        <v>1232</v>
      </c>
      <c r="H428" s="7" t="s">
        <v>1234</v>
      </c>
      <c r="I428" s="9">
        <v>45345</v>
      </c>
    </row>
    <row r="429" spans="1:9" ht="27" x14ac:dyDescent="0.15">
      <c r="A429" s="6">
        <v>428</v>
      </c>
      <c r="B429" s="7" t="s">
        <v>7</v>
      </c>
      <c r="C429" s="8">
        <v>1890</v>
      </c>
      <c r="D429" s="9">
        <v>45449</v>
      </c>
      <c r="E429" s="13">
        <f>+HYPERLINK("http://trademark.i-assist.jp/data/china/image_1890th/76934339.pdf",76934339)</f>
        <v>76934339</v>
      </c>
      <c r="F429" s="7" t="s">
        <v>1236</v>
      </c>
      <c r="G429" s="7" t="s">
        <v>1235</v>
      </c>
      <c r="H429" s="7" t="s">
        <v>1237</v>
      </c>
      <c r="I429" s="9">
        <v>45345</v>
      </c>
    </row>
    <row r="430" spans="1:9" x14ac:dyDescent="0.15">
      <c r="A430" s="6">
        <v>429</v>
      </c>
      <c r="B430" s="7" t="s">
        <v>7</v>
      </c>
      <c r="C430" s="8">
        <v>1890</v>
      </c>
      <c r="D430" s="9">
        <v>45449</v>
      </c>
      <c r="E430" s="13">
        <f>+HYPERLINK("http://trademark.i-assist.jp/data/china/image_1890th/76937756.pdf",76937756)</f>
        <v>76937756</v>
      </c>
      <c r="F430" s="7" t="s">
        <v>1239</v>
      </c>
      <c r="G430" s="7" t="s">
        <v>1238</v>
      </c>
      <c r="H430" s="7" t="s">
        <v>1240</v>
      </c>
      <c r="I430" s="9">
        <v>45345</v>
      </c>
    </row>
    <row r="431" spans="1:9" x14ac:dyDescent="0.15">
      <c r="A431" s="6">
        <v>430</v>
      </c>
      <c r="B431" s="7" t="s">
        <v>7</v>
      </c>
      <c r="C431" s="8">
        <v>1890</v>
      </c>
      <c r="D431" s="9">
        <v>45449</v>
      </c>
      <c r="E431" s="13">
        <f>+HYPERLINK("http://trademark.i-assist.jp/data/china/image_1890th/76939187.pdf",76939187)</f>
        <v>76939187</v>
      </c>
      <c r="F431" s="7" t="s">
        <v>1242</v>
      </c>
      <c r="G431" s="7" t="s">
        <v>1241</v>
      </c>
      <c r="H431" s="7" t="s">
        <v>1243</v>
      </c>
      <c r="I431" s="9">
        <v>45345</v>
      </c>
    </row>
    <row r="432" spans="1:9" x14ac:dyDescent="0.15">
      <c r="A432" s="6">
        <v>431</v>
      </c>
      <c r="B432" s="7" t="s">
        <v>7</v>
      </c>
      <c r="C432" s="8">
        <v>1890</v>
      </c>
      <c r="D432" s="9">
        <v>45449</v>
      </c>
      <c r="E432" s="13">
        <f>+HYPERLINK("http://trademark.i-assist.jp/data/china/image_1890th/76939472.pdf",76939472)</f>
        <v>76939472</v>
      </c>
      <c r="F432" s="7" t="s">
        <v>1245</v>
      </c>
      <c r="G432" s="7" t="s">
        <v>1244</v>
      </c>
      <c r="H432" s="7" t="s">
        <v>1246</v>
      </c>
      <c r="I432" s="9">
        <v>45345</v>
      </c>
    </row>
    <row r="433" spans="1:9" x14ac:dyDescent="0.15">
      <c r="A433" s="6">
        <v>432</v>
      </c>
      <c r="B433" s="7" t="s">
        <v>7</v>
      </c>
      <c r="C433" s="8">
        <v>1890</v>
      </c>
      <c r="D433" s="9">
        <v>45449</v>
      </c>
      <c r="E433" s="13">
        <f>+HYPERLINK("http://trademark.i-assist.jp/data/china/image_1890th/76939773.pdf",76939773)</f>
        <v>76939773</v>
      </c>
      <c r="F433" s="7" t="s">
        <v>1248</v>
      </c>
      <c r="G433" s="7" t="s">
        <v>1247</v>
      </c>
      <c r="H433" s="7" t="s">
        <v>1249</v>
      </c>
      <c r="I433" s="9">
        <v>45345</v>
      </c>
    </row>
    <row r="434" spans="1:9" x14ac:dyDescent="0.15">
      <c r="A434" s="6">
        <v>433</v>
      </c>
      <c r="B434" s="7" t="s">
        <v>7</v>
      </c>
      <c r="C434" s="8">
        <v>1890</v>
      </c>
      <c r="D434" s="9">
        <v>45449</v>
      </c>
      <c r="E434" s="13">
        <f>+HYPERLINK("http://trademark.i-assist.jp/data/china/image_1890th/77077156.pdf",77077156)</f>
        <v>77077156</v>
      </c>
      <c r="F434" s="7" t="s">
        <v>1251</v>
      </c>
      <c r="G434" s="7" t="s">
        <v>1250</v>
      </c>
      <c r="H434" s="7" t="s">
        <v>1252</v>
      </c>
      <c r="I434" s="9">
        <v>45355</v>
      </c>
    </row>
    <row r="435" spans="1:9" x14ac:dyDescent="0.15">
      <c r="A435" s="6">
        <v>434</v>
      </c>
      <c r="B435" s="7" t="s">
        <v>7</v>
      </c>
      <c r="C435" s="8">
        <v>1890</v>
      </c>
      <c r="D435" s="9">
        <v>45449</v>
      </c>
      <c r="E435" s="13">
        <f>+HYPERLINK("http://trademark.i-assist.jp/data/china/image_1890th/77077168.pdf",77077168)</f>
        <v>77077168</v>
      </c>
      <c r="F435" s="7" t="s">
        <v>1254</v>
      </c>
      <c r="G435" s="7" t="s">
        <v>1253</v>
      </c>
      <c r="H435" s="7" t="s">
        <v>1255</v>
      </c>
      <c r="I435" s="9">
        <v>45355</v>
      </c>
    </row>
    <row r="436" spans="1:9" x14ac:dyDescent="0.15">
      <c r="A436" s="6">
        <v>435</v>
      </c>
      <c r="B436" s="7" t="s">
        <v>7</v>
      </c>
      <c r="C436" s="8">
        <v>1890</v>
      </c>
      <c r="D436" s="9">
        <v>45449</v>
      </c>
      <c r="E436" s="13">
        <f>+HYPERLINK("http://trademark.i-assist.jp/data/china/image_1890th/77077451.pdf",77077451)</f>
        <v>77077451</v>
      </c>
      <c r="F436" s="7" t="s">
        <v>1257</v>
      </c>
      <c r="G436" s="7" t="s">
        <v>1256</v>
      </c>
      <c r="H436" s="7" t="s">
        <v>1258</v>
      </c>
      <c r="I436" s="9">
        <v>45355</v>
      </c>
    </row>
    <row r="437" spans="1:9" ht="27" x14ac:dyDescent="0.15">
      <c r="A437" s="6">
        <v>436</v>
      </c>
      <c r="B437" s="7" t="s">
        <v>7</v>
      </c>
      <c r="C437" s="8">
        <v>1890</v>
      </c>
      <c r="D437" s="9">
        <v>45449</v>
      </c>
      <c r="E437" s="13">
        <f>+HYPERLINK("http://trademark.i-assist.jp/data/china/image_1890th/77077552.pdf",77077552)</f>
        <v>77077552</v>
      </c>
      <c r="F437" s="7" t="s">
        <v>1260</v>
      </c>
      <c r="G437" s="7" t="s">
        <v>1259</v>
      </c>
      <c r="H437" s="7" t="s">
        <v>1261</v>
      </c>
      <c r="I437" s="9">
        <v>45355</v>
      </c>
    </row>
    <row r="438" spans="1:9" x14ac:dyDescent="0.15">
      <c r="A438" s="6">
        <v>437</v>
      </c>
      <c r="B438" s="7" t="s">
        <v>7</v>
      </c>
      <c r="C438" s="8">
        <v>1890</v>
      </c>
      <c r="D438" s="9">
        <v>45449</v>
      </c>
      <c r="E438" s="13">
        <f>+HYPERLINK("http://trademark.i-assist.jp/data/china/image_1890th/77078049.pdf",77078049)</f>
        <v>77078049</v>
      </c>
      <c r="F438" s="7" t="s">
        <v>1263</v>
      </c>
      <c r="G438" s="7" t="s">
        <v>1262</v>
      </c>
      <c r="H438" s="7" t="s">
        <v>1264</v>
      </c>
      <c r="I438" s="9">
        <v>45355</v>
      </c>
    </row>
    <row r="439" spans="1:9" x14ac:dyDescent="0.15">
      <c r="A439" s="6">
        <v>438</v>
      </c>
      <c r="B439" s="7" t="s">
        <v>7</v>
      </c>
      <c r="C439" s="8">
        <v>1890</v>
      </c>
      <c r="D439" s="9">
        <v>45449</v>
      </c>
      <c r="E439" s="13">
        <f>+HYPERLINK("http://trademark.i-assist.jp/data/china/image_1890th/77071427.pdf",77071427)</f>
        <v>77071427</v>
      </c>
      <c r="F439" s="7" t="s">
        <v>1266</v>
      </c>
      <c r="G439" s="7" t="s">
        <v>1265</v>
      </c>
      <c r="H439" s="7" t="s">
        <v>1267</v>
      </c>
      <c r="I439" s="9">
        <v>45354</v>
      </c>
    </row>
    <row r="440" spans="1:9" x14ac:dyDescent="0.15">
      <c r="A440" s="6">
        <v>439</v>
      </c>
      <c r="B440" s="7" t="s">
        <v>7</v>
      </c>
      <c r="C440" s="8">
        <v>1890</v>
      </c>
      <c r="D440" s="9">
        <v>45449</v>
      </c>
      <c r="E440" s="13">
        <f>+HYPERLINK("http://trademark.i-assist.jp/data/china/image_1890th/77071865.pdf",77071865)</f>
        <v>77071865</v>
      </c>
      <c r="F440" s="7" t="s">
        <v>1269</v>
      </c>
      <c r="G440" s="7" t="s">
        <v>1268</v>
      </c>
      <c r="H440" s="7" t="s">
        <v>1270</v>
      </c>
      <c r="I440" s="9">
        <v>45354</v>
      </c>
    </row>
    <row r="441" spans="1:9" x14ac:dyDescent="0.15">
      <c r="A441" s="6">
        <v>440</v>
      </c>
      <c r="B441" s="7" t="s">
        <v>7</v>
      </c>
      <c r="C441" s="8">
        <v>1890</v>
      </c>
      <c r="D441" s="9">
        <v>45449</v>
      </c>
      <c r="E441" s="13">
        <f>+HYPERLINK("http://trademark.i-assist.jp/data/china/image_1890th/77072073.pdf",77072073)</f>
        <v>77072073</v>
      </c>
      <c r="F441" s="7" t="s">
        <v>1272</v>
      </c>
      <c r="G441" s="7" t="s">
        <v>1271</v>
      </c>
      <c r="H441" s="7" t="s">
        <v>1273</v>
      </c>
      <c r="I441" s="9">
        <v>45355</v>
      </c>
    </row>
    <row r="442" spans="1:9" x14ac:dyDescent="0.15">
      <c r="A442" s="6">
        <v>441</v>
      </c>
      <c r="B442" s="7" t="s">
        <v>7</v>
      </c>
      <c r="C442" s="8">
        <v>1890</v>
      </c>
      <c r="D442" s="9">
        <v>45449</v>
      </c>
      <c r="E442" s="13">
        <f>+HYPERLINK("http://trademark.i-assist.jp/data/china/image_1890th/77072171.pdf",77072171)</f>
        <v>77072171</v>
      </c>
      <c r="F442" s="7" t="s">
        <v>1275</v>
      </c>
      <c r="G442" s="7" t="s">
        <v>1274</v>
      </c>
      <c r="H442" s="7" t="s">
        <v>1276</v>
      </c>
      <c r="I442" s="9">
        <v>45355</v>
      </c>
    </row>
    <row r="443" spans="1:9" x14ac:dyDescent="0.15">
      <c r="A443" s="6">
        <v>442</v>
      </c>
      <c r="B443" s="7" t="s">
        <v>7</v>
      </c>
      <c r="C443" s="8">
        <v>1890</v>
      </c>
      <c r="D443" s="9">
        <v>45449</v>
      </c>
      <c r="E443" s="13">
        <f>+HYPERLINK("http://trademark.i-assist.jp/data/china/image_1890th/77072612.pdf",77072612)</f>
        <v>77072612</v>
      </c>
      <c r="F443" s="7" t="s">
        <v>1278</v>
      </c>
      <c r="G443" s="7" t="s">
        <v>1277</v>
      </c>
      <c r="H443" s="7" t="s">
        <v>1279</v>
      </c>
      <c r="I443" s="9">
        <v>45355</v>
      </c>
    </row>
    <row r="444" spans="1:9" x14ac:dyDescent="0.15">
      <c r="A444" s="6">
        <v>443</v>
      </c>
      <c r="B444" s="7" t="s">
        <v>7</v>
      </c>
      <c r="C444" s="8">
        <v>1890</v>
      </c>
      <c r="D444" s="9">
        <v>45449</v>
      </c>
      <c r="E444" s="13">
        <f>+HYPERLINK("http://trademark.i-assist.jp/data/china/image_1890th/77072923.pdf",77072923)</f>
        <v>77072923</v>
      </c>
      <c r="F444" s="7" t="s">
        <v>1281</v>
      </c>
      <c r="G444" s="7" t="s">
        <v>1280</v>
      </c>
      <c r="H444" s="7" t="s">
        <v>1282</v>
      </c>
      <c r="I444" s="9">
        <v>45355</v>
      </c>
    </row>
    <row r="445" spans="1:9" x14ac:dyDescent="0.15">
      <c r="A445" s="6">
        <v>444</v>
      </c>
      <c r="B445" s="7" t="s">
        <v>7</v>
      </c>
      <c r="C445" s="8">
        <v>1890</v>
      </c>
      <c r="D445" s="9">
        <v>45449</v>
      </c>
      <c r="E445" s="13">
        <f>+HYPERLINK("http://trademark.i-assist.jp/data/china/image_1890th/77073716.pdf",77073716)</f>
        <v>77073716</v>
      </c>
      <c r="F445" s="7" t="s">
        <v>1284</v>
      </c>
      <c r="G445" s="7" t="s">
        <v>1283</v>
      </c>
      <c r="H445" s="7" t="s">
        <v>1285</v>
      </c>
      <c r="I445" s="9">
        <v>45355</v>
      </c>
    </row>
    <row r="446" spans="1:9" x14ac:dyDescent="0.15">
      <c r="A446" s="6">
        <v>445</v>
      </c>
      <c r="B446" s="7" t="s">
        <v>7</v>
      </c>
      <c r="C446" s="8">
        <v>1890</v>
      </c>
      <c r="D446" s="9">
        <v>45449</v>
      </c>
      <c r="E446" s="13">
        <f>+HYPERLINK("http://trademark.i-assist.jp/data/china/image_1890th/77074326.pdf",77074326)</f>
        <v>77074326</v>
      </c>
      <c r="F446" s="7" t="s">
        <v>1287</v>
      </c>
      <c r="G446" s="7" t="s">
        <v>1286</v>
      </c>
      <c r="H446" s="7" t="s">
        <v>1288</v>
      </c>
      <c r="I446" s="9">
        <v>45355</v>
      </c>
    </row>
    <row r="447" spans="1:9" x14ac:dyDescent="0.15">
      <c r="A447" s="6">
        <v>446</v>
      </c>
      <c r="B447" s="7" t="s">
        <v>7</v>
      </c>
      <c r="C447" s="8">
        <v>1890</v>
      </c>
      <c r="D447" s="9">
        <v>45449</v>
      </c>
      <c r="E447" s="13">
        <f>+HYPERLINK("http://trademark.i-assist.jp/data/china/image_1890th/77074380.pdf",77074380)</f>
        <v>77074380</v>
      </c>
      <c r="F447" s="7" t="s">
        <v>1290</v>
      </c>
      <c r="G447" s="7" t="s">
        <v>1289</v>
      </c>
      <c r="H447" s="7" t="s">
        <v>1291</v>
      </c>
      <c r="I447" s="9">
        <v>45355</v>
      </c>
    </row>
    <row r="448" spans="1:9" x14ac:dyDescent="0.15">
      <c r="A448" s="6">
        <v>447</v>
      </c>
      <c r="B448" s="7" t="s">
        <v>7</v>
      </c>
      <c r="C448" s="8">
        <v>1890</v>
      </c>
      <c r="D448" s="9">
        <v>45449</v>
      </c>
      <c r="E448" s="13">
        <f>+HYPERLINK("http://trademark.i-assist.jp/data/china/image_1890th/77074571.pdf",77074571)</f>
        <v>77074571</v>
      </c>
      <c r="F448" s="7" t="s">
        <v>1293</v>
      </c>
      <c r="G448" s="7" t="s">
        <v>1292</v>
      </c>
      <c r="H448" s="7" t="s">
        <v>1294</v>
      </c>
      <c r="I448" s="9">
        <v>45355</v>
      </c>
    </row>
    <row r="449" spans="1:9" x14ac:dyDescent="0.15">
      <c r="A449" s="6">
        <v>448</v>
      </c>
      <c r="B449" s="7" t="s">
        <v>7</v>
      </c>
      <c r="C449" s="8">
        <v>1890</v>
      </c>
      <c r="D449" s="9">
        <v>45449</v>
      </c>
      <c r="E449" s="13">
        <f>+HYPERLINK("http://trademark.i-assist.jp/data/china/image_1890th/77077055.pdf",77077055)</f>
        <v>77077055</v>
      </c>
      <c r="F449" s="7" t="s">
        <v>1295</v>
      </c>
      <c r="G449" s="7" t="s">
        <v>24</v>
      </c>
      <c r="H449" s="7" t="s">
        <v>1296</v>
      </c>
      <c r="I449" s="9">
        <v>45355</v>
      </c>
    </row>
    <row r="450" spans="1:9" ht="27" x14ac:dyDescent="0.15">
      <c r="A450" s="6">
        <v>449</v>
      </c>
      <c r="B450" s="7" t="s">
        <v>7</v>
      </c>
      <c r="C450" s="8">
        <v>1890</v>
      </c>
      <c r="D450" s="9">
        <v>45449</v>
      </c>
      <c r="E450" s="13">
        <f>+HYPERLINK("http://trademark.i-assist.jp/data/china/image_1890th/77080764.pdf",77080764)</f>
        <v>77080764</v>
      </c>
      <c r="F450" s="7" t="s">
        <v>183</v>
      </c>
      <c r="G450" s="7" t="s">
        <v>1297</v>
      </c>
      <c r="H450" s="7" t="s">
        <v>1298</v>
      </c>
      <c r="I450" s="9">
        <v>45355</v>
      </c>
    </row>
    <row r="451" spans="1:9" ht="27" x14ac:dyDescent="0.15">
      <c r="A451" s="6">
        <v>450</v>
      </c>
      <c r="B451" s="7" t="s">
        <v>7</v>
      </c>
      <c r="C451" s="8">
        <v>1890</v>
      </c>
      <c r="D451" s="9">
        <v>45449</v>
      </c>
      <c r="E451" s="13">
        <f>+HYPERLINK("http://trademark.i-assist.jp/data/china/image_1890th/77080852.pdf",77080852)</f>
        <v>77080852</v>
      </c>
      <c r="F451" s="7" t="s">
        <v>1300</v>
      </c>
      <c r="G451" s="7" t="s">
        <v>1299</v>
      </c>
      <c r="H451" s="7" t="s">
        <v>1301</v>
      </c>
      <c r="I451" s="9">
        <v>45355</v>
      </c>
    </row>
    <row r="452" spans="1:9" x14ac:dyDescent="0.15">
      <c r="A452" s="6">
        <v>451</v>
      </c>
      <c r="B452" s="7" t="s">
        <v>7</v>
      </c>
      <c r="C452" s="8">
        <v>1890</v>
      </c>
      <c r="D452" s="9">
        <v>45449</v>
      </c>
      <c r="E452" s="13">
        <f>+HYPERLINK("http://trademark.i-assist.jp/data/china/image_1890th/77081149.pdf",77081149)</f>
        <v>77081149</v>
      </c>
      <c r="F452" s="7" t="s">
        <v>1303</v>
      </c>
      <c r="G452" s="7" t="s">
        <v>1302</v>
      </c>
      <c r="H452" s="7" t="s">
        <v>1304</v>
      </c>
      <c r="I452" s="9">
        <v>45355</v>
      </c>
    </row>
    <row r="453" spans="1:9" x14ac:dyDescent="0.15">
      <c r="A453" s="6">
        <v>452</v>
      </c>
      <c r="B453" s="7" t="s">
        <v>7</v>
      </c>
      <c r="C453" s="8">
        <v>1890</v>
      </c>
      <c r="D453" s="9">
        <v>45449</v>
      </c>
      <c r="E453" s="13">
        <f>+HYPERLINK("http://trademark.i-assist.jp/data/china/image_1890th/77215748.pdf",77215748)</f>
        <v>77215748</v>
      </c>
      <c r="F453" s="7" t="s">
        <v>1306</v>
      </c>
      <c r="G453" s="7" t="s">
        <v>1305</v>
      </c>
      <c r="H453" s="7" t="s">
        <v>1307</v>
      </c>
      <c r="I453" s="9">
        <v>45362</v>
      </c>
    </row>
    <row r="454" spans="1:9" x14ac:dyDescent="0.15">
      <c r="A454" s="6">
        <v>453</v>
      </c>
      <c r="B454" s="7" t="s">
        <v>7</v>
      </c>
      <c r="C454" s="8">
        <v>1890</v>
      </c>
      <c r="D454" s="9">
        <v>45449</v>
      </c>
      <c r="E454" s="13">
        <f>+HYPERLINK("http://trademark.i-assist.jp/data/china/image_1890th/77215951.pdf",77215951)</f>
        <v>77215951</v>
      </c>
      <c r="F454" s="7" t="s">
        <v>1309</v>
      </c>
      <c r="G454" s="7" t="s">
        <v>1308</v>
      </c>
      <c r="H454" s="7" t="s">
        <v>1310</v>
      </c>
      <c r="I454" s="9">
        <v>45362</v>
      </c>
    </row>
    <row r="455" spans="1:9" x14ac:dyDescent="0.15">
      <c r="A455" s="6">
        <v>454</v>
      </c>
      <c r="B455" s="7" t="s">
        <v>7</v>
      </c>
      <c r="C455" s="8">
        <v>1890</v>
      </c>
      <c r="D455" s="9">
        <v>45449</v>
      </c>
      <c r="E455" s="13">
        <f>+HYPERLINK("http://trademark.i-assist.jp/data/china/image_1890th/77216037.pdf",77216037)</f>
        <v>77216037</v>
      </c>
      <c r="F455" s="7" t="s">
        <v>1312</v>
      </c>
      <c r="G455" s="7" t="s">
        <v>1311</v>
      </c>
      <c r="H455" s="7" t="s">
        <v>1313</v>
      </c>
      <c r="I455" s="9">
        <v>45362</v>
      </c>
    </row>
    <row r="456" spans="1:9" x14ac:dyDescent="0.15">
      <c r="A456" s="6">
        <v>455</v>
      </c>
      <c r="B456" s="7" t="s">
        <v>7</v>
      </c>
      <c r="C456" s="8">
        <v>1890</v>
      </c>
      <c r="D456" s="9">
        <v>45449</v>
      </c>
      <c r="E456" s="13">
        <f>+HYPERLINK("http://trademark.i-assist.jp/data/china/image_1890th/77216206.pdf",77216206)</f>
        <v>77216206</v>
      </c>
      <c r="F456" s="7" t="s">
        <v>1315</v>
      </c>
      <c r="G456" s="7" t="s">
        <v>1314</v>
      </c>
      <c r="H456" s="7" t="s">
        <v>1316</v>
      </c>
      <c r="I456" s="9">
        <v>45362</v>
      </c>
    </row>
    <row r="457" spans="1:9" ht="27" x14ac:dyDescent="0.15">
      <c r="A457" s="6">
        <v>456</v>
      </c>
      <c r="B457" s="7" t="s">
        <v>7</v>
      </c>
      <c r="C457" s="8">
        <v>1890</v>
      </c>
      <c r="D457" s="9">
        <v>45449</v>
      </c>
      <c r="E457" s="13">
        <f>+HYPERLINK("http://trademark.i-assist.jp/data/china/image_1890th/77216255.pdf",77216255)</f>
        <v>77216255</v>
      </c>
      <c r="F457" s="7" t="s">
        <v>1318</v>
      </c>
      <c r="G457" s="7" t="s">
        <v>1317</v>
      </c>
      <c r="H457" s="7" t="s">
        <v>1319</v>
      </c>
      <c r="I457" s="9">
        <v>45362</v>
      </c>
    </row>
    <row r="458" spans="1:9" x14ac:dyDescent="0.15">
      <c r="A458" s="6">
        <v>457</v>
      </c>
      <c r="B458" s="7" t="s">
        <v>7</v>
      </c>
      <c r="C458" s="8">
        <v>1890</v>
      </c>
      <c r="D458" s="9">
        <v>45449</v>
      </c>
      <c r="E458" s="13">
        <f>+HYPERLINK("http://trademark.i-assist.jp/data/china/image_1890th/77216466.pdf",77216466)</f>
        <v>77216466</v>
      </c>
      <c r="F458" s="7" t="s">
        <v>1321</v>
      </c>
      <c r="G458" s="7" t="s">
        <v>1320</v>
      </c>
      <c r="H458" s="7" t="s">
        <v>1322</v>
      </c>
      <c r="I458" s="9">
        <v>45362</v>
      </c>
    </row>
    <row r="459" spans="1:9" x14ac:dyDescent="0.15">
      <c r="A459" s="6">
        <v>458</v>
      </c>
      <c r="B459" s="7" t="s">
        <v>7</v>
      </c>
      <c r="C459" s="8">
        <v>1890</v>
      </c>
      <c r="D459" s="9">
        <v>45449</v>
      </c>
      <c r="E459" s="13">
        <f>+HYPERLINK("http://trademark.i-assist.jp/data/china/image_1890th/77216614.pdf",77216614)</f>
        <v>77216614</v>
      </c>
      <c r="F459" s="7" t="s">
        <v>183</v>
      </c>
      <c r="G459" s="7" t="s">
        <v>1323</v>
      </c>
      <c r="H459" s="7" t="s">
        <v>1324</v>
      </c>
      <c r="I459" s="9">
        <v>45362</v>
      </c>
    </row>
    <row r="460" spans="1:9" x14ac:dyDescent="0.15">
      <c r="A460" s="6">
        <v>459</v>
      </c>
      <c r="B460" s="7" t="s">
        <v>7</v>
      </c>
      <c r="C460" s="8">
        <v>1890</v>
      </c>
      <c r="D460" s="9">
        <v>45449</v>
      </c>
      <c r="E460" s="13">
        <f>+HYPERLINK("http://trademark.i-assist.jp/data/china/image_1890th/77216619.pdf",77216619)</f>
        <v>77216619</v>
      </c>
      <c r="F460" s="7" t="s">
        <v>1326</v>
      </c>
      <c r="G460" s="7" t="s">
        <v>1325</v>
      </c>
      <c r="H460" s="7" t="s">
        <v>1327</v>
      </c>
      <c r="I460" s="9">
        <v>45362</v>
      </c>
    </row>
    <row r="461" spans="1:9" ht="27" x14ac:dyDescent="0.15">
      <c r="A461" s="6">
        <v>460</v>
      </c>
      <c r="B461" s="7" t="s">
        <v>7</v>
      </c>
      <c r="C461" s="8">
        <v>1890</v>
      </c>
      <c r="D461" s="9">
        <v>45449</v>
      </c>
      <c r="E461" s="13">
        <f>+HYPERLINK("http://trademark.i-assist.jp/data/china/image_1890th/77216720.pdf",77216720)</f>
        <v>77216720</v>
      </c>
      <c r="F461" s="7" t="s">
        <v>1329</v>
      </c>
      <c r="G461" s="7" t="s">
        <v>1328</v>
      </c>
      <c r="H461" s="7" t="s">
        <v>1330</v>
      </c>
      <c r="I461" s="9">
        <v>45362</v>
      </c>
    </row>
    <row r="462" spans="1:9" x14ac:dyDescent="0.15">
      <c r="A462" s="6">
        <v>461</v>
      </c>
      <c r="B462" s="7" t="s">
        <v>7</v>
      </c>
      <c r="C462" s="8">
        <v>1890</v>
      </c>
      <c r="D462" s="9">
        <v>45449</v>
      </c>
      <c r="E462" s="13">
        <f>+HYPERLINK("http://trademark.i-assist.jp/data/china/image_1890th/77216726.pdf",77216726)</f>
        <v>77216726</v>
      </c>
      <c r="F462" s="7" t="s">
        <v>1332</v>
      </c>
      <c r="G462" s="7" t="s">
        <v>1331</v>
      </c>
      <c r="H462" s="7" t="s">
        <v>1333</v>
      </c>
      <c r="I462" s="9">
        <v>45362</v>
      </c>
    </row>
    <row r="463" spans="1:9" x14ac:dyDescent="0.15">
      <c r="A463" s="6">
        <v>462</v>
      </c>
      <c r="B463" s="7" t="s">
        <v>7</v>
      </c>
      <c r="C463" s="8">
        <v>1890</v>
      </c>
      <c r="D463" s="9">
        <v>45449</v>
      </c>
      <c r="E463" s="13">
        <f>+HYPERLINK("http://trademark.i-assist.jp/data/china/image_1890th/77216837.pdf",77216837)</f>
        <v>77216837</v>
      </c>
      <c r="F463" s="7" t="s">
        <v>1335</v>
      </c>
      <c r="G463" s="7" t="s">
        <v>1334</v>
      </c>
      <c r="H463" s="7" t="s">
        <v>1336</v>
      </c>
      <c r="I463" s="9">
        <v>45362</v>
      </c>
    </row>
    <row r="464" spans="1:9" x14ac:dyDescent="0.15">
      <c r="A464" s="6">
        <v>463</v>
      </c>
      <c r="B464" s="7" t="s">
        <v>7</v>
      </c>
      <c r="C464" s="8">
        <v>1890</v>
      </c>
      <c r="D464" s="9">
        <v>45449</v>
      </c>
      <c r="E464" s="13">
        <f>+HYPERLINK("http://trademark.i-assist.jp/data/china/image_1890th/77216872.pdf",77216872)</f>
        <v>77216872</v>
      </c>
      <c r="F464" s="7" t="s">
        <v>1338</v>
      </c>
      <c r="G464" s="7" t="s">
        <v>1337</v>
      </c>
      <c r="H464" s="7" t="s">
        <v>1339</v>
      </c>
      <c r="I464" s="9">
        <v>45362</v>
      </c>
    </row>
    <row r="465" spans="1:9" ht="27" x14ac:dyDescent="0.15">
      <c r="A465" s="6">
        <v>464</v>
      </c>
      <c r="B465" s="7" t="s">
        <v>7</v>
      </c>
      <c r="C465" s="8">
        <v>1890</v>
      </c>
      <c r="D465" s="9">
        <v>45449</v>
      </c>
      <c r="E465" s="13">
        <f>+HYPERLINK("http://trademark.i-assist.jp/data/china/image_1890th/77217062.pdf",77217062)</f>
        <v>77217062</v>
      </c>
      <c r="F465" s="7" t="s">
        <v>1341</v>
      </c>
      <c r="G465" s="7" t="s">
        <v>1340</v>
      </c>
      <c r="H465" s="7" t="s">
        <v>1342</v>
      </c>
      <c r="I465" s="9">
        <v>45362</v>
      </c>
    </row>
    <row r="466" spans="1:9" ht="27" x14ac:dyDescent="0.15">
      <c r="A466" s="6">
        <v>465</v>
      </c>
      <c r="B466" s="7" t="s">
        <v>7</v>
      </c>
      <c r="C466" s="8">
        <v>1890</v>
      </c>
      <c r="D466" s="9">
        <v>45449</v>
      </c>
      <c r="E466" s="13">
        <f>+HYPERLINK("http://trademark.i-assist.jp/data/china/image_1890th/77217202.pdf",77217202)</f>
        <v>77217202</v>
      </c>
      <c r="F466" s="7" t="s">
        <v>1344</v>
      </c>
      <c r="G466" s="7" t="s">
        <v>1343</v>
      </c>
      <c r="H466" s="7" t="s">
        <v>1345</v>
      </c>
      <c r="I466" s="9">
        <v>45362</v>
      </c>
    </row>
    <row r="467" spans="1:9" ht="27" x14ac:dyDescent="0.15">
      <c r="A467" s="6">
        <v>466</v>
      </c>
      <c r="B467" s="7" t="s">
        <v>7</v>
      </c>
      <c r="C467" s="8">
        <v>1890</v>
      </c>
      <c r="D467" s="9">
        <v>45449</v>
      </c>
      <c r="E467" s="13">
        <f>+HYPERLINK("http://trademark.i-assist.jp/data/china/image_1890th/70397805.pdf",70397805)</f>
        <v>70397805</v>
      </c>
      <c r="F467" s="7" t="s">
        <v>1347</v>
      </c>
      <c r="G467" s="7" t="s">
        <v>1346</v>
      </c>
      <c r="H467" s="7" t="s">
        <v>1348</v>
      </c>
      <c r="I467" s="9">
        <v>45008</v>
      </c>
    </row>
    <row r="468" spans="1:9" x14ac:dyDescent="0.15">
      <c r="A468" s="6">
        <v>467</v>
      </c>
      <c r="B468" s="7" t="s">
        <v>7</v>
      </c>
      <c r="C468" s="8">
        <v>1890</v>
      </c>
      <c r="D468" s="9">
        <v>45449</v>
      </c>
      <c r="E468" s="13">
        <f>+HYPERLINK("http://trademark.i-assist.jp/data/china/image_1890th/70418362.pdf",70418362)</f>
        <v>70418362</v>
      </c>
      <c r="F468" s="7" t="s">
        <v>1350</v>
      </c>
      <c r="G468" s="7" t="s">
        <v>1349</v>
      </c>
      <c r="H468" s="7" t="s">
        <v>1351</v>
      </c>
      <c r="I468" s="9">
        <v>45008</v>
      </c>
    </row>
    <row r="469" spans="1:9" x14ac:dyDescent="0.15">
      <c r="A469" s="6">
        <v>468</v>
      </c>
      <c r="B469" s="7" t="s">
        <v>7</v>
      </c>
      <c r="C469" s="8">
        <v>1890</v>
      </c>
      <c r="D469" s="9">
        <v>45449</v>
      </c>
      <c r="E469" s="13">
        <f>+HYPERLINK("http://trademark.i-assist.jp/data/china/image_1890th/70431816.pdf",70431816)</f>
        <v>70431816</v>
      </c>
      <c r="F469" s="7" t="s">
        <v>1353</v>
      </c>
      <c r="G469" s="7" t="s">
        <v>1352</v>
      </c>
      <c r="H469" s="7" t="s">
        <v>1354</v>
      </c>
      <c r="I469" s="9">
        <v>45009</v>
      </c>
    </row>
    <row r="470" spans="1:9" x14ac:dyDescent="0.15">
      <c r="A470" s="6">
        <v>469</v>
      </c>
      <c r="B470" s="7" t="s">
        <v>7</v>
      </c>
      <c r="C470" s="8">
        <v>1890</v>
      </c>
      <c r="D470" s="9">
        <v>45449</v>
      </c>
      <c r="E470" s="13">
        <f>+HYPERLINK("http://trademark.i-assist.jp/data/china/image_1890th/70606527.pdf",70606527)</f>
        <v>70606527</v>
      </c>
      <c r="F470" s="7" t="s">
        <v>1356</v>
      </c>
      <c r="G470" s="7" t="s">
        <v>1355</v>
      </c>
      <c r="H470" s="7" t="s">
        <v>1357</v>
      </c>
      <c r="I470" s="9">
        <v>45016</v>
      </c>
    </row>
    <row r="471" spans="1:9" x14ac:dyDescent="0.15">
      <c r="A471" s="6">
        <v>470</v>
      </c>
      <c r="B471" s="7" t="s">
        <v>7</v>
      </c>
      <c r="C471" s="8">
        <v>1890</v>
      </c>
      <c r="D471" s="9">
        <v>45449</v>
      </c>
      <c r="E471" s="13">
        <f>+HYPERLINK("http://trademark.i-assist.jp/data/china/image_1890th/70683251.pdf",70683251)</f>
        <v>70683251</v>
      </c>
      <c r="F471" s="7" t="s">
        <v>1359</v>
      </c>
      <c r="G471" s="7" t="s">
        <v>1358</v>
      </c>
      <c r="H471" s="7" t="s">
        <v>1360</v>
      </c>
      <c r="I471" s="9">
        <v>45020</v>
      </c>
    </row>
    <row r="472" spans="1:9" x14ac:dyDescent="0.15">
      <c r="A472" s="6">
        <v>471</v>
      </c>
      <c r="B472" s="7" t="s">
        <v>7</v>
      </c>
      <c r="C472" s="8">
        <v>1890</v>
      </c>
      <c r="D472" s="9">
        <v>45449</v>
      </c>
      <c r="E472" s="13">
        <f>+HYPERLINK("http://trademark.i-assist.jp/data/china/image_1890th/70689226.pdf",70689226)</f>
        <v>70689226</v>
      </c>
      <c r="F472" s="7" t="s">
        <v>1361</v>
      </c>
      <c r="G472" s="7" t="s">
        <v>1358</v>
      </c>
      <c r="H472" s="7" t="s">
        <v>1362</v>
      </c>
      <c r="I472" s="9">
        <v>45020</v>
      </c>
    </row>
    <row r="473" spans="1:9" x14ac:dyDescent="0.15">
      <c r="A473" s="6">
        <v>472</v>
      </c>
      <c r="B473" s="7" t="s">
        <v>7</v>
      </c>
      <c r="C473" s="8">
        <v>1890</v>
      </c>
      <c r="D473" s="9">
        <v>45449</v>
      </c>
      <c r="E473" s="13">
        <f>+HYPERLINK("http://trademark.i-assist.jp/data/china/image_1890th/70843706.pdf",70843706)</f>
        <v>70843706</v>
      </c>
      <c r="F473" s="7" t="s">
        <v>1364</v>
      </c>
      <c r="G473" s="7" t="s">
        <v>1363</v>
      </c>
      <c r="H473" s="7" t="s">
        <v>1365</v>
      </c>
      <c r="I473" s="9">
        <v>45028</v>
      </c>
    </row>
    <row r="474" spans="1:9" ht="27" x14ac:dyDescent="0.15">
      <c r="A474" s="6">
        <v>473</v>
      </c>
      <c r="B474" s="7" t="s">
        <v>7</v>
      </c>
      <c r="C474" s="8">
        <v>1890</v>
      </c>
      <c r="D474" s="9">
        <v>45449</v>
      </c>
      <c r="E474" s="13">
        <f>+HYPERLINK("http://trademark.i-assist.jp/data/china/image_1890th/70876895.pdf",70876895)</f>
        <v>70876895</v>
      </c>
      <c r="F474" s="7" t="s">
        <v>1367</v>
      </c>
      <c r="G474" s="7" t="s">
        <v>1366</v>
      </c>
      <c r="H474" s="7" t="s">
        <v>1368</v>
      </c>
      <c r="I474" s="9">
        <v>45029</v>
      </c>
    </row>
    <row r="475" spans="1:9" ht="27" x14ac:dyDescent="0.15">
      <c r="A475" s="6">
        <v>474</v>
      </c>
      <c r="B475" s="7" t="s">
        <v>7</v>
      </c>
      <c r="C475" s="8">
        <v>1890</v>
      </c>
      <c r="D475" s="9">
        <v>45449</v>
      </c>
      <c r="E475" s="13">
        <f>+HYPERLINK("http://trademark.i-assist.jp/data/china/image_1890th/70879185.pdf",70879185)</f>
        <v>70879185</v>
      </c>
      <c r="F475" s="7" t="s">
        <v>1370</v>
      </c>
      <c r="G475" s="7" t="s">
        <v>1369</v>
      </c>
      <c r="H475" s="7" t="s">
        <v>1371</v>
      </c>
      <c r="I475" s="9">
        <v>45029</v>
      </c>
    </row>
    <row r="476" spans="1:9" ht="27" x14ac:dyDescent="0.15">
      <c r="A476" s="6">
        <v>475</v>
      </c>
      <c r="B476" s="7" t="s">
        <v>7</v>
      </c>
      <c r="C476" s="8">
        <v>1890</v>
      </c>
      <c r="D476" s="9">
        <v>45449</v>
      </c>
      <c r="E476" s="13">
        <f>+HYPERLINK("http://trademark.i-assist.jp/data/china/image_1890th/70898308.pdf",70898308)</f>
        <v>70898308</v>
      </c>
      <c r="F476" s="7" t="s">
        <v>1372</v>
      </c>
      <c r="G476" s="7" t="s">
        <v>1369</v>
      </c>
      <c r="H476" s="7" t="s">
        <v>1373</v>
      </c>
      <c r="I476" s="9">
        <v>45030</v>
      </c>
    </row>
    <row r="477" spans="1:9" ht="27" x14ac:dyDescent="0.15">
      <c r="A477" s="6">
        <v>476</v>
      </c>
      <c r="B477" s="7" t="s">
        <v>7</v>
      </c>
      <c r="C477" s="8">
        <v>1890</v>
      </c>
      <c r="D477" s="9">
        <v>45449</v>
      </c>
      <c r="E477" s="13">
        <f>+HYPERLINK("http://trademark.i-assist.jp/data/china/image_1890th/70909889.pdf",70909889)</f>
        <v>70909889</v>
      </c>
      <c r="F477" s="7" t="s">
        <v>1374</v>
      </c>
      <c r="G477" s="7" t="s">
        <v>1369</v>
      </c>
      <c r="H477" s="7" t="s">
        <v>1375</v>
      </c>
      <c r="I477" s="9">
        <v>45030</v>
      </c>
    </row>
    <row r="478" spans="1:9" x14ac:dyDescent="0.15">
      <c r="A478" s="6">
        <v>477</v>
      </c>
      <c r="B478" s="7" t="s">
        <v>7</v>
      </c>
      <c r="C478" s="8">
        <v>1890</v>
      </c>
      <c r="D478" s="9">
        <v>45449</v>
      </c>
      <c r="E478" s="13">
        <f>+HYPERLINK("http://trademark.i-assist.jp/data/china/image_1890th/70912774.pdf",70912774)</f>
        <v>70912774</v>
      </c>
      <c r="F478" s="7" t="s">
        <v>1377</v>
      </c>
      <c r="G478" s="7" t="s">
        <v>1376</v>
      </c>
      <c r="H478" s="7" t="s">
        <v>1378</v>
      </c>
      <c r="I478" s="9">
        <v>45030</v>
      </c>
    </row>
    <row r="479" spans="1:9" ht="27" x14ac:dyDescent="0.15">
      <c r="A479" s="6">
        <v>478</v>
      </c>
      <c r="B479" s="7" t="s">
        <v>7</v>
      </c>
      <c r="C479" s="8">
        <v>1890</v>
      </c>
      <c r="D479" s="9">
        <v>45449</v>
      </c>
      <c r="E479" s="13">
        <f>+HYPERLINK("http://trademark.i-assist.jp/data/china/image_1890th/70917372.pdf",70917372)</f>
        <v>70917372</v>
      </c>
      <c r="F479" s="7" t="s">
        <v>1379</v>
      </c>
      <c r="G479" s="7" t="s">
        <v>1369</v>
      </c>
      <c r="H479" s="7" t="s">
        <v>1380</v>
      </c>
      <c r="I479" s="9">
        <v>45030</v>
      </c>
    </row>
    <row r="480" spans="1:9" x14ac:dyDescent="0.15">
      <c r="A480" s="6">
        <v>479</v>
      </c>
      <c r="B480" s="7" t="s">
        <v>7</v>
      </c>
      <c r="C480" s="8">
        <v>1890</v>
      </c>
      <c r="D480" s="9">
        <v>45449</v>
      </c>
      <c r="E480" s="13">
        <f>+HYPERLINK("http://trademark.i-assist.jp/data/china/image_1890th/70921026.pdf",70921026)</f>
        <v>70921026</v>
      </c>
      <c r="F480" s="7" t="s">
        <v>1381</v>
      </c>
      <c r="G480" s="7" t="s">
        <v>1376</v>
      </c>
      <c r="H480" s="7" t="s">
        <v>1382</v>
      </c>
      <c r="I480" s="9">
        <v>45030</v>
      </c>
    </row>
    <row r="481" spans="1:9" x14ac:dyDescent="0.15">
      <c r="A481" s="6">
        <v>480</v>
      </c>
      <c r="B481" s="7" t="s">
        <v>7</v>
      </c>
      <c r="C481" s="8">
        <v>1890</v>
      </c>
      <c r="D481" s="9">
        <v>45449</v>
      </c>
      <c r="E481" s="13">
        <f>+HYPERLINK("http://trademark.i-assist.jp/data/china/image_1890th/76841410.pdf",76841410)</f>
        <v>76841410</v>
      </c>
      <c r="F481" s="7" t="s">
        <v>1384</v>
      </c>
      <c r="G481" s="7" t="s">
        <v>1383</v>
      </c>
      <c r="H481" s="7" t="s">
        <v>1385</v>
      </c>
      <c r="I481" s="9">
        <v>45340</v>
      </c>
    </row>
    <row r="482" spans="1:9" x14ac:dyDescent="0.15">
      <c r="A482" s="6">
        <v>481</v>
      </c>
      <c r="B482" s="7" t="s">
        <v>7</v>
      </c>
      <c r="C482" s="8">
        <v>1890</v>
      </c>
      <c r="D482" s="9">
        <v>45449</v>
      </c>
      <c r="E482" s="13">
        <f>+HYPERLINK("http://trademark.i-assist.jp/data/china/image_1890th/76841585.pdf",76841585)</f>
        <v>76841585</v>
      </c>
      <c r="F482" s="7" t="s">
        <v>1387</v>
      </c>
      <c r="G482" s="7" t="s">
        <v>1386</v>
      </c>
      <c r="H482" s="7" t="s">
        <v>1388</v>
      </c>
      <c r="I482" s="9">
        <v>45340</v>
      </c>
    </row>
    <row r="483" spans="1:9" x14ac:dyDescent="0.15">
      <c r="A483" s="6">
        <v>482</v>
      </c>
      <c r="B483" s="7" t="s">
        <v>7</v>
      </c>
      <c r="C483" s="8">
        <v>1890</v>
      </c>
      <c r="D483" s="9">
        <v>45449</v>
      </c>
      <c r="E483" s="13">
        <f>+HYPERLINK("http://trademark.i-assist.jp/data/china/image_1890th/76842110.pdf",76842110)</f>
        <v>76842110</v>
      </c>
      <c r="F483" s="7" t="s">
        <v>1390</v>
      </c>
      <c r="G483" s="7" t="s">
        <v>1389</v>
      </c>
      <c r="H483" s="7" t="s">
        <v>1391</v>
      </c>
      <c r="I483" s="9">
        <v>45340</v>
      </c>
    </row>
    <row r="484" spans="1:9" x14ac:dyDescent="0.15">
      <c r="A484" s="6">
        <v>483</v>
      </c>
      <c r="B484" s="7" t="s">
        <v>7</v>
      </c>
      <c r="C484" s="8">
        <v>1890</v>
      </c>
      <c r="D484" s="9">
        <v>45449</v>
      </c>
      <c r="E484" s="13">
        <f>+HYPERLINK("http://trademark.i-assist.jp/data/china/image_1890th/76845914.pdf",76845914)</f>
        <v>76845914</v>
      </c>
      <c r="F484" s="7" t="s">
        <v>1393</v>
      </c>
      <c r="G484" s="7" t="s">
        <v>1392</v>
      </c>
      <c r="H484" s="7" t="s">
        <v>1394</v>
      </c>
      <c r="I484" s="9">
        <v>45341</v>
      </c>
    </row>
    <row r="485" spans="1:9" x14ac:dyDescent="0.15">
      <c r="A485" s="6">
        <v>484</v>
      </c>
      <c r="B485" s="7" t="s">
        <v>7</v>
      </c>
      <c r="C485" s="8">
        <v>1890</v>
      </c>
      <c r="D485" s="9">
        <v>45449</v>
      </c>
      <c r="E485" s="13">
        <f>+HYPERLINK("http://trademark.i-assist.jp/data/china/image_1890th/76846549.pdf",76846549)</f>
        <v>76846549</v>
      </c>
      <c r="F485" s="7" t="s">
        <v>183</v>
      </c>
      <c r="G485" s="7" t="s">
        <v>1395</v>
      </c>
      <c r="H485" s="7" t="s">
        <v>1396</v>
      </c>
      <c r="I485" s="9">
        <v>45341</v>
      </c>
    </row>
    <row r="486" spans="1:9" x14ac:dyDescent="0.15">
      <c r="A486" s="6">
        <v>485</v>
      </c>
      <c r="B486" s="7" t="s">
        <v>7</v>
      </c>
      <c r="C486" s="8">
        <v>1890</v>
      </c>
      <c r="D486" s="9">
        <v>45449</v>
      </c>
      <c r="E486" s="13">
        <f>+HYPERLINK("http://trademark.i-assist.jp/data/china/image_1890th/76846789.pdf",76846789)</f>
        <v>76846789</v>
      </c>
      <c r="F486" s="7" t="s">
        <v>1398</v>
      </c>
      <c r="G486" s="7" t="s">
        <v>1397</v>
      </c>
      <c r="H486" s="7" t="s">
        <v>1399</v>
      </c>
      <c r="I486" s="9">
        <v>45341</v>
      </c>
    </row>
    <row r="487" spans="1:9" x14ac:dyDescent="0.15">
      <c r="A487" s="6">
        <v>486</v>
      </c>
      <c r="B487" s="7" t="s">
        <v>7</v>
      </c>
      <c r="C487" s="8">
        <v>1890</v>
      </c>
      <c r="D487" s="9">
        <v>45449</v>
      </c>
      <c r="E487" s="13">
        <f>+HYPERLINK("http://trademark.i-assist.jp/data/china/image_1890th/76849217.pdf",76849217)</f>
        <v>76849217</v>
      </c>
      <c r="F487" s="7" t="s">
        <v>1401</v>
      </c>
      <c r="G487" s="7" t="s">
        <v>1400</v>
      </c>
      <c r="H487" s="7" t="s">
        <v>1402</v>
      </c>
      <c r="I487" s="9">
        <v>45341</v>
      </c>
    </row>
    <row r="488" spans="1:9" x14ac:dyDescent="0.15">
      <c r="A488" s="6">
        <v>487</v>
      </c>
      <c r="B488" s="7" t="s">
        <v>7</v>
      </c>
      <c r="C488" s="8">
        <v>1890</v>
      </c>
      <c r="D488" s="9">
        <v>45449</v>
      </c>
      <c r="E488" s="13">
        <f>+HYPERLINK("http://trademark.i-assist.jp/data/china/image_1890th/76849931.pdf",76849931)</f>
        <v>76849931</v>
      </c>
      <c r="F488" s="7" t="s">
        <v>1404</v>
      </c>
      <c r="G488" s="7" t="s">
        <v>1403</v>
      </c>
      <c r="H488" s="7" t="s">
        <v>1405</v>
      </c>
      <c r="I488" s="9">
        <v>45341</v>
      </c>
    </row>
    <row r="489" spans="1:9" ht="27" x14ac:dyDescent="0.15">
      <c r="A489" s="6">
        <v>488</v>
      </c>
      <c r="B489" s="7" t="s">
        <v>7</v>
      </c>
      <c r="C489" s="8">
        <v>1890</v>
      </c>
      <c r="D489" s="9">
        <v>45449</v>
      </c>
      <c r="E489" s="13">
        <f>+HYPERLINK("http://trademark.i-assist.jp/data/china/image_1890th/76850854.pdf",76850854)</f>
        <v>76850854</v>
      </c>
      <c r="F489" s="7" t="s">
        <v>1407</v>
      </c>
      <c r="G489" s="7" t="s">
        <v>1406</v>
      </c>
      <c r="H489" s="7" t="s">
        <v>1408</v>
      </c>
      <c r="I489" s="9">
        <v>45341</v>
      </c>
    </row>
    <row r="490" spans="1:9" x14ac:dyDescent="0.15">
      <c r="A490" s="6">
        <v>489</v>
      </c>
      <c r="B490" s="7" t="s">
        <v>7</v>
      </c>
      <c r="C490" s="8">
        <v>1890</v>
      </c>
      <c r="D490" s="9">
        <v>45449</v>
      </c>
      <c r="E490" s="13">
        <f>+HYPERLINK("http://trademark.i-assist.jp/data/china/image_1890th/76851995.pdf",76851995)</f>
        <v>76851995</v>
      </c>
      <c r="F490" s="7" t="s">
        <v>1410</v>
      </c>
      <c r="G490" s="7" t="s">
        <v>1409</v>
      </c>
      <c r="H490" s="7" t="s">
        <v>1411</v>
      </c>
      <c r="I490" s="9">
        <v>45341</v>
      </c>
    </row>
    <row r="491" spans="1:9" x14ac:dyDescent="0.15">
      <c r="A491" s="6">
        <v>490</v>
      </c>
      <c r="B491" s="7" t="s">
        <v>7</v>
      </c>
      <c r="C491" s="8">
        <v>1890</v>
      </c>
      <c r="D491" s="9">
        <v>45449</v>
      </c>
      <c r="E491" s="13">
        <f>+HYPERLINK("http://trademark.i-assist.jp/data/china/image_1890th/77167963.pdf",77167963)</f>
        <v>77167963</v>
      </c>
      <c r="F491" s="7" t="s">
        <v>1413</v>
      </c>
      <c r="G491" s="7" t="s">
        <v>1412</v>
      </c>
      <c r="H491" s="7" t="s">
        <v>1414</v>
      </c>
      <c r="I491" s="9">
        <v>45358</v>
      </c>
    </row>
    <row r="492" spans="1:9" x14ac:dyDescent="0.15">
      <c r="A492" s="6">
        <v>491</v>
      </c>
      <c r="B492" s="7" t="s">
        <v>7</v>
      </c>
      <c r="C492" s="8">
        <v>1890</v>
      </c>
      <c r="D492" s="9">
        <v>45449</v>
      </c>
      <c r="E492" s="13">
        <f>+HYPERLINK("http://trademark.i-assist.jp/data/china/image_1890th/77168018.pdf",77168018)</f>
        <v>77168018</v>
      </c>
      <c r="F492" s="7" t="s">
        <v>1416</v>
      </c>
      <c r="G492" s="7" t="s">
        <v>1415</v>
      </c>
      <c r="H492" s="7" t="s">
        <v>1417</v>
      </c>
      <c r="I492" s="9">
        <v>45358</v>
      </c>
    </row>
    <row r="493" spans="1:9" x14ac:dyDescent="0.15">
      <c r="A493" s="6">
        <v>492</v>
      </c>
      <c r="B493" s="7" t="s">
        <v>7</v>
      </c>
      <c r="C493" s="8">
        <v>1890</v>
      </c>
      <c r="D493" s="9">
        <v>45449</v>
      </c>
      <c r="E493" s="13">
        <f>+HYPERLINK("http://trademark.i-assist.jp/data/china/image_1890th/77168280.pdf",77168280)</f>
        <v>77168280</v>
      </c>
      <c r="F493" s="7" t="s">
        <v>1419</v>
      </c>
      <c r="G493" s="7" t="s">
        <v>1418</v>
      </c>
      <c r="H493" s="7" t="s">
        <v>1420</v>
      </c>
      <c r="I493" s="9">
        <v>45358</v>
      </c>
    </row>
    <row r="494" spans="1:9" x14ac:dyDescent="0.15">
      <c r="A494" s="6">
        <v>493</v>
      </c>
      <c r="B494" s="7" t="s">
        <v>7</v>
      </c>
      <c r="C494" s="8">
        <v>1890</v>
      </c>
      <c r="D494" s="9">
        <v>45449</v>
      </c>
      <c r="E494" s="13">
        <f>+HYPERLINK("http://trademark.i-assist.jp/data/china/image_1890th/77168305.pdf",77168305)</f>
        <v>77168305</v>
      </c>
      <c r="F494" s="7" t="s">
        <v>1422</v>
      </c>
      <c r="G494" s="7" t="s">
        <v>1421</v>
      </c>
      <c r="H494" s="7" t="s">
        <v>1423</v>
      </c>
      <c r="I494" s="9">
        <v>45358</v>
      </c>
    </row>
    <row r="495" spans="1:9" x14ac:dyDescent="0.15">
      <c r="A495" s="6">
        <v>494</v>
      </c>
      <c r="B495" s="7" t="s">
        <v>7</v>
      </c>
      <c r="C495" s="8">
        <v>1890</v>
      </c>
      <c r="D495" s="9">
        <v>45449</v>
      </c>
      <c r="E495" s="13">
        <f>+HYPERLINK("http://trademark.i-assist.jp/data/china/image_1890th/77168462.pdf",77168462)</f>
        <v>77168462</v>
      </c>
      <c r="F495" s="7" t="s">
        <v>1425</v>
      </c>
      <c r="G495" s="7" t="s">
        <v>1424</v>
      </c>
      <c r="H495" s="7" t="s">
        <v>1426</v>
      </c>
      <c r="I495" s="9">
        <v>45358</v>
      </c>
    </row>
    <row r="496" spans="1:9" x14ac:dyDescent="0.15">
      <c r="A496" s="6">
        <v>495</v>
      </c>
      <c r="B496" s="7" t="s">
        <v>7</v>
      </c>
      <c r="C496" s="8">
        <v>1890</v>
      </c>
      <c r="D496" s="9">
        <v>45449</v>
      </c>
      <c r="E496" s="13">
        <f>+HYPERLINK("http://trademark.i-assist.jp/data/china/image_1890th/77168567.pdf",77168567)</f>
        <v>77168567</v>
      </c>
      <c r="F496" s="7" t="s">
        <v>1428</v>
      </c>
      <c r="G496" s="7" t="s">
        <v>1427</v>
      </c>
      <c r="H496" s="7" t="s">
        <v>1429</v>
      </c>
      <c r="I496" s="9">
        <v>45358</v>
      </c>
    </row>
    <row r="497" spans="1:9" x14ac:dyDescent="0.15">
      <c r="A497" s="6">
        <v>496</v>
      </c>
      <c r="B497" s="7" t="s">
        <v>7</v>
      </c>
      <c r="C497" s="8">
        <v>1890</v>
      </c>
      <c r="D497" s="9">
        <v>45449</v>
      </c>
      <c r="E497" s="13">
        <f>+HYPERLINK("http://trademark.i-assist.jp/data/china/image_1890th/77168981.pdf",77168981)</f>
        <v>77168981</v>
      </c>
      <c r="F497" s="7" t="s">
        <v>1431</v>
      </c>
      <c r="G497" s="7" t="s">
        <v>1430</v>
      </c>
      <c r="H497" s="7" t="s">
        <v>1432</v>
      </c>
      <c r="I497" s="9">
        <v>45358</v>
      </c>
    </row>
    <row r="498" spans="1:9" x14ac:dyDescent="0.15">
      <c r="A498" s="6">
        <v>497</v>
      </c>
      <c r="B498" s="7" t="s">
        <v>7</v>
      </c>
      <c r="C498" s="8">
        <v>1890</v>
      </c>
      <c r="D498" s="9">
        <v>45449</v>
      </c>
      <c r="E498" s="13">
        <f>+HYPERLINK("http://trademark.i-assist.jp/data/china/image_1890th/77168998.pdf",77168998)</f>
        <v>77168998</v>
      </c>
      <c r="F498" s="7" t="s">
        <v>1434</v>
      </c>
      <c r="G498" s="7" t="s">
        <v>1433</v>
      </c>
      <c r="H498" s="7" t="s">
        <v>1435</v>
      </c>
      <c r="I498" s="9">
        <v>45358</v>
      </c>
    </row>
    <row r="499" spans="1:9" x14ac:dyDescent="0.15">
      <c r="A499" s="6">
        <v>498</v>
      </c>
      <c r="B499" s="7" t="s">
        <v>7</v>
      </c>
      <c r="C499" s="8">
        <v>1890</v>
      </c>
      <c r="D499" s="9">
        <v>45449</v>
      </c>
      <c r="E499" s="13">
        <f>+HYPERLINK("http://trademark.i-assist.jp/data/china/image_1890th/77169382.pdf",77169382)</f>
        <v>77169382</v>
      </c>
      <c r="F499" s="7" t="s">
        <v>1437</v>
      </c>
      <c r="G499" s="7" t="s">
        <v>1436</v>
      </c>
      <c r="H499" s="7" t="s">
        <v>1438</v>
      </c>
      <c r="I499" s="9">
        <v>45358</v>
      </c>
    </row>
    <row r="500" spans="1:9" ht="27" x14ac:dyDescent="0.15">
      <c r="A500" s="6">
        <v>499</v>
      </c>
      <c r="B500" s="7" t="s">
        <v>7</v>
      </c>
      <c r="C500" s="8">
        <v>1890</v>
      </c>
      <c r="D500" s="9">
        <v>45449</v>
      </c>
      <c r="E500" s="13">
        <f>+HYPERLINK("http://trademark.i-assist.jp/data/china/image_1890th/77169972.pdf",77169972)</f>
        <v>77169972</v>
      </c>
      <c r="F500" s="7" t="s">
        <v>1440</v>
      </c>
      <c r="G500" s="7" t="s">
        <v>1439</v>
      </c>
      <c r="H500" s="7" t="s">
        <v>1441</v>
      </c>
      <c r="I500" s="9">
        <v>45358</v>
      </c>
    </row>
    <row r="501" spans="1:9" x14ac:dyDescent="0.15">
      <c r="A501" s="6">
        <v>500</v>
      </c>
      <c r="B501" s="7" t="s">
        <v>7</v>
      </c>
      <c r="C501" s="8">
        <v>1890</v>
      </c>
      <c r="D501" s="9">
        <v>45449</v>
      </c>
      <c r="E501" s="13">
        <f>+HYPERLINK("http://trademark.i-assist.jp/data/china/image_1890th/77169997.pdf",77169997)</f>
        <v>77169997</v>
      </c>
      <c r="F501" s="7" t="s">
        <v>183</v>
      </c>
      <c r="G501" s="7" t="s">
        <v>1442</v>
      </c>
      <c r="H501" s="7" t="s">
        <v>1443</v>
      </c>
      <c r="I501" s="9">
        <v>45358</v>
      </c>
    </row>
    <row r="502" spans="1:9" x14ac:dyDescent="0.15">
      <c r="A502" s="6">
        <v>501</v>
      </c>
      <c r="B502" s="7" t="s">
        <v>7</v>
      </c>
      <c r="C502" s="8">
        <v>1890</v>
      </c>
      <c r="D502" s="9">
        <v>45449</v>
      </c>
      <c r="E502" s="13">
        <f>+HYPERLINK("http://trademark.i-assist.jp/data/china/image_1890th/77170867.pdf",77170867)</f>
        <v>77170867</v>
      </c>
      <c r="F502" s="7" t="s">
        <v>1445</v>
      </c>
      <c r="G502" s="7" t="s">
        <v>1444</v>
      </c>
      <c r="H502" s="7" t="s">
        <v>1446</v>
      </c>
      <c r="I502" s="9">
        <v>45358</v>
      </c>
    </row>
    <row r="503" spans="1:9" x14ac:dyDescent="0.15">
      <c r="A503" s="6">
        <v>502</v>
      </c>
      <c r="B503" s="7" t="s">
        <v>7</v>
      </c>
      <c r="C503" s="8">
        <v>1890</v>
      </c>
      <c r="D503" s="9">
        <v>45449</v>
      </c>
      <c r="E503" s="13">
        <f>+HYPERLINK("http://trademark.i-assist.jp/data/china/image_1890th/77171178.pdf",77171178)</f>
        <v>77171178</v>
      </c>
      <c r="F503" s="7" t="s">
        <v>1448</v>
      </c>
      <c r="G503" s="7" t="s">
        <v>1447</v>
      </c>
      <c r="H503" s="7" t="s">
        <v>1449</v>
      </c>
      <c r="I503" s="9">
        <v>45358</v>
      </c>
    </row>
    <row r="504" spans="1:9" x14ac:dyDescent="0.15">
      <c r="A504" s="6">
        <v>503</v>
      </c>
      <c r="B504" s="7" t="s">
        <v>7</v>
      </c>
      <c r="C504" s="8">
        <v>1890</v>
      </c>
      <c r="D504" s="9">
        <v>45449</v>
      </c>
      <c r="E504" s="13">
        <f>+HYPERLINK("http://trademark.i-assist.jp/data/china/image_1890th/77171249.pdf",77171249)</f>
        <v>77171249</v>
      </c>
      <c r="F504" s="7" t="s">
        <v>1451</v>
      </c>
      <c r="G504" s="7" t="s">
        <v>1450</v>
      </c>
      <c r="H504" s="7" t="s">
        <v>1452</v>
      </c>
      <c r="I504" s="9">
        <v>45358</v>
      </c>
    </row>
    <row r="505" spans="1:9" x14ac:dyDescent="0.15">
      <c r="A505" s="6">
        <v>504</v>
      </c>
      <c r="B505" s="7" t="s">
        <v>7</v>
      </c>
      <c r="C505" s="8">
        <v>1890</v>
      </c>
      <c r="D505" s="9">
        <v>45449</v>
      </c>
      <c r="E505" s="13">
        <f>+HYPERLINK("http://trademark.i-assist.jp/data/china/image_1890th/77171516.pdf",77171516)</f>
        <v>77171516</v>
      </c>
      <c r="F505" s="7" t="s">
        <v>1454</v>
      </c>
      <c r="G505" s="7" t="s">
        <v>1453</v>
      </c>
      <c r="H505" s="7" t="s">
        <v>1455</v>
      </c>
      <c r="I505" s="9">
        <v>45358</v>
      </c>
    </row>
    <row r="506" spans="1:9" x14ac:dyDescent="0.15">
      <c r="A506" s="6">
        <v>505</v>
      </c>
      <c r="B506" s="7" t="s">
        <v>7</v>
      </c>
      <c r="C506" s="8">
        <v>1890</v>
      </c>
      <c r="D506" s="9">
        <v>45449</v>
      </c>
      <c r="E506" s="13">
        <f>+HYPERLINK("http://trademark.i-assist.jp/data/china/image_1890th/77400303.pdf",77400303)</f>
        <v>77400303</v>
      </c>
      <c r="F506" s="7" t="s">
        <v>183</v>
      </c>
      <c r="G506" s="7" t="s">
        <v>1456</v>
      </c>
      <c r="H506" s="7" t="s">
        <v>1457</v>
      </c>
      <c r="I506" s="9">
        <v>45370</v>
      </c>
    </row>
    <row r="507" spans="1:9" x14ac:dyDescent="0.15">
      <c r="A507" s="6">
        <v>506</v>
      </c>
      <c r="B507" s="7" t="s">
        <v>7</v>
      </c>
      <c r="C507" s="8">
        <v>1890</v>
      </c>
      <c r="D507" s="9">
        <v>45449</v>
      </c>
      <c r="E507" s="13">
        <f>+HYPERLINK("http://trademark.i-assist.jp/data/china/image_1890th/77400438.pdf",77400438)</f>
        <v>77400438</v>
      </c>
      <c r="F507" s="7" t="s">
        <v>1459</v>
      </c>
      <c r="G507" s="7" t="s">
        <v>1458</v>
      </c>
      <c r="H507" s="7" t="s">
        <v>1460</v>
      </c>
      <c r="I507" s="9">
        <v>45370</v>
      </c>
    </row>
    <row r="508" spans="1:9" x14ac:dyDescent="0.15">
      <c r="A508" s="6">
        <v>507</v>
      </c>
      <c r="B508" s="7" t="s">
        <v>7</v>
      </c>
      <c r="C508" s="8">
        <v>1890</v>
      </c>
      <c r="D508" s="9">
        <v>45449</v>
      </c>
      <c r="E508" s="13">
        <f>+HYPERLINK("http://trademark.i-assist.jp/data/china/image_1890th/77400468.pdf",77400468)</f>
        <v>77400468</v>
      </c>
      <c r="F508" s="7" t="s">
        <v>1462</v>
      </c>
      <c r="G508" s="7" t="s">
        <v>1461</v>
      </c>
      <c r="H508" s="7" t="s">
        <v>1463</v>
      </c>
      <c r="I508" s="9">
        <v>45370</v>
      </c>
    </row>
    <row r="509" spans="1:9" x14ac:dyDescent="0.15">
      <c r="A509" s="6">
        <v>508</v>
      </c>
      <c r="B509" s="7" t="s">
        <v>7</v>
      </c>
      <c r="C509" s="8">
        <v>1890</v>
      </c>
      <c r="D509" s="9">
        <v>45449</v>
      </c>
      <c r="E509" s="13">
        <f>+HYPERLINK("http://trademark.i-assist.jp/data/china/image_1890th/77400499.pdf",77400499)</f>
        <v>77400499</v>
      </c>
      <c r="F509" s="7" t="s">
        <v>1465</v>
      </c>
      <c r="G509" s="7" t="s">
        <v>1464</v>
      </c>
      <c r="H509" s="7" t="s">
        <v>1466</v>
      </c>
      <c r="I509" s="9">
        <v>45370</v>
      </c>
    </row>
    <row r="510" spans="1:9" x14ac:dyDescent="0.15">
      <c r="A510" s="6">
        <v>509</v>
      </c>
      <c r="B510" s="7" t="s">
        <v>7</v>
      </c>
      <c r="C510" s="8">
        <v>1890</v>
      </c>
      <c r="D510" s="9">
        <v>45449</v>
      </c>
      <c r="E510" s="13">
        <f>+HYPERLINK("http://trademark.i-assist.jp/data/china/image_1890th/77442647.pdf",77442647)</f>
        <v>77442647</v>
      </c>
      <c r="F510" s="7" t="s">
        <v>1468</v>
      </c>
      <c r="G510" s="7" t="s">
        <v>1467</v>
      </c>
      <c r="H510" s="7" t="s">
        <v>1469</v>
      </c>
      <c r="I510" s="9">
        <v>45371</v>
      </c>
    </row>
    <row r="511" spans="1:9" x14ac:dyDescent="0.15">
      <c r="A511" s="6">
        <v>510</v>
      </c>
      <c r="B511" s="7" t="s">
        <v>7</v>
      </c>
      <c r="C511" s="8">
        <v>1890</v>
      </c>
      <c r="D511" s="9">
        <v>45449</v>
      </c>
      <c r="E511" s="13">
        <f>+HYPERLINK("http://trademark.i-assist.jp/data/china/image_1890th/77442764.pdf",77442764)</f>
        <v>77442764</v>
      </c>
      <c r="F511" s="7" t="s">
        <v>1471</v>
      </c>
      <c r="G511" s="7" t="s">
        <v>1470</v>
      </c>
      <c r="H511" s="7" t="s">
        <v>1472</v>
      </c>
      <c r="I511" s="9">
        <v>45371</v>
      </c>
    </row>
    <row r="512" spans="1:9" ht="27" x14ac:dyDescent="0.15">
      <c r="A512" s="6">
        <v>511</v>
      </c>
      <c r="B512" s="7" t="s">
        <v>7</v>
      </c>
      <c r="C512" s="8">
        <v>1890</v>
      </c>
      <c r="D512" s="9">
        <v>45449</v>
      </c>
      <c r="E512" s="13">
        <f>+HYPERLINK("http://trademark.i-assist.jp/data/china/image_1890th/77442826.pdf",77442826)</f>
        <v>77442826</v>
      </c>
      <c r="F512" s="7" t="s">
        <v>1474</v>
      </c>
      <c r="G512" s="7" t="s">
        <v>1473</v>
      </c>
      <c r="H512" s="7" t="s">
        <v>1475</v>
      </c>
      <c r="I512" s="9">
        <v>45371</v>
      </c>
    </row>
    <row r="513" spans="1:9" x14ac:dyDescent="0.15">
      <c r="A513" s="6">
        <v>512</v>
      </c>
      <c r="B513" s="7" t="s">
        <v>7</v>
      </c>
      <c r="C513" s="8">
        <v>1890</v>
      </c>
      <c r="D513" s="9">
        <v>45449</v>
      </c>
      <c r="E513" s="13">
        <f>+HYPERLINK("http://trademark.i-assist.jp/data/china/image_1890th/77442910.pdf",77442910)</f>
        <v>77442910</v>
      </c>
      <c r="F513" s="7" t="s">
        <v>1477</v>
      </c>
      <c r="G513" s="7" t="s">
        <v>1476</v>
      </c>
      <c r="H513" s="7" t="s">
        <v>1478</v>
      </c>
      <c r="I513" s="9">
        <v>45371</v>
      </c>
    </row>
    <row r="514" spans="1:9" ht="27" x14ac:dyDescent="0.15">
      <c r="A514" s="6">
        <v>513</v>
      </c>
      <c r="B514" s="7" t="s">
        <v>7</v>
      </c>
      <c r="C514" s="8">
        <v>1890</v>
      </c>
      <c r="D514" s="9">
        <v>45449</v>
      </c>
      <c r="E514" s="13">
        <f>+HYPERLINK("http://trademark.i-assist.jp/data/china/image_1890th/77442935.pdf",77442935)</f>
        <v>77442935</v>
      </c>
      <c r="F514" s="7" t="s">
        <v>1480</v>
      </c>
      <c r="G514" s="7" t="s">
        <v>1479</v>
      </c>
      <c r="H514" s="7" t="s">
        <v>1481</v>
      </c>
      <c r="I514" s="9">
        <v>45371</v>
      </c>
    </row>
    <row r="515" spans="1:9" ht="27" x14ac:dyDescent="0.15">
      <c r="A515" s="6">
        <v>514</v>
      </c>
      <c r="B515" s="7" t="s">
        <v>7</v>
      </c>
      <c r="C515" s="8">
        <v>1890</v>
      </c>
      <c r="D515" s="9">
        <v>45449</v>
      </c>
      <c r="E515" s="13">
        <f>+HYPERLINK("http://trademark.i-assist.jp/data/china/image_1890th/77442952.pdf",77442952)</f>
        <v>77442952</v>
      </c>
      <c r="F515" s="7" t="s">
        <v>183</v>
      </c>
      <c r="G515" s="7" t="s">
        <v>1479</v>
      </c>
      <c r="H515" s="7" t="s">
        <v>1482</v>
      </c>
      <c r="I515" s="9">
        <v>45371</v>
      </c>
    </row>
    <row r="516" spans="1:9" x14ac:dyDescent="0.15">
      <c r="A516" s="6">
        <v>515</v>
      </c>
      <c r="B516" s="7" t="s">
        <v>7</v>
      </c>
      <c r="C516" s="8">
        <v>1890</v>
      </c>
      <c r="D516" s="9">
        <v>45449</v>
      </c>
      <c r="E516" s="13">
        <f>+HYPERLINK("http://trademark.i-assist.jp/data/china/image_1890th/77443154.pdf",77443154)</f>
        <v>77443154</v>
      </c>
      <c r="F516" s="7" t="s">
        <v>1484</v>
      </c>
      <c r="G516" s="7" t="s">
        <v>1483</v>
      </c>
      <c r="H516" s="7" t="s">
        <v>1485</v>
      </c>
      <c r="I516" s="9">
        <v>45371</v>
      </c>
    </row>
    <row r="517" spans="1:9" x14ac:dyDescent="0.15">
      <c r="A517" s="6">
        <v>516</v>
      </c>
      <c r="B517" s="7" t="s">
        <v>7</v>
      </c>
      <c r="C517" s="8">
        <v>1890</v>
      </c>
      <c r="D517" s="9">
        <v>45449</v>
      </c>
      <c r="E517" s="13">
        <f>+HYPERLINK("http://trademark.i-assist.jp/data/china/image_1890th/77443155.pdf",77443155)</f>
        <v>77443155</v>
      </c>
      <c r="F517" s="7" t="s">
        <v>1487</v>
      </c>
      <c r="G517" s="7" t="s">
        <v>1486</v>
      </c>
      <c r="H517" s="7" t="s">
        <v>1488</v>
      </c>
      <c r="I517" s="9">
        <v>45371</v>
      </c>
    </row>
    <row r="518" spans="1:9" x14ac:dyDescent="0.15">
      <c r="A518" s="6">
        <v>517</v>
      </c>
      <c r="B518" s="7" t="s">
        <v>7</v>
      </c>
      <c r="C518" s="8">
        <v>1890</v>
      </c>
      <c r="D518" s="9">
        <v>45449</v>
      </c>
      <c r="E518" s="13">
        <f>+HYPERLINK("http://trademark.i-assist.jp/data/china/image_1890th/77443317.pdf",77443317)</f>
        <v>77443317</v>
      </c>
      <c r="F518" s="7" t="s">
        <v>1490</v>
      </c>
      <c r="G518" s="7" t="s">
        <v>1489</v>
      </c>
      <c r="H518" s="7" t="s">
        <v>1491</v>
      </c>
      <c r="I518" s="9">
        <v>45372</v>
      </c>
    </row>
    <row r="519" spans="1:9" x14ac:dyDescent="0.15">
      <c r="A519" s="6">
        <v>518</v>
      </c>
      <c r="B519" s="7" t="s">
        <v>7</v>
      </c>
      <c r="C519" s="8">
        <v>1890</v>
      </c>
      <c r="D519" s="9">
        <v>45449</v>
      </c>
      <c r="E519" s="13">
        <f>+HYPERLINK("http://trademark.i-assist.jp/data/china/image_1890th/77443615.pdf",77443615)</f>
        <v>77443615</v>
      </c>
      <c r="F519" s="7" t="s">
        <v>1493</v>
      </c>
      <c r="G519" s="7" t="s">
        <v>1492</v>
      </c>
      <c r="H519" s="7" t="s">
        <v>1494</v>
      </c>
      <c r="I519" s="9">
        <v>45372</v>
      </c>
    </row>
    <row r="520" spans="1:9" x14ac:dyDescent="0.15">
      <c r="A520" s="6">
        <v>519</v>
      </c>
      <c r="B520" s="7" t="s">
        <v>7</v>
      </c>
      <c r="C520" s="8">
        <v>1890</v>
      </c>
      <c r="D520" s="9">
        <v>45449</v>
      </c>
      <c r="E520" s="13">
        <f>+HYPERLINK("http://trademark.i-assist.jp/data/china/image_1890th/77443674.pdf",77443674)</f>
        <v>77443674</v>
      </c>
      <c r="F520" s="7" t="s">
        <v>1496</v>
      </c>
      <c r="G520" s="7" t="s">
        <v>1495</v>
      </c>
      <c r="H520" s="7" t="s">
        <v>1497</v>
      </c>
      <c r="I520" s="9">
        <v>45372</v>
      </c>
    </row>
    <row r="521" spans="1:9" x14ac:dyDescent="0.15">
      <c r="A521" s="6">
        <v>520</v>
      </c>
      <c r="B521" s="7" t="s">
        <v>7</v>
      </c>
      <c r="C521" s="8">
        <v>1890</v>
      </c>
      <c r="D521" s="9">
        <v>45449</v>
      </c>
      <c r="E521" s="13">
        <f>+HYPERLINK("http://trademark.i-assist.jp/data/china/image_1890th/77443936.pdf",77443936)</f>
        <v>77443936</v>
      </c>
      <c r="F521" s="7" t="s">
        <v>1499</v>
      </c>
      <c r="G521" s="7" t="s">
        <v>1498</v>
      </c>
      <c r="H521" s="7" t="s">
        <v>1500</v>
      </c>
      <c r="I521" s="9">
        <v>45372</v>
      </c>
    </row>
    <row r="522" spans="1:9" x14ac:dyDescent="0.15">
      <c r="A522" s="6">
        <v>521</v>
      </c>
      <c r="B522" s="7" t="s">
        <v>7</v>
      </c>
      <c r="C522" s="8">
        <v>1890</v>
      </c>
      <c r="D522" s="9">
        <v>45449</v>
      </c>
      <c r="E522" s="13">
        <f>+HYPERLINK("http://trademark.i-assist.jp/data/china/image_1890th/77443943.pdf",77443943)</f>
        <v>77443943</v>
      </c>
      <c r="F522" s="7" t="s">
        <v>1502</v>
      </c>
      <c r="G522" s="7" t="s">
        <v>1501</v>
      </c>
      <c r="H522" s="7" t="s">
        <v>1503</v>
      </c>
      <c r="I522" s="9">
        <v>45372</v>
      </c>
    </row>
    <row r="523" spans="1:9" x14ac:dyDescent="0.15">
      <c r="A523" s="6">
        <v>522</v>
      </c>
      <c r="B523" s="7" t="s">
        <v>7</v>
      </c>
      <c r="C523" s="8">
        <v>1890</v>
      </c>
      <c r="D523" s="9">
        <v>45449</v>
      </c>
      <c r="E523" s="13">
        <f>+HYPERLINK("http://trademark.i-assist.jp/data/china/image_1890th/77444108.pdf",77444108)</f>
        <v>77444108</v>
      </c>
      <c r="F523" s="7" t="s">
        <v>1505</v>
      </c>
      <c r="G523" s="7" t="s">
        <v>1504</v>
      </c>
      <c r="H523" s="7" t="s">
        <v>1506</v>
      </c>
      <c r="I523" s="9">
        <v>45372</v>
      </c>
    </row>
    <row r="524" spans="1:9" x14ac:dyDescent="0.15">
      <c r="A524" s="6">
        <v>523</v>
      </c>
      <c r="B524" s="7" t="s">
        <v>7</v>
      </c>
      <c r="C524" s="8">
        <v>1890</v>
      </c>
      <c r="D524" s="9">
        <v>45449</v>
      </c>
      <c r="E524" s="13">
        <f>+HYPERLINK("http://trademark.i-assist.jp/data/china/image_1890th/77444410.pdf",77444410)</f>
        <v>77444410</v>
      </c>
      <c r="F524" s="7" t="s">
        <v>1508</v>
      </c>
      <c r="G524" s="7" t="s">
        <v>1507</v>
      </c>
      <c r="H524" s="7" t="s">
        <v>1509</v>
      </c>
      <c r="I524" s="9">
        <v>45372</v>
      </c>
    </row>
    <row r="525" spans="1:9" x14ac:dyDescent="0.15">
      <c r="A525" s="6">
        <v>524</v>
      </c>
      <c r="B525" s="7" t="s">
        <v>7</v>
      </c>
      <c r="C525" s="8">
        <v>1890</v>
      </c>
      <c r="D525" s="9">
        <v>45449</v>
      </c>
      <c r="E525" s="13">
        <f>+HYPERLINK("http://trademark.i-assist.jp/data/china/image_1890th/77444506.pdf",77444506)</f>
        <v>77444506</v>
      </c>
      <c r="F525" s="7" t="s">
        <v>1511</v>
      </c>
      <c r="G525" s="7" t="s">
        <v>1510</v>
      </c>
      <c r="H525" s="7" t="s">
        <v>1512</v>
      </c>
      <c r="I525" s="9">
        <v>45372</v>
      </c>
    </row>
    <row r="526" spans="1:9" x14ac:dyDescent="0.15">
      <c r="A526" s="6">
        <v>525</v>
      </c>
      <c r="B526" s="7" t="s">
        <v>7</v>
      </c>
      <c r="C526" s="8">
        <v>1890</v>
      </c>
      <c r="D526" s="9">
        <v>45449</v>
      </c>
      <c r="E526" s="13">
        <f>+HYPERLINK("http://trademark.i-assist.jp/data/china/image_1890th/77444573.pdf",77444573)</f>
        <v>77444573</v>
      </c>
      <c r="F526" s="7" t="s">
        <v>1514</v>
      </c>
      <c r="G526" s="7" t="s">
        <v>1513</v>
      </c>
      <c r="H526" s="7" t="s">
        <v>1515</v>
      </c>
      <c r="I526" s="9">
        <v>45372</v>
      </c>
    </row>
    <row r="527" spans="1:9" x14ac:dyDescent="0.15">
      <c r="A527" s="6">
        <v>526</v>
      </c>
      <c r="B527" s="7" t="s">
        <v>7</v>
      </c>
      <c r="C527" s="8">
        <v>1890</v>
      </c>
      <c r="D527" s="9">
        <v>45449</v>
      </c>
      <c r="E527" s="13">
        <f>+HYPERLINK("http://trademark.i-assist.jp/data/china/image_1890th/77444814.pdf",77444814)</f>
        <v>77444814</v>
      </c>
      <c r="F527" s="7" t="s">
        <v>1517</v>
      </c>
      <c r="G527" s="7" t="s">
        <v>1516</v>
      </c>
      <c r="H527" s="7" t="s">
        <v>1518</v>
      </c>
      <c r="I527" s="9">
        <v>45372</v>
      </c>
    </row>
    <row r="528" spans="1:9" x14ac:dyDescent="0.15">
      <c r="A528" s="6">
        <v>527</v>
      </c>
      <c r="B528" s="7" t="s">
        <v>7</v>
      </c>
      <c r="C528" s="8">
        <v>1890</v>
      </c>
      <c r="D528" s="9">
        <v>45449</v>
      </c>
      <c r="E528" s="13">
        <f>+HYPERLINK("http://trademark.i-assist.jp/data/china/image_1890th/77444939.pdf",77444939)</f>
        <v>77444939</v>
      </c>
      <c r="F528" s="7" t="s">
        <v>1520</v>
      </c>
      <c r="G528" s="7" t="s">
        <v>1519</v>
      </c>
      <c r="H528" s="7" t="s">
        <v>1521</v>
      </c>
      <c r="I528" s="9">
        <v>45372</v>
      </c>
    </row>
    <row r="529" spans="1:9" x14ac:dyDescent="0.15">
      <c r="A529" s="6">
        <v>528</v>
      </c>
      <c r="B529" s="7" t="s">
        <v>7</v>
      </c>
      <c r="C529" s="8">
        <v>1890</v>
      </c>
      <c r="D529" s="9">
        <v>45449</v>
      </c>
      <c r="E529" s="13">
        <f>+HYPERLINK("http://trademark.i-assist.jp/data/china/image_1890th/77445012.pdf",77445012)</f>
        <v>77445012</v>
      </c>
      <c r="F529" s="7" t="s">
        <v>1522</v>
      </c>
      <c r="G529" s="7" t="s">
        <v>1522</v>
      </c>
      <c r="H529" s="7" t="s">
        <v>1523</v>
      </c>
      <c r="I529" s="9">
        <v>45372</v>
      </c>
    </row>
    <row r="530" spans="1:9" x14ac:dyDescent="0.15">
      <c r="A530" s="6">
        <v>529</v>
      </c>
      <c r="B530" s="7" t="s">
        <v>7</v>
      </c>
      <c r="C530" s="8">
        <v>1890</v>
      </c>
      <c r="D530" s="9">
        <v>45449</v>
      </c>
      <c r="E530" s="13">
        <f>+HYPERLINK("http://trademark.i-assist.jp/data/china/image_1890th/77445082.pdf",77445082)</f>
        <v>77445082</v>
      </c>
      <c r="F530" s="7" t="s">
        <v>1524</v>
      </c>
      <c r="G530" s="7" t="s">
        <v>17</v>
      </c>
      <c r="H530" s="7" t="s">
        <v>1525</v>
      </c>
      <c r="I530" s="9">
        <v>45372</v>
      </c>
    </row>
    <row r="531" spans="1:9" x14ac:dyDescent="0.15">
      <c r="A531" s="6">
        <v>530</v>
      </c>
      <c r="B531" s="7" t="s">
        <v>7</v>
      </c>
      <c r="C531" s="8">
        <v>1890</v>
      </c>
      <c r="D531" s="9">
        <v>45449</v>
      </c>
      <c r="E531" s="13">
        <f>+HYPERLINK("http://trademark.i-assist.jp/data/china/image_1890th/77445274.pdf",77445274)</f>
        <v>77445274</v>
      </c>
      <c r="F531" s="7" t="s">
        <v>1527</v>
      </c>
      <c r="G531" s="7" t="s">
        <v>1526</v>
      </c>
      <c r="H531" s="7" t="s">
        <v>1528</v>
      </c>
      <c r="I531" s="9">
        <v>45372</v>
      </c>
    </row>
    <row r="532" spans="1:9" x14ac:dyDescent="0.15">
      <c r="A532" s="6">
        <v>531</v>
      </c>
      <c r="B532" s="7" t="s">
        <v>7</v>
      </c>
      <c r="C532" s="8">
        <v>1890</v>
      </c>
      <c r="D532" s="9">
        <v>45449</v>
      </c>
      <c r="E532" s="13">
        <f>+HYPERLINK("http://trademark.i-assist.jp/data/china/image_1890th/77445282.pdf",77445282)</f>
        <v>77445282</v>
      </c>
      <c r="F532" s="7" t="s">
        <v>1530</v>
      </c>
      <c r="G532" s="7" t="s">
        <v>1529</v>
      </c>
      <c r="H532" s="7" t="s">
        <v>1531</v>
      </c>
      <c r="I532" s="9">
        <v>45372</v>
      </c>
    </row>
    <row r="533" spans="1:9" x14ac:dyDescent="0.15">
      <c r="A533" s="6">
        <v>532</v>
      </c>
      <c r="B533" s="7" t="s">
        <v>7</v>
      </c>
      <c r="C533" s="8">
        <v>1890</v>
      </c>
      <c r="D533" s="9">
        <v>45449</v>
      </c>
      <c r="E533" s="13">
        <f>+HYPERLINK("http://trademark.i-assist.jp/data/china/image_1890th/77445347.pdf",77445347)</f>
        <v>77445347</v>
      </c>
      <c r="F533" s="7" t="s">
        <v>1533</v>
      </c>
      <c r="G533" s="7" t="s">
        <v>1532</v>
      </c>
      <c r="H533" s="7" t="s">
        <v>1534</v>
      </c>
      <c r="I533" s="9">
        <v>45372</v>
      </c>
    </row>
    <row r="534" spans="1:9" ht="27" x14ac:dyDescent="0.15">
      <c r="A534" s="6">
        <v>533</v>
      </c>
      <c r="B534" s="7" t="s">
        <v>7</v>
      </c>
      <c r="C534" s="8">
        <v>1890</v>
      </c>
      <c r="D534" s="9">
        <v>45449</v>
      </c>
      <c r="E534" s="13">
        <f>+HYPERLINK("http://trademark.i-assist.jp/data/china/image_1890th/77445520.pdf",77445520)</f>
        <v>77445520</v>
      </c>
      <c r="F534" s="7" t="s">
        <v>1536</v>
      </c>
      <c r="G534" s="7" t="s">
        <v>1535</v>
      </c>
      <c r="H534" s="7" t="s">
        <v>1537</v>
      </c>
      <c r="I534" s="9">
        <v>45372</v>
      </c>
    </row>
    <row r="535" spans="1:9" x14ac:dyDescent="0.15">
      <c r="A535" s="6">
        <v>534</v>
      </c>
      <c r="B535" s="7" t="s">
        <v>7</v>
      </c>
      <c r="C535" s="8">
        <v>1890</v>
      </c>
      <c r="D535" s="9">
        <v>45449</v>
      </c>
      <c r="E535" s="13">
        <f>+HYPERLINK("http://trademark.i-assist.jp/data/china/image_1890th/75181530.pdf",75181530)</f>
        <v>75181530</v>
      </c>
      <c r="F535" s="7" t="s">
        <v>1539</v>
      </c>
      <c r="G535" s="7" t="s">
        <v>1538</v>
      </c>
      <c r="H535" s="7" t="s">
        <v>1540</v>
      </c>
      <c r="I535" s="9">
        <v>45245</v>
      </c>
    </row>
    <row r="536" spans="1:9" x14ac:dyDescent="0.15">
      <c r="A536" s="6">
        <v>535</v>
      </c>
      <c r="B536" s="7" t="s">
        <v>7</v>
      </c>
      <c r="C536" s="8">
        <v>1890</v>
      </c>
      <c r="D536" s="9">
        <v>45449</v>
      </c>
      <c r="E536" s="13">
        <f>+HYPERLINK("http://trademark.i-assist.jp/data/china/image_1890th/75221834.pdf",75221834)</f>
        <v>75221834</v>
      </c>
      <c r="F536" s="7" t="s">
        <v>1542</v>
      </c>
      <c r="G536" s="7" t="s">
        <v>1541</v>
      </c>
      <c r="H536" s="7" t="s">
        <v>1543</v>
      </c>
      <c r="I536" s="9">
        <v>45246</v>
      </c>
    </row>
    <row r="537" spans="1:9" x14ac:dyDescent="0.15">
      <c r="A537" s="6">
        <v>536</v>
      </c>
      <c r="B537" s="7" t="s">
        <v>7</v>
      </c>
      <c r="C537" s="8">
        <v>1890</v>
      </c>
      <c r="D537" s="9">
        <v>45449</v>
      </c>
      <c r="E537" s="13">
        <f>+HYPERLINK("http://trademark.i-assist.jp/data/china/image_1890th/75235848.pdf",75235848)</f>
        <v>75235848</v>
      </c>
      <c r="F537" s="7" t="s">
        <v>1545</v>
      </c>
      <c r="G537" s="7" t="s">
        <v>1544</v>
      </c>
      <c r="H537" s="7" t="s">
        <v>1546</v>
      </c>
      <c r="I537" s="9">
        <v>45247</v>
      </c>
    </row>
    <row r="538" spans="1:9" ht="27" x14ac:dyDescent="0.15">
      <c r="A538" s="6">
        <v>537</v>
      </c>
      <c r="B538" s="7" t="s">
        <v>7</v>
      </c>
      <c r="C538" s="8">
        <v>1890</v>
      </c>
      <c r="D538" s="9">
        <v>45449</v>
      </c>
      <c r="E538" s="13">
        <f>+HYPERLINK("http://trademark.i-assist.jp/data/china/image_1890th/77501486.pdf",77501486)</f>
        <v>77501486</v>
      </c>
      <c r="F538" s="7" t="s">
        <v>1548</v>
      </c>
      <c r="G538" s="7" t="s">
        <v>1547</v>
      </c>
      <c r="H538" s="7" t="s">
        <v>1549</v>
      </c>
      <c r="I538" s="9">
        <v>45376</v>
      </c>
    </row>
    <row r="539" spans="1:9" x14ac:dyDescent="0.15">
      <c r="A539" s="6">
        <v>538</v>
      </c>
      <c r="B539" s="7" t="s">
        <v>7</v>
      </c>
      <c r="C539" s="8">
        <v>1890</v>
      </c>
      <c r="D539" s="9">
        <v>45449</v>
      </c>
      <c r="E539" s="13">
        <f>+HYPERLINK("http://trademark.i-assist.jp/data/china/image_1890th/77501591.pdf",77501591)</f>
        <v>77501591</v>
      </c>
      <c r="F539" s="7" t="s">
        <v>1551</v>
      </c>
      <c r="G539" s="7" t="s">
        <v>1550</v>
      </c>
      <c r="H539" s="7" t="s">
        <v>1552</v>
      </c>
      <c r="I539" s="9">
        <v>45376</v>
      </c>
    </row>
    <row r="540" spans="1:9" x14ac:dyDescent="0.15">
      <c r="A540" s="6">
        <v>539</v>
      </c>
      <c r="B540" s="7" t="s">
        <v>7</v>
      </c>
      <c r="C540" s="8">
        <v>1890</v>
      </c>
      <c r="D540" s="9">
        <v>45449</v>
      </c>
      <c r="E540" s="13">
        <f>+HYPERLINK("http://trademark.i-assist.jp/data/china/image_1890th/77501693.pdf",77501693)</f>
        <v>77501693</v>
      </c>
      <c r="F540" s="7" t="s">
        <v>1554</v>
      </c>
      <c r="G540" s="7" t="s">
        <v>1553</v>
      </c>
      <c r="H540" s="7" t="s">
        <v>1555</v>
      </c>
      <c r="I540" s="9">
        <v>45376</v>
      </c>
    </row>
    <row r="541" spans="1:9" x14ac:dyDescent="0.15">
      <c r="A541" s="6">
        <v>540</v>
      </c>
      <c r="B541" s="7" t="s">
        <v>7</v>
      </c>
      <c r="C541" s="8">
        <v>1890</v>
      </c>
      <c r="D541" s="9">
        <v>45449</v>
      </c>
      <c r="E541" s="13">
        <f>+HYPERLINK("http://trademark.i-assist.jp/data/china/image_1890th/77501993.pdf",77501993)</f>
        <v>77501993</v>
      </c>
      <c r="F541" s="7" t="s">
        <v>1557</v>
      </c>
      <c r="G541" s="7" t="s">
        <v>1556</v>
      </c>
      <c r="H541" s="7" t="s">
        <v>1558</v>
      </c>
      <c r="I541" s="9">
        <v>45376</v>
      </c>
    </row>
    <row r="542" spans="1:9" x14ac:dyDescent="0.15">
      <c r="A542" s="6">
        <v>541</v>
      </c>
      <c r="B542" s="7" t="s">
        <v>7</v>
      </c>
      <c r="C542" s="8">
        <v>1890</v>
      </c>
      <c r="D542" s="9">
        <v>45449</v>
      </c>
      <c r="E542" s="13">
        <f>+HYPERLINK("http://trademark.i-assist.jp/data/china/image_1890th/77502019.pdf",77502019)</f>
        <v>77502019</v>
      </c>
      <c r="F542" s="7" t="s">
        <v>1560</v>
      </c>
      <c r="G542" s="7" t="s">
        <v>1559</v>
      </c>
      <c r="H542" s="7" t="s">
        <v>1561</v>
      </c>
      <c r="I542" s="9">
        <v>45376</v>
      </c>
    </row>
    <row r="543" spans="1:9" x14ac:dyDescent="0.15">
      <c r="A543" s="6">
        <v>542</v>
      </c>
      <c r="B543" s="7" t="s">
        <v>7</v>
      </c>
      <c r="C543" s="8">
        <v>1890</v>
      </c>
      <c r="D543" s="9">
        <v>45449</v>
      </c>
      <c r="E543" s="13">
        <f>+HYPERLINK("http://trademark.i-assist.jp/data/china/image_1890th/77502059.pdf",77502059)</f>
        <v>77502059</v>
      </c>
      <c r="F543" s="7" t="s">
        <v>1563</v>
      </c>
      <c r="G543" s="7" t="s">
        <v>1562</v>
      </c>
      <c r="H543" s="7" t="s">
        <v>1564</v>
      </c>
      <c r="I543" s="9">
        <v>45376</v>
      </c>
    </row>
    <row r="544" spans="1:9" ht="27" x14ac:dyDescent="0.15">
      <c r="A544" s="6">
        <v>543</v>
      </c>
      <c r="B544" s="7" t="s">
        <v>7</v>
      </c>
      <c r="C544" s="8">
        <v>1890</v>
      </c>
      <c r="D544" s="9">
        <v>45449</v>
      </c>
      <c r="E544" s="13">
        <f>+HYPERLINK("http://trademark.i-assist.jp/data/china/image_1890th/77502086.pdf",77502086)</f>
        <v>77502086</v>
      </c>
      <c r="F544" s="7" t="s">
        <v>1566</v>
      </c>
      <c r="G544" s="7" t="s">
        <v>1565</v>
      </c>
      <c r="H544" s="7" t="s">
        <v>1567</v>
      </c>
      <c r="I544" s="9">
        <v>45376</v>
      </c>
    </row>
    <row r="545" spans="1:9" x14ac:dyDescent="0.15">
      <c r="A545" s="6">
        <v>544</v>
      </c>
      <c r="B545" s="7" t="s">
        <v>7</v>
      </c>
      <c r="C545" s="8">
        <v>1890</v>
      </c>
      <c r="D545" s="9">
        <v>45449</v>
      </c>
      <c r="E545" s="13">
        <f>+HYPERLINK("http://trademark.i-assist.jp/data/china/image_1890th/77502126.pdf",77502126)</f>
        <v>77502126</v>
      </c>
      <c r="F545" s="7" t="s">
        <v>1569</v>
      </c>
      <c r="G545" s="7" t="s">
        <v>1568</v>
      </c>
      <c r="H545" s="7" t="s">
        <v>1570</v>
      </c>
      <c r="I545" s="9">
        <v>45376</v>
      </c>
    </row>
    <row r="546" spans="1:9" x14ac:dyDescent="0.15">
      <c r="A546" s="6">
        <v>545</v>
      </c>
      <c r="B546" s="7" t="s">
        <v>7</v>
      </c>
      <c r="C546" s="8">
        <v>1890</v>
      </c>
      <c r="D546" s="9">
        <v>45449</v>
      </c>
      <c r="E546" s="13">
        <f>+HYPERLINK("http://trademark.i-assist.jp/data/china/image_1890th/77502266.pdf",77502266)</f>
        <v>77502266</v>
      </c>
      <c r="F546" s="7" t="s">
        <v>1572</v>
      </c>
      <c r="G546" s="7" t="s">
        <v>1571</v>
      </c>
      <c r="H546" s="7" t="s">
        <v>1573</v>
      </c>
      <c r="I546" s="9">
        <v>45376</v>
      </c>
    </row>
    <row r="547" spans="1:9" x14ac:dyDescent="0.15">
      <c r="A547" s="6">
        <v>546</v>
      </c>
      <c r="B547" s="7" t="s">
        <v>7</v>
      </c>
      <c r="C547" s="8">
        <v>1890</v>
      </c>
      <c r="D547" s="9">
        <v>45449</v>
      </c>
      <c r="E547" s="13">
        <f>+HYPERLINK("http://trademark.i-assist.jp/data/china/image_1890th/77502615.pdf",77502615)</f>
        <v>77502615</v>
      </c>
      <c r="F547" s="7" t="s">
        <v>1574</v>
      </c>
      <c r="G547" s="7" t="s">
        <v>1550</v>
      </c>
      <c r="H547" s="7" t="s">
        <v>1575</v>
      </c>
      <c r="I547" s="9">
        <v>45376</v>
      </c>
    </row>
    <row r="548" spans="1:9" x14ac:dyDescent="0.15">
      <c r="A548" s="6">
        <v>547</v>
      </c>
      <c r="B548" s="7" t="s">
        <v>7</v>
      </c>
      <c r="C548" s="8">
        <v>1890</v>
      </c>
      <c r="D548" s="9">
        <v>45449</v>
      </c>
      <c r="E548" s="13">
        <f>+HYPERLINK("http://trademark.i-assist.jp/data/china/image_1890th/77502643.pdf",77502643)</f>
        <v>77502643</v>
      </c>
      <c r="F548" s="7" t="s">
        <v>1577</v>
      </c>
      <c r="G548" s="7" t="s">
        <v>1576</v>
      </c>
      <c r="H548" s="7" t="s">
        <v>1578</v>
      </c>
      <c r="I548" s="9">
        <v>45376</v>
      </c>
    </row>
    <row r="549" spans="1:9" ht="27" x14ac:dyDescent="0.15">
      <c r="A549" s="6">
        <v>548</v>
      </c>
      <c r="B549" s="7" t="s">
        <v>7</v>
      </c>
      <c r="C549" s="8">
        <v>1890</v>
      </c>
      <c r="D549" s="9">
        <v>45449</v>
      </c>
      <c r="E549" s="13">
        <f>+HYPERLINK("http://trademark.i-assist.jp/data/china/image_1890th/77502662.pdf",77502662)</f>
        <v>77502662</v>
      </c>
      <c r="F549" s="7" t="s">
        <v>1580</v>
      </c>
      <c r="G549" s="7" t="s">
        <v>1579</v>
      </c>
      <c r="H549" s="7" t="s">
        <v>1581</v>
      </c>
      <c r="I549" s="9">
        <v>45376</v>
      </c>
    </row>
    <row r="550" spans="1:9" x14ac:dyDescent="0.15">
      <c r="A550" s="6">
        <v>549</v>
      </c>
      <c r="B550" s="7" t="s">
        <v>7</v>
      </c>
      <c r="C550" s="8">
        <v>1890</v>
      </c>
      <c r="D550" s="9">
        <v>45449</v>
      </c>
      <c r="E550" s="13">
        <f>+HYPERLINK("http://trademark.i-assist.jp/data/china/image_1890th/77502882.pdf",77502882)</f>
        <v>77502882</v>
      </c>
      <c r="F550" s="7" t="s">
        <v>1583</v>
      </c>
      <c r="G550" s="7" t="s">
        <v>1582</v>
      </c>
      <c r="H550" s="7" t="s">
        <v>1584</v>
      </c>
      <c r="I550" s="9">
        <v>45376</v>
      </c>
    </row>
    <row r="551" spans="1:9" x14ac:dyDescent="0.15">
      <c r="A551" s="6">
        <v>550</v>
      </c>
      <c r="B551" s="7" t="s">
        <v>7</v>
      </c>
      <c r="C551" s="8">
        <v>1890</v>
      </c>
      <c r="D551" s="9">
        <v>45449</v>
      </c>
      <c r="E551" s="13">
        <f>+HYPERLINK("http://trademark.i-assist.jp/data/china/image_1890th/77502912.pdf",77502912)</f>
        <v>77502912</v>
      </c>
      <c r="F551" s="7" t="s">
        <v>1586</v>
      </c>
      <c r="G551" s="7" t="s">
        <v>1585</v>
      </c>
      <c r="H551" s="7" t="s">
        <v>1587</v>
      </c>
      <c r="I551" s="9">
        <v>45376</v>
      </c>
    </row>
    <row r="552" spans="1:9" x14ac:dyDescent="0.15">
      <c r="A552" s="6">
        <v>551</v>
      </c>
      <c r="B552" s="7" t="s">
        <v>7</v>
      </c>
      <c r="C552" s="8">
        <v>1890</v>
      </c>
      <c r="D552" s="9">
        <v>45449</v>
      </c>
      <c r="E552" s="13">
        <f>+HYPERLINK("http://trademark.i-assist.jp/data/china/image_1890th/77502918.pdf",77502918)</f>
        <v>77502918</v>
      </c>
      <c r="F552" s="7" t="s">
        <v>1589</v>
      </c>
      <c r="G552" s="7" t="s">
        <v>1588</v>
      </c>
      <c r="H552" s="7" t="s">
        <v>1590</v>
      </c>
      <c r="I552" s="9">
        <v>45376</v>
      </c>
    </row>
    <row r="553" spans="1:9" x14ac:dyDescent="0.15">
      <c r="A553" s="6">
        <v>552</v>
      </c>
      <c r="B553" s="7" t="s">
        <v>7</v>
      </c>
      <c r="C553" s="8">
        <v>1890</v>
      </c>
      <c r="D553" s="9">
        <v>45449</v>
      </c>
      <c r="E553" s="13">
        <f>+HYPERLINK("http://trademark.i-assist.jp/data/china/image_1890th/77503116.pdf",77503116)</f>
        <v>77503116</v>
      </c>
      <c r="F553" s="7" t="s">
        <v>183</v>
      </c>
      <c r="G553" s="7" t="s">
        <v>1591</v>
      </c>
      <c r="H553" s="7" t="s">
        <v>1592</v>
      </c>
      <c r="I553" s="9">
        <v>45376</v>
      </c>
    </row>
    <row r="554" spans="1:9" x14ac:dyDescent="0.15">
      <c r="A554" s="6">
        <v>553</v>
      </c>
      <c r="B554" s="7" t="s">
        <v>7</v>
      </c>
      <c r="C554" s="8">
        <v>1890</v>
      </c>
      <c r="D554" s="9">
        <v>45449</v>
      </c>
      <c r="E554" s="13">
        <f>+HYPERLINK("http://trademark.i-assist.jp/data/china/image_1890th/77503253.pdf",77503253)</f>
        <v>77503253</v>
      </c>
      <c r="F554" s="7" t="s">
        <v>1594</v>
      </c>
      <c r="G554" s="7" t="s">
        <v>1593</v>
      </c>
      <c r="H554" s="7" t="s">
        <v>1595</v>
      </c>
      <c r="I554" s="9">
        <v>45376</v>
      </c>
    </row>
    <row r="555" spans="1:9" x14ac:dyDescent="0.15">
      <c r="A555" s="6">
        <v>554</v>
      </c>
      <c r="B555" s="7" t="s">
        <v>7</v>
      </c>
      <c r="C555" s="8">
        <v>1890</v>
      </c>
      <c r="D555" s="9">
        <v>45449</v>
      </c>
      <c r="E555" s="13">
        <f>+HYPERLINK("http://trademark.i-assist.jp/data/china/image_1890th/77503259.pdf",77503259)</f>
        <v>77503259</v>
      </c>
      <c r="F555" s="7" t="s">
        <v>1597</v>
      </c>
      <c r="G555" s="7" t="s">
        <v>1596</v>
      </c>
      <c r="H555" s="7" t="s">
        <v>1598</v>
      </c>
      <c r="I555" s="9">
        <v>45376</v>
      </c>
    </row>
    <row r="556" spans="1:9" x14ac:dyDescent="0.15">
      <c r="A556" s="6">
        <v>555</v>
      </c>
      <c r="B556" s="7" t="s">
        <v>7</v>
      </c>
      <c r="C556" s="8">
        <v>1890</v>
      </c>
      <c r="D556" s="9">
        <v>45449</v>
      </c>
      <c r="E556" s="13">
        <f>+HYPERLINK("http://trademark.i-assist.jp/data/china/image_1890th/77503268.pdf",77503268)</f>
        <v>77503268</v>
      </c>
      <c r="F556" s="7" t="s">
        <v>1600</v>
      </c>
      <c r="G556" s="7" t="s">
        <v>1599</v>
      </c>
      <c r="H556" s="7" t="s">
        <v>1601</v>
      </c>
      <c r="I556" s="9">
        <v>45376</v>
      </c>
    </row>
    <row r="557" spans="1:9" x14ac:dyDescent="0.15">
      <c r="A557" s="6">
        <v>556</v>
      </c>
      <c r="B557" s="7" t="s">
        <v>7</v>
      </c>
      <c r="C557" s="8">
        <v>1890</v>
      </c>
      <c r="D557" s="9">
        <v>45449</v>
      </c>
      <c r="E557" s="13">
        <f>+HYPERLINK("http://trademark.i-assist.jp/data/china/image_1890th/77503547.pdf",77503547)</f>
        <v>77503547</v>
      </c>
      <c r="F557" s="7" t="s">
        <v>1603</v>
      </c>
      <c r="G557" s="7" t="s">
        <v>1602</v>
      </c>
      <c r="H557" s="7" t="s">
        <v>1604</v>
      </c>
      <c r="I557" s="9">
        <v>45376</v>
      </c>
    </row>
    <row r="558" spans="1:9" x14ac:dyDescent="0.15">
      <c r="A558" s="6">
        <v>557</v>
      </c>
      <c r="B558" s="7" t="s">
        <v>7</v>
      </c>
      <c r="C558" s="8">
        <v>1890</v>
      </c>
      <c r="D558" s="9">
        <v>45449</v>
      </c>
      <c r="E558" s="13">
        <f>+HYPERLINK("http://trademark.i-assist.jp/data/china/image_1890th/77503603.pdf",77503603)</f>
        <v>77503603</v>
      </c>
      <c r="F558" s="7" t="s">
        <v>1606</v>
      </c>
      <c r="G558" s="7" t="s">
        <v>1605</v>
      </c>
      <c r="H558" s="7" t="s">
        <v>1607</v>
      </c>
      <c r="I558" s="9">
        <v>45376</v>
      </c>
    </row>
    <row r="559" spans="1:9" ht="27" x14ac:dyDescent="0.15">
      <c r="A559" s="6">
        <v>558</v>
      </c>
      <c r="B559" s="7" t="s">
        <v>7</v>
      </c>
      <c r="C559" s="8">
        <v>1890</v>
      </c>
      <c r="D559" s="9">
        <v>45449</v>
      </c>
      <c r="E559" s="13">
        <f>+HYPERLINK("http://trademark.i-assist.jp/data/china/image_1890th/77503711.pdf",77503711)</f>
        <v>77503711</v>
      </c>
      <c r="F559" s="7" t="s">
        <v>1609</v>
      </c>
      <c r="G559" s="7" t="s">
        <v>1608</v>
      </c>
      <c r="H559" s="7" t="s">
        <v>1610</v>
      </c>
      <c r="I559" s="9">
        <v>45376</v>
      </c>
    </row>
    <row r="560" spans="1:9" x14ac:dyDescent="0.15">
      <c r="A560" s="6">
        <v>559</v>
      </c>
      <c r="B560" s="7" t="s">
        <v>7</v>
      </c>
      <c r="C560" s="8">
        <v>1890</v>
      </c>
      <c r="D560" s="9">
        <v>45449</v>
      </c>
      <c r="E560" s="13">
        <f>+HYPERLINK("http://trademark.i-assist.jp/data/china/image_1890th/77503758.pdf",77503758)</f>
        <v>77503758</v>
      </c>
      <c r="F560" s="7" t="s">
        <v>1612</v>
      </c>
      <c r="G560" s="7" t="s">
        <v>1611</v>
      </c>
      <c r="H560" s="7" t="s">
        <v>1613</v>
      </c>
      <c r="I560" s="9">
        <v>45376</v>
      </c>
    </row>
    <row r="561" spans="1:9" x14ac:dyDescent="0.15">
      <c r="A561" s="6">
        <v>560</v>
      </c>
      <c r="B561" s="7" t="s">
        <v>7</v>
      </c>
      <c r="C561" s="8">
        <v>1890</v>
      </c>
      <c r="D561" s="9">
        <v>45449</v>
      </c>
      <c r="E561" s="13">
        <f>+HYPERLINK("http://trademark.i-assist.jp/data/china/image_1890th/77503771.pdf",77503771)</f>
        <v>77503771</v>
      </c>
      <c r="F561" s="7" t="s">
        <v>1615</v>
      </c>
      <c r="G561" s="7" t="s">
        <v>1614</v>
      </c>
      <c r="H561" s="7" t="s">
        <v>1616</v>
      </c>
      <c r="I561" s="9">
        <v>45376</v>
      </c>
    </row>
    <row r="562" spans="1:9" x14ac:dyDescent="0.15">
      <c r="A562" s="6">
        <v>561</v>
      </c>
      <c r="B562" s="7" t="s">
        <v>7</v>
      </c>
      <c r="C562" s="8">
        <v>1890</v>
      </c>
      <c r="D562" s="9">
        <v>45449</v>
      </c>
      <c r="E562" s="13">
        <f>+HYPERLINK("http://trademark.i-assist.jp/data/china/image_1890th/77504085.pdf",77504085)</f>
        <v>77504085</v>
      </c>
      <c r="F562" s="7" t="s">
        <v>1618</v>
      </c>
      <c r="G562" s="7" t="s">
        <v>1617</v>
      </c>
      <c r="H562" s="7" t="s">
        <v>1619</v>
      </c>
      <c r="I562" s="9">
        <v>45376</v>
      </c>
    </row>
    <row r="563" spans="1:9" ht="27" x14ac:dyDescent="0.15">
      <c r="A563" s="6">
        <v>562</v>
      </c>
      <c r="B563" s="7" t="s">
        <v>7</v>
      </c>
      <c r="C563" s="8">
        <v>1890</v>
      </c>
      <c r="D563" s="9">
        <v>45449</v>
      </c>
      <c r="E563" s="13">
        <f>+HYPERLINK("http://trademark.i-assist.jp/data/china/image_1890th/77504898.pdf",77504898)</f>
        <v>77504898</v>
      </c>
      <c r="F563" s="7" t="s">
        <v>1620</v>
      </c>
      <c r="G563" s="7" t="s">
        <v>1565</v>
      </c>
      <c r="H563" s="7" t="s">
        <v>1621</v>
      </c>
      <c r="I563" s="9">
        <v>45376</v>
      </c>
    </row>
    <row r="564" spans="1:9" ht="27" x14ac:dyDescent="0.15">
      <c r="A564" s="6">
        <v>563</v>
      </c>
      <c r="B564" s="7" t="s">
        <v>7</v>
      </c>
      <c r="C564" s="8">
        <v>1890</v>
      </c>
      <c r="D564" s="9">
        <v>45449</v>
      </c>
      <c r="E564" s="13">
        <f>+HYPERLINK("http://trademark.i-assist.jp/data/china/image_1890th/77504949.pdf",77504949)</f>
        <v>77504949</v>
      </c>
      <c r="F564" s="7" t="s">
        <v>1622</v>
      </c>
      <c r="G564" s="7" t="s">
        <v>1565</v>
      </c>
      <c r="H564" s="7" t="s">
        <v>1623</v>
      </c>
      <c r="I564" s="9">
        <v>45376</v>
      </c>
    </row>
    <row r="565" spans="1:9" ht="27" x14ac:dyDescent="0.15">
      <c r="A565" s="6">
        <v>564</v>
      </c>
      <c r="B565" s="7" t="s">
        <v>7</v>
      </c>
      <c r="C565" s="8">
        <v>1890</v>
      </c>
      <c r="D565" s="9">
        <v>45449</v>
      </c>
      <c r="E565" s="13">
        <f>+HYPERLINK("http://trademark.i-assist.jp/data/china/image_1890th/77504993.pdf",77504993)</f>
        <v>77504993</v>
      </c>
      <c r="F565" s="7" t="s">
        <v>1624</v>
      </c>
      <c r="G565" s="7" t="s">
        <v>1565</v>
      </c>
      <c r="H565" s="7" t="s">
        <v>1625</v>
      </c>
      <c r="I565" s="9">
        <v>45376</v>
      </c>
    </row>
    <row r="566" spans="1:9" x14ac:dyDescent="0.15">
      <c r="A566" s="6">
        <v>565</v>
      </c>
      <c r="B566" s="7" t="s">
        <v>7</v>
      </c>
      <c r="C566" s="8">
        <v>1890</v>
      </c>
      <c r="D566" s="9">
        <v>45449</v>
      </c>
      <c r="E566" s="13">
        <f>+HYPERLINK("http://trademark.i-assist.jp/data/china/image_1890th/76983857.pdf",76983857)</f>
        <v>76983857</v>
      </c>
      <c r="F566" s="7" t="s">
        <v>1627</v>
      </c>
      <c r="G566" s="7" t="s">
        <v>1626</v>
      </c>
      <c r="H566" s="7" t="s">
        <v>1628</v>
      </c>
      <c r="I566" s="9">
        <v>45349</v>
      </c>
    </row>
    <row r="567" spans="1:9" x14ac:dyDescent="0.15">
      <c r="A567" s="6">
        <v>566</v>
      </c>
      <c r="B567" s="7" t="s">
        <v>7</v>
      </c>
      <c r="C567" s="8">
        <v>1890</v>
      </c>
      <c r="D567" s="9">
        <v>45449</v>
      </c>
      <c r="E567" s="13">
        <f>+HYPERLINK("http://trademark.i-assist.jp/data/china/image_1890th/76983934.pdf",76983934)</f>
        <v>76983934</v>
      </c>
      <c r="F567" s="7" t="s">
        <v>1629</v>
      </c>
      <c r="G567" s="7" t="s">
        <v>1089</v>
      </c>
      <c r="H567" s="7" t="s">
        <v>1630</v>
      </c>
      <c r="I567" s="9">
        <v>45349</v>
      </c>
    </row>
    <row r="568" spans="1:9" ht="27" x14ac:dyDescent="0.15">
      <c r="A568" s="6">
        <v>567</v>
      </c>
      <c r="B568" s="7" t="s">
        <v>7</v>
      </c>
      <c r="C568" s="8">
        <v>1890</v>
      </c>
      <c r="D568" s="9">
        <v>45449</v>
      </c>
      <c r="E568" s="13">
        <f>+HYPERLINK("http://trademark.i-assist.jp/data/china/image_1890th/76984535.pdf",76984535)</f>
        <v>76984535</v>
      </c>
      <c r="F568" s="7" t="s">
        <v>1632</v>
      </c>
      <c r="G568" s="7" t="s">
        <v>1631</v>
      </c>
      <c r="H568" s="7" t="s">
        <v>1633</v>
      </c>
      <c r="I568" s="9">
        <v>45349</v>
      </c>
    </row>
    <row r="569" spans="1:9" x14ac:dyDescent="0.15">
      <c r="A569" s="6">
        <v>568</v>
      </c>
      <c r="B569" s="7" t="s">
        <v>7</v>
      </c>
      <c r="C569" s="8">
        <v>1890</v>
      </c>
      <c r="D569" s="9">
        <v>45449</v>
      </c>
      <c r="E569" s="13">
        <f>+HYPERLINK("http://trademark.i-assist.jp/data/china/image_1890th/76985261.pdf",76985261)</f>
        <v>76985261</v>
      </c>
      <c r="F569" s="7" t="s">
        <v>1635</v>
      </c>
      <c r="G569" s="7" t="s">
        <v>1634</v>
      </c>
      <c r="H569" s="7" t="s">
        <v>1636</v>
      </c>
      <c r="I569" s="9">
        <v>45349</v>
      </c>
    </row>
    <row r="570" spans="1:9" x14ac:dyDescent="0.15">
      <c r="A570" s="6">
        <v>569</v>
      </c>
      <c r="B570" s="7" t="s">
        <v>7</v>
      </c>
      <c r="C570" s="8">
        <v>1890</v>
      </c>
      <c r="D570" s="9">
        <v>45449</v>
      </c>
      <c r="E570" s="13">
        <f>+HYPERLINK("http://trademark.i-assist.jp/data/china/image_1890th/76985544.pdf",76985544)</f>
        <v>76985544</v>
      </c>
      <c r="F570" s="7" t="s">
        <v>1638</v>
      </c>
      <c r="G570" s="7" t="s">
        <v>1637</v>
      </c>
      <c r="H570" s="7" t="s">
        <v>1639</v>
      </c>
      <c r="I570" s="9">
        <v>45349</v>
      </c>
    </row>
    <row r="571" spans="1:9" x14ac:dyDescent="0.15">
      <c r="A571" s="6">
        <v>570</v>
      </c>
      <c r="B571" s="7" t="s">
        <v>7</v>
      </c>
      <c r="C571" s="8">
        <v>1890</v>
      </c>
      <c r="D571" s="9">
        <v>45449</v>
      </c>
      <c r="E571" s="13">
        <f>+HYPERLINK("http://trademark.i-assist.jp/data/china/image_1890th/76985558.pdf",76985558)</f>
        <v>76985558</v>
      </c>
      <c r="F571" s="7" t="s">
        <v>1641</v>
      </c>
      <c r="G571" s="7" t="s">
        <v>1640</v>
      </c>
      <c r="H571" s="7" t="s">
        <v>1642</v>
      </c>
      <c r="I571" s="9">
        <v>45349</v>
      </c>
    </row>
    <row r="572" spans="1:9" x14ac:dyDescent="0.15">
      <c r="A572" s="6">
        <v>571</v>
      </c>
      <c r="B572" s="7" t="s">
        <v>7</v>
      </c>
      <c r="C572" s="8">
        <v>1890</v>
      </c>
      <c r="D572" s="9">
        <v>45449</v>
      </c>
      <c r="E572" s="13">
        <f>+HYPERLINK("http://trademark.i-assist.jp/data/china/image_1890th/76986471.pdf",76986471)</f>
        <v>76986471</v>
      </c>
      <c r="F572" s="7" t="s">
        <v>1644</v>
      </c>
      <c r="G572" s="7" t="s">
        <v>1643</v>
      </c>
      <c r="H572" s="7" t="s">
        <v>1645</v>
      </c>
      <c r="I572" s="9">
        <v>45349</v>
      </c>
    </row>
    <row r="573" spans="1:9" ht="27" x14ac:dyDescent="0.15">
      <c r="A573" s="6">
        <v>572</v>
      </c>
      <c r="B573" s="7" t="s">
        <v>7</v>
      </c>
      <c r="C573" s="8">
        <v>1890</v>
      </c>
      <c r="D573" s="9">
        <v>45449</v>
      </c>
      <c r="E573" s="13">
        <f>+HYPERLINK("http://trademark.i-assist.jp/data/china/image_1890th/76986708.pdf",76986708)</f>
        <v>76986708</v>
      </c>
      <c r="F573" s="7" t="s">
        <v>1647</v>
      </c>
      <c r="G573" s="7" t="s">
        <v>1646</v>
      </c>
      <c r="H573" s="7" t="s">
        <v>1648</v>
      </c>
      <c r="I573" s="9">
        <v>45349</v>
      </c>
    </row>
    <row r="574" spans="1:9" x14ac:dyDescent="0.15">
      <c r="A574" s="6">
        <v>573</v>
      </c>
      <c r="B574" s="7" t="s">
        <v>7</v>
      </c>
      <c r="C574" s="8">
        <v>1890</v>
      </c>
      <c r="D574" s="9">
        <v>45449</v>
      </c>
      <c r="E574" s="13">
        <f>+HYPERLINK("http://trademark.i-assist.jp/data/china/image_1890th/76987801.pdf",76987801)</f>
        <v>76987801</v>
      </c>
      <c r="F574" s="7" t="s">
        <v>1650</v>
      </c>
      <c r="G574" s="7" t="s">
        <v>1649</v>
      </c>
      <c r="H574" s="7" t="s">
        <v>1651</v>
      </c>
      <c r="I574" s="9">
        <v>45349</v>
      </c>
    </row>
    <row r="575" spans="1:9" x14ac:dyDescent="0.15">
      <c r="A575" s="6">
        <v>574</v>
      </c>
      <c r="B575" s="7" t="s">
        <v>7</v>
      </c>
      <c r="C575" s="8">
        <v>1890</v>
      </c>
      <c r="D575" s="9">
        <v>45449</v>
      </c>
      <c r="E575" s="13">
        <f>+HYPERLINK("http://trademark.i-assist.jp/data/china/image_1890th/76987979.pdf",76987979)</f>
        <v>76987979</v>
      </c>
      <c r="F575" s="7" t="s">
        <v>1653</v>
      </c>
      <c r="G575" s="7" t="s">
        <v>1652</v>
      </c>
      <c r="H575" s="7" t="s">
        <v>1654</v>
      </c>
      <c r="I575" s="9">
        <v>45349</v>
      </c>
    </row>
    <row r="576" spans="1:9" x14ac:dyDescent="0.15">
      <c r="A576" s="6">
        <v>575</v>
      </c>
      <c r="B576" s="7" t="s">
        <v>7</v>
      </c>
      <c r="C576" s="8">
        <v>1890</v>
      </c>
      <c r="D576" s="9">
        <v>45449</v>
      </c>
      <c r="E576" s="13">
        <f>+HYPERLINK("http://trademark.i-assist.jp/data/china/image_1890th/76988260.pdf",76988260)</f>
        <v>76988260</v>
      </c>
      <c r="F576" s="7" t="s">
        <v>1656</v>
      </c>
      <c r="G576" s="7" t="s">
        <v>1655</v>
      </c>
      <c r="H576" s="7" t="s">
        <v>1657</v>
      </c>
      <c r="I576" s="9">
        <v>45349</v>
      </c>
    </row>
    <row r="577" spans="1:9" x14ac:dyDescent="0.15">
      <c r="A577" s="6">
        <v>576</v>
      </c>
      <c r="B577" s="7" t="s">
        <v>7</v>
      </c>
      <c r="C577" s="8">
        <v>1890</v>
      </c>
      <c r="D577" s="9">
        <v>45449</v>
      </c>
      <c r="E577" s="13">
        <f>+HYPERLINK("http://trademark.i-assist.jp/data/china/image_1890th/76988632.pdf",76988632)</f>
        <v>76988632</v>
      </c>
      <c r="F577" s="7" t="s">
        <v>1659</v>
      </c>
      <c r="G577" s="7" t="s">
        <v>1658</v>
      </c>
      <c r="H577" s="7" t="s">
        <v>1660</v>
      </c>
      <c r="I577" s="9">
        <v>45349</v>
      </c>
    </row>
    <row r="578" spans="1:9" x14ac:dyDescent="0.15">
      <c r="A578" s="6">
        <v>577</v>
      </c>
      <c r="B578" s="7" t="s">
        <v>7</v>
      </c>
      <c r="C578" s="8">
        <v>1890</v>
      </c>
      <c r="D578" s="9">
        <v>45449</v>
      </c>
      <c r="E578" s="13">
        <f>+HYPERLINK("http://trademark.i-assist.jp/data/china/image_1890th/76989566.pdf",76989566)</f>
        <v>76989566</v>
      </c>
      <c r="F578" s="7" t="s">
        <v>1662</v>
      </c>
      <c r="G578" s="7" t="s">
        <v>1661</v>
      </c>
      <c r="H578" s="7" t="s">
        <v>1663</v>
      </c>
      <c r="I578" s="9">
        <v>45349</v>
      </c>
    </row>
    <row r="579" spans="1:9" ht="27" x14ac:dyDescent="0.15">
      <c r="A579" s="6">
        <v>578</v>
      </c>
      <c r="B579" s="7" t="s">
        <v>7</v>
      </c>
      <c r="C579" s="8">
        <v>1890</v>
      </c>
      <c r="D579" s="9">
        <v>45449</v>
      </c>
      <c r="E579" s="13">
        <f>+HYPERLINK("http://trademark.i-assist.jp/data/china/image_1890th/76989759.pdf",76989759)</f>
        <v>76989759</v>
      </c>
      <c r="F579" s="7" t="s">
        <v>1665</v>
      </c>
      <c r="G579" s="7" t="s">
        <v>1664</v>
      </c>
      <c r="H579" s="7" t="s">
        <v>1666</v>
      </c>
      <c r="I579" s="9">
        <v>45349</v>
      </c>
    </row>
    <row r="580" spans="1:9" x14ac:dyDescent="0.15">
      <c r="A580" s="6">
        <v>579</v>
      </c>
      <c r="B580" s="7" t="s">
        <v>7</v>
      </c>
      <c r="C580" s="8">
        <v>1890</v>
      </c>
      <c r="D580" s="9">
        <v>45449</v>
      </c>
      <c r="E580" s="13">
        <f>+HYPERLINK("http://trademark.i-assist.jp/data/china/image_1890th/77137810.pdf",77137810)</f>
        <v>77137810</v>
      </c>
      <c r="F580" s="7" t="s">
        <v>1668</v>
      </c>
      <c r="G580" s="7" t="s">
        <v>1667</v>
      </c>
      <c r="H580" s="7" t="s">
        <v>1669</v>
      </c>
      <c r="I580" s="9">
        <v>45357</v>
      </c>
    </row>
    <row r="581" spans="1:9" x14ac:dyDescent="0.15">
      <c r="A581" s="6">
        <v>580</v>
      </c>
      <c r="B581" s="7" t="s">
        <v>7</v>
      </c>
      <c r="C581" s="8">
        <v>1890</v>
      </c>
      <c r="D581" s="9">
        <v>45449</v>
      </c>
      <c r="E581" s="13">
        <f>+HYPERLINK("http://trademark.i-assist.jp/data/china/image_1890th/77137922.pdf",77137922)</f>
        <v>77137922</v>
      </c>
      <c r="F581" s="7" t="s">
        <v>1671</v>
      </c>
      <c r="G581" s="7" t="s">
        <v>1670</v>
      </c>
      <c r="H581" s="7" t="s">
        <v>1672</v>
      </c>
      <c r="I581" s="9">
        <v>45357</v>
      </c>
    </row>
    <row r="582" spans="1:9" x14ac:dyDescent="0.15">
      <c r="A582" s="6">
        <v>581</v>
      </c>
      <c r="B582" s="7" t="s">
        <v>7</v>
      </c>
      <c r="C582" s="8">
        <v>1890</v>
      </c>
      <c r="D582" s="9">
        <v>45449</v>
      </c>
      <c r="E582" s="13">
        <f>+HYPERLINK("http://trademark.i-assist.jp/data/china/image_1890th/77147612.pdf",77147612)</f>
        <v>77147612</v>
      </c>
      <c r="F582" s="7" t="s">
        <v>1674</v>
      </c>
      <c r="G582" s="7" t="s">
        <v>1673</v>
      </c>
      <c r="H582" s="7" t="s">
        <v>1675</v>
      </c>
      <c r="I582" s="9">
        <v>45357</v>
      </c>
    </row>
    <row r="583" spans="1:9" x14ac:dyDescent="0.15">
      <c r="A583" s="6">
        <v>582</v>
      </c>
      <c r="B583" s="7" t="s">
        <v>7</v>
      </c>
      <c r="C583" s="8">
        <v>1890</v>
      </c>
      <c r="D583" s="9">
        <v>45449</v>
      </c>
      <c r="E583" s="13">
        <f>+HYPERLINK("http://trademark.i-assist.jp/data/china/image_1890th/77147630.pdf",77147630)</f>
        <v>77147630</v>
      </c>
      <c r="F583" s="7" t="s">
        <v>1677</v>
      </c>
      <c r="G583" s="7" t="s">
        <v>1676</v>
      </c>
      <c r="H583" s="7" t="s">
        <v>1678</v>
      </c>
      <c r="I583" s="9">
        <v>45357</v>
      </c>
    </row>
    <row r="584" spans="1:9" ht="27" x14ac:dyDescent="0.15">
      <c r="A584" s="6">
        <v>583</v>
      </c>
      <c r="B584" s="7" t="s">
        <v>7</v>
      </c>
      <c r="C584" s="8">
        <v>1890</v>
      </c>
      <c r="D584" s="9">
        <v>45449</v>
      </c>
      <c r="E584" s="13">
        <f>+HYPERLINK("http://trademark.i-assist.jp/data/china/image_1890th/77147795.pdf",77147795)</f>
        <v>77147795</v>
      </c>
      <c r="F584" s="7" t="s">
        <v>1680</v>
      </c>
      <c r="G584" s="7" t="s">
        <v>1679</v>
      </c>
      <c r="H584" s="7" t="s">
        <v>1681</v>
      </c>
      <c r="I584" s="9">
        <v>45357</v>
      </c>
    </row>
    <row r="585" spans="1:9" x14ac:dyDescent="0.15">
      <c r="A585" s="6">
        <v>584</v>
      </c>
      <c r="B585" s="7" t="s">
        <v>7</v>
      </c>
      <c r="C585" s="8">
        <v>1890</v>
      </c>
      <c r="D585" s="9">
        <v>45449</v>
      </c>
      <c r="E585" s="13">
        <f>+HYPERLINK("http://trademark.i-assist.jp/data/china/image_1890th/77147902.pdf",77147902)</f>
        <v>77147902</v>
      </c>
      <c r="F585" s="7" t="s">
        <v>1683</v>
      </c>
      <c r="G585" s="7" t="s">
        <v>1682</v>
      </c>
      <c r="H585" s="7" t="s">
        <v>1684</v>
      </c>
      <c r="I585" s="9">
        <v>45357</v>
      </c>
    </row>
    <row r="586" spans="1:9" x14ac:dyDescent="0.15">
      <c r="A586" s="6">
        <v>585</v>
      </c>
      <c r="B586" s="7" t="s">
        <v>7</v>
      </c>
      <c r="C586" s="8">
        <v>1890</v>
      </c>
      <c r="D586" s="9">
        <v>45449</v>
      </c>
      <c r="E586" s="13">
        <f>+HYPERLINK("http://trademark.i-assist.jp/data/china/image_1890th/77148081.pdf",77148081)</f>
        <v>77148081</v>
      </c>
      <c r="F586" s="7" t="s">
        <v>1686</v>
      </c>
      <c r="G586" s="7" t="s">
        <v>1685</v>
      </c>
      <c r="H586" s="7" t="s">
        <v>1687</v>
      </c>
      <c r="I586" s="9">
        <v>45357</v>
      </c>
    </row>
    <row r="587" spans="1:9" x14ac:dyDescent="0.15">
      <c r="A587" s="6">
        <v>586</v>
      </c>
      <c r="B587" s="7" t="s">
        <v>7</v>
      </c>
      <c r="C587" s="8">
        <v>1890</v>
      </c>
      <c r="D587" s="9">
        <v>45449</v>
      </c>
      <c r="E587" s="13">
        <f>+HYPERLINK("http://trademark.i-assist.jp/data/china/image_1890th/77148591.pdf",77148591)</f>
        <v>77148591</v>
      </c>
      <c r="F587" s="7" t="s">
        <v>1689</v>
      </c>
      <c r="G587" s="7" t="s">
        <v>1688</v>
      </c>
      <c r="H587" s="7" t="s">
        <v>1690</v>
      </c>
      <c r="I587" s="9">
        <v>45358</v>
      </c>
    </row>
    <row r="588" spans="1:9" x14ac:dyDescent="0.15">
      <c r="A588" s="6">
        <v>587</v>
      </c>
      <c r="B588" s="7" t="s">
        <v>7</v>
      </c>
      <c r="C588" s="8">
        <v>1890</v>
      </c>
      <c r="D588" s="9">
        <v>45449</v>
      </c>
      <c r="E588" s="13">
        <f>+HYPERLINK("http://trademark.i-assist.jp/data/china/image_1890th/77150993.pdf",77150993)</f>
        <v>77150993</v>
      </c>
      <c r="F588" s="7" t="s">
        <v>1692</v>
      </c>
      <c r="G588" s="7" t="s">
        <v>1691</v>
      </c>
      <c r="H588" s="7" t="s">
        <v>1693</v>
      </c>
      <c r="I588" s="9">
        <v>45358</v>
      </c>
    </row>
    <row r="589" spans="1:9" x14ac:dyDescent="0.15">
      <c r="A589" s="6">
        <v>588</v>
      </c>
      <c r="B589" s="7" t="s">
        <v>7</v>
      </c>
      <c r="C589" s="8">
        <v>1890</v>
      </c>
      <c r="D589" s="9">
        <v>45449</v>
      </c>
      <c r="E589" s="13">
        <f>+HYPERLINK("http://trademark.i-assist.jp/data/china/image_1890th/77151114.pdf",77151114)</f>
        <v>77151114</v>
      </c>
      <c r="F589" s="7" t="s">
        <v>1695</v>
      </c>
      <c r="G589" s="7" t="s">
        <v>1694</v>
      </c>
      <c r="H589" s="7" t="s">
        <v>1696</v>
      </c>
      <c r="I589" s="9">
        <v>45358</v>
      </c>
    </row>
    <row r="590" spans="1:9" x14ac:dyDescent="0.15">
      <c r="A590" s="6">
        <v>589</v>
      </c>
      <c r="B590" s="7" t="s">
        <v>7</v>
      </c>
      <c r="C590" s="8">
        <v>1890</v>
      </c>
      <c r="D590" s="9">
        <v>45449</v>
      </c>
      <c r="E590" s="13">
        <f>+HYPERLINK("http://trademark.i-assist.jp/data/china/image_1890th/77151496.pdf",77151496)</f>
        <v>77151496</v>
      </c>
      <c r="F590" s="7" t="s">
        <v>1698</v>
      </c>
      <c r="G590" s="7" t="s">
        <v>1697</v>
      </c>
      <c r="H590" s="7" t="s">
        <v>1699</v>
      </c>
      <c r="I590" s="9">
        <v>45358</v>
      </c>
    </row>
    <row r="591" spans="1:9" x14ac:dyDescent="0.15">
      <c r="A591" s="6">
        <v>590</v>
      </c>
      <c r="B591" s="7" t="s">
        <v>7</v>
      </c>
      <c r="C591" s="8">
        <v>1890</v>
      </c>
      <c r="D591" s="9">
        <v>45449</v>
      </c>
      <c r="E591" s="13">
        <f>+HYPERLINK("http://trademark.i-assist.jp/data/china/image_1890th/77151796.pdf",77151796)</f>
        <v>77151796</v>
      </c>
      <c r="F591" s="7" t="s">
        <v>1701</v>
      </c>
      <c r="G591" s="7" t="s">
        <v>1700</v>
      </c>
      <c r="H591" s="7" t="s">
        <v>1702</v>
      </c>
      <c r="I591" s="9">
        <v>45358</v>
      </c>
    </row>
    <row r="592" spans="1:9" x14ac:dyDescent="0.15">
      <c r="A592" s="6">
        <v>591</v>
      </c>
      <c r="B592" s="7" t="s">
        <v>7</v>
      </c>
      <c r="C592" s="8">
        <v>1890</v>
      </c>
      <c r="D592" s="9">
        <v>45449</v>
      </c>
      <c r="E592" s="13">
        <f>+HYPERLINK("http://trademark.i-assist.jp/data/china/image_1890th/77152018.pdf",77152018)</f>
        <v>77152018</v>
      </c>
      <c r="F592" s="7" t="s">
        <v>1704</v>
      </c>
      <c r="G592" s="7" t="s">
        <v>1703</v>
      </c>
      <c r="H592" s="7" t="s">
        <v>1705</v>
      </c>
      <c r="I592" s="9">
        <v>45358</v>
      </c>
    </row>
    <row r="593" spans="1:9" x14ac:dyDescent="0.15">
      <c r="A593" s="6">
        <v>592</v>
      </c>
      <c r="B593" s="7" t="s">
        <v>7</v>
      </c>
      <c r="C593" s="8">
        <v>1890</v>
      </c>
      <c r="D593" s="9">
        <v>45449</v>
      </c>
      <c r="E593" s="13">
        <f>+HYPERLINK("http://trademark.i-assist.jp/data/china/image_1890th/77152151.pdf",77152151)</f>
        <v>77152151</v>
      </c>
      <c r="F593" s="7" t="s">
        <v>183</v>
      </c>
      <c r="G593" s="7" t="s">
        <v>1706</v>
      </c>
      <c r="H593" s="7" t="s">
        <v>1707</v>
      </c>
      <c r="I593" s="9">
        <v>45358</v>
      </c>
    </row>
    <row r="594" spans="1:9" x14ac:dyDescent="0.15">
      <c r="A594" s="6">
        <v>593</v>
      </c>
      <c r="B594" s="7" t="s">
        <v>7</v>
      </c>
      <c r="C594" s="8">
        <v>1890</v>
      </c>
      <c r="D594" s="9">
        <v>45449</v>
      </c>
      <c r="E594" s="13">
        <f>+HYPERLINK("http://trademark.i-assist.jp/data/china/image_1890th/75306756.pdf",75306756)</f>
        <v>75306756</v>
      </c>
      <c r="F594" s="7" t="s">
        <v>1709</v>
      </c>
      <c r="G594" s="7" t="s">
        <v>1708</v>
      </c>
      <c r="H594" s="7" t="s">
        <v>1710</v>
      </c>
      <c r="I594" s="9">
        <v>45251</v>
      </c>
    </row>
    <row r="595" spans="1:9" x14ac:dyDescent="0.15">
      <c r="A595" s="6">
        <v>594</v>
      </c>
      <c r="B595" s="7" t="s">
        <v>7</v>
      </c>
      <c r="C595" s="8">
        <v>1890</v>
      </c>
      <c r="D595" s="9">
        <v>45449</v>
      </c>
      <c r="E595" s="13">
        <f>+HYPERLINK("http://trademark.i-assist.jp/data/china/image_1890th/75438008.pdf",75438008)</f>
        <v>75438008</v>
      </c>
      <c r="F595" s="7" t="s">
        <v>1712</v>
      </c>
      <c r="G595" s="7" t="s">
        <v>1711</v>
      </c>
      <c r="H595" s="7" t="s">
        <v>1713</v>
      </c>
      <c r="I595" s="9">
        <v>45257</v>
      </c>
    </row>
    <row r="596" spans="1:9" x14ac:dyDescent="0.15">
      <c r="A596" s="6">
        <v>595</v>
      </c>
      <c r="B596" s="7" t="s">
        <v>7</v>
      </c>
      <c r="C596" s="8">
        <v>1890</v>
      </c>
      <c r="D596" s="9">
        <v>45449</v>
      </c>
      <c r="E596" s="13">
        <f>+HYPERLINK("http://trademark.i-assist.jp/data/china/image_1890th/75495870.pdf",75495870)</f>
        <v>75495870</v>
      </c>
      <c r="F596" s="7" t="s">
        <v>1715</v>
      </c>
      <c r="G596" s="7" t="s">
        <v>1714</v>
      </c>
      <c r="H596" s="7" t="s">
        <v>1716</v>
      </c>
      <c r="I596" s="9">
        <v>45259</v>
      </c>
    </row>
    <row r="597" spans="1:9" ht="27" x14ac:dyDescent="0.15">
      <c r="A597" s="6">
        <v>596</v>
      </c>
      <c r="B597" s="7" t="s">
        <v>7</v>
      </c>
      <c r="C597" s="8">
        <v>1890</v>
      </c>
      <c r="D597" s="9">
        <v>45449</v>
      </c>
      <c r="E597" s="13">
        <f>+HYPERLINK("http://trademark.i-assist.jp/data/china/image_1890th/75550565.pdf",75550565)</f>
        <v>75550565</v>
      </c>
      <c r="F597" s="7" t="s">
        <v>1718</v>
      </c>
      <c r="G597" s="7" t="s">
        <v>1717</v>
      </c>
      <c r="H597" s="7" t="s">
        <v>1719</v>
      </c>
      <c r="I597" s="9">
        <v>45262</v>
      </c>
    </row>
    <row r="598" spans="1:9" ht="27" x14ac:dyDescent="0.15">
      <c r="A598" s="6">
        <v>597</v>
      </c>
      <c r="B598" s="7" t="s">
        <v>7</v>
      </c>
      <c r="C598" s="8">
        <v>1890</v>
      </c>
      <c r="D598" s="9">
        <v>45449</v>
      </c>
      <c r="E598" s="13">
        <f>+HYPERLINK("http://trademark.i-assist.jp/data/china/image_1890th/75593561.pdf",75593561)</f>
        <v>75593561</v>
      </c>
      <c r="F598" s="7" t="s">
        <v>1720</v>
      </c>
      <c r="G598" s="7" t="s">
        <v>174</v>
      </c>
      <c r="H598" s="7" t="s">
        <v>1721</v>
      </c>
      <c r="I598" s="9">
        <v>45266</v>
      </c>
    </row>
    <row r="599" spans="1:9" x14ac:dyDescent="0.15">
      <c r="A599" s="6">
        <v>598</v>
      </c>
      <c r="B599" s="7" t="s">
        <v>7</v>
      </c>
      <c r="C599" s="8">
        <v>1890</v>
      </c>
      <c r="D599" s="9">
        <v>45449</v>
      </c>
      <c r="E599" s="13">
        <f>+HYPERLINK("http://trademark.i-assist.jp/data/china/image_1890th/75603887.pdf",75603887)</f>
        <v>75603887</v>
      </c>
      <c r="F599" s="7" t="s">
        <v>183</v>
      </c>
      <c r="G599" s="7" t="s">
        <v>1722</v>
      </c>
      <c r="H599" s="7" t="s">
        <v>1723</v>
      </c>
      <c r="I599" s="9">
        <v>45265</v>
      </c>
    </row>
    <row r="600" spans="1:9" ht="27" x14ac:dyDescent="0.15">
      <c r="A600" s="6">
        <v>599</v>
      </c>
      <c r="B600" s="7" t="s">
        <v>7</v>
      </c>
      <c r="C600" s="8">
        <v>1890</v>
      </c>
      <c r="D600" s="9">
        <v>45449</v>
      </c>
      <c r="E600" s="13">
        <f>+HYPERLINK("http://trademark.i-assist.jp/data/china/image_1890th/75635885.pdf",75635885)</f>
        <v>75635885</v>
      </c>
      <c r="F600" s="7" t="s">
        <v>1724</v>
      </c>
      <c r="G600" s="7" t="s">
        <v>174</v>
      </c>
      <c r="H600" s="7" t="s">
        <v>1725</v>
      </c>
      <c r="I600" s="9">
        <v>45266</v>
      </c>
    </row>
    <row r="601" spans="1:9" ht="27" x14ac:dyDescent="0.15">
      <c r="A601" s="6">
        <v>600</v>
      </c>
      <c r="B601" s="7" t="s">
        <v>7</v>
      </c>
      <c r="C601" s="8">
        <v>1890</v>
      </c>
      <c r="D601" s="9">
        <v>45449</v>
      </c>
      <c r="E601" s="13">
        <f>+HYPERLINK("http://trademark.i-assist.jp/data/china/image_1890th/75640887.pdf",75640887)</f>
        <v>75640887</v>
      </c>
      <c r="F601" s="7" t="s">
        <v>1727</v>
      </c>
      <c r="G601" s="7" t="s">
        <v>1726</v>
      </c>
      <c r="H601" s="7" t="s">
        <v>1728</v>
      </c>
      <c r="I601" s="9">
        <v>45267</v>
      </c>
    </row>
    <row r="602" spans="1:9" x14ac:dyDescent="0.15">
      <c r="A602" s="6">
        <v>601</v>
      </c>
      <c r="B602" s="7" t="s">
        <v>7</v>
      </c>
      <c r="C602" s="8">
        <v>1890</v>
      </c>
      <c r="D602" s="9">
        <v>45449</v>
      </c>
      <c r="E602" s="13">
        <f>+HYPERLINK("http://trademark.i-assist.jp/data/china/image_1890th/75643186.pdf",75643186)</f>
        <v>75643186</v>
      </c>
      <c r="F602" s="7" t="s">
        <v>1730</v>
      </c>
      <c r="G602" s="7" t="s">
        <v>1729</v>
      </c>
      <c r="H602" s="7" t="s">
        <v>1731</v>
      </c>
      <c r="I602" s="9">
        <v>45267</v>
      </c>
    </row>
    <row r="603" spans="1:9" ht="27" x14ac:dyDescent="0.15">
      <c r="A603" s="6">
        <v>602</v>
      </c>
      <c r="B603" s="7" t="s">
        <v>7</v>
      </c>
      <c r="C603" s="8">
        <v>1890</v>
      </c>
      <c r="D603" s="9">
        <v>45449</v>
      </c>
      <c r="E603" s="13">
        <f>+HYPERLINK("http://trademark.i-assist.jp/data/china/image_1890th/75669149.pdf",75669149)</f>
        <v>75669149</v>
      </c>
      <c r="F603" s="7" t="s">
        <v>1733</v>
      </c>
      <c r="G603" s="7" t="s">
        <v>1732</v>
      </c>
      <c r="H603" s="7" t="s">
        <v>1734</v>
      </c>
      <c r="I603" s="9">
        <v>45268</v>
      </c>
    </row>
    <row r="604" spans="1:9" x14ac:dyDescent="0.15">
      <c r="A604" s="6">
        <v>603</v>
      </c>
      <c r="B604" s="7" t="s">
        <v>7</v>
      </c>
      <c r="C604" s="8">
        <v>1890</v>
      </c>
      <c r="D604" s="9">
        <v>45449</v>
      </c>
      <c r="E604" s="13">
        <f>+HYPERLINK("http://trademark.i-assist.jp/data/china/image_1890th/75694890.pdf",75694890)</f>
        <v>75694890</v>
      </c>
      <c r="F604" s="7" t="s">
        <v>1736</v>
      </c>
      <c r="G604" s="7" t="s">
        <v>1735</v>
      </c>
      <c r="H604" s="7" t="s">
        <v>1737</v>
      </c>
      <c r="I604" s="9">
        <v>45269</v>
      </c>
    </row>
    <row r="605" spans="1:9" x14ac:dyDescent="0.15">
      <c r="A605" s="6">
        <v>604</v>
      </c>
      <c r="B605" s="7" t="s">
        <v>7</v>
      </c>
      <c r="C605" s="8">
        <v>1890</v>
      </c>
      <c r="D605" s="9">
        <v>45449</v>
      </c>
      <c r="E605" s="13">
        <f>+HYPERLINK("http://trademark.i-assist.jp/data/china/image_1890th/75696827.pdf",75696827)</f>
        <v>75696827</v>
      </c>
      <c r="F605" s="7" t="s">
        <v>1739</v>
      </c>
      <c r="G605" s="7" t="s">
        <v>1738</v>
      </c>
      <c r="H605" s="7" t="s">
        <v>1740</v>
      </c>
      <c r="I605" s="9">
        <v>45269</v>
      </c>
    </row>
    <row r="606" spans="1:9" x14ac:dyDescent="0.15">
      <c r="A606" s="6">
        <v>605</v>
      </c>
      <c r="B606" s="7" t="s">
        <v>7</v>
      </c>
      <c r="C606" s="8">
        <v>1890</v>
      </c>
      <c r="D606" s="9">
        <v>45449</v>
      </c>
      <c r="E606" s="13">
        <f>+HYPERLINK("http://trademark.i-assist.jp/data/china/image_1890th/75709628.pdf",75709628)</f>
        <v>75709628</v>
      </c>
      <c r="F606" s="7" t="s">
        <v>183</v>
      </c>
      <c r="G606" s="7" t="s">
        <v>410</v>
      </c>
      <c r="H606" s="7" t="s">
        <v>1741</v>
      </c>
      <c r="I606" s="9">
        <v>45271</v>
      </c>
    </row>
    <row r="607" spans="1:9" ht="27" x14ac:dyDescent="0.15">
      <c r="A607" s="6">
        <v>606</v>
      </c>
      <c r="B607" s="7" t="s">
        <v>7</v>
      </c>
      <c r="C607" s="8">
        <v>1890</v>
      </c>
      <c r="D607" s="9">
        <v>45449</v>
      </c>
      <c r="E607" s="13">
        <f>+HYPERLINK("http://trademark.i-assist.jp/data/china/image_1890th/75718362.pdf",75718362)</f>
        <v>75718362</v>
      </c>
      <c r="F607" s="7" t="s">
        <v>1743</v>
      </c>
      <c r="G607" s="7" t="s">
        <v>1742</v>
      </c>
      <c r="H607" s="7" t="s">
        <v>1744</v>
      </c>
      <c r="I607" s="9">
        <v>45271</v>
      </c>
    </row>
    <row r="608" spans="1:9" ht="27" x14ac:dyDescent="0.15">
      <c r="A608" s="6">
        <v>607</v>
      </c>
      <c r="B608" s="7" t="s">
        <v>7</v>
      </c>
      <c r="C608" s="8">
        <v>1890</v>
      </c>
      <c r="D608" s="9">
        <v>45449</v>
      </c>
      <c r="E608" s="13">
        <f>+HYPERLINK("http://trademark.i-assist.jp/data/china/image_1890th/75727990.pdf",75727990)</f>
        <v>75727990</v>
      </c>
      <c r="F608" s="7" t="s">
        <v>1746</v>
      </c>
      <c r="G608" s="7" t="s">
        <v>1745</v>
      </c>
      <c r="H608" s="7" t="s">
        <v>1747</v>
      </c>
      <c r="I608" s="9">
        <v>45271</v>
      </c>
    </row>
    <row r="609" spans="1:9" x14ac:dyDescent="0.15">
      <c r="A609" s="6">
        <v>608</v>
      </c>
      <c r="B609" s="7" t="s">
        <v>7</v>
      </c>
      <c r="C609" s="8">
        <v>1890</v>
      </c>
      <c r="D609" s="9">
        <v>45449</v>
      </c>
      <c r="E609" s="13">
        <f>+HYPERLINK("http://trademark.i-assist.jp/data/china/image_1890th/75733799.pdf",75733799)</f>
        <v>75733799</v>
      </c>
      <c r="F609" s="7" t="s">
        <v>1749</v>
      </c>
      <c r="G609" s="7" t="s">
        <v>1748</v>
      </c>
      <c r="H609" s="7" t="s">
        <v>1750</v>
      </c>
      <c r="I609" s="9">
        <v>45272</v>
      </c>
    </row>
    <row r="610" spans="1:9" ht="27" x14ac:dyDescent="0.15">
      <c r="A610" s="6">
        <v>609</v>
      </c>
      <c r="B610" s="7" t="s">
        <v>7</v>
      </c>
      <c r="C610" s="8">
        <v>1890</v>
      </c>
      <c r="D610" s="9">
        <v>45449</v>
      </c>
      <c r="E610" s="13">
        <f>+HYPERLINK("http://trademark.i-assist.jp/data/china/image_1890th/75743484.pdf",75743484)</f>
        <v>75743484</v>
      </c>
      <c r="F610" s="7" t="s">
        <v>1751</v>
      </c>
      <c r="G610" s="7" t="s">
        <v>174</v>
      </c>
      <c r="H610" s="7" t="s">
        <v>1752</v>
      </c>
      <c r="I610" s="9">
        <v>45272</v>
      </c>
    </row>
    <row r="611" spans="1:9" x14ac:dyDescent="0.15">
      <c r="A611" s="6">
        <v>610</v>
      </c>
      <c r="B611" s="7" t="s">
        <v>7</v>
      </c>
      <c r="C611" s="8">
        <v>1890</v>
      </c>
      <c r="D611" s="9">
        <v>45449</v>
      </c>
      <c r="E611" s="13">
        <f>+HYPERLINK("http://trademark.i-assist.jp/data/china/image_1890th/75761855.pdf",75761855)</f>
        <v>75761855</v>
      </c>
      <c r="F611" s="7" t="s">
        <v>1754</v>
      </c>
      <c r="G611" s="7" t="s">
        <v>1753</v>
      </c>
      <c r="H611" s="7" t="s">
        <v>1755</v>
      </c>
      <c r="I611" s="9">
        <v>45273</v>
      </c>
    </row>
    <row r="612" spans="1:9" x14ac:dyDescent="0.15">
      <c r="A612" s="6">
        <v>611</v>
      </c>
      <c r="B612" s="7" t="s">
        <v>7</v>
      </c>
      <c r="C612" s="8">
        <v>1890</v>
      </c>
      <c r="D612" s="9">
        <v>45449</v>
      </c>
      <c r="E612" s="13">
        <f>+HYPERLINK("http://trademark.i-assist.jp/data/china/image_1890th/75764997.pdf",75764997)</f>
        <v>75764997</v>
      </c>
      <c r="F612" s="7" t="s">
        <v>1757</v>
      </c>
      <c r="G612" s="7" t="s">
        <v>1756</v>
      </c>
      <c r="H612" s="7" t="s">
        <v>1758</v>
      </c>
      <c r="I612" s="9">
        <v>45273</v>
      </c>
    </row>
    <row r="613" spans="1:9" x14ac:dyDescent="0.15">
      <c r="A613" s="6">
        <v>612</v>
      </c>
      <c r="B613" s="7" t="s">
        <v>7</v>
      </c>
      <c r="C613" s="8">
        <v>1890</v>
      </c>
      <c r="D613" s="9">
        <v>45449</v>
      </c>
      <c r="E613" s="13">
        <f>+HYPERLINK("http://trademark.i-assist.jp/data/china/image_1890th/75771608.pdf",75771608)</f>
        <v>75771608</v>
      </c>
      <c r="F613" s="7" t="s">
        <v>1760</v>
      </c>
      <c r="G613" s="7" t="s">
        <v>1759</v>
      </c>
      <c r="H613" s="7" t="s">
        <v>1761</v>
      </c>
      <c r="I613" s="9">
        <v>45273</v>
      </c>
    </row>
    <row r="614" spans="1:9" x14ac:dyDescent="0.15">
      <c r="A614" s="6">
        <v>613</v>
      </c>
      <c r="B614" s="7" t="s">
        <v>7</v>
      </c>
      <c r="C614" s="8">
        <v>1890</v>
      </c>
      <c r="D614" s="9">
        <v>45449</v>
      </c>
      <c r="E614" s="13">
        <f>+HYPERLINK("http://trademark.i-assist.jp/data/china/image_1890th/75787796.pdf",75787796)</f>
        <v>75787796</v>
      </c>
      <c r="F614" s="7" t="s">
        <v>1763</v>
      </c>
      <c r="G614" s="7" t="s">
        <v>1762</v>
      </c>
      <c r="H614" s="7" t="s">
        <v>1764</v>
      </c>
      <c r="I614" s="9">
        <v>45274</v>
      </c>
    </row>
    <row r="615" spans="1:9" x14ac:dyDescent="0.15">
      <c r="A615" s="6">
        <v>614</v>
      </c>
      <c r="B615" s="7" t="s">
        <v>7</v>
      </c>
      <c r="C615" s="8">
        <v>1890</v>
      </c>
      <c r="D615" s="9">
        <v>45449</v>
      </c>
      <c r="E615" s="13">
        <f>+HYPERLINK("http://trademark.i-assist.jp/data/china/image_1890th/75831240.pdf",75831240)</f>
        <v>75831240</v>
      </c>
      <c r="F615" s="7" t="s">
        <v>1766</v>
      </c>
      <c r="G615" s="7" t="s">
        <v>1765</v>
      </c>
      <c r="H615" s="7" t="s">
        <v>1767</v>
      </c>
      <c r="I615" s="9">
        <v>45275</v>
      </c>
    </row>
    <row r="616" spans="1:9" ht="27" x14ac:dyDescent="0.15">
      <c r="A616" s="6">
        <v>615</v>
      </c>
      <c r="B616" s="7" t="s">
        <v>7</v>
      </c>
      <c r="C616" s="8">
        <v>1890</v>
      </c>
      <c r="D616" s="9">
        <v>45449</v>
      </c>
      <c r="E616" s="13">
        <f>+HYPERLINK("http://trademark.i-assist.jp/data/china/image_1890th/75850168.pdf",75850168)</f>
        <v>75850168</v>
      </c>
      <c r="F616" s="7" t="s">
        <v>1768</v>
      </c>
      <c r="G616" s="7" t="s">
        <v>1722</v>
      </c>
      <c r="H616" s="7" t="s">
        <v>1769</v>
      </c>
      <c r="I616" s="9">
        <v>45278</v>
      </c>
    </row>
    <row r="617" spans="1:9" x14ac:dyDescent="0.15">
      <c r="A617" s="6">
        <v>616</v>
      </c>
      <c r="B617" s="7" t="s">
        <v>7</v>
      </c>
      <c r="C617" s="8">
        <v>1890</v>
      </c>
      <c r="D617" s="9">
        <v>45449</v>
      </c>
      <c r="E617" s="13">
        <f>+HYPERLINK("http://trademark.i-assist.jp/data/china/image_1890th/75862648.pdf",75862648)</f>
        <v>75862648</v>
      </c>
      <c r="F617" s="7" t="s">
        <v>1771</v>
      </c>
      <c r="G617" s="7" t="s">
        <v>1770</v>
      </c>
      <c r="H617" s="7" t="s">
        <v>1772</v>
      </c>
      <c r="I617" s="9">
        <v>45278</v>
      </c>
    </row>
    <row r="618" spans="1:9" x14ac:dyDescent="0.15">
      <c r="A618" s="6">
        <v>617</v>
      </c>
      <c r="B618" s="7" t="s">
        <v>7</v>
      </c>
      <c r="C618" s="8">
        <v>1890</v>
      </c>
      <c r="D618" s="9">
        <v>45449</v>
      </c>
      <c r="E618" s="13">
        <f>+HYPERLINK("http://trademark.i-assist.jp/data/china/image_1890th/75882211.pdf",75882211)</f>
        <v>75882211</v>
      </c>
      <c r="F618" s="7" t="s">
        <v>183</v>
      </c>
      <c r="G618" s="7" t="s">
        <v>1722</v>
      </c>
      <c r="H618" s="7" t="s">
        <v>1773</v>
      </c>
      <c r="I618" s="9">
        <v>45279</v>
      </c>
    </row>
    <row r="619" spans="1:9" x14ac:dyDescent="0.15">
      <c r="A619" s="6">
        <v>618</v>
      </c>
      <c r="B619" s="7" t="s">
        <v>7</v>
      </c>
      <c r="C619" s="8">
        <v>1890</v>
      </c>
      <c r="D619" s="9">
        <v>45449</v>
      </c>
      <c r="E619" s="13">
        <f>+HYPERLINK("http://trademark.i-assist.jp/data/china/image_1890th/75885398.pdf",75885398)</f>
        <v>75885398</v>
      </c>
      <c r="F619" s="7" t="s">
        <v>1775</v>
      </c>
      <c r="G619" s="7" t="s">
        <v>1774</v>
      </c>
      <c r="H619" s="7" t="s">
        <v>1776</v>
      </c>
      <c r="I619" s="9">
        <v>45279</v>
      </c>
    </row>
    <row r="620" spans="1:9" x14ac:dyDescent="0.15">
      <c r="A620" s="6">
        <v>619</v>
      </c>
      <c r="B620" s="7" t="s">
        <v>7</v>
      </c>
      <c r="C620" s="8">
        <v>1890</v>
      </c>
      <c r="D620" s="9">
        <v>45449</v>
      </c>
      <c r="E620" s="13">
        <f>+HYPERLINK("http://trademark.i-assist.jp/data/china/image_1890th/75892090.pdf",75892090)</f>
        <v>75892090</v>
      </c>
      <c r="F620" s="7" t="s">
        <v>1777</v>
      </c>
      <c r="G620" s="7" t="s">
        <v>1774</v>
      </c>
      <c r="H620" s="7" t="s">
        <v>1778</v>
      </c>
      <c r="I620" s="9">
        <v>45279</v>
      </c>
    </row>
    <row r="621" spans="1:9" ht="27" x14ac:dyDescent="0.15">
      <c r="A621" s="6">
        <v>620</v>
      </c>
      <c r="B621" s="7" t="s">
        <v>7</v>
      </c>
      <c r="C621" s="8">
        <v>1890</v>
      </c>
      <c r="D621" s="9">
        <v>45449</v>
      </c>
      <c r="E621" s="13">
        <f>+HYPERLINK("http://trademark.i-assist.jp/data/china/image_1890th/75908171.pdf",75908171)</f>
        <v>75908171</v>
      </c>
      <c r="F621" s="7" t="s">
        <v>1780</v>
      </c>
      <c r="G621" s="7" t="s">
        <v>1779</v>
      </c>
      <c r="H621" s="7" t="s">
        <v>1781</v>
      </c>
      <c r="I621" s="9">
        <v>45280</v>
      </c>
    </row>
    <row r="622" spans="1:9" x14ac:dyDescent="0.15">
      <c r="A622" s="6">
        <v>621</v>
      </c>
      <c r="B622" s="7" t="s">
        <v>7</v>
      </c>
      <c r="C622" s="8">
        <v>1890</v>
      </c>
      <c r="D622" s="9">
        <v>45449</v>
      </c>
      <c r="E622" s="13">
        <f>+HYPERLINK("http://trademark.i-assist.jp/data/china/image_1890th/75924466.pdf",75924466)</f>
        <v>75924466</v>
      </c>
      <c r="F622" s="7" t="s">
        <v>1783</v>
      </c>
      <c r="G622" s="7" t="s">
        <v>1782</v>
      </c>
      <c r="H622" s="7" t="s">
        <v>1784</v>
      </c>
      <c r="I622" s="9">
        <v>45281</v>
      </c>
    </row>
    <row r="623" spans="1:9" x14ac:dyDescent="0.15">
      <c r="A623" s="6">
        <v>622</v>
      </c>
      <c r="B623" s="7" t="s">
        <v>7</v>
      </c>
      <c r="C623" s="8">
        <v>1890</v>
      </c>
      <c r="D623" s="9">
        <v>45449</v>
      </c>
      <c r="E623" s="13">
        <f>+HYPERLINK("http://trademark.i-assist.jp/data/china/image_1890th/75926425.pdf",75926425)</f>
        <v>75926425</v>
      </c>
      <c r="F623" s="7" t="s">
        <v>1786</v>
      </c>
      <c r="G623" s="7" t="s">
        <v>1785</v>
      </c>
      <c r="H623" s="7" t="s">
        <v>1787</v>
      </c>
      <c r="I623" s="9">
        <v>45281</v>
      </c>
    </row>
    <row r="624" spans="1:9" x14ac:dyDescent="0.15">
      <c r="A624" s="6">
        <v>623</v>
      </c>
      <c r="B624" s="7" t="s">
        <v>7</v>
      </c>
      <c r="C624" s="8">
        <v>1890</v>
      </c>
      <c r="D624" s="9">
        <v>45449</v>
      </c>
      <c r="E624" s="13">
        <f>+HYPERLINK("http://trademark.i-assist.jp/data/china/image_1890th/75941410.pdf",75941410)</f>
        <v>75941410</v>
      </c>
      <c r="F624" s="7" t="s">
        <v>1788</v>
      </c>
      <c r="G624" s="7" t="s">
        <v>1191</v>
      </c>
      <c r="H624" s="7" t="s">
        <v>1789</v>
      </c>
      <c r="I624" s="9">
        <v>45281</v>
      </c>
    </row>
    <row r="625" spans="1:9" ht="27" x14ac:dyDescent="0.15">
      <c r="A625" s="6">
        <v>624</v>
      </c>
      <c r="B625" s="7" t="s">
        <v>7</v>
      </c>
      <c r="C625" s="8">
        <v>1890</v>
      </c>
      <c r="D625" s="9">
        <v>45449</v>
      </c>
      <c r="E625" s="13">
        <f>+HYPERLINK("http://trademark.i-assist.jp/data/china/image_1890th/75941601.pdf",75941601)</f>
        <v>75941601</v>
      </c>
      <c r="F625" s="7" t="s">
        <v>1790</v>
      </c>
      <c r="G625" s="7" t="s">
        <v>1722</v>
      </c>
      <c r="H625" s="7" t="s">
        <v>1791</v>
      </c>
      <c r="I625" s="9">
        <v>45281</v>
      </c>
    </row>
    <row r="626" spans="1:9" ht="27" x14ac:dyDescent="0.15">
      <c r="A626" s="6">
        <v>625</v>
      </c>
      <c r="B626" s="7" t="s">
        <v>7</v>
      </c>
      <c r="C626" s="8">
        <v>1890</v>
      </c>
      <c r="D626" s="9">
        <v>45449</v>
      </c>
      <c r="E626" s="13">
        <f>+HYPERLINK("http://trademark.i-assist.jp/data/china/image_1890th/75957459.pdf",75957459)</f>
        <v>75957459</v>
      </c>
      <c r="F626" s="7" t="s">
        <v>183</v>
      </c>
      <c r="G626" s="7" t="s">
        <v>1792</v>
      </c>
      <c r="H626" s="7" t="s">
        <v>1793</v>
      </c>
      <c r="I626" s="9">
        <v>45282</v>
      </c>
    </row>
    <row r="627" spans="1:9" x14ac:dyDescent="0.15">
      <c r="A627" s="6">
        <v>626</v>
      </c>
      <c r="B627" s="7" t="s">
        <v>7</v>
      </c>
      <c r="C627" s="8">
        <v>1890</v>
      </c>
      <c r="D627" s="9">
        <v>45449</v>
      </c>
      <c r="E627" s="13">
        <f>+HYPERLINK("http://trademark.i-assist.jp/data/china/image_1890th/75958865.pdf",75958865)</f>
        <v>75958865</v>
      </c>
      <c r="F627" s="7" t="s">
        <v>1795</v>
      </c>
      <c r="G627" s="7" t="s">
        <v>1794</v>
      </c>
      <c r="H627" s="7" t="s">
        <v>1796</v>
      </c>
      <c r="I627" s="9">
        <v>45282</v>
      </c>
    </row>
    <row r="628" spans="1:9" x14ac:dyDescent="0.15">
      <c r="A628" s="6">
        <v>627</v>
      </c>
      <c r="B628" s="7" t="s">
        <v>7</v>
      </c>
      <c r="C628" s="8">
        <v>1890</v>
      </c>
      <c r="D628" s="9">
        <v>45449</v>
      </c>
      <c r="E628" s="13">
        <f>+HYPERLINK("http://trademark.i-assist.jp/data/china/image_1890th/75964960.pdf",75964960)</f>
        <v>75964960</v>
      </c>
      <c r="F628" s="7" t="s">
        <v>1798</v>
      </c>
      <c r="G628" s="7" t="s">
        <v>1797</v>
      </c>
      <c r="H628" s="7" t="s">
        <v>1799</v>
      </c>
      <c r="I628" s="9">
        <v>45282</v>
      </c>
    </row>
    <row r="629" spans="1:9" x14ac:dyDescent="0.15">
      <c r="A629" s="6">
        <v>628</v>
      </c>
      <c r="B629" s="7" t="s">
        <v>7</v>
      </c>
      <c r="C629" s="8">
        <v>1890</v>
      </c>
      <c r="D629" s="9">
        <v>45449</v>
      </c>
      <c r="E629" s="13">
        <f>+HYPERLINK("http://trademark.i-assist.jp/data/china/image_1890th/76899450.pdf",76899450)</f>
        <v>76899450</v>
      </c>
      <c r="F629" s="7" t="s">
        <v>1801</v>
      </c>
      <c r="G629" s="7" t="s">
        <v>1800</v>
      </c>
      <c r="H629" s="7" t="s">
        <v>1802</v>
      </c>
      <c r="I629" s="9">
        <v>45343</v>
      </c>
    </row>
    <row r="630" spans="1:9" x14ac:dyDescent="0.15">
      <c r="A630" s="6">
        <v>629</v>
      </c>
      <c r="B630" s="7" t="s">
        <v>7</v>
      </c>
      <c r="C630" s="8">
        <v>1890</v>
      </c>
      <c r="D630" s="9">
        <v>45449</v>
      </c>
      <c r="E630" s="13">
        <f>+HYPERLINK("http://trademark.i-assist.jp/data/china/image_1890th/76899643.pdf",76899643)</f>
        <v>76899643</v>
      </c>
      <c r="F630" s="7" t="s">
        <v>1804</v>
      </c>
      <c r="G630" s="7" t="s">
        <v>1803</v>
      </c>
      <c r="H630" s="7" t="s">
        <v>1805</v>
      </c>
      <c r="I630" s="9">
        <v>45343</v>
      </c>
    </row>
    <row r="631" spans="1:9" x14ac:dyDescent="0.15">
      <c r="A631" s="6">
        <v>630</v>
      </c>
      <c r="B631" s="7" t="s">
        <v>7</v>
      </c>
      <c r="C631" s="8">
        <v>1890</v>
      </c>
      <c r="D631" s="9">
        <v>45449</v>
      </c>
      <c r="E631" s="13">
        <f>+HYPERLINK("http://trademark.i-assist.jp/data/china/image_1890th/76899835.pdf",76899835)</f>
        <v>76899835</v>
      </c>
      <c r="F631" s="7" t="s">
        <v>1807</v>
      </c>
      <c r="G631" s="7" t="s">
        <v>1806</v>
      </c>
      <c r="H631" s="7" t="s">
        <v>1808</v>
      </c>
      <c r="I631" s="9">
        <v>45343</v>
      </c>
    </row>
    <row r="632" spans="1:9" x14ac:dyDescent="0.15">
      <c r="A632" s="6">
        <v>631</v>
      </c>
      <c r="B632" s="7" t="s">
        <v>7</v>
      </c>
      <c r="C632" s="8">
        <v>1890</v>
      </c>
      <c r="D632" s="9">
        <v>45449</v>
      </c>
      <c r="E632" s="13">
        <f>+HYPERLINK("http://trademark.i-assist.jp/data/china/image_1890th/76901129.pdf",76901129)</f>
        <v>76901129</v>
      </c>
      <c r="F632" s="7" t="s">
        <v>1810</v>
      </c>
      <c r="G632" s="7" t="s">
        <v>1809</v>
      </c>
      <c r="H632" s="7" t="s">
        <v>1811</v>
      </c>
      <c r="I632" s="9">
        <v>45344</v>
      </c>
    </row>
    <row r="633" spans="1:9" x14ac:dyDescent="0.15">
      <c r="A633" s="6">
        <v>632</v>
      </c>
      <c r="B633" s="7" t="s">
        <v>7</v>
      </c>
      <c r="C633" s="8">
        <v>1890</v>
      </c>
      <c r="D633" s="9">
        <v>45449</v>
      </c>
      <c r="E633" s="13">
        <f>+HYPERLINK("http://trademark.i-assist.jp/data/china/image_1890th/76901339.pdf",76901339)</f>
        <v>76901339</v>
      </c>
      <c r="F633" s="7" t="s">
        <v>1813</v>
      </c>
      <c r="G633" s="7" t="s">
        <v>1812</v>
      </c>
      <c r="H633" s="7" t="s">
        <v>1814</v>
      </c>
      <c r="I633" s="9">
        <v>45344</v>
      </c>
    </row>
    <row r="634" spans="1:9" x14ac:dyDescent="0.15">
      <c r="A634" s="6">
        <v>633</v>
      </c>
      <c r="B634" s="7" t="s">
        <v>7</v>
      </c>
      <c r="C634" s="8">
        <v>1890</v>
      </c>
      <c r="D634" s="9">
        <v>45449</v>
      </c>
      <c r="E634" s="13">
        <f>+HYPERLINK("http://trademark.i-assist.jp/data/china/image_1890th/76901917.pdf",76901917)</f>
        <v>76901917</v>
      </c>
      <c r="F634" s="7" t="s">
        <v>1816</v>
      </c>
      <c r="G634" s="7" t="s">
        <v>1815</v>
      </c>
      <c r="H634" s="7" t="s">
        <v>1817</v>
      </c>
      <c r="I634" s="9">
        <v>45344</v>
      </c>
    </row>
    <row r="635" spans="1:9" ht="27" x14ac:dyDescent="0.15">
      <c r="A635" s="6">
        <v>634</v>
      </c>
      <c r="B635" s="7" t="s">
        <v>7</v>
      </c>
      <c r="C635" s="8">
        <v>1890</v>
      </c>
      <c r="D635" s="9">
        <v>45449</v>
      </c>
      <c r="E635" s="13">
        <f>+HYPERLINK("http://trademark.i-assist.jp/data/china/image_1890th/76904132.pdf",76904132)</f>
        <v>76904132</v>
      </c>
      <c r="F635" s="7" t="s">
        <v>1819</v>
      </c>
      <c r="G635" s="7" t="s">
        <v>1818</v>
      </c>
      <c r="H635" s="7" t="s">
        <v>1820</v>
      </c>
      <c r="I635" s="9">
        <v>45344</v>
      </c>
    </row>
    <row r="636" spans="1:9" x14ac:dyDescent="0.15">
      <c r="A636" s="6">
        <v>635</v>
      </c>
      <c r="B636" s="7" t="s">
        <v>7</v>
      </c>
      <c r="C636" s="8">
        <v>1890</v>
      </c>
      <c r="D636" s="9">
        <v>45449</v>
      </c>
      <c r="E636" s="13">
        <f>+HYPERLINK("http://trademark.i-assist.jp/data/china/image_1890th/77188918.pdf",77188918)</f>
        <v>77188918</v>
      </c>
      <c r="F636" s="7" t="s">
        <v>1822</v>
      </c>
      <c r="G636" s="7" t="s">
        <v>1821</v>
      </c>
      <c r="H636" s="7" t="s">
        <v>1823</v>
      </c>
      <c r="I636" s="9">
        <v>45359</v>
      </c>
    </row>
    <row r="637" spans="1:9" x14ac:dyDescent="0.15">
      <c r="A637" s="6">
        <v>636</v>
      </c>
      <c r="B637" s="7" t="s">
        <v>7</v>
      </c>
      <c r="C637" s="8">
        <v>1890</v>
      </c>
      <c r="D637" s="9">
        <v>45449</v>
      </c>
      <c r="E637" s="13">
        <f>+HYPERLINK("http://trademark.i-assist.jp/data/china/image_1890th/77189722.pdf",77189722)</f>
        <v>77189722</v>
      </c>
      <c r="F637" s="7" t="s">
        <v>1825</v>
      </c>
      <c r="G637" s="7" t="s">
        <v>1824</v>
      </c>
      <c r="H637" s="7" t="s">
        <v>1826</v>
      </c>
      <c r="I637" s="9">
        <v>45359</v>
      </c>
    </row>
    <row r="638" spans="1:9" x14ac:dyDescent="0.15">
      <c r="A638" s="6">
        <v>637</v>
      </c>
      <c r="B638" s="7" t="s">
        <v>7</v>
      </c>
      <c r="C638" s="8">
        <v>1890</v>
      </c>
      <c r="D638" s="9">
        <v>45449</v>
      </c>
      <c r="E638" s="13">
        <f>+HYPERLINK("http://trademark.i-assist.jp/data/china/image_1890th/77190159.pdf",77190159)</f>
        <v>77190159</v>
      </c>
      <c r="F638" s="7" t="s">
        <v>1828</v>
      </c>
      <c r="G638" s="7" t="s">
        <v>1827</v>
      </c>
      <c r="H638" s="7" t="s">
        <v>1829</v>
      </c>
      <c r="I638" s="9">
        <v>45359</v>
      </c>
    </row>
    <row r="639" spans="1:9" x14ac:dyDescent="0.15">
      <c r="A639" s="6">
        <v>638</v>
      </c>
      <c r="B639" s="7" t="s">
        <v>7</v>
      </c>
      <c r="C639" s="8">
        <v>1890</v>
      </c>
      <c r="D639" s="9">
        <v>45449</v>
      </c>
      <c r="E639" s="13">
        <f>+HYPERLINK("http://trademark.i-assist.jp/data/china/image_1890th/77190713.pdf",77190713)</f>
        <v>77190713</v>
      </c>
      <c r="F639" s="7" t="s">
        <v>1831</v>
      </c>
      <c r="G639" s="7" t="s">
        <v>1830</v>
      </c>
      <c r="H639" s="7" t="s">
        <v>1832</v>
      </c>
      <c r="I639" s="9">
        <v>45359</v>
      </c>
    </row>
    <row r="640" spans="1:9" ht="27" x14ac:dyDescent="0.15">
      <c r="A640" s="6">
        <v>639</v>
      </c>
      <c r="B640" s="7" t="s">
        <v>7</v>
      </c>
      <c r="C640" s="8">
        <v>1890</v>
      </c>
      <c r="D640" s="9">
        <v>45449</v>
      </c>
      <c r="E640" s="13">
        <f>+HYPERLINK("http://trademark.i-assist.jp/data/china/image_1890th/77190769.pdf",77190769)</f>
        <v>77190769</v>
      </c>
      <c r="F640" s="7" t="s">
        <v>1834</v>
      </c>
      <c r="G640" s="7" t="s">
        <v>1833</v>
      </c>
      <c r="H640" s="7" t="s">
        <v>1835</v>
      </c>
      <c r="I640" s="9">
        <v>45359</v>
      </c>
    </row>
    <row r="641" spans="1:9" x14ac:dyDescent="0.15">
      <c r="A641" s="6">
        <v>640</v>
      </c>
      <c r="B641" s="7" t="s">
        <v>7</v>
      </c>
      <c r="C641" s="8">
        <v>1890</v>
      </c>
      <c r="D641" s="9">
        <v>45449</v>
      </c>
      <c r="E641" s="13">
        <f>+HYPERLINK("http://trademark.i-assist.jp/data/china/image_1890th/77191022.pdf",77191022)</f>
        <v>77191022</v>
      </c>
      <c r="F641" s="7" t="s">
        <v>1837</v>
      </c>
      <c r="G641" s="7" t="s">
        <v>1836</v>
      </c>
      <c r="H641" s="7" t="s">
        <v>1838</v>
      </c>
      <c r="I641" s="9">
        <v>45359</v>
      </c>
    </row>
    <row r="642" spans="1:9" x14ac:dyDescent="0.15">
      <c r="A642" s="6">
        <v>641</v>
      </c>
      <c r="B642" s="7" t="s">
        <v>7</v>
      </c>
      <c r="C642" s="8">
        <v>1890</v>
      </c>
      <c r="D642" s="9">
        <v>45449</v>
      </c>
      <c r="E642" s="13">
        <f>+HYPERLINK("http://trademark.i-assist.jp/data/china/image_1890th/77191428.pdf",77191428)</f>
        <v>77191428</v>
      </c>
      <c r="F642" s="7" t="s">
        <v>1840</v>
      </c>
      <c r="G642" s="7" t="s">
        <v>1839</v>
      </c>
      <c r="H642" s="7" t="s">
        <v>1841</v>
      </c>
      <c r="I642" s="9">
        <v>45359</v>
      </c>
    </row>
    <row r="643" spans="1:9" x14ac:dyDescent="0.15">
      <c r="A643" s="6">
        <v>642</v>
      </c>
      <c r="B643" s="7" t="s">
        <v>7</v>
      </c>
      <c r="C643" s="8">
        <v>1890</v>
      </c>
      <c r="D643" s="9">
        <v>45449</v>
      </c>
      <c r="E643" s="13">
        <f>+HYPERLINK("http://trademark.i-assist.jp/data/china/image_1890th/77304426.pdf",77304426)</f>
        <v>77304426</v>
      </c>
      <c r="F643" s="7" t="s">
        <v>1843</v>
      </c>
      <c r="G643" s="7" t="s">
        <v>1842</v>
      </c>
      <c r="H643" s="7" t="s">
        <v>1844</v>
      </c>
      <c r="I643" s="9">
        <v>45365</v>
      </c>
    </row>
    <row r="644" spans="1:9" x14ac:dyDescent="0.15">
      <c r="A644" s="6">
        <v>643</v>
      </c>
      <c r="B644" s="7" t="s">
        <v>7</v>
      </c>
      <c r="C644" s="8">
        <v>1890</v>
      </c>
      <c r="D644" s="9">
        <v>45449</v>
      </c>
      <c r="E644" s="13">
        <f>+HYPERLINK("http://trademark.i-assist.jp/data/china/image_1890th/77304652.pdf",77304652)</f>
        <v>77304652</v>
      </c>
      <c r="F644" s="7" t="s">
        <v>1846</v>
      </c>
      <c r="G644" s="7" t="s">
        <v>1845</v>
      </c>
      <c r="H644" s="7" t="s">
        <v>1847</v>
      </c>
      <c r="I644" s="9">
        <v>45365</v>
      </c>
    </row>
    <row r="645" spans="1:9" x14ac:dyDescent="0.15">
      <c r="A645" s="6">
        <v>644</v>
      </c>
      <c r="B645" s="7" t="s">
        <v>7</v>
      </c>
      <c r="C645" s="8">
        <v>1890</v>
      </c>
      <c r="D645" s="9">
        <v>45449</v>
      </c>
      <c r="E645" s="13">
        <f>+HYPERLINK("http://trademark.i-assist.jp/data/china/image_1890th/77304766.pdf",77304766)</f>
        <v>77304766</v>
      </c>
      <c r="F645" s="7" t="s">
        <v>1849</v>
      </c>
      <c r="G645" s="7" t="s">
        <v>1848</v>
      </c>
      <c r="H645" s="7" t="s">
        <v>1850</v>
      </c>
      <c r="I645" s="9">
        <v>45365</v>
      </c>
    </row>
    <row r="646" spans="1:9" x14ac:dyDescent="0.15">
      <c r="A646" s="6">
        <v>645</v>
      </c>
      <c r="B646" s="7" t="s">
        <v>7</v>
      </c>
      <c r="C646" s="8">
        <v>1890</v>
      </c>
      <c r="D646" s="9">
        <v>45449</v>
      </c>
      <c r="E646" s="13">
        <f>+HYPERLINK("http://trademark.i-assist.jp/data/china/image_1890th/77304950.pdf",77304950)</f>
        <v>77304950</v>
      </c>
      <c r="F646" s="7" t="s">
        <v>1852</v>
      </c>
      <c r="G646" s="7" t="s">
        <v>1851</v>
      </c>
      <c r="H646" s="7" t="s">
        <v>1853</v>
      </c>
      <c r="I646" s="9">
        <v>45365</v>
      </c>
    </row>
    <row r="647" spans="1:9" x14ac:dyDescent="0.15">
      <c r="A647" s="6">
        <v>646</v>
      </c>
      <c r="B647" s="7" t="s">
        <v>7</v>
      </c>
      <c r="C647" s="8">
        <v>1890</v>
      </c>
      <c r="D647" s="9">
        <v>45449</v>
      </c>
      <c r="E647" s="13">
        <f>+HYPERLINK("http://trademark.i-assist.jp/data/china/image_1890th/77305214.pdf",77305214)</f>
        <v>77305214</v>
      </c>
      <c r="F647" s="7" t="s">
        <v>1855</v>
      </c>
      <c r="G647" s="7" t="s">
        <v>1854</v>
      </c>
      <c r="H647" s="7" t="s">
        <v>1856</v>
      </c>
      <c r="I647" s="9">
        <v>45365</v>
      </c>
    </row>
    <row r="648" spans="1:9" x14ac:dyDescent="0.15">
      <c r="A648" s="6">
        <v>647</v>
      </c>
      <c r="B648" s="7" t="s">
        <v>7</v>
      </c>
      <c r="C648" s="8">
        <v>1890</v>
      </c>
      <c r="D648" s="9">
        <v>45449</v>
      </c>
      <c r="E648" s="13">
        <f>+HYPERLINK("http://trademark.i-assist.jp/data/china/image_1890th/77305348.pdf",77305348)</f>
        <v>77305348</v>
      </c>
      <c r="F648" s="7" t="s">
        <v>1858</v>
      </c>
      <c r="G648" s="7" t="s">
        <v>1857</v>
      </c>
      <c r="H648" s="7" t="s">
        <v>1859</v>
      </c>
      <c r="I648" s="9">
        <v>45365</v>
      </c>
    </row>
    <row r="649" spans="1:9" x14ac:dyDescent="0.15">
      <c r="A649" s="6">
        <v>648</v>
      </c>
      <c r="B649" s="7" t="s">
        <v>7</v>
      </c>
      <c r="C649" s="8">
        <v>1890</v>
      </c>
      <c r="D649" s="9">
        <v>45449</v>
      </c>
      <c r="E649" s="13">
        <f>+HYPERLINK("http://trademark.i-assist.jp/data/china/image_1890th/77305613.pdf",77305613)</f>
        <v>77305613</v>
      </c>
      <c r="F649" s="7" t="s">
        <v>1861</v>
      </c>
      <c r="G649" s="7" t="s">
        <v>1860</v>
      </c>
      <c r="H649" s="7" t="s">
        <v>1862</v>
      </c>
      <c r="I649" s="9">
        <v>45365</v>
      </c>
    </row>
    <row r="650" spans="1:9" x14ac:dyDescent="0.15">
      <c r="A650" s="6">
        <v>649</v>
      </c>
      <c r="B650" s="7" t="s">
        <v>7</v>
      </c>
      <c r="C650" s="8">
        <v>1890</v>
      </c>
      <c r="D650" s="9">
        <v>45449</v>
      </c>
      <c r="E650" s="13">
        <f>+HYPERLINK("http://trademark.i-assist.jp/data/china/image_1890th/77305768.pdf",77305768)</f>
        <v>77305768</v>
      </c>
      <c r="F650" s="7" t="s">
        <v>1864</v>
      </c>
      <c r="G650" s="7" t="s">
        <v>1863</v>
      </c>
      <c r="H650" s="7" t="s">
        <v>1865</v>
      </c>
      <c r="I650" s="9">
        <v>45365</v>
      </c>
    </row>
    <row r="651" spans="1:9" x14ac:dyDescent="0.15">
      <c r="A651" s="6">
        <v>650</v>
      </c>
      <c r="B651" s="7" t="s">
        <v>7</v>
      </c>
      <c r="C651" s="8">
        <v>1890</v>
      </c>
      <c r="D651" s="9">
        <v>45449</v>
      </c>
      <c r="E651" s="13">
        <f>+HYPERLINK("http://trademark.i-assist.jp/data/china/image_1890th/77305806.pdf",77305806)</f>
        <v>77305806</v>
      </c>
      <c r="F651" s="7" t="s">
        <v>1867</v>
      </c>
      <c r="G651" s="7" t="s">
        <v>1866</v>
      </c>
      <c r="H651" s="7" t="s">
        <v>1868</v>
      </c>
      <c r="I651" s="9">
        <v>45365</v>
      </c>
    </row>
    <row r="652" spans="1:9" x14ac:dyDescent="0.15">
      <c r="A652" s="6">
        <v>651</v>
      </c>
      <c r="B652" s="7" t="s">
        <v>7</v>
      </c>
      <c r="C652" s="8">
        <v>1890</v>
      </c>
      <c r="D652" s="9">
        <v>45449</v>
      </c>
      <c r="E652" s="13">
        <f>+HYPERLINK("http://trademark.i-assist.jp/data/china/image_1890th/77305848.pdf",77305848)</f>
        <v>77305848</v>
      </c>
      <c r="F652" s="7" t="s">
        <v>1870</v>
      </c>
      <c r="G652" s="7" t="s">
        <v>1869</v>
      </c>
      <c r="H652" s="7" t="s">
        <v>1871</v>
      </c>
      <c r="I652" s="9">
        <v>45365</v>
      </c>
    </row>
    <row r="653" spans="1:9" x14ac:dyDescent="0.15">
      <c r="A653" s="6">
        <v>652</v>
      </c>
      <c r="B653" s="7" t="s">
        <v>7</v>
      </c>
      <c r="C653" s="8">
        <v>1890</v>
      </c>
      <c r="D653" s="9">
        <v>45449</v>
      </c>
      <c r="E653" s="13">
        <f>+HYPERLINK("http://trademark.i-assist.jp/data/china/image_1890th/77305963.pdf",77305963)</f>
        <v>77305963</v>
      </c>
      <c r="F653" s="7" t="s">
        <v>1873</v>
      </c>
      <c r="G653" s="7" t="s">
        <v>1872</v>
      </c>
      <c r="H653" s="7" t="s">
        <v>1874</v>
      </c>
      <c r="I653" s="9">
        <v>45365</v>
      </c>
    </row>
    <row r="654" spans="1:9" x14ac:dyDescent="0.15">
      <c r="A654" s="6">
        <v>653</v>
      </c>
      <c r="B654" s="7" t="s">
        <v>7</v>
      </c>
      <c r="C654" s="8">
        <v>1890</v>
      </c>
      <c r="D654" s="9">
        <v>45449</v>
      </c>
      <c r="E654" s="13">
        <f>+HYPERLINK("http://trademark.i-assist.jp/data/china/image_1890th/77306099.pdf",77306099)</f>
        <v>77306099</v>
      </c>
      <c r="F654" s="7" t="s">
        <v>1876</v>
      </c>
      <c r="G654" s="7" t="s">
        <v>1875</v>
      </c>
      <c r="H654" s="7" t="s">
        <v>1877</v>
      </c>
      <c r="I654" s="9">
        <v>45365</v>
      </c>
    </row>
    <row r="655" spans="1:9" x14ac:dyDescent="0.15">
      <c r="A655" s="6">
        <v>654</v>
      </c>
      <c r="B655" s="7" t="s">
        <v>7</v>
      </c>
      <c r="C655" s="8">
        <v>1890</v>
      </c>
      <c r="D655" s="9">
        <v>45449</v>
      </c>
      <c r="E655" s="13">
        <f>+HYPERLINK("http://trademark.i-assist.jp/data/china/image_1890th/77306452.pdf",77306452)</f>
        <v>77306452</v>
      </c>
      <c r="F655" s="7" t="s">
        <v>1879</v>
      </c>
      <c r="G655" s="7" t="s">
        <v>1878</v>
      </c>
      <c r="H655" s="7" t="s">
        <v>1880</v>
      </c>
      <c r="I655" s="9">
        <v>45365</v>
      </c>
    </row>
    <row r="656" spans="1:9" x14ac:dyDescent="0.15">
      <c r="A656" s="6">
        <v>655</v>
      </c>
      <c r="B656" s="7" t="s">
        <v>7</v>
      </c>
      <c r="C656" s="8">
        <v>1890</v>
      </c>
      <c r="D656" s="9">
        <v>45449</v>
      </c>
      <c r="E656" s="13">
        <f>+HYPERLINK("http://trademark.i-assist.jp/data/china/image_1890th/77306936.pdf",77306936)</f>
        <v>77306936</v>
      </c>
      <c r="F656" s="7" t="s">
        <v>1882</v>
      </c>
      <c r="G656" s="7" t="s">
        <v>1881</v>
      </c>
      <c r="H656" s="7" t="s">
        <v>1883</v>
      </c>
      <c r="I656" s="9">
        <v>45365</v>
      </c>
    </row>
    <row r="657" spans="1:9" x14ac:dyDescent="0.15">
      <c r="A657" s="6">
        <v>656</v>
      </c>
      <c r="B657" s="7" t="s">
        <v>7</v>
      </c>
      <c r="C657" s="8">
        <v>1890</v>
      </c>
      <c r="D657" s="9">
        <v>45449</v>
      </c>
      <c r="E657" s="13">
        <f>+HYPERLINK("http://trademark.i-assist.jp/data/china/image_1890th/77375148.pdf",77375148)</f>
        <v>77375148</v>
      </c>
      <c r="F657" s="7" t="s">
        <v>1885</v>
      </c>
      <c r="G657" s="7" t="s">
        <v>1884</v>
      </c>
      <c r="H657" s="7" t="s">
        <v>1886</v>
      </c>
      <c r="I657" s="9">
        <v>45369</v>
      </c>
    </row>
    <row r="658" spans="1:9" x14ac:dyDescent="0.15">
      <c r="A658" s="6">
        <v>657</v>
      </c>
      <c r="B658" s="7" t="s">
        <v>7</v>
      </c>
      <c r="C658" s="8">
        <v>1890</v>
      </c>
      <c r="D658" s="9">
        <v>45449</v>
      </c>
      <c r="E658" s="13">
        <f>+HYPERLINK("http://trademark.i-assist.jp/data/china/image_1890th/77375164.pdf",77375164)</f>
        <v>77375164</v>
      </c>
      <c r="F658" s="7" t="s">
        <v>1888</v>
      </c>
      <c r="G658" s="7" t="s">
        <v>1887</v>
      </c>
      <c r="H658" s="7" t="s">
        <v>1889</v>
      </c>
      <c r="I658" s="9">
        <v>45369</v>
      </c>
    </row>
    <row r="659" spans="1:9" x14ac:dyDescent="0.15">
      <c r="A659" s="6">
        <v>658</v>
      </c>
      <c r="B659" s="7" t="s">
        <v>7</v>
      </c>
      <c r="C659" s="8">
        <v>1890</v>
      </c>
      <c r="D659" s="9">
        <v>45449</v>
      </c>
      <c r="E659" s="13">
        <f>+HYPERLINK("http://trademark.i-assist.jp/data/china/image_1890th/77375390.pdf",77375390)</f>
        <v>77375390</v>
      </c>
      <c r="F659" s="7" t="s">
        <v>1891</v>
      </c>
      <c r="G659" s="7" t="s">
        <v>1890</v>
      </c>
      <c r="H659" s="7" t="s">
        <v>1892</v>
      </c>
      <c r="I659" s="9">
        <v>45369</v>
      </c>
    </row>
    <row r="660" spans="1:9" x14ac:dyDescent="0.15">
      <c r="A660" s="6">
        <v>659</v>
      </c>
      <c r="B660" s="7" t="s">
        <v>7</v>
      </c>
      <c r="C660" s="8">
        <v>1890</v>
      </c>
      <c r="D660" s="9">
        <v>45449</v>
      </c>
      <c r="E660" s="13">
        <f>+HYPERLINK("http://trademark.i-assist.jp/data/china/image_1890th/77375637.pdf",77375637)</f>
        <v>77375637</v>
      </c>
      <c r="F660" s="7" t="s">
        <v>1894</v>
      </c>
      <c r="G660" s="7" t="s">
        <v>1893</v>
      </c>
      <c r="H660" s="7" t="s">
        <v>1895</v>
      </c>
      <c r="I660" s="9">
        <v>45369</v>
      </c>
    </row>
    <row r="661" spans="1:9" x14ac:dyDescent="0.15">
      <c r="A661" s="6">
        <v>660</v>
      </c>
      <c r="B661" s="7" t="s">
        <v>7</v>
      </c>
      <c r="C661" s="8">
        <v>1890</v>
      </c>
      <c r="D661" s="9">
        <v>45449</v>
      </c>
      <c r="E661" s="13">
        <f>+HYPERLINK("http://trademark.i-assist.jp/data/china/image_1890th/77375806.pdf",77375806)</f>
        <v>77375806</v>
      </c>
      <c r="F661" s="7" t="s">
        <v>1897</v>
      </c>
      <c r="G661" s="7" t="s">
        <v>1896</v>
      </c>
      <c r="H661" s="7" t="s">
        <v>1898</v>
      </c>
      <c r="I661" s="9">
        <v>45369</v>
      </c>
    </row>
    <row r="662" spans="1:9" x14ac:dyDescent="0.15">
      <c r="A662" s="6">
        <v>661</v>
      </c>
      <c r="B662" s="7" t="s">
        <v>7</v>
      </c>
      <c r="C662" s="8">
        <v>1890</v>
      </c>
      <c r="D662" s="9">
        <v>45449</v>
      </c>
      <c r="E662" s="13">
        <f>+HYPERLINK("http://trademark.i-assist.jp/data/china/image_1890th/77376024.pdf",77376024)</f>
        <v>77376024</v>
      </c>
      <c r="F662" s="7" t="s">
        <v>1900</v>
      </c>
      <c r="G662" s="7" t="s">
        <v>1899</v>
      </c>
      <c r="H662" s="7" t="s">
        <v>1901</v>
      </c>
      <c r="I662" s="9">
        <v>45369</v>
      </c>
    </row>
    <row r="663" spans="1:9" x14ac:dyDescent="0.15">
      <c r="A663" s="6">
        <v>662</v>
      </c>
      <c r="B663" s="7" t="s">
        <v>7</v>
      </c>
      <c r="C663" s="8">
        <v>1890</v>
      </c>
      <c r="D663" s="9">
        <v>45449</v>
      </c>
      <c r="E663" s="13">
        <f>+HYPERLINK("http://trademark.i-assist.jp/data/china/image_1890th/77376028.pdf",77376028)</f>
        <v>77376028</v>
      </c>
      <c r="F663" s="7" t="s">
        <v>183</v>
      </c>
      <c r="G663" s="7" t="s">
        <v>1902</v>
      </c>
      <c r="H663" s="7" t="s">
        <v>1903</v>
      </c>
      <c r="I663" s="9">
        <v>45369</v>
      </c>
    </row>
    <row r="664" spans="1:9" x14ac:dyDescent="0.15">
      <c r="A664" s="6">
        <v>663</v>
      </c>
      <c r="B664" s="7" t="s">
        <v>7</v>
      </c>
      <c r="C664" s="8">
        <v>1890</v>
      </c>
      <c r="D664" s="9">
        <v>45449</v>
      </c>
      <c r="E664" s="13">
        <f>+HYPERLINK("http://trademark.i-assist.jp/data/china/image_1890th/77376085.pdf",77376085)</f>
        <v>77376085</v>
      </c>
      <c r="F664" s="7" t="s">
        <v>1905</v>
      </c>
      <c r="G664" s="7" t="s">
        <v>1904</v>
      </c>
      <c r="H664" s="7" t="s">
        <v>1906</v>
      </c>
      <c r="I664" s="9">
        <v>45369</v>
      </c>
    </row>
    <row r="665" spans="1:9" x14ac:dyDescent="0.15">
      <c r="A665" s="6">
        <v>664</v>
      </c>
      <c r="B665" s="7" t="s">
        <v>7</v>
      </c>
      <c r="C665" s="8">
        <v>1890</v>
      </c>
      <c r="D665" s="9">
        <v>45449</v>
      </c>
      <c r="E665" s="13">
        <f>+HYPERLINK("http://trademark.i-assist.jp/data/china/image_1890th/77376308.pdf",77376308)</f>
        <v>77376308</v>
      </c>
      <c r="F665" s="7" t="s">
        <v>1908</v>
      </c>
      <c r="G665" s="7" t="s">
        <v>1907</v>
      </c>
      <c r="H665" s="7" t="s">
        <v>1909</v>
      </c>
      <c r="I665" s="9">
        <v>45369</v>
      </c>
    </row>
    <row r="666" spans="1:9" x14ac:dyDescent="0.15">
      <c r="A666" s="6">
        <v>665</v>
      </c>
      <c r="B666" s="7" t="s">
        <v>7</v>
      </c>
      <c r="C666" s="8">
        <v>1890</v>
      </c>
      <c r="D666" s="9">
        <v>45449</v>
      </c>
      <c r="E666" s="13">
        <f>+HYPERLINK("http://trademark.i-assist.jp/data/china/image_1890th/77376381.pdf",77376381)</f>
        <v>77376381</v>
      </c>
      <c r="F666" s="7" t="s">
        <v>183</v>
      </c>
      <c r="G666" s="7" t="s">
        <v>1910</v>
      </c>
      <c r="H666" s="7" t="s">
        <v>1911</v>
      </c>
      <c r="I666" s="9">
        <v>45369</v>
      </c>
    </row>
    <row r="667" spans="1:9" x14ac:dyDescent="0.15">
      <c r="A667" s="6">
        <v>666</v>
      </c>
      <c r="B667" s="7" t="s">
        <v>7</v>
      </c>
      <c r="C667" s="8">
        <v>1890</v>
      </c>
      <c r="D667" s="9">
        <v>45449</v>
      </c>
      <c r="E667" s="13">
        <f>+HYPERLINK("http://trademark.i-assist.jp/data/china/image_1890th/77376456.pdf",77376456)</f>
        <v>77376456</v>
      </c>
      <c r="F667" s="7" t="s">
        <v>1913</v>
      </c>
      <c r="G667" s="7" t="s">
        <v>1912</v>
      </c>
      <c r="H667" s="7" t="s">
        <v>1914</v>
      </c>
      <c r="I667" s="9">
        <v>45369</v>
      </c>
    </row>
    <row r="668" spans="1:9" x14ac:dyDescent="0.15">
      <c r="A668" s="6">
        <v>667</v>
      </c>
      <c r="B668" s="7" t="s">
        <v>7</v>
      </c>
      <c r="C668" s="8">
        <v>1890</v>
      </c>
      <c r="D668" s="9">
        <v>45449</v>
      </c>
      <c r="E668" s="13">
        <f>+HYPERLINK("http://trademark.i-assist.jp/data/china/image_1890th/77376517.pdf",77376517)</f>
        <v>77376517</v>
      </c>
      <c r="F668" s="7" t="s">
        <v>1916</v>
      </c>
      <c r="G668" s="7" t="s">
        <v>1915</v>
      </c>
      <c r="H668" s="7" t="s">
        <v>1917</v>
      </c>
      <c r="I668" s="9">
        <v>45369</v>
      </c>
    </row>
    <row r="669" spans="1:9" x14ac:dyDescent="0.15">
      <c r="A669" s="6">
        <v>668</v>
      </c>
      <c r="B669" s="7" t="s">
        <v>7</v>
      </c>
      <c r="C669" s="8">
        <v>1890</v>
      </c>
      <c r="D669" s="9">
        <v>45449</v>
      </c>
      <c r="E669" s="13">
        <f>+HYPERLINK("http://trademark.i-assist.jp/data/china/image_1890th/77376549.pdf",77376549)</f>
        <v>77376549</v>
      </c>
      <c r="F669" s="7" t="s">
        <v>1919</v>
      </c>
      <c r="G669" s="7" t="s">
        <v>1918</v>
      </c>
      <c r="H669" s="7" t="s">
        <v>1920</v>
      </c>
      <c r="I669" s="9">
        <v>45369</v>
      </c>
    </row>
    <row r="670" spans="1:9" x14ac:dyDescent="0.15">
      <c r="A670" s="6">
        <v>669</v>
      </c>
      <c r="B670" s="7" t="s">
        <v>7</v>
      </c>
      <c r="C670" s="8">
        <v>1890</v>
      </c>
      <c r="D670" s="9">
        <v>45449</v>
      </c>
      <c r="E670" s="13">
        <f>+HYPERLINK("http://trademark.i-assist.jp/data/china/image_1890th/77376606.pdf",77376606)</f>
        <v>77376606</v>
      </c>
      <c r="F670" s="7" t="s">
        <v>1922</v>
      </c>
      <c r="G670" s="7" t="s">
        <v>1921</v>
      </c>
      <c r="H670" s="7" t="s">
        <v>1923</v>
      </c>
      <c r="I670" s="9">
        <v>45369</v>
      </c>
    </row>
    <row r="671" spans="1:9" x14ac:dyDescent="0.15">
      <c r="A671" s="6">
        <v>670</v>
      </c>
      <c r="B671" s="7" t="s">
        <v>7</v>
      </c>
      <c r="C671" s="8">
        <v>1890</v>
      </c>
      <c r="D671" s="9">
        <v>45449</v>
      </c>
      <c r="E671" s="13">
        <f>+HYPERLINK("http://trademark.i-assist.jp/data/china/image_1890th/77409872.pdf",77409872)</f>
        <v>77409872</v>
      </c>
      <c r="F671" s="7" t="s">
        <v>1925</v>
      </c>
      <c r="G671" s="7" t="s">
        <v>1924</v>
      </c>
      <c r="H671" s="7" t="s">
        <v>1926</v>
      </c>
      <c r="I671" s="9">
        <v>45370</v>
      </c>
    </row>
    <row r="672" spans="1:9" x14ac:dyDescent="0.15">
      <c r="A672" s="6">
        <v>671</v>
      </c>
      <c r="B672" s="7" t="s">
        <v>7</v>
      </c>
      <c r="C672" s="8">
        <v>1890</v>
      </c>
      <c r="D672" s="9">
        <v>45449</v>
      </c>
      <c r="E672" s="13">
        <f>+HYPERLINK("http://trademark.i-assist.jp/data/china/image_1890th/77410099.pdf",77410099)</f>
        <v>77410099</v>
      </c>
      <c r="F672" s="7" t="s">
        <v>1928</v>
      </c>
      <c r="G672" s="7" t="s">
        <v>1927</v>
      </c>
      <c r="H672" s="7" t="s">
        <v>1929</v>
      </c>
      <c r="I672" s="9">
        <v>45370</v>
      </c>
    </row>
    <row r="673" spans="1:9" x14ac:dyDescent="0.15">
      <c r="A673" s="6">
        <v>672</v>
      </c>
      <c r="B673" s="7" t="s">
        <v>7</v>
      </c>
      <c r="C673" s="8">
        <v>1890</v>
      </c>
      <c r="D673" s="9">
        <v>45449</v>
      </c>
      <c r="E673" s="13">
        <f>+HYPERLINK("http://trademark.i-assist.jp/data/china/image_1890th/77410116.pdf",77410116)</f>
        <v>77410116</v>
      </c>
      <c r="F673" s="7" t="s">
        <v>1930</v>
      </c>
      <c r="G673" s="7" t="s">
        <v>34</v>
      </c>
      <c r="H673" s="7" t="s">
        <v>1931</v>
      </c>
      <c r="I673" s="9">
        <v>45370</v>
      </c>
    </row>
    <row r="674" spans="1:9" x14ac:dyDescent="0.15">
      <c r="A674" s="6">
        <v>673</v>
      </c>
      <c r="B674" s="7" t="s">
        <v>7</v>
      </c>
      <c r="C674" s="8">
        <v>1890</v>
      </c>
      <c r="D674" s="9">
        <v>45449</v>
      </c>
      <c r="E674" s="13">
        <f>+HYPERLINK("http://trademark.i-assist.jp/data/china/image_1890th/77410159.pdf",77410159)</f>
        <v>77410159</v>
      </c>
      <c r="F674" s="7" t="s">
        <v>1933</v>
      </c>
      <c r="G674" s="7" t="s">
        <v>1932</v>
      </c>
      <c r="H674" s="7" t="s">
        <v>1934</v>
      </c>
      <c r="I674" s="9">
        <v>45370</v>
      </c>
    </row>
    <row r="675" spans="1:9" ht="27" x14ac:dyDescent="0.15">
      <c r="A675" s="6">
        <v>674</v>
      </c>
      <c r="B675" s="7" t="s">
        <v>7</v>
      </c>
      <c r="C675" s="8">
        <v>1890</v>
      </c>
      <c r="D675" s="9">
        <v>45449</v>
      </c>
      <c r="E675" s="13">
        <f>+HYPERLINK("http://trademark.i-assist.jp/data/china/image_1890th/77410161.pdf",77410161)</f>
        <v>77410161</v>
      </c>
      <c r="F675" s="7" t="s">
        <v>1936</v>
      </c>
      <c r="G675" s="7" t="s">
        <v>1935</v>
      </c>
      <c r="H675" s="7" t="s">
        <v>1937</v>
      </c>
      <c r="I675" s="9">
        <v>45370</v>
      </c>
    </row>
    <row r="676" spans="1:9" x14ac:dyDescent="0.15">
      <c r="A676" s="6">
        <v>675</v>
      </c>
      <c r="B676" s="7" t="s">
        <v>7</v>
      </c>
      <c r="C676" s="8">
        <v>1890</v>
      </c>
      <c r="D676" s="9">
        <v>45449</v>
      </c>
      <c r="E676" s="13">
        <f>+HYPERLINK("http://trademark.i-assist.jp/data/china/image_1890th/77410248.pdf",77410248)</f>
        <v>77410248</v>
      </c>
      <c r="F676" s="7" t="s">
        <v>1939</v>
      </c>
      <c r="G676" s="7" t="s">
        <v>1938</v>
      </c>
      <c r="H676" s="7" t="s">
        <v>1940</v>
      </c>
      <c r="I676" s="9">
        <v>45370</v>
      </c>
    </row>
    <row r="677" spans="1:9" x14ac:dyDescent="0.15">
      <c r="A677" s="6">
        <v>676</v>
      </c>
      <c r="B677" s="7" t="s">
        <v>7</v>
      </c>
      <c r="C677" s="8">
        <v>1890</v>
      </c>
      <c r="D677" s="9">
        <v>45449</v>
      </c>
      <c r="E677" s="13">
        <f>+HYPERLINK("http://trademark.i-assist.jp/data/china/image_1890th/77410250.pdf",77410250)</f>
        <v>77410250</v>
      </c>
      <c r="F677" s="7" t="s">
        <v>183</v>
      </c>
      <c r="G677" s="7" t="s">
        <v>1941</v>
      </c>
      <c r="H677" s="7" t="s">
        <v>1942</v>
      </c>
      <c r="I677" s="9">
        <v>45370</v>
      </c>
    </row>
    <row r="678" spans="1:9" x14ac:dyDescent="0.15">
      <c r="A678" s="6">
        <v>677</v>
      </c>
      <c r="B678" s="7" t="s">
        <v>7</v>
      </c>
      <c r="C678" s="8">
        <v>1890</v>
      </c>
      <c r="D678" s="9">
        <v>45449</v>
      </c>
      <c r="E678" s="13">
        <f>+HYPERLINK("http://trademark.i-assist.jp/data/china/image_1890th/77410326.pdf",77410326)</f>
        <v>77410326</v>
      </c>
      <c r="F678" s="7" t="s">
        <v>1944</v>
      </c>
      <c r="G678" s="7" t="s">
        <v>1943</v>
      </c>
      <c r="H678" s="7" t="s">
        <v>1945</v>
      </c>
      <c r="I678" s="9">
        <v>45370</v>
      </c>
    </row>
    <row r="679" spans="1:9" x14ac:dyDescent="0.15">
      <c r="A679" s="6">
        <v>678</v>
      </c>
      <c r="B679" s="7" t="s">
        <v>7</v>
      </c>
      <c r="C679" s="8">
        <v>1890</v>
      </c>
      <c r="D679" s="9">
        <v>45449</v>
      </c>
      <c r="E679" s="13">
        <f>+HYPERLINK("http://trademark.i-assist.jp/data/china/image_1890th/77410375.pdf",77410375)</f>
        <v>77410375</v>
      </c>
      <c r="F679" s="7" t="s">
        <v>1946</v>
      </c>
      <c r="G679" s="7" t="s">
        <v>1943</v>
      </c>
      <c r="H679" s="7" t="s">
        <v>1947</v>
      </c>
      <c r="I679" s="9">
        <v>45370</v>
      </c>
    </row>
    <row r="680" spans="1:9" x14ac:dyDescent="0.15">
      <c r="A680" s="6">
        <v>679</v>
      </c>
      <c r="B680" s="7" t="s">
        <v>7</v>
      </c>
      <c r="C680" s="8">
        <v>1890</v>
      </c>
      <c r="D680" s="9">
        <v>45449</v>
      </c>
      <c r="E680" s="13">
        <f>+HYPERLINK("http://trademark.i-assist.jp/data/china/image_1890th/77410392.pdf",77410392)</f>
        <v>77410392</v>
      </c>
      <c r="F680" s="7" t="s">
        <v>1949</v>
      </c>
      <c r="G680" s="7" t="s">
        <v>1948</v>
      </c>
      <c r="H680" s="7" t="s">
        <v>1950</v>
      </c>
      <c r="I680" s="9">
        <v>45370</v>
      </c>
    </row>
    <row r="681" spans="1:9" x14ac:dyDescent="0.15">
      <c r="A681" s="6">
        <v>680</v>
      </c>
      <c r="B681" s="7" t="s">
        <v>7</v>
      </c>
      <c r="C681" s="8">
        <v>1890</v>
      </c>
      <c r="D681" s="9">
        <v>45449</v>
      </c>
      <c r="E681" s="13">
        <f>+HYPERLINK("http://trademark.i-assist.jp/data/china/image_1890th/77410511.pdf",77410511)</f>
        <v>77410511</v>
      </c>
      <c r="F681" s="7" t="s">
        <v>1952</v>
      </c>
      <c r="G681" s="7" t="s">
        <v>1951</v>
      </c>
      <c r="H681" s="7" t="s">
        <v>1953</v>
      </c>
      <c r="I681" s="9">
        <v>45370</v>
      </c>
    </row>
    <row r="682" spans="1:9" ht="27" x14ac:dyDescent="0.15">
      <c r="A682" s="6">
        <v>681</v>
      </c>
      <c r="B682" s="7" t="s">
        <v>7</v>
      </c>
      <c r="C682" s="8">
        <v>1890</v>
      </c>
      <c r="D682" s="9">
        <v>45449</v>
      </c>
      <c r="E682" s="13">
        <f>+HYPERLINK("http://trademark.i-assist.jp/data/china/image_1890th/77410545.pdf",77410545)</f>
        <v>77410545</v>
      </c>
      <c r="F682" s="7" t="s">
        <v>1954</v>
      </c>
      <c r="G682" s="7" t="s">
        <v>1328</v>
      </c>
      <c r="H682" s="7" t="s">
        <v>1955</v>
      </c>
      <c r="I682" s="9">
        <v>45370</v>
      </c>
    </row>
    <row r="683" spans="1:9" ht="27" x14ac:dyDescent="0.15">
      <c r="A683" s="6">
        <v>682</v>
      </c>
      <c r="B683" s="7" t="s">
        <v>7</v>
      </c>
      <c r="C683" s="8">
        <v>1890</v>
      </c>
      <c r="D683" s="9">
        <v>45449</v>
      </c>
      <c r="E683" s="13">
        <f>+HYPERLINK("http://trademark.i-assist.jp/data/china/image_1890th/77410611.pdf",77410611)</f>
        <v>77410611</v>
      </c>
      <c r="F683" s="7" t="s">
        <v>1957</v>
      </c>
      <c r="G683" s="7" t="s">
        <v>1956</v>
      </c>
      <c r="H683" s="7" t="s">
        <v>1958</v>
      </c>
      <c r="I683" s="9">
        <v>45370</v>
      </c>
    </row>
    <row r="684" spans="1:9" x14ac:dyDescent="0.15">
      <c r="A684" s="6">
        <v>683</v>
      </c>
      <c r="B684" s="7" t="s">
        <v>7</v>
      </c>
      <c r="C684" s="8">
        <v>1890</v>
      </c>
      <c r="D684" s="9">
        <v>45449</v>
      </c>
      <c r="E684" s="13">
        <f>+HYPERLINK("http://trademark.i-assist.jp/data/china/image_1890th/77410872.pdf",77410872)</f>
        <v>77410872</v>
      </c>
      <c r="F684" s="7" t="s">
        <v>1960</v>
      </c>
      <c r="G684" s="7" t="s">
        <v>1959</v>
      </c>
      <c r="H684" s="7" t="s">
        <v>1961</v>
      </c>
      <c r="I684" s="9">
        <v>45370</v>
      </c>
    </row>
    <row r="685" spans="1:9" x14ac:dyDescent="0.15">
      <c r="A685" s="6">
        <v>684</v>
      </c>
      <c r="B685" s="7" t="s">
        <v>7</v>
      </c>
      <c r="C685" s="8">
        <v>1890</v>
      </c>
      <c r="D685" s="9">
        <v>45449</v>
      </c>
      <c r="E685" s="13">
        <f>+HYPERLINK("http://trademark.i-assist.jp/data/china/image_1890th/77505708.pdf",77505708)</f>
        <v>77505708</v>
      </c>
      <c r="F685" s="7" t="s">
        <v>1963</v>
      </c>
      <c r="G685" s="7" t="s">
        <v>1962</v>
      </c>
      <c r="H685" s="7" t="s">
        <v>1964</v>
      </c>
      <c r="I685" s="9">
        <v>45376</v>
      </c>
    </row>
    <row r="686" spans="1:9" ht="27" x14ac:dyDescent="0.15">
      <c r="A686" s="6">
        <v>685</v>
      </c>
      <c r="B686" s="7" t="s">
        <v>7</v>
      </c>
      <c r="C686" s="8">
        <v>1890</v>
      </c>
      <c r="D686" s="9">
        <v>45449</v>
      </c>
      <c r="E686" s="13">
        <f>+HYPERLINK("http://trademark.i-assist.jp/data/china/image_1890th/77505985.pdf",77505985)</f>
        <v>77505985</v>
      </c>
      <c r="F686" s="7" t="s">
        <v>1966</v>
      </c>
      <c r="G686" s="7" t="s">
        <v>1965</v>
      </c>
      <c r="H686" s="7" t="s">
        <v>1967</v>
      </c>
      <c r="I686" s="9">
        <v>45376</v>
      </c>
    </row>
    <row r="687" spans="1:9" x14ac:dyDescent="0.15">
      <c r="A687" s="6">
        <v>686</v>
      </c>
      <c r="B687" s="7" t="s">
        <v>7</v>
      </c>
      <c r="C687" s="8">
        <v>1890</v>
      </c>
      <c r="D687" s="9">
        <v>45449</v>
      </c>
      <c r="E687" s="13">
        <f>+HYPERLINK("http://trademark.i-assist.jp/data/china/image_1890th/77506213.pdf",77506213)</f>
        <v>77506213</v>
      </c>
      <c r="F687" s="7" t="s">
        <v>183</v>
      </c>
      <c r="G687" s="7" t="s">
        <v>1968</v>
      </c>
      <c r="H687" s="7" t="s">
        <v>1969</v>
      </c>
      <c r="I687" s="9">
        <v>45376</v>
      </c>
    </row>
    <row r="688" spans="1:9" x14ac:dyDescent="0.15">
      <c r="A688" s="6">
        <v>687</v>
      </c>
      <c r="B688" s="7" t="s">
        <v>7</v>
      </c>
      <c r="C688" s="8">
        <v>1890</v>
      </c>
      <c r="D688" s="9">
        <v>45449</v>
      </c>
      <c r="E688" s="13">
        <f>+HYPERLINK("http://trademark.i-assist.jp/data/china/image_1890th/77506320.pdf",77506320)</f>
        <v>77506320</v>
      </c>
      <c r="F688" s="7" t="s">
        <v>1971</v>
      </c>
      <c r="G688" s="7" t="s">
        <v>1970</v>
      </c>
      <c r="H688" s="7" t="s">
        <v>1972</v>
      </c>
      <c r="I688" s="9">
        <v>45376</v>
      </c>
    </row>
    <row r="689" spans="1:9" ht="27" x14ac:dyDescent="0.15">
      <c r="A689" s="6">
        <v>688</v>
      </c>
      <c r="B689" s="7" t="s">
        <v>7</v>
      </c>
      <c r="C689" s="8">
        <v>1890</v>
      </c>
      <c r="D689" s="9">
        <v>45449</v>
      </c>
      <c r="E689" s="13">
        <f>+HYPERLINK("http://trademark.i-assist.jp/data/china/image_1890th/77506412.pdf",77506412)</f>
        <v>77506412</v>
      </c>
      <c r="F689" s="7" t="s">
        <v>1973</v>
      </c>
      <c r="G689" s="7" t="s">
        <v>1565</v>
      </c>
      <c r="H689" s="7" t="s">
        <v>1974</v>
      </c>
      <c r="I689" s="9">
        <v>45376</v>
      </c>
    </row>
    <row r="690" spans="1:9" x14ac:dyDescent="0.15">
      <c r="A690" s="6">
        <v>689</v>
      </c>
      <c r="B690" s="7" t="s">
        <v>7</v>
      </c>
      <c r="C690" s="8">
        <v>1890</v>
      </c>
      <c r="D690" s="9">
        <v>45449</v>
      </c>
      <c r="E690" s="13">
        <f>+HYPERLINK("http://trademark.i-assist.jp/data/china/image_1890th/77506611.pdf",77506611)</f>
        <v>77506611</v>
      </c>
      <c r="F690" s="7" t="s">
        <v>1976</v>
      </c>
      <c r="G690" s="7" t="s">
        <v>1975</v>
      </c>
      <c r="H690" s="7" t="s">
        <v>1977</v>
      </c>
      <c r="I690" s="9">
        <v>45376</v>
      </c>
    </row>
    <row r="691" spans="1:9" x14ac:dyDescent="0.15">
      <c r="A691" s="6">
        <v>690</v>
      </c>
      <c r="B691" s="7" t="s">
        <v>7</v>
      </c>
      <c r="C691" s="8">
        <v>1890</v>
      </c>
      <c r="D691" s="9">
        <v>45449</v>
      </c>
      <c r="E691" s="13">
        <f>+HYPERLINK("http://trademark.i-assist.jp/data/china/image_1890th/77507085.pdf",77507085)</f>
        <v>77507085</v>
      </c>
      <c r="F691" s="7" t="s">
        <v>1979</v>
      </c>
      <c r="G691" s="7" t="s">
        <v>1978</v>
      </c>
      <c r="H691" s="7" t="s">
        <v>1687</v>
      </c>
      <c r="I691" s="9">
        <v>45376</v>
      </c>
    </row>
    <row r="692" spans="1:9" x14ac:dyDescent="0.15">
      <c r="A692" s="6">
        <v>691</v>
      </c>
      <c r="B692" s="7" t="s">
        <v>7</v>
      </c>
      <c r="C692" s="8">
        <v>1890</v>
      </c>
      <c r="D692" s="9">
        <v>45449</v>
      </c>
      <c r="E692" s="13">
        <f>+HYPERLINK("http://trademark.i-assist.jp/data/china/image_1890th/77507205.pdf",77507205)</f>
        <v>77507205</v>
      </c>
      <c r="F692" s="7" t="s">
        <v>1981</v>
      </c>
      <c r="G692" s="7" t="s">
        <v>1980</v>
      </c>
      <c r="H692" s="7" t="s">
        <v>1982</v>
      </c>
      <c r="I692" s="9">
        <v>45376</v>
      </c>
    </row>
    <row r="693" spans="1:9" x14ac:dyDescent="0.15">
      <c r="A693" s="6">
        <v>692</v>
      </c>
      <c r="B693" s="7" t="s">
        <v>7</v>
      </c>
      <c r="C693" s="8">
        <v>1890</v>
      </c>
      <c r="D693" s="9">
        <v>45449</v>
      </c>
      <c r="E693" s="13">
        <f>+HYPERLINK("http://trademark.i-assist.jp/data/china/image_1890th/77507243.pdf",77507243)</f>
        <v>77507243</v>
      </c>
      <c r="F693" s="7" t="s">
        <v>1984</v>
      </c>
      <c r="G693" s="7" t="s">
        <v>1983</v>
      </c>
      <c r="H693" s="7" t="s">
        <v>1985</v>
      </c>
      <c r="I693" s="9">
        <v>45376</v>
      </c>
    </row>
    <row r="694" spans="1:9" x14ac:dyDescent="0.15">
      <c r="A694" s="6">
        <v>693</v>
      </c>
      <c r="B694" s="7" t="s">
        <v>7</v>
      </c>
      <c r="C694" s="8">
        <v>1890</v>
      </c>
      <c r="D694" s="9">
        <v>45449</v>
      </c>
      <c r="E694" s="13">
        <f>+HYPERLINK("http://trademark.i-assist.jp/data/china/image_1890th/77507552.pdf",77507552)</f>
        <v>77507552</v>
      </c>
      <c r="F694" s="7" t="s">
        <v>1987</v>
      </c>
      <c r="G694" s="7" t="s">
        <v>1986</v>
      </c>
      <c r="H694" s="7" t="s">
        <v>1988</v>
      </c>
      <c r="I694" s="9">
        <v>45376</v>
      </c>
    </row>
    <row r="695" spans="1:9" x14ac:dyDescent="0.15">
      <c r="A695" s="6">
        <v>694</v>
      </c>
      <c r="B695" s="7" t="s">
        <v>7</v>
      </c>
      <c r="C695" s="8">
        <v>1890</v>
      </c>
      <c r="D695" s="9">
        <v>45449</v>
      </c>
      <c r="E695" s="13">
        <f>+HYPERLINK("http://trademark.i-assist.jp/data/china/image_1890th/77507704.pdf",77507704)</f>
        <v>77507704</v>
      </c>
      <c r="F695" s="7" t="s">
        <v>1987</v>
      </c>
      <c r="G695" s="7" t="s">
        <v>1986</v>
      </c>
      <c r="H695" s="7" t="s">
        <v>1989</v>
      </c>
      <c r="I695" s="9">
        <v>45376</v>
      </c>
    </row>
    <row r="696" spans="1:9" x14ac:dyDescent="0.15">
      <c r="A696" s="6">
        <v>695</v>
      </c>
      <c r="B696" s="7" t="s">
        <v>7</v>
      </c>
      <c r="C696" s="8">
        <v>1890</v>
      </c>
      <c r="D696" s="9">
        <v>45449</v>
      </c>
      <c r="E696" s="13">
        <f>+HYPERLINK("http://trademark.i-assist.jp/data/china/image_1890th/77508034.pdf",77508034)</f>
        <v>77508034</v>
      </c>
      <c r="F696" s="7" t="s">
        <v>1991</v>
      </c>
      <c r="G696" s="7" t="s">
        <v>1990</v>
      </c>
      <c r="H696" s="7" t="s">
        <v>1992</v>
      </c>
      <c r="I696" s="9">
        <v>45376</v>
      </c>
    </row>
    <row r="697" spans="1:9" x14ac:dyDescent="0.15">
      <c r="A697" s="6">
        <v>696</v>
      </c>
      <c r="B697" s="7" t="s">
        <v>7</v>
      </c>
      <c r="C697" s="8">
        <v>1890</v>
      </c>
      <c r="D697" s="9">
        <v>45449</v>
      </c>
      <c r="E697" s="13">
        <f>+HYPERLINK("http://trademark.i-assist.jp/data/china/image_1890th/77508088.pdf",77508088)</f>
        <v>77508088</v>
      </c>
      <c r="F697" s="7" t="s">
        <v>1994</v>
      </c>
      <c r="G697" s="7" t="s">
        <v>1993</v>
      </c>
      <c r="H697" s="7" t="s">
        <v>1995</v>
      </c>
      <c r="I697" s="9">
        <v>45376</v>
      </c>
    </row>
    <row r="698" spans="1:9" x14ac:dyDescent="0.15">
      <c r="A698" s="6">
        <v>697</v>
      </c>
      <c r="B698" s="7" t="s">
        <v>7</v>
      </c>
      <c r="C698" s="8">
        <v>1890</v>
      </c>
      <c r="D698" s="9">
        <v>45449</v>
      </c>
      <c r="E698" s="13">
        <f>+HYPERLINK("http://trademark.i-assist.jp/data/china/image_1890th/77508462.pdf",77508462)</f>
        <v>77508462</v>
      </c>
      <c r="F698" s="7" t="s">
        <v>1996</v>
      </c>
      <c r="G698" s="7" t="s">
        <v>1980</v>
      </c>
      <c r="H698" s="7" t="s">
        <v>1997</v>
      </c>
      <c r="I698" s="9">
        <v>45376</v>
      </c>
    </row>
    <row r="699" spans="1:9" x14ac:dyDescent="0.15">
      <c r="A699" s="6">
        <v>698</v>
      </c>
      <c r="B699" s="7" t="s">
        <v>7</v>
      </c>
      <c r="C699" s="8">
        <v>1890</v>
      </c>
      <c r="D699" s="9">
        <v>45449</v>
      </c>
      <c r="E699" s="13">
        <f>+HYPERLINK("http://trademark.i-assist.jp/data/china/image_1890th/77594727.pdf",77594727)</f>
        <v>77594727</v>
      </c>
      <c r="F699" s="7" t="s">
        <v>1999</v>
      </c>
      <c r="G699" s="7" t="s">
        <v>1998</v>
      </c>
      <c r="H699" s="7" t="s">
        <v>2000</v>
      </c>
      <c r="I699" s="9">
        <v>45378</v>
      </c>
    </row>
    <row r="700" spans="1:9" x14ac:dyDescent="0.15">
      <c r="A700" s="6">
        <v>699</v>
      </c>
      <c r="B700" s="7" t="s">
        <v>7</v>
      </c>
      <c r="C700" s="8">
        <v>1890</v>
      </c>
      <c r="D700" s="9">
        <v>45449</v>
      </c>
      <c r="E700" s="13">
        <f>+HYPERLINK("http://trademark.i-assist.jp/data/china/image_1890th/77594756.pdf",77594756)</f>
        <v>77594756</v>
      </c>
      <c r="F700" s="7" t="s">
        <v>2002</v>
      </c>
      <c r="G700" s="7" t="s">
        <v>2001</v>
      </c>
      <c r="H700" s="7" t="s">
        <v>2003</v>
      </c>
      <c r="I700" s="9">
        <v>45378</v>
      </c>
    </row>
    <row r="701" spans="1:9" x14ac:dyDescent="0.15">
      <c r="A701" s="6">
        <v>700</v>
      </c>
      <c r="B701" s="7" t="s">
        <v>7</v>
      </c>
      <c r="C701" s="8">
        <v>1890</v>
      </c>
      <c r="D701" s="9">
        <v>45449</v>
      </c>
      <c r="E701" s="13">
        <f>+HYPERLINK("http://trademark.i-assist.jp/data/china/image_1890th/77594802.pdf",77594802)</f>
        <v>77594802</v>
      </c>
      <c r="F701" s="7" t="s">
        <v>2005</v>
      </c>
      <c r="G701" s="7" t="s">
        <v>2004</v>
      </c>
      <c r="H701" s="7" t="s">
        <v>2006</v>
      </c>
      <c r="I701" s="9">
        <v>45378</v>
      </c>
    </row>
    <row r="702" spans="1:9" x14ac:dyDescent="0.15">
      <c r="A702" s="6">
        <v>701</v>
      </c>
      <c r="B702" s="7" t="s">
        <v>7</v>
      </c>
      <c r="C702" s="8">
        <v>1890</v>
      </c>
      <c r="D702" s="9">
        <v>45449</v>
      </c>
      <c r="E702" s="13">
        <f>+HYPERLINK("http://trademark.i-assist.jp/data/china/image_1890th/77595718.pdf",77595718)</f>
        <v>77595718</v>
      </c>
      <c r="F702" s="7" t="s">
        <v>2008</v>
      </c>
      <c r="G702" s="7" t="s">
        <v>2007</v>
      </c>
      <c r="H702" s="7" t="s">
        <v>2009</v>
      </c>
      <c r="I702" s="9">
        <v>45378</v>
      </c>
    </row>
    <row r="703" spans="1:9" ht="27" x14ac:dyDescent="0.15">
      <c r="A703" s="6">
        <v>702</v>
      </c>
      <c r="B703" s="7" t="s">
        <v>7</v>
      </c>
      <c r="C703" s="8">
        <v>1890</v>
      </c>
      <c r="D703" s="9">
        <v>45449</v>
      </c>
      <c r="E703" s="13">
        <f>+HYPERLINK("http://trademark.i-assist.jp/data/china/image_1890th/77596762.pdf",77596762)</f>
        <v>77596762</v>
      </c>
      <c r="F703" s="7" t="s">
        <v>2011</v>
      </c>
      <c r="G703" s="7" t="s">
        <v>2010</v>
      </c>
      <c r="H703" s="7" t="s">
        <v>2012</v>
      </c>
      <c r="I703" s="9">
        <v>45378</v>
      </c>
    </row>
    <row r="704" spans="1:9" x14ac:dyDescent="0.15">
      <c r="A704" s="6">
        <v>703</v>
      </c>
      <c r="B704" s="7" t="s">
        <v>7</v>
      </c>
      <c r="C704" s="8">
        <v>1890</v>
      </c>
      <c r="D704" s="9">
        <v>45449</v>
      </c>
      <c r="E704" s="13">
        <f>+HYPERLINK("http://trademark.i-assist.jp/data/china/image_1890th/77596945.pdf",77596945)</f>
        <v>77596945</v>
      </c>
      <c r="F704" s="7" t="s">
        <v>2014</v>
      </c>
      <c r="G704" s="7" t="s">
        <v>2013</v>
      </c>
      <c r="H704" s="7" t="s">
        <v>2015</v>
      </c>
      <c r="I704" s="9">
        <v>45378</v>
      </c>
    </row>
    <row r="705" spans="1:9" x14ac:dyDescent="0.15">
      <c r="A705" s="6">
        <v>704</v>
      </c>
      <c r="B705" s="7" t="s">
        <v>7</v>
      </c>
      <c r="C705" s="8">
        <v>1890</v>
      </c>
      <c r="D705" s="9">
        <v>45449</v>
      </c>
      <c r="E705" s="13">
        <f>+HYPERLINK("http://trademark.i-assist.jp/data/china/image_1890th/77597032.pdf",77597032)</f>
        <v>77597032</v>
      </c>
      <c r="F705" s="7" t="s">
        <v>2017</v>
      </c>
      <c r="G705" s="7" t="s">
        <v>2016</v>
      </c>
      <c r="H705" s="7" t="s">
        <v>2018</v>
      </c>
      <c r="I705" s="9">
        <v>45378</v>
      </c>
    </row>
    <row r="706" spans="1:9" x14ac:dyDescent="0.15">
      <c r="A706" s="6">
        <v>705</v>
      </c>
      <c r="B706" s="7" t="s">
        <v>7</v>
      </c>
      <c r="C706" s="8">
        <v>1890</v>
      </c>
      <c r="D706" s="9">
        <v>45449</v>
      </c>
      <c r="E706" s="13">
        <f>+HYPERLINK("http://trademark.i-assist.jp/data/china/image_1890th/77597119.pdf",77597119)</f>
        <v>77597119</v>
      </c>
      <c r="F706" s="7" t="s">
        <v>2019</v>
      </c>
      <c r="G706" s="7" t="s">
        <v>2001</v>
      </c>
      <c r="H706" s="7" t="s">
        <v>2020</v>
      </c>
      <c r="I706" s="9">
        <v>45378</v>
      </c>
    </row>
    <row r="707" spans="1:9" x14ac:dyDescent="0.15">
      <c r="A707" s="6">
        <v>706</v>
      </c>
      <c r="B707" s="7" t="s">
        <v>7</v>
      </c>
      <c r="C707" s="8">
        <v>1890</v>
      </c>
      <c r="D707" s="9">
        <v>45449</v>
      </c>
      <c r="E707" s="13">
        <f>+HYPERLINK("http://trademark.i-assist.jp/data/china/image_1890th/77597592.pdf",77597592)</f>
        <v>77597592</v>
      </c>
      <c r="F707" s="7" t="s">
        <v>2022</v>
      </c>
      <c r="G707" s="7" t="s">
        <v>2021</v>
      </c>
      <c r="H707" s="7" t="s">
        <v>2023</v>
      </c>
      <c r="I707" s="9">
        <v>45378</v>
      </c>
    </row>
    <row r="708" spans="1:9" ht="27" x14ac:dyDescent="0.15">
      <c r="A708" s="6">
        <v>707</v>
      </c>
      <c r="B708" s="7" t="s">
        <v>7</v>
      </c>
      <c r="C708" s="8">
        <v>1890</v>
      </c>
      <c r="D708" s="9">
        <v>45449</v>
      </c>
      <c r="E708" s="13">
        <f>+HYPERLINK("http://trademark.i-assist.jp/data/china/image_1890th/77598094.pdf",77598094)</f>
        <v>77598094</v>
      </c>
      <c r="F708" s="7" t="s">
        <v>2025</v>
      </c>
      <c r="G708" s="7" t="s">
        <v>2024</v>
      </c>
      <c r="H708" s="7" t="s">
        <v>2026</v>
      </c>
      <c r="I708" s="9">
        <v>45378</v>
      </c>
    </row>
    <row r="709" spans="1:9" x14ac:dyDescent="0.15">
      <c r="A709" s="6">
        <v>708</v>
      </c>
      <c r="B709" s="7" t="s">
        <v>7</v>
      </c>
      <c r="C709" s="8">
        <v>1890</v>
      </c>
      <c r="D709" s="9">
        <v>45449</v>
      </c>
      <c r="E709" s="13">
        <f>+HYPERLINK("http://trademark.i-assist.jp/data/china/image_1890th/77598132.pdf",77598132)</f>
        <v>77598132</v>
      </c>
      <c r="F709" s="7" t="s">
        <v>2028</v>
      </c>
      <c r="G709" s="7" t="s">
        <v>2027</v>
      </c>
      <c r="H709" s="7" t="s">
        <v>2029</v>
      </c>
      <c r="I709" s="9">
        <v>45378</v>
      </c>
    </row>
    <row r="710" spans="1:9" x14ac:dyDescent="0.15">
      <c r="A710" s="6">
        <v>709</v>
      </c>
      <c r="B710" s="7" t="s">
        <v>7</v>
      </c>
      <c r="C710" s="8">
        <v>1890</v>
      </c>
      <c r="D710" s="9">
        <v>45449</v>
      </c>
      <c r="E710" s="13">
        <f>+HYPERLINK("http://trademark.i-assist.jp/data/china/image_1890th/77599076.pdf",77599076)</f>
        <v>77599076</v>
      </c>
      <c r="F710" s="7" t="s">
        <v>2031</v>
      </c>
      <c r="G710" s="7" t="s">
        <v>2030</v>
      </c>
      <c r="H710" s="7" t="s">
        <v>2032</v>
      </c>
      <c r="I710" s="9">
        <v>45379</v>
      </c>
    </row>
    <row r="711" spans="1:9" x14ac:dyDescent="0.15">
      <c r="A711" s="6">
        <v>710</v>
      </c>
      <c r="B711" s="7" t="s">
        <v>7</v>
      </c>
      <c r="C711" s="8">
        <v>1890</v>
      </c>
      <c r="D711" s="9">
        <v>45449</v>
      </c>
      <c r="E711" s="13">
        <f>+HYPERLINK("http://trademark.i-assist.jp/data/china/image_1890th/77599077.pdf",77599077)</f>
        <v>77599077</v>
      </c>
      <c r="F711" s="7" t="s">
        <v>2033</v>
      </c>
      <c r="G711" s="7" t="s">
        <v>2030</v>
      </c>
      <c r="H711" s="7" t="s">
        <v>2034</v>
      </c>
      <c r="I711" s="9">
        <v>45379</v>
      </c>
    </row>
    <row r="712" spans="1:9" x14ac:dyDescent="0.15">
      <c r="A712" s="6">
        <v>711</v>
      </c>
      <c r="B712" s="7" t="s">
        <v>7</v>
      </c>
      <c r="C712" s="8">
        <v>1890</v>
      </c>
      <c r="D712" s="9">
        <v>45449</v>
      </c>
      <c r="E712" s="13">
        <f>+HYPERLINK("http://trademark.i-assist.jp/data/china/image_1890th/77599078.pdf",77599078)</f>
        <v>77599078</v>
      </c>
      <c r="F712" s="7" t="s">
        <v>2035</v>
      </c>
      <c r="G712" s="7" t="s">
        <v>2030</v>
      </c>
      <c r="H712" s="7" t="s">
        <v>2036</v>
      </c>
      <c r="I712" s="9">
        <v>45379</v>
      </c>
    </row>
    <row r="713" spans="1:9" x14ac:dyDescent="0.15">
      <c r="A713" s="6">
        <v>712</v>
      </c>
      <c r="B713" s="7" t="s">
        <v>7</v>
      </c>
      <c r="C713" s="8">
        <v>1890</v>
      </c>
      <c r="D713" s="9">
        <v>45449</v>
      </c>
      <c r="E713" s="13">
        <f>+HYPERLINK("http://trademark.i-assist.jp/data/china/image_1890th/75990465.pdf",75990465)</f>
        <v>75990465</v>
      </c>
      <c r="F713" s="7" t="s">
        <v>2038</v>
      </c>
      <c r="G713" s="7" t="s">
        <v>2037</v>
      </c>
      <c r="H713" s="7" t="s">
        <v>2039</v>
      </c>
      <c r="I713" s="9">
        <v>45285</v>
      </c>
    </row>
    <row r="714" spans="1:9" x14ac:dyDescent="0.15">
      <c r="A714" s="6">
        <v>713</v>
      </c>
      <c r="B714" s="7" t="s">
        <v>7</v>
      </c>
      <c r="C714" s="8">
        <v>1890</v>
      </c>
      <c r="D714" s="9">
        <v>45449</v>
      </c>
      <c r="E714" s="13">
        <f>+HYPERLINK("http://trademark.i-assist.jp/data/china/image_1890th/76001978.pdf",76001978)</f>
        <v>76001978</v>
      </c>
      <c r="F714" s="7" t="s">
        <v>2041</v>
      </c>
      <c r="G714" s="7" t="s">
        <v>2040</v>
      </c>
      <c r="H714" s="7" t="s">
        <v>2042</v>
      </c>
      <c r="I714" s="9">
        <v>45285</v>
      </c>
    </row>
    <row r="715" spans="1:9" ht="27" x14ac:dyDescent="0.15">
      <c r="A715" s="6">
        <v>714</v>
      </c>
      <c r="B715" s="7" t="s">
        <v>7</v>
      </c>
      <c r="C715" s="8">
        <v>1890</v>
      </c>
      <c r="D715" s="9">
        <v>45449</v>
      </c>
      <c r="E715" s="13">
        <f>+HYPERLINK("http://trademark.i-assist.jp/data/china/image_1890th/76020719.pdf",76020719)</f>
        <v>76020719</v>
      </c>
      <c r="F715" s="7" t="s">
        <v>2044</v>
      </c>
      <c r="G715" s="7" t="s">
        <v>2043</v>
      </c>
      <c r="H715" s="7" t="s">
        <v>2045</v>
      </c>
      <c r="I715" s="9">
        <v>45285</v>
      </c>
    </row>
    <row r="716" spans="1:9" x14ac:dyDescent="0.15">
      <c r="A716" s="6">
        <v>715</v>
      </c>
      <c r="B716" s="7" t="s">
        <v>7</v>
      </c>
      <c r="C716" s="8">
        <v>1890</v>
      </c>
      <c r="D716" s="9">
        <v>45449</v>
      </c>
      <c r="E716" s="13">
        <f>+HYPERLINK("http://trademark.i-assist.jp/data/china/image_1890th/76022401.pdf",76022401)</f>
        <v>76022401</v>
      </c>
      <c r="F716" s="7" t="s">
        <v>2047</v>
      </c>
      <c r="G716" s="7" t="s">
        <v>2046</v>
      </c>
      <c r="H716" s="7" t="s">
        <v>2048</v>
      </c>
      <c r="I716" s="9">
        <v>45286</v>
      </c>
    </row>
    <row r="717" spans="1:9" x14ac:dyDescent="0.15">
      <c r="A717" s="6">
        <v>716</v>
      </c>
      <c r="B717" s="7" t="s">
        <v>7</v>
      </c>
      <c r="C717" s="8">
        <v>1890</v>
      </c>
      <c r="D717" s="9">
        <v>45449</v>
      </c>
      <c r="E717" s="13">
        <f>+HYPERLINK("http://trademark.i-assist.jp/data/china/image_1890th/76022834.pdf",76022834)</f>
        <v>76022834</v>
      </c>
      <c r="F717" s="7" t="s">
        <v>2050</v>
      </c>
      <c r="G717" s="7" t="s">
        <v>2049</v>
      </c>
      <c r="H717" s="7" t="s">
        <v>2051</v>
      </c>
      <c r="I717" s="9">
        <v>45286</v>
      </c>
    </row>
    <row r="718" spans="1:9" x14ac:dyDescent="0.15">
      <c r="A718" s="6">
        <v>717</v>
      </c>
      <c r="B718" s="7" t="s">
        <v>7</v>
      </c>
      <c r="C718" s="8">
        <v>1890</v>
      </c>
      <c r="D718" s="9">
        <v>45449</v>
      </c>
      <c r="E718" s="13">
        <f>+HYPERLINK("http://trademark.i-assist.jp/data/china/image_1890th/76044926.pdf",76044926)</f>
        <v>76044926</v>
      </c>
      <c r="F718" s="7" t="s">
        <v>2053</v>
      </c>
      <c r="G718" s="7" t="s">
        <v>2052</v>
      </c>
      <c r="H718" s="7" t="s">
        <v>2054</v>
      </c>
      <c r="I718" s="9">
        <v>45287</v>
      </c>
    </row>
    <row r="719" spans="1:9" x14ac:dyDescent="0.15">
      <c r="A719" s="6">
        <v>718</v>
      </c>
      <c r="B719" s="7" t="s">
        <v>7</v>
      </c>
      <c r="C719" s="8">
        <v>1890</v>
      </c>
      <c r="D719" s="9">
        <v>45449</v>
      </c>
      <c r="E719" s="13">
        <f>+HYPERLINK("http://trademark.i-assist.jp/data/china/image_1890th/76053292.pdf",76053292)</f>
        <v>76053292</v>
      </c>
      <c r="F719" s="7" t="s">
        <v>2056</v>
      </c>
      <c r="G719" s="7" t="s">
        <v>2055</v>
      </c>
      <c r="H719" s="7" t="s">
        <v>2057</v>
      </c>
      <c r="I719" s="9">
        <v>45287</v>
      </c>
    </row>
    <row r="720" spans="1:9" ht="27" x14ac:dyDescent="0.15">
      <c r="A720" s="6">
        <v>719</v>
      </c>
      <c r="B720" s="7" t="s">
        <v>7</v>
      </c>
      <c r="C720" s="8">
        <v>1890</v>
      </c>
      <c r="D720" s="9">
        <v>45449</v>
      </c>
      <c r="E720" s="13">
        <f>+HYPERLINK("http://trademark.i-assist.jp/data/china/image_1890th/76056224.pdf",76056224)</f>
        <v>76056224</v>
      </c>
      <c r="F720" s="7" t="s">
        <v>2059</v>
      </c>
      <c r="G720" s="7" t="s">
        <v>2058</v>
      </c>
      <c r="H720" s="7" t="s">
        <v>2060</v>
      </c>
      <c r="I720" s="9">
        <v>45287</v>
      </c>
    </row>
    <row r="721" spans="1:9" x14ac:dyDescent="0.15">
      <c r="A721" s="6">
        <v>720</v>
      </c>
      <c r="B721" s="7" t="s">
        <v>7</v>
      </c>
      <c r="C721" s="8">
        <v>1890</v>
      </c>
      <c r="D721" s="9">
        <v>45449</v>
      </c>
      <c r="E721" s="13">
        <f>+HYPERLINK("http://trademark.i-assist.jp/data/china/image_1890th/76072922.pdf",76072922)</f>
        <v>76072922</v>
      </c>
      <c r="F721" s="7" t="s">
        <v>2062</v>
      </c>
      <c r="G721" s="7" t="s">
        <v>2061</v>
      </c>
      <c r="H721" s="7" t="s">
        <v>2063</v>
      </c>
      <c r="I721" s="9">
        <v>45288</v>
      </c>
    </row>
    <row r="722" spans="1:9" x14ac:dyDescent="0.15">
      <c r="A722" s="6">
        <v>721</v>
      </c>
      <c r="B722" s="7" t="s">
        <v>7</v>
      </c>
      <c r="C722" s="8">
        <v>1890</v>
      </c>
      <c r="D722" s="9">
        <v>45449</v>
      </c>
      <c r="E722" s="13">
        <f>+HYPERLINK("http://trademark.i-assist.jp/data/china/image_1890th/76077833.pdf",76077833)</f>
        <v>76077833</v>
      </c>
      <c r="F722" s="7" t="s">
        <v>2064</v>
      </c>
      <c r="G722" s="7" t="s">
        <v>2061</v>
      </c>
      <c r="H722" s="7" t="s">
        <v>2065</v>
      </c>
      <c r="I722" s="9">
        <v>45288</v>
      </c>
    </row>
    <row r="723" spans="1:9" x14ac:dyDescent="0.15">
      <c r="A723" s="6">
        <v>722</v>
      </c>
      <c r="B723" s="7" t="s">
        <v>7</v>
      </c>
      <c r="C723" s="8">
        <v>1890</v>
      </c>
      <c r="D723" s="9">
        <v>45449</v>
      </c>
      <c r="E723" s="13">
        <f>+HYPERLINK("http://trademark.i-assist.jp/data/china/image_1890th/76079422.pdf",76079422)</f>
        <v>76079422</v>
      </c>
      <c r="F723" s="7" t="s">
        <v>2066</v>
      </c>
      <c r="G723" s="7" t="s">
        <v>2061</v>
      </c>
      <c r="H723" s="7" t="s">
        <v>2067</v>
      </c>
      <c r="I723" s="9">
        <v>45288</v>
      </c>
    </row>
    <row r="724" spans="1:9" x14ac:dyDescent="0.15">
      <c r="A724" s="6">
        <v>723</v>
      </c>
      <c r="B724" s="7" t="s">
        <v>7</v>
      </c>
      <c r="C724" s="8">
        <v>1890</v>
      </c>
      <c r="D724" s="9">
        <v>45449</v>
      </c>
      <c r="E724" s="13">
        <f>+HYPERLINK("http://trademark.i-assist.jp/data/china/image_1890th/76085336.pdf",76085336)</f>
        <v>76085336</v>
      </c>
      <c r="F724" s="7" t="s">
        <v>2069</v>
      </c>
      <c r="G724" s="7" t="s">
        <v>2068</v>
      </c>
      <c r="H724" s="7" t="s">
        <v>2070</v>
      </c>
      <c r="I724" s="9">
        <v>45288</v>
      </c>
    </row>
    <row r="725" spans="1:9" ht="121.5" x14ac:dyDescent="0.15">
      <c r="A725" s="6">
        <v>724</v>
      </c>
      <c r="B725" s="7" t="s">
        <v>7</v>
      </c>
      <c r="C725" s="8">
        <v>1890</v>
      </c>
      <c r="D725" s="9">
        <v>45449</v>
      </c>
      <c r="E725" s="13" t="s">
        <v>11356</v>
      </c>
      <c r="F725" s="7" t="s">
        <v>183</v>
      </c>
      <c r="G725" s="7" t="s">
        <v>2071</v>
      </c>
      <c r="H725" s="7" t="s">
        <v>2072</v>
      </c>
      <c r="I725" s="9">
        <v>45288</v>
      </c>
    </row>
    <row r="726" spans="1:9" ht="27" x14ac:dyDescent="0.15">
      <c r="A726" s="6">
        <v>725</v>
      </c>
      <c r="B726" s="7" t="s">
        <v>7</v>
      </c>
      <c r="C726" s="8">
        <v>1890</v>
      </c>
      <c r="D726" s="9">
        <v>45449</v>
      </c>
      <c r="E726" s="13">
        <f>+HYPERLINK("http://trademark.i-assist.jp/data/china/image_1890th/76106800.pdf",76106800)</f>
        <v>76106800</v>
      </c>
      <c r="F726" s="7" t="s">
        <v>2074</v>
      </c>
      <c r="G726" s="7" t="s">
        <v>2073</v>
      </c>
      <c r="H726" s="7" t="s">
        <v>2075</v>
      </c>
      <c r="I726" s="9">
        <v>45289</v>
      </c>
    </row>
    <row r="727" spans="1:9" x14ac:dyDescent="0.15">
      <c r="A727" s="6">
        <v>726</v>
      </c>
      <c r="B727" s="7" t="s">
        <v>7</v>
      </c>
      <c r="C727" s="8">
        <v>1890</v>
      </c>
      <c r="D727" s="9">
        <v>45449</v>
      </c>
      <c r="E727" s="13">
        <f>+HYPERLINK("http://trademark.i-assist.jp/data/china/image_1890th/76107078.pdf",76107078)</f>
        <v>76107078</v>
      </c>
      <c r="F727" s="7" t="s">
        <v>2076</v>
      </c>
      <c r="G727" s="7" t="s">
        <v>2061</v>
      </c>
      <c r="H727" s="7" t="s">
        <v>2077</v>
      </c>
      <c r="I727" s="9">
        <v>45289</v>
      </c>
    </row>
    <row r="728" spans="1:9" x14ac:dyDescent="0.15">
      <c r="A728" s="6">
        <v>727</v>
      </c>
      <c r="B728" s="7" t="s">
        <v>7</v>
      </c>
      <c r="C728" s="8">
        <v>1890</v>
      </c>
      <c r="D728" s="9">
        <v>45449</v>
      </c>
      <c r="E728" s="13">
        <f>+HYPERLINK("http://trademark.i-assist.jp/data/china/image_1890th/76109276.pdf",76109276)</f>
        <v>76109276</v>
      </c>
      <c r="F728" s="7" t="s">
        <v>2079</v>
      </c>
      <c r="G728" s="7" t="s">
        <v>2078</v>
      </c>
      <c r="H728" s="7" t="s">
        <v>2080</v>
      </c>
      <c r="I728" s="9">
        <v>45289</v>
      </c>
    </row>
    <row r="729" spans="1:9" ht="27" x14ac:dyDescent="0.15">
      <c r="A729" s="6">
        <v>728</v>
      </c>
      <c r="B729" s="7" t="s">
        <v>7</v>
      </c>
      <c r="C729" s="8">
        <v>1890</v>
      </c>
      <c r="D729" s="9">
        <v>45449</v>
      </c>
      <c r="E729" s="13">
        <f>+HYPERLINK("http://trademark.i-assist.jp/data/china/image_1890th/76110775.pdf",76110775)</f>
        <v>76110775</v>
      </c>
      <c r="F729" s="7" t="s">
        <v>2082</v>
      </c>
      <c r="G729" s="7" t="s">
        <v>2081</v>
      </c>
      <c r="H729" s="7" t="s">
        <v>2083</v>
      </c>
      <c r="I729" s="9">
        <v>45289</v>
      </c>
    </row>
    <row r="730" spans="1:9" x14ac:dyDescent="0.15">
      <c r="A730" s="6">
        <v>729</v>
      </c>
      <c r="B730" s="7" t="s">
        <v>7</v>
      </c>
      <c r="C730" s="8">
        <v>1890</v>
      </c>
      <c r="D730" s="9">
        <v>45449</v>
      </c>
      <c r="E730" s="13">
        <f>+HYPERLINK("http://trademark.i-assist.jp/data/china/image_1890th/76113256.pdf",76113256)</f>
        <v>76113256</v>
      </c>
      <c r="F730" s="7" t="s">
        <v>2085</v>
      </c>
      <c r="G730" s="7" t="s">
        <v>2084</v>
      </c>
      <c r="H730" s="7" t="s">
        <v>2086</v>
      </c>
      <c r="I730" s="9">
        <v>45289</v>
      </c>
    </row>
    <row r="731" spans="1:9" x14ac:dyDescent="0.15">
      <c r="A731" s="6">
        <v>730</v>
      </c>
      <c r="B731" s="7" t="s">
        <v>7</v>
      </c>
      <c r="C731" s="8">
        <v>1890</v>
      </c>
      <c r="D731" s="9">
        <v>45449</v>
      </c>
      <c r="E731" s="13">
        <f>+HYPERLINK("http://trademark.i-assist.jp/data/china/image_1890th/76117739.pdf",76117739)</f>
        <v>76117739</v>
      </c>
      <c r="F731" s="7" t="s">
        <v>2088</v>
      </c>
      <c r="G731" s="7" t="s">
        <v>2087</v>
      </c>
      <c r="H731" s="7" t="s">
        <v>2089</v>
      </c>
      <c r="I731" s="9">
        <v>45289</v>
      </c>
    </row>
    <row r="732" spans="1:9" ht="27" x14ac:dyDescent="0.15">
      <c r="A732" s="6">
        <v>731</v>
      </c>
      <c r="B732" s="7" t="s">
        <v>7</v>
      </c>
      <c r="C732" s="8">
        <v>1890</v>
      </c>
      <c r="D732" s="9">
        <v>45449</v>
      </c>
      <c r="E732" s="13">
        <f>+HYPERLINK("http://trademark.i-assist.jp/data/china/image_1890th/76126605.pdf",76126605)</f>
        <v>76126605</v>
      </c>
      <c r="F732" s="7" t="s">
        <v>2091</v>
      </c>
      <c r="G732" s="7" t="s">
        <v>2090</v>
      </c>
      <c r="H732" s="7" t="s">
        <v>2092</v>
      </c>
      <c r="I732" s="9">
        <v>45291</v>
      </c>
    </row>
    <row r="733" spans="1:9" x14ac:dyDescent="0.15">
      <c r="A733" s="6">
        <v>732</v>
      </c>
      <c r="B733" s="7" t="s">
        <v>7</v>
      </c>
      <c r="C733" s="8">
        <v>1890</v>
      </c>
      <c r="D733" s="9">
        <v>45449</v>
      </c>
      <c r="E733" s="13">
        <f>+HYPERLINK("http://trademark.i-assist.jp/data/china/image_1890th/76133165.pdf",76133165)</f>
        <v>76133165</v>
      </c>
      <c r="F733" s="7" t="s">
        <v>2094</v>
      </c>
      <c r="G733" s="7" t="s">
        <v>2093</v>
      </c>
      <c r="H733" s="7" t="s">
        <v>2095</v>
      </c>
      <c r="I733" s="9">
        <v>45293</v>
      </c>
    </row>
    <row r="734" spans="1:9" x14ac:dyDescent="0.15">
      <c r="A734" s="6">
        <v>733</v>
      </c>
      <c r="B734" s="7" t="s">
        <v>7</v>
      </c>
      <c r="C734" s="8">
        <v>1890</v>
      </c>
      <c r="D734" s="9">
        <v>45449</v>
      </c>
      <c r="E734" s="13">
        <f>+HYPERLINK("http://trademark.i-assist.jp/data/china/image_1890th/77144588.pdf",77144588)</f>
        <v>77144588</v>
      </c>
      <c r="F734" s="7" t="s">
        <v>2097</v>
      </c>
      <c r="G734" s="7" t="s">
        <v>2096</v>
      </c>
      <c r="H734" s="7" t="s">
        <v>2098</v>
      </c>
      <c r="I734" s="9">
        <v>45357</v>
      </c>
    </row>
    <row r="735" spans="1:9" x14ac:dyDescent="0.15">
      <c r="A735" s="6">
        <v>734</v>
      </c>
      <c r="B735" s="7" t="s">
        <v>7</v>
      </c>
      <c r="C735" s="8">
        <v>1890</v>
      </c>
      <c r="D735" s="9">
        <v>45449</v>
      </c>
      <c r="E735" s="13">
        <f>+HYPERLINK("http://trademark.i-assist.jp/data/china/image_1890th/77144635.pdf",77144635)</f>
        <v>77144635</v>
      </c>
      <c r="F735" s="7" t="s">
        <v>2100</v>
      </c>
      <c r="G735" s="7" t="s">
        <v>2099</v>
      </c>
      <c r="H735" s="7" t="s">
        <v>2101</v>
      </c>
      <c r="I735" s="9">
        <v>45357</v>
      </c>
    </row>
    <row r="736" spans="1:9" x14ac:dyDescent="0.15">
      <c r="A736" s="6">
        <v>735</v>
      </c>
      <c r="B736" s="7" t="s">
        <v>7</v>
      </c>
      <c r="C736" s="8">
        <v>1890</v>
      </c>
      <c r="D736" s="9">
        <v>45449</v>
      </c>
      <c r="E736" s="13">
        <f>+HYPERLINK("http://trademark.i-assist.jp/data/china/image_1890th/77144752.pdf",77144752)</f>
        <v>77144752</v>
      </c>
      <c r="F736" s="7" t="s">
        <v>2103</v>
      </c>
      <c r="G736" s="7" t="s">
        <v>2102</v>
      </c>
      <c r="H736" s="7" t="s">
        <v>2104</v>
      </c>
      <c r="I736" s="9">
        <v>45357</v>
      </c>
    </row>
    <row r="737" spans="1:9" x14ac:dyDescent="0.15">
      <c r="A737" s="6">
        <v>736</v>
      </c>
      <c r="B737" s="7" t="s">
        <v>7</v>
      </c>
      <c r="C737" s="8">
        <v>1890</v>
      </c>
      <c r="D737" s="9">
        <v>45449</v>
      </c>
      <c r="E737" s="13">
        <f>+HYPERLINK("http://trademark.i-assist.jp/data/china/image_1890th/77144825.pdf",77144825)</f>
        <v>77144825</v>
      </c>
      <c r="F737" s="7" t="s">
        <v>2105</v>
      </c>
      <c r="G737" s="7" t="s">
        <v>762</v>
      </c>
      <c r="H737" s="7" t="s">
        <v>2106</v>
      </c>
      <c r="I737" s="9">
        <v>45357</v>
      </c>
    </row>
    <row r="738" spans="1:9" x14ac:dyDescent="0.15">
      <c r="A738" s="6">
        <v>737</v>
      </c>
      <c r="B738" s="7" t="s">
        <v>7</v>
      </c>
      <c r="C738" s="8">
        <v>1890</v>
      </c>
      <c r="D738" s="9">
        <v>45449</v>
      </c>
      <c r="E738" s="13">
        <f>+HYPERLINK("http://trademark.i-assist.jp/data/china/image_1890th/77145741.pdf",77145741)</f>
        <v>77145741</v>
      </c>
      <c r="F738" s="7" t="s">
        <v>2108</v>
      </c>
      <c r="G738" s="7" t="s">
        <v>2107</v>
      </c>
      <c r="H738" s="7" t="s">
        <v>2109</v>
      </c>
      <c r="I738" s="9">
        <v>45357</v>
      </c>
    </row>
    <row r="739" spans="1:9" ht="121.5" x14ac:dyDescent="0.15">
      <c r="A739" s="6">
        <v>738</v>
      </c>
      <c r="B739" s="7" t="s">
        <v>7</v>
      </c>
      <c r="C739" s="8">
        <v>1890</v>
      </c>
      <c r="D739" s="9">
        <v>45449</v>
      </c>
      <c r="E739" s="13" t="s">
        <v>11357</v>
      </c>
      <c r="F739" s="7" t="s">
        <v>2111</v>
      </c>
      <c r="G739" s="7" t="s">
        <v>2110</v>
      </c>
      <c r="H739" s="7" t="s">
        <v>2112</v>
      </c>
      <c r="I739" s="9">
        <v>45357</v>
      </c>
    </row>
    <row r="740" spans="1:9" x14ac:dyDescent="0.15">
      <c r="A740" s="6">
        <v>739</v>
      </c>
      <c r="B740" s="7" t="s">
        <v>7</v>
      </c>
      <c r="C740" s="8">
        <v>1890</v>
      </c>
      <c r="D740" s="9">
        <v>45449</v>
      </c>
      <c r="E740" s="13">
        <f>+HYPERLINK("http://trademark.i-assist.jp/data/china/image_1890th/77146139.pdf",77146139)</f>
        <v>77146139</v>
      </c>
      <c r="F740" s="7" t="s">
        <v>2114</v>
      </c>
      <c r="G740" s="7" t="s">
        <v>2113</v>
      </c>
      <c r="H740" s="7" t="s">
        <v>2115</v>
      </c>
      <c r="I740" s="9">
        <v>45357</v>
      </c>
    </row>
    <row r="741" spans="1:9" x14ac:dyDescent="0.15">
      <c r="A741" s="6">
        <v>740</v>
      </c>
      <c r="B741" s="7" t="s">
        <v>7</v>
      </c>
      <c r="C741" s="8">
        <v>1890</v>
      </c>
      <c r="D741" s="9">
        <v>45449</v>
      </c>
      <c r="E741" s="13">
        <f>+HYPERLINK("http://trademark.i-assist.jp/data/china/image_1890th/77146460.pdf",77146460)</f>
        <v>77146460</v>
      </c>
      <c r="F741" s="7" t="s">
        <v>2117</v>
      </c>
      <c r="G741" s="7" t="s">
        <v>2116</v>
      </c>
      <c r="H741" s="7" t="s">
        <v>2118</v>
      </c>
      <c r="I741" s="9">
        <v>45357</v>
      </c>
    </row>
    <row r="742" spans="1:9" ht="27" x14ac:dyDescent="0.15">
      <c r="A742" s="6">
        <v>741</v>
      </c>
      <c r="B742" s="7" t="s">
        <v>7</v>
      </c>
      <c r="C742" s="8">
        <v>1890</v>
      </c>
      <c r="D742" s="9">
        <v>45449</v>
      </c>
      <c r="E742" s="13">
        <f>+HYPERLINK("http://trademark.i-assist.jp/data/china/image_1890th/77146526.pdf",77146526)</f>
        <v>77146526</v>
      </c>
      <c r="F742" s="7" t="s">
        <v>2120</v>
      </c>
      <c r="G742" s="7" t="s">
        <v>2119</v>
      </c>
      <c r="H742" s="7" t="s">
        <v>2121</v>
      </c>
      <c r="I742" s="9">
        <v>45357</v>
      </c>
    </row>
    <row r="743" spans="1:9" x14ac:dyDescent="0.15">
      <c r="A743" s="6">
        <v>742</v>
      </c>
      <c r="B743" s="7" t="s">
        <v>7</v>
      </c>
      <c r="C743" s="8">
        <v>1890</v>
      </c>
      <c r="D743" s="9">
        <v>45449</v>
      </c>
      <c r="E743" s="13">
        <f>+HYPERLINK("http://trademark.i-assist.jp/data/china/image_1890th/77146865.pdf",77146865)</f>
        <v>77146865</v>
      </c>
      <c r="F743" s="7" t="s">
        <v>2123</v>
      </c>
      <c r="G743" s="7" t="s">
        <v>2122</v>
      </c>
      <c r="H743" s="7" t="s">
        <v>2124</v>
      </c>
      <c r="I743" s="9">
        <v>45357</v>
      </c>
    </row>
    <row r="744" spans="1:9" ht="27" x14ac:dyDescent="0.15">
      <c r="A744" s="6">
        <v>743</v>
      </c>
      <c r="B744" s="7" t="s">
        <v>7</v>
      </c>
      <c r="C744" s="8">
        <v>1890</v>
      </c>
      <c r="D744" s="9">
        <v>45449</v>
      </c>
      <c r="E744" s="13">
        <f>+HYPERLINK("http://trademark.i-assist.jp/data/china/image_1890th/77147286.pdf",77147286)</f>
        <v>77147286</v>
      </c>
      <c r="F744" s="7" t="s">
        <v>2125</v>
      </c>
      <c r="G744" s="7" t="s">
        <v>2119</v>
      </c>
      <c r="H744" s="7" t="s">
        <v>2126</v>
      </c>
      <c r="I744" s="9">
        <v>45357</v>
      </c>
    </row>
    <row r="745" spans="1:9" x14ac:dyDescent="0.15">
      <c r="A745" s="6">
        <v>744</v>
      </c>
      <c r="B745" s="7" t="s">
        <v>7</v>
      </c>
      <c r="C745" s="8">
        <v>1890</v>
      </c>
      <c r="D745" s="9">
        <v>45449</v>
      </c>
      <c r="E745" s="13">
        <f>+HYPERLINK("http://trademark.i-assist.jp/data/china/image_1890th/77147439.pdf",77147439)</f>
        <v>77147439</v>
      </c>
      <c r="F745" s="7" t="s">
        <v>183</v>
      </c>
      <c r="G745" s="7" t="s">
        <v>750</v>
      </c>
      <c r="H745" s="7" t="s">
        <v>2127</v>
      </c>
      <c r="I745" s="9">
        <v>45357</v>
      </c>
    </row>
    <row r="746" spans="1:9" x14ac:dyDescent="0.15">
      <c r="A746" s="6">
        <v>745</v>
      </c>
      <c r="B746" s="7" t="s">
        <v>7</v>
      </c>
      <c r="C746" s="8">
        <v>1890</v>
      </c>
      <c r="D746" s="9">
        <v>45449</v>
      </c>
      <c r="E746" s="13">
        <f>+HYPERLINK("http://trademark.i-assist.jp/data/china/image_1890th/77147531.pdf",77147531)</f>
        <v>77147531</v>
      </c>
      <c r="F746" s="7" t="s">
        <v>2129</v>
      </c>
      <c r="G746" s="7" t="s">
        <v>2128</v>
      </c>
      <c r="H746" s="7" t="s">
        <v>2130</v>
      </c>
      <c r="I746" s="9">
        <v>45357</v>
      </c>
    </row>
    <row r="747" spans="1:9" x14ac:dyDescent="0.15">
      <c r="A747" s="6">
        <v>746</v>
      </c>
      <c r="B747" s="7" t="s">
        <v>7</v>
      </c>
      <c r="C747" s="8">
        <v>1890</v>
      </c>
      <c r="D747" s="9">
        <v>45449</v>
      </c>
      <c r="E747" s="13">
        <f>+HYPERLINK("http://trademark.i-assist.jp/data/china/image_1890th/77267256.pdf",77267256)</f>
        <v>77267256</v>
      </c>
      <c r="F747" s="7" t="s">
        <v>2132</v>
      </c>
      <c r="G747" s="7" t="s">
        <v>2131</v>
      </c>
      <c r="H747" s="7" t="s">
        <v>2133</v>
      </c>
      <c r="I747" s="9">
        <v>45364</v>
      </c>
    </row>
    <row r="748" spans="1:9" x14ac:dyDescent="0.15">
      <c r="A748" s="6">
        <v>747</v>
      </c>
      <c r="B748" s="7" t="s">
        <v>7</v>
      </c>
      <c r="C748" s="8">
        <v>1890</v>
      </c>
      <c r="D748" s="9">
        <v>45449</v>
      </c>
      <c r="E748" s="13">
        <f>+HYPERLINK("http://trademark.i-assist.jp/data/china/image_1890th/77268895.pdf",77268895)</f>
        <v>77268895</v>
      </c>
      <c r="F748" s="7" t="s">
        <v>2135</v>
      </c>
      <c r="G748" s="7" t="s">
        <v>2134</v>
      </c>
      <c r="H748" s="7" t="s">
        <v>2136</v>
      </c>
      <c r="I748" s="9">
        <v>45364</v>
      </c>
    </row>
    <row r="749" spans="1:9" ht="27" x14ac:dyDescent="0.15">
      <c r="A749" s="6">
        <v>748</v>
      </c>
      <c r="B749" s="7" t="s">
        <v>7</v>
      </c>
      <c r="C749" s="8">
        <v>1890</v>
      </c>
      <c r="D749" s="9">
        <v>45449</v>
      </c>
      <c r="E749" s="13">
        <f>+HYPERLINK("http://trademark.i-assist.jp/data/china/image_1890th/77269029.pdf",77269029)</f>
        <v>77269029</v>
      </c>
      <c r="F749" s="7" t="s">
        <v>2138</v>
      </c>
      <c r="G749" s="7" t="s">
        <v>2137</v>
      </c>
      <c r="H749" s="7" t="s">
        <v>2139</v>
      </c>
      <c r="I749" s="9">
        <v>45364</v>
      </c>
    </row>
    <row r="750" spans="1:9" ht="27" x14ac:dyDescent="0.15">
      <c r="A750" s="6">
        <v>749</v>
      </c>
      <c r="B750" s="7" t="s">
        <v>7</v>
      </c>
      <c r="C750" s="8">
        <v>1890</v>
      </c>
      <c r="D750" s="9">
        <v>45449</v>
      </c>
      <c r="E750" s="13">
        <f>+HYPERLINK("http://trademark.i-assist.jp/data/china/image_1890th/77269040.pdf",77269040)</f>
        <v>77269040</v>
      </c>
      <c r="F750" s="7" t="s">
        <v>2141</v>
      </c>
      <c r="G750" s="7" t="s">
        <v>2140</v>
      </c>
      <c r="H750" s="7" t="s">
        <v>2142</v>
      </c>
      <c r="I750" s="9">
        <v>45364</v>
      </c>
    </row>
    <row r="751" spans="1:9" ht="27" x14ac:dyDescent="0.15">
      <c r="A751" s="6">
        <v>750</v>
      </c>
      <c r="B751" s="7" t="s">
        <v>7</v>
      </c>
      <c r="C751" s="8">
        <v>1890</v>
      </c>
      <c r="D751" s="9">
        <v>45449</v>
      </c>
      <c r="E751" s="13">
        <f>+HYPERLINK("http://trademark.i-assist.jp/data/china/image_1890th/77269088.pdf",77269088)</f>
        <v>77269088</v>
      </c>
      <c r="F751" s="7" t="s">
        <v>2144</v>
      </c>
      <c r="G751" s="7" t="s">
        <v>2143</v>
      </c>
      <c r="H751" s="7" t="s">
        <v>2145</v>
      </c>
      <c r="I751" s="9">
        <v>45364</v>
      </c>
    </row>
    <row r="752" spans="1:9" x14ac:dyDescent="0.15">
      <c r="A752" s="6">
        <v>751</v>
      </c>
      <c r="B752" s="7" t="s">
        <v>7</v>
      </c>
      <c r="C752" s="8">
        <v>1890</v>
      </c>
      <c r="D752" s="9">
        <v>45449</v>
      </c>
      <c r="E752" s="13">
        <f>+HYPERLINK("http://trademark.i-assist.jp/data/china/image_1890th/77269504.pdf",77269504)</f>
        <v>77269504</v>
      </c>
      <c r="F752" s="7" t="s">
        <v>2147</v>
      </c>
      <c r="G752" s="7" t="s">
        <v>2146</v>
      </c>
      <c r="H752" s="7" t="s">
        <v>2148</v>
      </c>
      <c r="I752" s="9">
        <v>45364</v>
      </c>
    </row>
    <row r="753" spans="1:9" x14ac:dyDescent="0.15">
      <c r="A753" s="6">
        <v>752</v>
      </c>
      <c r="B753" s="7" t="s">
        <v>7</v>
      </c>
      <c r="C753" s="8">
        <v>1890</v>
      </c>
      <c r="D753" s="9">
        <v>45449</v>
      </c>
      <c r="E753" s="13">
        <f>+HYPERLINK("http://trademark.i-assist.jp/data/china/image_1890th/77269836.pdf",77269836)</f>
        <v>77269836</v>
      </c>
      <c r="F753" s="7" t="s">
        <v>183</v>
      </c>
      <c r="G753" s="7" t="s">
        <v>2149</v>
      </c>
      <c r="H753" s="7" t="s">
        <v>2150</v>
      </c>
      <c r="I753" s="9">
        <v>45364</v>
      </c>
    </row>
    <row r="754" spans="1:9" x14ac:dyDescent="0.15">
      <c r="A754" s="6">
        <v>753</v>
      </c>
      <c r="B754" s="7" t="s">
        <v>7</v>
      </c>
      <c r="C754" s="8">
        <v>1890</v>
      </c>
      <c r="D754" s="9">
        <v>45449</v>
      </c>
      <c r="E754" s="13">
        <f>+HYPERLINK("http://trademark.i-assist.jp/data/china/image_1890th/77269954.pdf",77269954)</f>
        <v>77269954</v>
      </c>
      <c r="F754" s="7" t="s">
        <v>2152</v>
      </c>
      <c r="G754" s="7" t="s">
        <v>2151</v>
      </c>
      <c r="H754" s="7" t="s">
        <v>2153</v>
      </c>
      <c r="I754" s="9">
        <v>45364</v>
      </c>
    </row>
    <row r="755" spans="1:9" x14ac:dyDescent="0.15">
      <c r="A755" s="6">
        <v>754</v>
      </c>
      <c r="B755" s="7" t="s">
        <v>7</v>
      </c>
      <c r="C755" s="8">
        <v>1890</v>
      </c>
      <c r="D755" s="9">
        <v>45449</v>
      </c>
      <c r="E755" s="13">
        <f>+HYPERLINK("http://trademark.i-assist.jp/data/china/image_1890th/77269967.pdf",77269967)</f>
        <v>77269967</v>
      </c>
      <c r="F755" s="7" t="s">
        <v>2155</v>
      </c>
      <c r="G755" s="7" t="s">
        <v>2154</v>
      </c>
      <c r="H755" s="7" t="s">
        <v>2156</v>
      </c>
      <c r="I755" s="9">
        <v>45364</v>
      </c>
    </row>
    <row r="756" spans="1:9" x14ac:dyDescent="0.15">
      <c r="A756" s="6">
        <v>755</v>
      </c>
      <c r="B756" s="7" t="s">
        <v>7</v>
      </c>
      <c r="C756" s="8">
        <v>1890</v>
      </c>
      <c r="D756" s="9">
        <v>45449</v>
      </c>
      <c r="E756" s="13">
        <f>+HYPERLINK("http://trademark.i-assist.jp/data/china/image_1890th/77269987.pdf",77269987)</f>
        <v>77269987</v>
      </c>
      <c r="F756" s="7" t="s">
        <v>2158</v>
      </c>
      <c r="G756" s="7" t="s">
        <v>2157</v>
      </c>
      <c r="H756" s="7" t="s">
        <v>2159</v>
      </c>
      <c r="I756" s="9">
        <v>45364</v>
      </c>
    </row>
    <row r="757" spans="1:9" x14ac:dyDescent="0.15">
      <c r="A757" s="6">
        <v>756</v>
      </c>
      <c r="B757" s="7" t="s">
        <v>7</v>
      </c>
      <c r="C757" s="8">
        <v>1890</v>
      </c>
      <c r="D757" s="9">
        <v>45449</v>
      </c>
      <c r="E757" s="13">
        <f>+HYPERLINK("http://trademark.i-assist.jp/data/china/image_1890th/77270353.pdf",77270353)</f>
        <v>77270353</v>
      </c>
      <c r="F757" s="7" t="s">
        <v>2161</v>
      </c>
      <c r="G757" s="7" t="s">
        <v>2160</v>
      </c>
      <c r="H757" s="7" t="s">
        <v>2162</v>
      </c>
      <c r="I757" s="9">
        <v>45364</v>
      </c>
    </row>
    <row r="758" spans="1:9" x14ac:dyDescent="0.15">
      <c r="A758" s="6">
        <v>757</v>
      </c>
      <c r="B758" s="7" t="s">
        <v>7</v>
      </c>
      <c r="C758" s="8">
        <v>1890</v>
      </c>
      <c r="D758" s="9">
        <v>45449</v>
      </c>
      <c r="E758" s="13">
        <f>+HYPERLINK("http://trademark.i-assist.jp/data/china/image_1890th/77270502.pdf",77270502)</f>
        <v>77270502</v>
      </c>
      <c r="F758" s="7" t="s">
        <v>2164</v>
      </c>
      <c r="G758" s="7" t="s">
        <v>2163</v>
      </c>
      <c r="H758" s="7" t="s">
        <v>2165</v>
      </c>
      <c r="I758" s="9">
        <v>45364</v>
      </c>
    </row>
    <row r="759" spans="1:9" x14ac:dyDescent="0.15">
      <c r="A759" s="6">
        <v>758</v>
      </c>
      <c r="B759" s="7" t="s">
        <v>7</v>
      </c>
      <c r="C759" s="8">
        <v>1890</v>
      </c>
      <c r="D759" s="9">
        <v>45449</v>
      </c>
      <c r="E759" s="13">
        <f>+HYPERLINK("http://trademark.i-assist.jp/data/china/image_1890th/77270541.pdf",77270541)</f>
        <v>77270541</v>
      </c>
      <c r="F759" s="7" t="s">
        <v>2167</v>
      </c>
      <c r="G759" s="7" t="s">
        <v>2166</v>
      </c>
      <c r="H759" s="7" t="s">
        <v>2168</v>
      </c>
      <c r="I759" s="9">
        <v>45364</v>
      </c>
    </row>
    <row r="760" spans="1:9" x14ac:dyDescent="0.15">
      <c r="A760" s="6">
        <v>759</v>
      </c>
      <c r="B760" s="7" t="s">
        <v>7</v>
      </c>
      <c r="C760" s="8">
        <v>1890</v>
      </c>
      <c r="D760" s="9">
        <v>45449</v>
      </c>
      <c r="E760" s="13">
        <f>+HYPERLINK("http://trademark.i-assist.jp/data/china/image_1890th/77270775.pdf",77270775)</f>
        <v>77270775</v>
      </c>
      <c r="F760" s="7" t="s">
        <v>2170</v>
      </c>
      <c r="G760" s="7" t="s">
        <v>2169</v>
      </c>
      <c r="H760" s="7" t="s">
        <v>2171</v>
      </c>
      <c r="I760" s="9">
        <v>45364</v>
      </c>
    </row>
    <row r="761" spans="1:9" ht="27" x14ac:dyDescent="0.15">
      <c r="A761" s="6">
        <v>760</v>
      </c>
      <c r="B761" s="7" t="s">
        <v>7</v>
      </c>
      <c r="C761" s="8">
        <v>1890</v>
      </c>
      <c r="D761" s="9">
        <v>45449</v>
      </c>
      <c r="E761" s="13">
        <f>+HYPERLINK("http://trademark.i-assist.jp/data/china/image_1890th/77271204.pdf",77271204)</f>
        <v>77271204</v>
      </c>
      <c r="F761" s="7" t="s">
        <v>183</v>
      </c>
      <c r="G761" s="7" t="s">
        <v>2172</v>
      </c>
      <c r="H761" s="7" t="s">
        <v>2173</v>
      </c>
      <c r="I761" s="9">
        <v>45364</v>
      </c>
    </row>
    <row r="762" spans="1:9" ht="27" x14ac:dyDescent="0.15">
      <c r="A762" s="6">
        <v>761</v>
      </c>
      <c r="B762" s="7" t="s">
        <v>7</v>
      </c>
      <c r="C762" s="8">
        <v>1890</v>
      </c>
      <c r="D762" s="9">
        <v>45449</v>
      </c>
      <c r="E762" s="13">
        <f>+HYPERLINK("http://trademark.i-assist.jp/data/china/image_1890th/77425204.pdf",77425204)</f>
        <v>77425204</v>
      </c>
      <c r="F762" s="7" t="s">
        <v>2175</v>
      </c>
      <c r="G762" s="7" t="s">
        <v>2174</v>
      </c>
      <c r="H762" s="7" t="s">
        <v>2176</v>
      </c>
      <c r="I762" s="9">
        <v>45371</v>
      </c>
    </row>
    <row r="763" spans="1:9" x14ac:dyDescent="0.15">
      <c r="A763" s="6">
        <v>762</v>
      </c>
      <c r="B763" s="7" t="s">
        <v>7</v>
      </c>
      <c r="C763" s="8">
        <v>1890</v>
      </c>
      <c r="D763" s="9">
        <v>45449</v>
      </c>
      <c r="E763" s="13">
        <f>+HYPERLINK("http://trademark.i-assist.jp/data/china/image_1890th/77425213.pdf",77425213)</f>
        <v>77425213</v>
      </c>
      <c r="F763" s="7" t="s">
        <v>2177</v>
      </c>
      <c r="G763" s="7" t="s">
        <v>860</v>
      </c>
      <c r="H763" s="7" t="s">
        <v>2178</v>
      </c>
      <c r="I763" s="9">
        <v>45371</v>
      </c>
    </row>
    <row r="764" spans="1:9" x14ac:dyDescent="0.15">
      <c r="A764" s="6">
        <v>763</v>
      </c>
      <c r="B764" s="7" t="s">
        <v>7</v>
      </c>
      <c r="C764" s="8">
        <v>1890</v>
      </c>
      <c r="D764" s="9">
        <v>45449</v>
      </c>
      <c r="E764" s="13">
        <f>+HYPERLINK("http://trademark.i-assist.jp/data/china/image_1890th/77425223.pdf",77425223)</f>
        <v>77425223</v>
      </c>
      <c r="F764" s="7" t="s">
        <v>2180</v>
      </c>
      <c r="G764" s="7" t="s">
        <v>2179</v>
      </c>
      <c r="H764" s="7" t="s">
        <v>2181</v>
      </c>
      <c r="I764" s="9">
        <v>45371</v>
      </c>
    </row>
    <row r="765" spans="1:9" x14ac:dyDescent="0.15">
      <c r="A765" s="6">
        <v>764</v>
      </c>
      <c r="B765" s="7" t="s">
        <v>7</v>
      </c>
      <c r="C765" s="8">
        <v>1890</v>
      </c>
      <c r="D765" s="9">
        <v>45449</v>
      </c>
      <c r="E765" s="13">
        <f>+HYPERLINK("http://trademark.i-assist.jp/data/china/image_1890th/77425266.pdf",77425266)</f>
        <v>77425266</v>
      </c>
      <c r="F765" s="7" t="s">
        <v>2183</v>
      </c>
      <c r="G765" s="7" t="s">
        <v>2182</v>
      </c>
      <c r="H765" s="7" t="s">
        <v>2184</v>
      </c>
      <c r="I765" s="9">
        <v>45371</v>
      </c>
    </row>
    <row r="766" spans="1:9" x14ac:dyDescent="0.15">
      <c r="A766" s="6">
        <v>765</v>
      </c>
      <c r="B766" s="7" t="s">
        <v>7</v>
      </c>
      <c r="C766" s="8">
        <v>1890</v>
      </c>
      <c r="D766" s="9">
        <v>45449</v>
      </c>
      <c r="E766" s="13">
        <f>+HYPERLINK("http://trademark.i-assist.jp/data/china/image_1890th/77425385.pdf",77425385)</f>
        <v>77425385</v>
      </c>
      <c r="F766" s="7" t="s">
        <v>2185</v>
      </c>
      <c r="G766" s="7" t="s">
        <v>1470</v>
      </c>
      <c r="H766" s="7" t="s">
        <v>2186</v>
      </c>
      <c r="I766" s="9">
        <v>45371</v>
      </c>
    </row>
    <row r="767" spans="1:9" x14ac:dyDescent="0.15">
      <c r="A767" s="6">
        <v>766</v>
      </c>
      <c r="B767" s="7" t="s">
        <v>7</v>
      </c>
      <c r="C767" s="8">
        <v>1890</v>
      </c>
      <c r="D767" s="9">
        <v>45449</v>
      </c>
      <c r="E767" s="13">
        <f>+HYPERLINK("http://trademark.i-assist.jp/data/china/image_1890th/77425561.pdf",77425561)</f>
        <v>77425561</v>
      </c>
      <c r="F767" s="7" t="s">
        <v>2188</v>
      </c>
      <c r="G767" s="7" t="s">
        <v>2187</v>
      </c>
      <c r="H767" s="7" t="s">
        <v>2189</v>
      </c>
      <c r="I767" s="9">
        <v>45371</v>
      </c>
    </row>
    <row r="768" spans="1:9" x14ac:dyDescent="0.15">
      <c r="A768" s="6">
        <v>767</v>
      </c>
      <c r="B768" s="7" t="s">
        <v>7</v>
      </c>
      <c r="C768" s="8">
        <v>1890</v>
      </c>
      <c r="D768" s="9">
        <v>45449</v>
      </c>
      <c r="E768" s="13">
        <f>+HYPERLINK("http://trademark.i-assist.jp/data/china/image_1890th/77425582.pdf",77425582)</f>
        <v>77425582</v>
      </c>
      <c r="F768" s="7" t="s">
        <v>2191</v>
      </c>
      <c r="G768" s="7" t="s">
        <v>2190</v>
      </c>
      <c r="H768" s="7" t="s">
        <v>2192</v>
      </c>
      <c r="I768" s="9">
        <v>45371</v>
      </c>
    </row>
    <row r="769" spans="1:9" x14ac:dyDescent="0.15">
      <c r="A769" s="6">
        <v>768</v>
      </c>
      <c r="B769" s="7" t="s">
        <v>7</v>
      </c>
      <c r="C769" s="8">
        <v>1890</v>
      </c>
      <c r="D769" s="9">
        <v>45449</v>
      </c>
      <c r="E769" s="13">
        <f>+HYPERLINK("http://trademark.i-assist.jp/data/china/image_1890th/77425628.pdf",77425628)</f>
        <v>77425628</v>
      </c>
      <c r="F769" s="7" t="s">
        <v>2194</v>
      </c>
      <c r="G769" s="7" t="s">
        <v>2193</v>
      </c>
      <c r="H769" s="7" t="s">
        <v>2195</v>
      </c>
      <c r="I769" s="9">
        <v>45371</v>
      </c>
    </row>
    <row r="770" spans="1:9" x14ac:dyDescent="0.15">
      <c r="A770" s="6">
        <v>769</v>
      </c>
      <c r="B770" s="7" t="s">
        <v>7</v>
      </c>
      <c r="C770" s="8">
        <v>1890</v>
      </c>
      <c r="D770" s="9">
        <v>45449</v>
      </c>
      <c r="E770" s="13">
        <f>+HYPERLINK("http://trademark.i-assist.jp/data/china/image_1890th/77425659.pdf",77425659)</f>
        <v>77425659</v>
      </c>
      <c r="F770" s="7" t="s">
        <v>2197</v>
      </c>
      <c r="G770" s="7" t="s">
        <v>2196</v>
      </c>
      <c r="H770" s="7" t="s">
        <v>2198</v>
      </c>
      <c r="I770" s="9">
        <v>45371</v>
      </c>
    </row>
    <row r="771" spans="1:9" x14ac:dyDescent="0.15">
      <c r="A771" s="6">
        <v>770</v>
      </c>
      <c r="B771" s="7" t="s">
        <v>7</v>
      </c>
      <c r="C771" s="8">
        <v>1890</v>
      </c>
      <c r="D771" s="9">
        <v>45449</v>
      </c>
      <c r="E771" s="13">
        <f>+HYPERLINK("http://trademark.i-assist.jp/data/china/image_1890th/77425746.pdf",77425746)</f>
        <v>77425746</v>
      </c>
      <c r="F771" s="7" t="s">
        <v>2200</v>
      </c>
      <c r="G771" s="7" t="s">
        <v>2199</v>
      </c>
      <c r="H771" s="7" t="s">
        <v>2201</v>
      </c>
      <c r="I771" s="9">
        <v>45371</v>
      </c>
    </row>
    <row r="772" spans="1:9" x14ac:dyDescent="0.15">
      <c r="A772" s="6">
        <v>771</v>
      </c>
      <c r="B772" s="7" t="s">
        <v>7</v>
      </c>
      <c r="C772" s="8">
        <v>1890</v>
      </c>
      <c r="D772" s="9">
        <v>45449</v>
      </c>
      <c r="E772" s="13">
        <f>+HYPERLINK("http://trademark.i-assist.jp/data/china/image_1890th/77425974.pdf",77425974)</f>
        <v>77425974</v>
      </c>
      <c r="F772" s="7" t="s">
        <v>2203</v>
      </c>
      <c r="G772" s="7" t="s">
        <v>2202</v>
      </c>
      <c r="H772" s="7" t="s">
        <v>2204</v>
      </c>
      <c r="I772" s="9">
        <v>45371</v>
      </c>
    </row>
    <row r="773" spans="1:9" x14ac:dyDescent="0.15">
      <c r="A773" s="6">
        <v>772</v>
      </c>
      <c r="B773" s="7" t="s">
        <v>7</v>
      </c>
      <c r="C773" s="8">
        <v>1890</v>
      </c>
      <c r="D773" s="9">
        <v>45449</v>
      </c>
      <c r="E773" s="13">
        <f>+HYPERLINK("http://trademark.i-assist.jp/data/china/image_1890th/77426007.pdf",77426007)</f>
        <v>77426007</v>
      </c>
      <c r="F773" s="7" t="s">
        <v>2206</v>
      </c>
      <c r="G773" s="7" t="s">
        <v>2205</v>
      </c>
      <c r="H773" s="7" t="s">
        <v>2207</v>
      </c>
      <c r="I773" s="9">
        <v>45371</v>
      </c>
    </row>
    <row r="774" spans="1:9" x14ac:dyDescent="0.15">
      <c r="A774" s="6">
        <v>773</v>
      </c>
      <c r="B774" s="7" t="s">
        <v>7</v>
      </c>
      <c r="C774" s="8">
        <v>1890</v>
      </c>
      <c r="D774" s="9">
        <v>45449</v>
      </c>
      <c r="E774" s="13">
        <f>+HYPERLINK("http://trademark.i-assist.jp/data/china/image_1890th/77426130.pdf",77426130)</f>
        <v>77426130</v>
      </c>
      <c r="F774" s="7" t="s">
        <v>2209</v>
      </c>
      <c r="G774" s="7" t="s">
        <v>2208</v>
      </c>
      <c r="H774" s="7" t="s">
        <v>2210</v>
      </c>
      <c r="I774" s="9">
        <v>45371</v>
      </c>
    </row>
    <row r="775" spans="1:9" x14ac:dyDescent="0.15">
      <c r="A775" s="6">
        <v>774</v>
      </c>
      <c r="B775" s="7" t="s">
        <v>7</v>
      </c>
      <c r="C775" s="8">
        <v>1890</v>
      </c>
      <c r="D775" s="9">
        <v>45449</v>
      </c>
      <c r="E775" s="13">
        <f>+HYPERLINK("http://trademark.i-assist.jp/data/china/image_1890th/77426139.pdf",77426139)</f>
        <v>77426139</v>
      </c>
      <c r="F775" s="7" t="s">
        <v>2212</v>
      </c>
      <c r="G775" s="7" t="s">
        <v>2211</v>
      </c>
      <c r="H775" s="7" t="s">
        <v>2213</v>
      </c>
      <c r="I775" s="9">
        <v>45371</v>
      </c>
    </row>
    <row r="776" spans="1:9" x14ac:dyDescent="0.15">
      <c r="A776" s="6">
        <v>775</v>
      </c>
      <c r="B776" s="7" t="s">
        <v>7</v>
      </c>
      <c r="C776" s="8">
        <v>1890</v>
      </c>
      <c r="D776" s="9">
        <v>45449</v>
      </c>
      <c r="E776" s="13">
        <f>+HYPERLINK("http://trademark.i-assist.jp/data/china/image_1890th/77505380.pdf",77505380)</f>
        <v>77505380</v>
      </c>
      <c r="F776" s="7" t="s">
        <v>2215</v>
      </c>
      <c r="G776" s="7" t="s">
        <v>2214</v>
      </c>
      <c r="H776" s="7" t="s">
        <v>2216</v>
      </c>
      <c r="I776" s="9">
        <v>45376</v>
      </c>
    </row>
    <row r="777" spans="1:9" x14ac:dyDescent="0.15">
      <c r="A777" s="6">
        <v>776</v>
      </c>
      <c r="B777" s="7" t="s">
        <v>7</v>
      </c>
      <c r="C777" s="8">
        <v>1890</v>
      </c>
      <c r="D777" s="9">
        <v>45449</v>
      </c>
      <c r="E777" s="13">
        <f>+HYPERLINK("http://trademark.i-assist.jp/data/china/image_1890th/77505548.pdf",77505548)</f>
        <v>77505548</v>
      </c>
      <c r="F777" s="7" t="s">
        <v>2218</v>
      </c>
      <c r="G777" s="7" t="s">
        <v>2217</v>
      </c>
      <c r="H777" s="7" t="s">
        <v>2219</v>
      </c>
      <c r="I777" s="9">
        <v>45376</v>
      </c>
    </row>
    <row r="778" spans="1:9" x14ac:dyDescent="0.15">
      <c r="A778" s="6">
        <v>777</v>
      </c>
      <c r="B778" s="7" t="s">
        <v>7</v>
      </c>
      <c r="C778" s="8">
        <v>1890</v>
      </c>
      <c r="D778" s="9">
        <v>45449</v>
      </c>
      <c r="E778" s="13">
        <f>+HYPERLINK("http://trademark.i-assist.jp/data/china/image_1890th/77583427.pdf",77583427)</f>
        <v>77583427</v>
      </c>
      <c r="F778" s="7" t="s">
        <v>2221</v>
      </c>
      <c r="G778" s="7" t="s">
        <v>2220</v>
      </c>
      <c r="H778" s="7" t="s">
        <v>2222</v>
      </c>
      <c r="I778" s="9">
        <v>45378</v>
      </c>
    </row>
    <row r="779" spans="1:9" x14ac:dyDescent="0.15">
      <c r="A779" s="6">
        <v>778</v>
      </c>
      <c r="B779" s="7" t="s">
        <v>7</v>
      </c>
      <c r="C779" s="8">
        <v>1890</v>
      </c>
      <c r="D779" s="9">
        <v>45449</v>
      </c>
      <c r="E779" s="13">
        <f>+HYPERLINK("http://trademark.i-assist.jp/data/china/image_1890th/77583783.pdf",77583783)</f>
        <v>77583783</v>
      </c>
      <c r="F779" s="7" t="s">
        <v>2224</v>
      </c>
      <c r="G779" s="7" t="s">
        <v>2223</v>
      </c>
      <c r="H779" s="7" t="s">
        <v>2225</v>
      </c>
      <c r="I779" s="9">
        <v>45378</v>
      </c>
    </row>
    <row r="780" spans="1:9" x14ac:dyDescent="0.15">
      <c r="A780" s="6">
        <v>779</v>
      </c>
      <c r="B780" s="7" t="s">
        <v>7</v>
      </c>
      <c r="C780" s="8">
        <v>1890</v>
      </c>
      <c r="D780" s="9">
        <v>45449</v>
      </c>
      <c r="E780" s="13">
        <f>+HYPERLINK("http://trademark.i-assist.jp/data/china/image_1890th/77584035.pdf",77584035)</f>
        <v>77584035</v>
      </c>
      <c r="F780" s="7" t="s">
        <v>2227</v>
      </c>
      <c r="G780" s="7" t="s">
        <v>2226</v>
      </c>
      <c r="H780" s="7" t="s">
        <v>2228</v>
      </c>
      <c r="I780" s="9">
        <v>45378</v>
      </c>
    </row>
    <row r="781" spans="1:9" x14ac:dyDescent="0.15">
      <c r="A781" s="6">
        <v>780</v>
      </c>
      <c r="B781" s="7" t="s">
        <v>7</v>
      </c>
      <c r="C781" s="8">
        <v>1890</v>
      </c>
      <c r="D781" s="9">
        <v>45449</v>
      </c>
      <c r="E781" s="13">
        <f>+HYPERLINK("http://trademark.i-assist.jp/data/china/image_1890th/77584487.pdf",77584487)</f>
        <v>77584487</v>
      </c>
      <c r="F781" s="7" t="s">
        <v>2229</v>
      </c>
      <c r="G781" s="7" t="s">
        <v>2013</v>
      </c>
      <c r="H781" s="7" t="s">
        <v>2230</v>
      </c>
      <c r="I781" s="9">
        <v>45378</v>
      </c>
    </row>
    <row r="782" spans="1:9" x14ac:dyDescent="0.15">
      <c r="A782" s="6">
        <v>781</v>
      </c>
      <c r="B782" s="7" t="s">
        <v>7</v>
      </c>
      <c r="C782" s="8">
        <v>1890</v>
      </c>
      <c r="D782" s="9">
        <v>45449</v>
      </c>
      <c r="E782" s="13">
        <f>+HYPERLINK("http://trademark.i-assist.jp/data/china/image_1890th/77584903.pdf",77584903)</f>
        <v>77584903</v>
      </c>
      <c r="F782" s="7" t="s">
        <v>2232</v>
      </c>
      <c r="G782" s="7" t="s">
        <v>2231</v>
      </c>
      <c r="H782" s="7" t="s">
        <v>2233</v>
      </c>
      <c r="I782" s="9">
        <v>45378</v>
      </c>
    </row>
    <row r="783" spans="1:9" x14ac:dyDescent="0.15">
      <c r="A783" s="6">
        <v>782</v>
      </c>
      <c r="B783" s="7" t="s">
        <v>7</v>
      </c>
      <c r="C783" s="8">
        <v>1890</v>
      </c>
      <c r="D783" s="9">
        <v>45449</v>
      </c>
      <c r="E783" s="13">
        <f>+HYPERLINK("http://trademark.i-assist.jp/data/china/image_1890th/77585054.pdf",77585054)</f>
        <v>77585054</v>
      </c>
      <c r="F783" s="7" t="s">
        <v>183</v>
      </c>
      <c r="G783" s="7" t="s">
        <v>2234</v>
      </c>
      <c r="H783" s="7" t="s">
        <v>2235</v>
      </c>
      <c r="I783" s="9">
        <v>45378</v>
      </c>
    </row>
    <row r="784" spans="1:9" x14ac:dyDescent="0.15">
      <c r="A784" s="6">
        <v>783</v>
      </c>
      <c r="B784" s="7" t="s">
        <v>7</v>
      </c>
      <c r="C784" s="8">
        <v>1890</v>
      </c>
      <c r="D784" s="9">
        <v>45449</v>
      </c>
      <c r="E784" s="13">
        <f>+HYPERLINK("http://trademark.i-assist.jp/data/china/image_1890th/77585256.pdf",77585256)</f>
        <v>77585256</v>
      </c>
      <c r="F784" s="7" t="s">
        <v>2237</v>
      </c>
      <c r="G784" s="7" t="s">
        <v>2236</v>
      </c>
      <c r="H784" s="7" t="s">
        <v>2238</v>
      </c>
      <c r="I784" s="9">
        <v>45378</v>
      </c>
    </row>
    <row r="785" spans="1:9" x14ac:dyDescent="0.15">
      <c r="A785" s="6">
        <v>784</v>
      </c>
      <c r="B785" s="7" t="s">
        <v>7</v>
      </c>
      <c r="C785" s="8">
        <v>1890</v>
      </c>
      <c r="D785" s="9">
        <v>45449</v>
      </c>
      <c r="E785" s="13">
        <f>+HYPERLINK("http://trademark.i-assist.jp/data/china/image_1890th/77586576.pdf",77586576)</f>
        <v>77586576</v>
      </c>
      <c r="F785" s="7" t="s">
        <v>2240</v>
      </c>
      <c r="G785" s="7" t="s">
        <v>2239</v>
      </c>
      <c r="H785" s="7" t="s">
        <v>2241</v>
      </c>
      <c r="I785" s="9">
        <v>45378</v>
      </c>
    </row>
    <row r="786" spans="1:9" x14ac:dyDescent="0.15">
      <c r="A786" s="6">
        <v>785</v>
      </c>
      <c r="B786" s="7" t="s">
        <v>7</v>
      </c>
      <c r="C786" s="8">
        <v>1890</v>
      </c>
      <c r="D786" s="9">
        <v>45449</v>
      </c>
      <c r="E786" s="13">
        <f>+HYPERLINK("http://trademark.i-assist.jp/data/china/image_1890th/77586721.pdf",77586721)</f>
        <v>77586721</v>
      </c>
      <c r="F786" s="7" t="s">
        <v>2243</v>
      </c>
      <c r="G786" s="7" t="s">
        <v>2242</v>
      </c>
      <c r="H786" s="7" t="s">
        <v>2244</v>
      </c>
      <c r="I786" s="9">
        <v>45378</v>
      </c>
    </row>
    <row r="787" spans="1:9" x14ac:dyDescent="0.15">
      <c r="A787" s="6">
        <v>786</v>
      </c>
      <c r="B787" s="7" t="s">
        <v>7</v>
      </c>
      <c r="C787" s="8">
        <v>1890</v>
      </c>
      <c r="D787" s="9">
        <v>45449</v>
      </c>
      <c r="E787" s="13">
        <f>+HYPERLINK("http://trademark.i-assist.jp/data/china/image_1890th/77586958.pdf",77586958)</f>
        <v>77586958</v>
      </c>
      <c r="F787" s="7" t="s">
        <v>2246</v>
      </c>
      <c r="G787" s="7" t="s">
        <v>2245</v>
      </c>
      <c r="H787" s="7" t="s">
        <v>2247</v>
      </c>
      <c r="I787" s="9">
        <v>45378</v>
      </c>
    </row>
    <row r="788" spans="1:9" x14ac:dyDescent="0.15">
      <c r="A788" s="6">
        <v>787</v>
      </c>
      <c r="B788" s="7" t="s">
        <v>7</v>
      </c>
      <c r="C788" s="8">
        <v>1890</v>
      </c>
      <c r="D788" s="9">
        <v>45449</v>
      </c>
      <c r="E788" s="13">
        <f>+HYPERLINK("http://trademark.i-assist.jp/data/china/image_1890th/77587241.pdf",77587241)</f>
        <v>77587241</v>
      </c>
      <c r="F788" s="7" t="s">
        <v>2249</v>
      </c>
      <c r="G788" s="7" t="s">
        <v>2248</v>
      </c>
      <c r="H788" s="7" t="s">
        <v>2250</v>
      </c>
      <c r="I788" s="9">
        <v>45378</v>
      </c>
    </row>
    <row r="789" spans="1:9" x14ac:dyDescent="0.15">
      <c r="A789" s="6">
        <v>788</v>
      </c>
      <c r="B789" s="7" t="s">
        <v>7</v>
      </c>
      <c r="C789" s="8">
        <v>1890</v>
      </c>
      <c r="D789" s="9">
        <v>45449</v>
      </c>
      <c r="E789" s="13">
        <f>+HYPERLINK("http://trademark.i-assist.jp/data/china/image_1890th/77587885.pdf",77587885)</f>
        <v>77587885</v>
      </c>
      <c r="F789" s="7" t="s">
        <v>2252</v>
      </c>
      <c r="G789" s="7" t="s">
        <v>2251</v>
      </c>
      <c r="H789" s="7" t="s">
        <v>2253</v>
      </c>
      <c r="I789" s="9">
        <v>45378</v>
      </c>
    </row>
    <row r="790" spans="1:9" x14ac:dyDescent="0.15">
      <c r="A790" s="6">
        <v>789</v>
      </c>
      <c r="B790" s="7" t="s">
        <v>7</v>
      </c>
      <c r="C790" s="8">
        <v>1890</v>
      </c>
      <c r="D790" s="9">
        <v>45449</v>
      </c>
      <c r="E790" s="13">
        <f>+HYPERLINK("http://trademark.i-assist.jp/data/china/image_1890th/77588045.pdf",77588045)</f>
        <v>77588045</v>
      </c>
      <c r="F790" s="7" t="s">
        <v>2255</v>
      </c>
      <c r="G790" s="7" t="s">
        <v>2254</v>
      </c>
      <c r="H790" s="7" t="s">
        <v>2256</v>
      </c>
      <c r="I790" s="9">
        <v>45378</v>
      </c>
    </row>
    <row r="791" spans="1:9" x14ac:dyDescent="0.15">
      <c r="A791" s="6">
        <v>790</v>
      </c>
      <c r="B791" s="7" t="s">
        <v>7</v>
      </c>
      <c r="C791" s="8">
        <v>1890</v>
      </c>
      <c r="D791" s="9">
        <v>45449</v>
      </c>
      <c r="E791" s="13">
        <f>+HYPERLINK("http://trademark.i-assist.jp/data/china/image_1890th/77588357.pdf",77588357)</f>
        <v>77588357</v>
      </c>
      <c r="F791" s="7" t="s">
        <v>2258</v>
      </c>
      <c r="G791" s="7" t="s">
        <v>2257</v>
      </c>
      <c r="H791" s="7" t="s">
        <v>2259</v>
      </c>
      <c r="I791" s="9">
        <v>45378</v>
      </c>
    </row>
    <row r="792" spans="1:9" x14ac:dyDescent="0.15">
      <c r="A792" s="6">
        <v>791</v>
      </c>
      <c r="B792" s="7" t="s">
        <v>7</v>
      </c>
      <c r="C792" s="8">
        <v>1890</v>
      </c>
      <c r="D792" s="9">
        <v>45449</v>
      </c>
      <c r="E792" s="13">
        <f>+HYPERLINK("http://trademark.i-assist.jp/data/china/image_1890th/77588929.pdf",77588929)</f>
        <v>77588929</v>
      </c>
      <c r="F792" s="7" t="s">
        <v>2260</v>
      </c>
      <c r="G792" s="7" t="s">
        <v>2223</v>
      </c>
      <c r="H792" s="7" t="s">
        <v>2261</v>
      </c>
      <c r="I792" s="9">
        <v>45378</v>
      </c>
    </row>
    <row r="793" spans="1:9" x14ac:dyDescent="0.15">
      <c r="A793" s="6">
        <v>792</v>
      </c>
      <c r="B793" s="7" t="s">
        <v>7</v>
      </c>
      <c r="C793" s="8">
        <v>1890</v>
      </c>
      <c r="D793" s="9">
        <v>45449</v>
      </c>
      <c r="E793" s="13">
        <f>+HYPERLINK("http://trademark.i-assist.jp/data/china/image_1890th/76709386.pdf",76709386)</f>
        <v>76709386</v>
      </c>
      <c r="F793" s="7" t="s">
        <v>2263</v>
      </c>
      <c r="G793" s="7" t="s">
        <v>2262</v>
      </c>
      <c r="H793" s="7" t="s">
        <v>2264</v>
      </c>
      <c r="I793" s="9">
        <v>45322</v>
      </c>
    </row>
    <row r="794" spans="1:9" x14ac:dyDescent="0.15">
      <c r="A794" s="6">
        <v>793</v>
      </c>
      <c r="B794" s="7" t="s">
        <v>7</v>
      </c>
      <c r="C794" s="8">
        <v>1890</v>
      </c>
      <c r="D794" s="9">
        <v>45449</v>
      </c>
      <c r="E794" s="13">
        <f>+HYPERLINK("http://trademark.i-assist.jp/data/china/image_1890th/76713375.pdf",76713375)</f>
        <v>76713375</v>
      </c>
      <c r="F794" s="7" t="s">
        <v>2266</v>
      </c>
      <c r="G794" s="7" t="s">
        <v>2265</v>
      </c>
      <c r="H794" s="7" t="s">
        <v>2267</v>
      </c>
      <c r="I794" s="9">
        <v>45322</v>
      </c>
    </row>
    <row r="795" spans="1:9" x14ac:dyDescent="0.15">
      <c r="A795" s="6">
        <v>794</v>
      </c>
      <c r="B795" s="7" t="s">
        <v>7</v>
      </c>
      <c r="C795" s="8">
        <v>1890</v>
      </c>
      <c r="D795" s="9">
        <v>45449</v>
      </c>
      <c r="E795" s="13">
        <f>+HYPERLINK("http://trademark.i-assist.jp/data/china/image_1890th/76713673.pdf",76713673)</f>
        <v>76713673</v>
      </c>
      <c r="F795" s="7" t="s">
        <v>2269</v>
      </c>
      <c r="G795" s="7" t="s">
        <v>2268</v>
      </c>
      <c r="H795" s="7" t="s">
        <v>2270</v>
      </c>
      <c r="I795" s="9">
        <v>45322</v>
      </c>
    </row>
    <row r="796" spans="1:9" x14ac:dyDescent="0.15">
      <c r="A796" s="6">
        <v>795</v>
      </c>
      <c r="B796" s="7" t="s">
        <v>7</v>
      </c>
      <c r="C796" s="8">
        <v>1890</v>
      </c>
      <c r="D796" s="9">
        <v>45449</v>
      </c>
      <c r="E796" s="13">
        <f>+HYPERLINK("http://trademark.i-assist.jp/data/china/image_1890th/76721679.pdf",76721679)</f>
        <v>76721679</v>
      </c>
      <c r="F796" s="7" t="s">
        <v>2272</v>
      </c>
      <c r="G796" s="7" t="s">
        <v>2271</v>
      </c>
      <c r="H796" s="7" t="s">
        <v>2273</v>
      </c>
      <c r="I796" s="9">
        <v>45323</v>
      </c>
    </row>
    <row r="797" spans="1:9" x14ac:dyDescent="0.15">
      <c r="A797" s="6">
        <v>796</v>
      </c>
      <c r="B797" s="7" t="s">
        <v>7</v>
      </c>
      <c r="C797" s="8">
        <v>1890</v>
      </c>
      <c r="D797" s="9">
        <v>45449</v>
      </c>
      <c r="E797" s="13">
        <f>+HYPERLINK("http://trademark.i-assist.jp/data/china/image_1890th/76733871.pdf",76733871)</f>
        <v>76733871</v>
      </c>
      <c r="F797" s="7" t="s">
        <v>2275</v>
      </c>
      <c r="G797" s="7" t="s">
        <v>2274</v>
      </c>
      <c r="H797" s="7" t="s">
        <v>2276</v>
      </c>
      <c r="I797" s="9">
        <v>45323</v>
      </c>
    </row>
    <row r="798" spans="1:9" x14ac:dyDescent="0.15">
      <c r="A798" s="6">
        <v>797</v>
      </c>
      <c r="B798" s="7" t="s">
        <v>7</v>
      </c>
      <c r="C798" s="8">
        <v>1890</v>
      </c>
      <c r="D798" s="9">
        <v>45449</v>
      </c>
      <c r="E798" s="13">
        <f>+HYPERLINK("http://trademark.i-assist.jp/data/china/image_1890th/76733979.pdf",76733979)</f>
        <v>76733979</v>
      </c>
      <c r="F798" s="7" t="s">
        <v>2278</v>
      </c>
      <c r="G798" s="7" t="s">
        <v>2277</v>
      </c>
      <c r="H798" s="7" t="s">
        <v>2279</v>
      </c>
      <c r="I798" s="9">
        <v>45323</v>
      </c>
    </row>
    <row r="799" spans="1:9" x14ac:dyDescent="0.15">
      <c r="A799" s="6">
        <v>798</v>
      </c>
      <c r="B799" s="7" t="s">
        <v>7</v>
      </c>
      <c r="C799" s="8">
        <v>1890</v>
      </c>
      <c r="D799" s="9">
        <v>45449</v>
      </c>
      <c r="E799" s="13">
        <f>+HYPERLINK("http://trademark.i-assist.jp/data/china/image_1890th/76736278.pdf",76736278)</f>
        <v>76736278</v>
      </c>
      <c r="F799" s="7" t="s">
        <v>2281</v>
      </c>
      <c r="G799" s="7" t="s">
        <v>2280</v>
      </c>
      <c r="H799" s="7" t="s">
        <v>2282</v>
      </c>
      <c r="I799" s="9">
        <v>45323</v>
      </c>
    </row>
    <row r="800" spans="1:9" x14ac:dyDescent="0.15">
      <c r="A800" s="6">
        <v>799</v>
      </c>
      <c r="B800" s="7" t="s">
        <v>7</v>
      </c>
      <c r="C800" s="8">
        <v>1890</v>
      </c>
      <c r="D800" s="9">
        <v>45449</v>
      </c>
      <c r="E800" s="13">
        <f>+HYPERLINK("http://trademark.i-assist.jp/data/china/image_1890th/76737894.pdf",76737894)</f>
        <v>76737894</v>
      </c>
      <c r="F800" s="7" t="s">
        <v>2284</v>
      </c>
      <c r="G800" s="7" t="s">
        <v>2283</v>
      </c>
      <c r="H800" s="7" t="s">
        <v>2285</v>
      </c>
      <c r="I800" s="9">
        <v>45323</v>
      </c>
    </row>
    <row r="801" spans="1:9" x14ac:dyDescent="0.15">
      <c r="A801" s="6">
        <v>800</v>
      </c>
      <c r="B801" s="7" t="s">
        <v>7</v>
      </c>
      <c r="C801" s="8">
        <v>1890</v>
      </c>
      <c r="D801" s="9">
        <v>45449</v>
      </c>
      <c r="E801" s="13">
        <f>+HYPERLINK("http://trademark.i-assist.jp/data/china/image_1890th/76738078.pdf",76738078)</f>
        <v>76738078</v>
      </c>
      <c r="F801" s="7" t="s">
        <v>2286</v>
      </c>
      <c r="G801" s="7" t="s">
        <v>2271</v>
      </c>
      <c r="H801" s="7" t="s">
        <v>2287</v>
      </c>
      <c r="I801" s="9">
        <v>45323</v>
      </c>
    </row>
    <row r="802" spans="1:9" x14ac:dyDescent="0.15">
      <c r="A802" s="6">
        <v>801</v>
      </c>
      <c r="B802" s="7" t="s">
        <v>7</v>
      </c>
      <c r="C802" s="8">
        <v>1890</v>
      </c>
      <c r="D802" s="9">
        <v>45449</v>
      </c>
      <c r="E802" s="13">
        <f>+HYPERLINK("http://trademark.i-assist.jp/data/china/image_1890th/76738079.pdf",76738079)</f>
        <v>76738079</v>
      </c>
      <c r="F802" s="7" t="s">
        <v>2288</v>
      </c>
      <c r="G802" s="7" t="s">
        <v>2271</v>
      </c>
      <c r="H802" s="7" t="s">
        <v>2289</v>
      </c>
      <c r="I802" s="9">
        <v>45323</v>
      </c>
    </row>
    <row r="803" spans="1:9" x14ac:dyDescent="0.15">
      <c r="A803" s="6">
        <v>802</v>
      </c>
      <c r="B803" s="7" t="s">
        <v>7</v>
      </c>
      <c r="C803" s="8">
        <v>1890</v>
      </c>
      <c r="D803" s="9">
        <v>45449</v>
      </c>
      <c r="E803" s="13">
        <f>+HYPERLINK("http://trademark.i-assist.jp/data/china/image_1890th/76738530.pdf",76738530)</f>
        <v>76738530</v>
      </c>
      <c r="F803" s="7" t="s">
        <v>2291</v>
      </c>
      <c r="G803" s="7" t="s">
        <v>2290</v>
      </c>
      <c r="H803" s="7" t="s">
        <v>2292</v>
      </c>
      <c r="I803" s="9">
        <v>45323</v>
      </c>
    </row>
    <row r="804" spans="1:9" x14ac:dyDescent="0.15">
      <c r="A804" s="6">
        <v>803</v>
      </c>
      <c r="B804" s="7" t="s">
        <v>7</v>
      </c>
      <c r="C804" s="8">
        <v>1890</v>
      </c>
      <c r="D804" s="9">
        <v>45449</v>
      </c>
      <c r="E804" s="13">
        <f>+HYPERLINK("http://trademark.i-assist.jp/data/china/image_1890th/76739218.pdf",76739218)</f>
        <v>76739218</v>
      </c>
      <c r="F804" s="7" t="s">
        <v>2294</v>
      </c>
      <c r="G804" s="7" t="s">
        <v>2293</v>
      </c>
      <c r="H804" s="7" t="s">
        <v>2295</v>
      </c>
      <c r="I804" s="9">
        <v>45323</v>
      </c>
    </row>
    <row r="805" spans="1:9" x14ac:dyDescent="0.15">
      <c r="A805" s="6">
        <v>804</v>
      </c>
      <c r="B805" s="7" t="s">
        <v>7</v>
      </c>
      <c r="C805" s="8">
        <v>1890</v>
      </c>
      <c r="D805" s="9">
        <v>45449</v>
      </c>
      <c r="E805" s="13">
        <f>+HYPERLINK("http://trademark.i-assist.jp/data/china/image_1890th/76739834.pdf",76739834)</f>
        <v>76739834</v>
      </c>
      <c r="F805" s="7" t="s">
        <v>2296</v>
      </c>
      <c r="G805" s="7" t="s">
        <v>2271</v>
      </c>
      <c r="H805" s="7" t="s">
        <v>2297</v>
      </c>
      <c r="I805" s="9">
        <v>45323</v>
      </c>
    </row>
    <row r="806" spans="1:9" x14ac:dyDescent="0.15">
      <c r="A806" s="6">
        <v>805</v>
      </c>
      <c r="B806" s="7" t="s">
        <v>7</v>
      </c>
      <c r="C806" s="8">
        <v>1890</v>
      </c>
      <c r="D806" s="9">
        <v>45449</v>
      </c>
      <c r="E806" s="13">
        <f>+HYPERLINK("http://trademark.i-assist.jp/data/china/image_1890th/76746401.pdf",76746401)</f>
        <v>76746401</v>
      </c>
      <c r="F806" s="7" t="s">
        <v>2299</v>
      </c>
      <c r="G806" s="7" t="s">
        <v>2298</v>
      </c>
      <c r="H806" s="7" t="s">
        <v>2300</v>
      </c>
      <c r="I806" s="9">
        <v>45324</v>
      </c>
    </row>
    <row r="807" spans="1:9" x14ac:dyDescent="0.15">
      <c r="A807" s="6">
        <v>806</v>
      </c>
      <c r="B807" s="7" t="s">
        <v>7</v>
      </c>
      <c r="C807" s="8">
        <v>1890</v>
      </c>
      <c r="D807" s="9">
        <v>45449</v>
      </c>
      <c r="E807" s="13">
        <f>+HYPERLINK("http://trademark.i-assist.jp/data/china/image_1890th/76761265.pdf",76761265)</f>
        <v>76761265</v>
      </c>
      <c r="F807" s="7" t="s">
        <v>2302</v>
      </c>
      <c r="G807" s="7" t="s">
        <v>2301</v>
      </c>
      <c r="H807" s="7" t="s">
        <v>2303</v>
      </c>
      <c r="I807" s="9">
        <v>45324</v>
      </c>
    </row>
    <row r="808" spans="1:9" x14ac:dyDescent="0.15">
      <c r="A808" s="6">
        <v>807</v>
      </c>
      <c r="B808" s="7" t="s">
        <v>7</v>
      </c>
      <c r="C808" s="8">
        <v>1890</v>
      </c>
      <c r="D808" s="9">
        <v>45449</v>
      </c>
      <c r="E808" s="13">
        <f>+HYPERLINK("http://trademark.i-assist.jp/data/china/image_1890th/76761740.pdf",76761740)</f>
        <v>76761740</v>
      </c>
      <c r="F808" s="7" t="s">
        <v>2305</v>
      </c>
      <c r="G808" s="7" t="s">
        <v>2304</v>
      </c>
      <c r="H808" s="7" t="s">
        <v>2306</v>
      </c>
      <c r="I808" s="9">
        <v>45324</v>
      </c>
    </row>
    <row r="809" spans="1:9" x14ac:dyDescent="0.15">
      <c r="A809" s="6">
        <v>808</v>
      </c>
      <c r="B809" s="7" t="s">
        <v>7</v>
      </c>
      <c r="C809" s="8">
        <v>1890</v>
      </c>
      <c r="D809" s="9">
        <v>45449</v>
      </c>
      <c r="E809" s="13">
        <f>+HYPERLINK("http://trademark.i-assist.jp/data/china/image_1890th/76762353.pdf",76762353)</f>
        <v>76762353</v>
      </c>
      <c r="F809" s="7" t="s">
        <v>2308</v>
      </c>
      <c r="G809" s="7" t="s">
        <v>2307</v>
      </c>
      <c r="H809" s="7" t="s">
        <v>2289</v>
      </c>
      <c r="I809" s="9">
        <v>45324</v>
      </c>
    </row>
    <row r="810" spans="1:9" x14ac:dyDescent="0.15">
      <c r="A810" s="6">
        <v>809</v>
      </c>
      <c r="B810" s="7" t="s">
        <v>7</v>
      </c>
      <c r="C810" s="8">
        <v>1890</v>
      </c>
      <c r="D810" s="9">
        <v>45449</v>
      </c>
      <c r="E810" s="13">
        <f>+HYPERLINK("http://trademark.i-assist.jp/data/china/image_1890th/76767058.pdf",76767058)</f>
        <v>76767058</v>
      </c>
      <c r="F810" s="7" t="s">
        <v>2310</v>
      </c>
      <c r="G810" s="7" t="s">
        <v>2309</v>
      </c>
      <c r="H810" s="7" t="s">
        <v>2311</v>
      </c>
      <c r="I810" s="9">
        <v>45325</v>
      </c>
    </row>
    <row r="811" spans="1:9" x14ac:dyDescent="0.15">
      <c r="A811" s="6">
        <v>810</v>
      </c>
      <c r="B811" s="7" t="s">
        <v>7</v>
      </c>
      <c r="C811" s="8">
        <v>1890</v>
      </c>
      <c r="D811" s="9">
        <v>45449</v>
      </c>
      <c r="E811" s="13">
        <f>+HYPERLINK("http://trademark.i-assist.jp/data/china/image_1890th/76775614.pdf",76775614)</f>
        <v>76775614</v>
      </c>
      <c r="F811" s="7" t="s">
        <v>2313</v>
      </c>
      <c r="G811" s="7" t="s">
        <v>2312</v>
      </c>
      <c r="H811" s="7" t="s">
        <v>2314</v>
      </c>
      <c r="I811" s="9">
        <v>45326</v>
      </c>
    </row>
    <row r="812" spans="1:9" x14ac:dyDescent="0.15">
      <c r="A812" s="6">
        <v>811</v>
      </c>
      <c r="B812" s="7" t="s">
        <v>7</v>
      </c>
      <c r="C812" s="8">
        <v>1890</v>
      </c>
      <c r="D812" s="9">
        <v>45449</v>
      </c>
      <c r="E812" s="13">
        <f>+HYPERLINK("http://trademark.i-assist.jp/data/china/image_1890th/76775814.pdf",76775814)</f>
        <v>76775814</v>
      </c>
      <c r="F812" s="7" t="s">
        <v>2316</v>
      </c>
      <c r="G812" s="7" t="s">
        <v>2315</v>
      </c>
      <c r="H812" s="7" t="s">
        <v>2317</v>
      </c>
      <c r="I812" s="9">
        <v>45326</v>
      </c>
    </row>
    <row r="813" spans="1:9" x14ac:dyDescent="0.15">
      <c r="A813" s="6">
        <v>812</v>
      </c>
      <c r="B813" s="7" t="s">
        <v>7</v>
      </c>
      <c r="C813" s="8">
        <v>1890</v>
      </c>
      <c r="D813" s="9">
        <v>45449</v>
      </c>
      <c r="E813" s="13">
        <f>+HYPERLINK("http://trademark.i-assist.jp/data/china/image_1890th/76778641.pdf",76778641)</f>
        <v>76778641</v>
      </c>
      <c r="F813" s="7" t="s">
        <v>2318</v>
      </c>
      <c r="G813" s="7" t="s">
        <v>2315</v>
      </c>
      <c r="H813" s="7" t="s">
        <v>2319</v>
      </c>
      <c r="I813" s="9">
        <v>45326</v>
      </c>
    </row>
    <row r="814" spans="1:9" x14ac:dyDescent="0.15">
      <c r="A814" s="6">
        <v>813</v>
      </c>
      <c r="B814" s="7" t="s">
        <v>7</v>
      </c>
      <c r="C814" s="8">
        <v>1890</v>
      </c>
      <c r="D814" s="9">
        <v>45449</v>
      </c>
      <c r="E814" s="13">
        <f>+HYPERLINK("http://trademark.i-assist.jp/data/china/image_1890th/76779029.pdf",76779029)</f>
        <v>76779029</v>
      </c>
      <c r="F814" s="7" t="s">
        <v>2321</v>
      </c>
      <c r="G814" s="7" t="s">
        <v>2320</v>
      </c>
      <c r="H814" s="7" t="s">
        <v>2322</v>
      </c>
      <c r="I814" s="9">
        <v>45326</v>
      </c>
    </row>
    <row r="815" spans="1:9" x14ac:dyDescent="0.15">
      <c r="A815" s="6">
        <v>814</v>
      </c>
      <c r="B815" s="7" t="s">
        <v>7</v>
      </c>
      <c r="C815" s="8">
        <v>1890</v>
      </c>
      <c r="D815" s="9">
        <v>45449</v>
      </c>
      <c r="E815" s="13">
        <f>+HYPERLINK("http://trademark.i-assist.jp/data/china/image_1890th/76780885.pdf",76780885)</f>
        <v>76780885</v>
      </c>
      <c r="F815" s="7" t="s">
        <v>2323</v>
      </c>
      <c r="G815" s="7" t="s">
        <v>2315</v>
      </c>
      <c r="H815" s="7" t="s">
        <v>2324</v>
      </c>
      <c r="I815" s="9">
        <v>45326</v>
      </c>
    </row>
    <row r="816" spans="1:9" x14ac:dyDescent="0.15">
      <c r="A816" s="6">
        <v>815</v>
      </c>
      <c r="B816" s="7" t="s">
        <v>7</v>
      </c>
      <c r="C816" s="8">
        <v>1890</v>
      </c>
      <c r="D816" s="9">
        <v>45449</v>
      </c>
      <c r="E816" s="13">
        <f>+HYPERLINK("http://trademark.i-assist.jp/data/china/image_1890th/76781735.pdf",76781735)</f>
        <v>76781735</v>
      </c>
      <c r="F816" s="7" t="s">
        <v>2325</v>
      </c>
      <c r="G816" s="7" t="s">
        <v>2315</v>
      </c>
      <c r="H816" s="7" t="s">
        <v>2326</v>
      </c>
      <c r="I816" s="9">
        <v>45326</v>
      </c>
    </row>
    <row r="817" spans="1:9" x14ac:dyDescent="0.15">
      <c r="A817" s="6">
        <v>816</v>
      </c>
      <c r="B817" s="7" t="s">
        <v>7</v>
      </c>
      <c r="C817" s="8">
        <v>1890</v>
      </c>
      <c r="D817" s="9">
        <v>45449</v>
      </c>
      <c r="E817" s="13">
        <f>+HYPERLINK("http://trademark.i-assist.jp/data/china/image_1890th/76782295.pdf",76782295)</f>
        <v>76782295</v>
      </c>
      <c r="F817" s="7" t="s">
        <v>2327</v>
      </c>
      <c r="G817" s="7" t="s">
        <v>2312</v>
      </c>
      <c r="H817" s="7" t="s">
        <v>2328</v>
      </c>
      <c r="I817" s="9">
        <v>45326</v>
      </c>
    </row>
    <row r="818" spans="1:9" x14ac:dyDescent="0.15">
      <c r="A818" s="6">
        <v>817</v>
      </c>
      <c r="B818" s="7" t="s">
        <v>7</v>
      </c>
      <c r="C818" s="8">
        <v>1890</v>
      </c>
      <c r="D818" s="9">
        <v>45449</v>
      </c>
      <c r="E818" s="13">
        <f>+HYPERLINK("http://trademark.i-assist.jp/data/china/image_1890th/76786101.pdf",76786101)</f>
        <v>76786101</v>
      </c>
      <c r="F818" s="7" t="s">
        <v>2330</v>
      </c>
      <c r="G818" s="7" t="s">
        <v>2329</v>
      </c>
      <c r="H818" s="7" t="s">
        <v>2331</v>
      </c>
      <c r="I818" s="9">
        <v>45327</v>
      </c>
    </row>
    <row r="819" spans="1:9" x14ac:dyDescent="0.15">
      <c r="A819" s="6">
        <v>818</v>
      </c>
      <c r="B819" s="7" t="s">
        <v>7</v>
      </c>
      <c r="C819" s="8">
        <v>1890</v>
      </c>
      <c r="D819" s="9">
        <v>45449</v>
      </c>
      <c r="E819" s="13">
        <f>+HYPERLINK("http://trademark.i-assist.jp/data/china/image_1890th/76786182.pdf",76786182)</f>
        <v>76786182</v>
      </c>
      <c r="F819" s="7" t="s">
        <v>2332</v>
      </c>
      <c r="G819" s="7" t="s">
        <v>2329</v>
      </c>
      <c r="H819" s="7" t="s">
        <v>2333</v>
      </c>
      <c r="I819" s="9">
        <v>45327</v>
      </c>
    </row>
    <row r="820" spans="1:9" x14ac:dyDescent="0.15">
      <c r="A820" s="6">
        <v>819</v>
      </c>
      <c r="B820" s="7" t="s">
        <v>7</v>
      </c>
      <c r="C820" s="8">
        <v>1890</v>
      </c>
      <c r="D820" s="9">
        <v>45449</v>
      </c>
      <c r="E820" s="13">
        <f>+HYPERLINK("http://trademark.i-assist.jp/data/china/image_1890th/76786247.pdf",76786247)</f>
        <v>76786247</v>
      </c>
      <c r="F820" s="7" t="s">
        <v>2334</v>
      </c>
      <c r="G820" s="7" t="s">
        <v>2329</v>
      </c>
      <c r="H820" s="7" t="s">
        <v>2335</v>
      </c>
      <c r="I820" s="9">
        <v>45327</v>
      </c>
    </row>
    <row r="821" spans="1:9" x14ac:dyDescent="0.15">
      <c r="A821" s="6">
        <v>820</v>
      </c>
      <c r="B821" s="7" t="s">
        <v>7</v>
      </c>
      <c r="C821" s="8">
        <v>1890</v>
      </c>
      <c r="D821" s="9">
        <v>45449</v>
      </c>
      <c r="E821" s="13">
        <f>+HYPERLINK("http://trademark.i-assist.jp/data/china/image_1890th/76787760.pdf",76787760)</f>
        <v>76787760</v>
      </c>
      <c r="F821" s="7" t="s">
        <v>2336</v>
      </c>
      <c r="G821" s="7" t="s">
        <v>2329</v>
      </c>
      <c r="H821" s="7" t="s">
        <v>2337</v>
      </c>
      <c r="I821" s="9">
        <v>45327</v>
      </c>
    </row>
    <row r="822" spans="1:9" ht="27" x14ac:dyDescent="0.15">
      <c r="A822" s="6">
        <v>821</v>
      </c>
      <c r="B822" s="7" t="s">
        <v>7</v>
      </c>
      <c r="C822" s="8">
        <v>1890</v>
      </c>
      <c r="D822" s="9">
        <v>45449</v>
      </c>
      <c r="E822" s="13">
        <f>+HYPERLINK("http://trademark.i-assist.jp/data/china/image_1890th/76789027.pdf",76789027)</f>
        <v>76789027</v>
      </c>
      <c r="F822" s="7" t="s">
        <v>2339</v>
      </c>
      <c r="G822" s="7" t="s">
        <v>2338</v>
      </c>
      <c r="H822" s="7" t="s">
        <v>2340</v>
      </c>
      <c r="I822" s="9">
        <v>45327</v>
      </c>
    </row>
    <row r="823" spans="1:9" x14ac:dyDescent="0.15">
      <c r="A823" s="6">
        <v>822</v>
      </c>
      <c r="B823" s="7" t="s">
        <v>7</v>
      </c>
      <c r="C823" s="8">
        <v>1890</v>
      </c>
      <c r="D823" s="9">
        <v>45449</v>
      </c>
      <c r="E823" s="13">
        <f>+HYPERLINK("http://trademark.i-assist.jp/data/china/image_1890th/76789117.pdf",76789117)</f>
        <v>76789117</v>
      </c>
      <c r="F823" s="7" t="s">
        <v>2341</v>
      </c>
      <c r="G823" s="7" t="s">
        <v>2329</v>
      </c>
      <c r="H823" s="7" t="s">
        <v>2342</v>
      </c>
      <c r="I823" s="9">
        <v>45327</v>
      </c>
    </row>
    <row r="824" spans="1:9" x14ac:dyDescent="0.15">
      <c r="A824" s="6">
        <v>823</v>
      </c>
      <c r="B824" s="7" t="s">
        <v>7</v>
      </c>
      <c r="C824" s="8">
        <v>1890</v>
      </c>
      <c r="D824" s="9">
        <v>45449</v>
      </c>
      <c r="E824" s="13">
        <f>+HYPERLINK("http://trademark.i-assist.jp/data/china/image_1890th/76791067.pdf",76791067)</f>
        <v>76791067</v>
      </c>
      <c r="F824" s="7" t="s">
        <v>2343</v>
      </c>
      <c r="G824" s="7" t="s">
        <v>1039</v>
      </c>
      <c r="H824" s="7" t="s">
        <v>2344</v>
      </c>
      <c r="I824" s="9">
        <v>45327</v>
      </c>
    </row>
    <row r="825" spans="1:9" x14ac:dyDescent="0.15">
      <c r="A825" s="6">
        <v>824</v>
      </c>
      <c r="B825" s="7" t="s">
        <v>7</v>
      </c>
      <c r="C825" s="8">
        <v>1890</v>
      </c>
      <c r="D825" s="9">
        <v>45449</v>
      </c>
      <c r="E825" s="13">
        <f>+HYPERLINK("http://trademark.i-assist.jp/data/china/image_1890th/76791180.pdf",76791180)</f>
        <v>76791180</v>
      </c>
      <c r="F825" s="7" t="s">
        <v>2345</v>
      </c>
      <c r="G825" s="7" t="s">
        <v>2329</v>
      </c>
      <c r="H825" s="7" t="s">
        <v>2346</v>
      </c>
      <c r="I825" s="9">
        <v>45327</v>
      </c>
    </row>
    <row r="826" spans="1:9" x14ac:dyDescent="0.15">
      <c r="A826" s="6">
        <v>825</v>
      </c>
      <c r="B826" s="7" t="s">
        <v>7</v>
      </c>
      <c r="C826" s="8">
        <v>1890</v>
      </c>
      <c r="D826" s="9">
        <v>45449</v>
      </c>
      <c r="E826" s="13">
        <f>+HYPERLINK("http://trademark.i-assist.jp/data/china/image_1890th/76791245.pdf",76791245)</f>
        <v>76791245</v>
      </c>
      <c r="F826" s="7" t="s">
        <v>2347</v>
      </c>
      <c r="G826" s="7" t="s">
        <v>2329</v>
      </c>
      <c r="H826" s="7" t="s">
        <v>2348</v>
      </c>
      <c r="I826" s="9">
        <v>45327</v>
      </c>
    </row>
    <row r="827" spans="1:9" x14ac:dyDescent="0.15">
      <c r="A827" s="6">
        <v>826</v>
      </c>
      <c r="B827" s="7" t="s">
        <v>7</v>
      </c>
      <c r="C827" s="8">
        <v>1890</v>
      </c>
      <c r="D827" s="9">
        <v>45449</v>
      </c>
      <c r="E827" s="13">
        <f>+HYPERLINK("http://trademark.i-assist.jp/data/china/image_1890th/76791290.pdf",76791290)</f>
        <v>76791290</v>
      </c>
      <c r="F827" s="7" t="s">
        <v>2349</v>
      </c>
      <c r="G827" s="7" t="s">
        <v>2329</v>
      </c>
      <c r="H827" s="7" t="s">
        <v>2350</v>
      </c>
      <c r="I827" s="9">
        <v>45327</v>
      </c>
    </row>
    <row r="828" spans="1:9" x14ac:dyDescent="0.15">
      <c r="A828" s="6">
        <v>827</v>
      </c>
      <c r="B828" s="7" t="s">
        <v>7</v>
      </c>
      <c r="C828" s="8">
        <v>1890</v>
      </c>
      <c r="D828" s="9">
        <v>45449</v>
      </c>
      <c r="E828" s="13">
        <f>+HYPERLINK("http://trademark.i-assist.jp/data/china/image_1890th/76792170.pdf",76792170)</f>
        <v>76792170</v>
      </c>
      <c r="F828" s="7" t="s">
        <v>2351</v>
      </c>
      <c r="G828" s="7" t="s">
        <v>1039</v>
      </c>
      <c r="H828" s="7" t="s">
        <v>2352</v>
      </c>
      <c r="I828" s="9">
        <v>45327</v>
      </c>
    </row>
    <row r="829" spans="1:9" x14ac:dyDescent="0.15">
      <c r="A829" s="6">
        <v>828</v>
      </c>
      <c r="B829" s="7" t="s">
        <v>7</v>
      </c>
      <c r="C829" s="8">
        <v>1890</v>
      </c>
      <c r="D829" s="9">
        <v>45449</v>
      </c>
      <c r="E829" s="13">
        <f>+HYPERLINK("http://trademark.i-assist.jp/data/china/image_1890th/76792192.pdf",76792192)</f>
        <v>76792192</v>
      </c>
      <c r="F829" s="7" t="s">
        <v>2354</v>
      </c>
      <c r="G829" s="7" t="s">
        <v>2353</v>
      </c>
      <c r="H829" s="7" t="s">
        <v>2355</v>
      </c>
      <c r="I829" s="9">
        <v>45327</v>
      </c>
    </row>
    <row r="830" spans="1:9" x14ac:dyDescent="0.15">
      <c r="A830" s="6">
        <v>829</v>
      </c>
      <c r="B830" s="7" t="s">
        <v>7</v>
      </c>
      <c r="C830" s="8">
        <v>1890</v>
      </c>
      <c r="D830" s="9">
        <v>45449</v>
      </c>
      <c r="E830" s="13">
        <f>+HYPERLINK("http://trademark.i-assist.jp/data/china/image_1890th/76792688.pdf",76792688)</f>
        <v>76792688</v>
      </c>
      <c r="F830" s="7" t="s">
        <v>2356</v>
      </c>
      <c r="G830" s="7" t="s">
        <v>2329</v>
      </c>
      <c r="H830" s="7" t="s">
        <v>2357</v>
      </c>
      <c r="I830" s="9">
        <v>45327</v>
      </c>
    </row>
    <row r="831" spans="1:9" x14ac:dyDescent="0.15">
      <c r="A831" s="6">
        <v>830</v>
      </c>
      <c r="B831" s="7" t="s">
        <v>7</v>
      </c>
      <c r="C831" s="8">
        <v>1890</v>
      </c>
      <c r="D831" s="9">
        <v>45449</v>
      </c>
      <c r="E831" s="13">
        <f>+HYPERLINK("http://trademark.i-assist.jp/data/china/image_1890th/76793292.pdf",76793292)</f>
        <v>76793292</v>
      </c>
      <c r="F831" s="7" t="s">
        <v>2358</v>
      </c>
      <c r="G831" s="7" t="s">
        <v>2329</v>
      </c>
      <c r="H831" s="7" t="s">
        <v>2359</v>
      </c>
      <c r="I831" s="9">
        <v>45327</v>
      </c>
    </row>
    <row r="832" spans="1:9" x14ac:dyDescent="0.15">
      <c r="A832" s="6">
        <v>831</v>
      </c>
      <c r="B832" s="7" t="s">
        <v>7</v>
      </c>
      <c r="C832" s="8">
        <v>1890</v>
      </c>
      <c r="D832" s="9">
        <v>45449</v>
      </c>
      <c r="E832" s="13">
        <f>+HYPERLINK("http://trademark.i-assist.jp/data/china/image_1890th/76794434.pdf",76794434)</f>
        <v>76794434</v>
      </c>
      <c r="F832" s="7" t="s">
        <v>2361</v>
      </c>
      <c r="G832" s="7" t="s">
        <v>2360</v>
      </c>
      <c r="H832" s="7" t="s">
        <v>2362</v>
      </c>
      <c r="I832" s="9">
        <v>45327</v>
      </c>
    </row>
    <row r="833" spans="1:9" x14ac:dyDescent="0.15">
      <c r="A833" s="6">
        <v>832</v>
      </c>
      <c r="B833" s="7" t="s">
        <v>7</v>
      </c>
      <c r="C833" s="8">
        <v>1890</v>
      </c>
      <c r="D833" s="9">
        <v>45449</v>
      </c>
      <c r="E833" s="13">
        <f>+HYPERLINK("http://trademark.i-assist.jp/data/china/image_1890th/76795838.pdf",76795838)</f>
        <v>76795838</v>
      </c>
      <c r="F833" s="7" t="s">
        <v>2364</v>
      </c>
      <c r="G833" s="7" t="s">
        <v>2363</v>
      </c>
      <c r="H833" s="7" t="s">
        <v>2365</v>
      </c>
      <c r="I833" s="9">
        <v>45327</v>
      </c>
    </row>
    <row r="834" spans="1:9" ht="27" x14ac:dyDescent="0.15">
      <c r="A834" s="6">
        <v>833</v>
      </c>
      <c r="B834" s="7" t="s">
        <v>7</v>
      </c>
      <c r="C834" s="8">
        <v>1890</v>
      </c>
      <c r="D834" s="9">
        <v>45449</v>
      </c>
      <c r="E834" s="13">
        <f>+HYPERLINK("http://trademark.i-assist.jp/data/china/image_1890th/76798295.pdf",76798295)</f>
        <v>76798295</v>
      </c>
      <c r="F834" s="7" t="s">
        <v>2367</v>
      </c>
      <c r="G834" s="7" t="s">
        <v>2366</v>
      </c>
      <c r="H834" s="7" t="s">
        <v>2368</v>
      </c>
      <c r="I834" s="9">
        <v>45327</v>
      </c>
    </row>
    <row r="835" spans="1:9" x14ac:dyDescent="0.15">
      <c r="A835" s="6">
        <v>834</v>
      </c>
      <c r="B835" s="7" t="s">
        <v>7</v>
      </c>
      <c r="C835" s="8">
        <v>1890</v>
      </c>
      <c r="D835" s="9">
        <v>45449</v>
      </c>
      <c r="E835" s="13">
        <f>+HYPERLINK("http://trademark.i-assist.jp/data/china/image_1890th/76798964.pdf",76798964)</f>
        <v>76798964</v>
      </c>
      <c r="F835" s="7" t="s">
        <v>2370</v>
      </c>
      <c r="G835" s="7" t="s">
        <v>2369</v>
      </c>
      <c r="H835" s="7" t="s">
        <v>2371</v>
      </c>
      <c r="I835" s="9">
        <v>45327</v>
      </c>
    </row>
    <row r="836" spans="1:9" x14ac:dyDescent="0.15">
      <c r="A836" s="6">
        <v>835</v>
      </c>
      <c r="B836" s="7" t="s">
        <v>7</v>
      </c>
      <c r="C836" s="8">
        <v>1890</v>
      </c>
      <c r="D836" s="9">
        <v>45449</v>
      </c>
      <c r="E836" s="13">
        <f>+HYPERLINK("http://trademark.i-assist.jp/data/china/image_1890th/76800533.pdf",76800533)</f>
        <v>76800533</v>
      </c>
      <c r="F836" s="7" t="s">
        <v>2373</v>
      </c>
      <c r="G836" s="7" t="s">
        <v>2372</v>
      </c>
      <c r="H836" s="7" t="s">
        <v>2374</v>
      </c>
      <c r="I836" s="9">
        <v>45328</v>
      </c>
    </row>
    <row r="837" spans="1:9" x14ac:dyDescent="0.15">
      <c r="A837" s="6">
        <v>836</v>
      </c>
      <c r="B837" s="7" t="s">
        <v>7</v>
      </c>
      <c r="C837" s="8">
        <v>1890</v>
      </c>
      <c r="D837" s="9">
        <v>45449</v>
      </c>
      <c r="E837" s="13">
        <f>+HYPERLINK("http://trademark.i-assist.jp/data/china/image_1890th/76803782.pdf",76803782)</f>
        <v>76803782</v>
      </c>
      <c r="F837" s="7" t="s">
        <v>2376</v>
      </c>
      <c r="G837" s="7" t="s">
        <v>2375</v>
      </c>
      <c r="H837" s="7" t="s">
        <v>2377</v>
      </c>
      <c r="I837" s="9">
        <v>45328</v>
      </c>
    </row>
    <row r="838" spans="1:9" x14ac:dyDescent="0.15">
      <c r="A838" s="6">
        <v>837</v>
      </c>
      <c r="B838" s="7" t="s">
        <v>7</v>
      </c>
      <c r="C838" s="8">
        <v>1890</v>
      </c>
      <c r="D838" s="9">
        <v>45449</v>
      </c>
      <c r="E838" s="13">
        <f>+HYPERLINK("http://trademark.i-assist.jp/data/china/image_1890th/76805437.pdf",76805437)</f>
        <v>76805437</v>
      </c>
      <c r="F838" s="7" t="s">
        <v>2379</v>
      </c>
      <c r="G838" s="7" t="s">
        <v>2378</v>
      </c>
      <c r="H838" s="7" t="s">
        <v>2380</v>
      </c>
      <c r="I838" s="9">
        <v>45328</v>
      </c>
    </row>
    <row r="839" spans="1:9" x14ac:dyDescent="0.15">
      <c r="A839" s="6">
        <v>838</v>
      </c>
      <c r="B839" s="7" t="s">
        <v>7</v>
      </c>
      <c r="C839" s="8">
        <v>1890</v>
      </c>
      <c r="D839" s="9">
        <v>45449</v>
      </c>
      <c r="E839" s="13">
        <f>+HYPERLINK("http://trademark.i-assist.jp/data/china/image_1890th/76808451.pdf",76808451)</f>
        <v>76808451</v>
      </c>
      <c r="F839" s="7" t="s">
        <v>2382</v>
      </c>
      <c r="G839" s="7" t="s">
        <v>2381</v>
      </c>
      <c r="H839" s="7" t="s">
        <v>2383</v>
      </c>
      <c r="I839" s="9">
        <v>45328</v>
      </c>
    </row>
    <row r="840" spans="1:9" x14ac:dyDescent="0.15">
      <c r="A840" s="6">
        <v>839</v>
      </c>
      <c r="B840" s="7" t="s">
        <v>7</v>
      </c>
      <c r="C840" s="8">
        <v>1890</v>
      </c>
      <c r="D840" s="9">
        <v>45449</v>
      </c>
      <c r="E840" s="13">
        <f>+HYPERLINK("http://trademark.i-assist.jp/data/china/image_1890th/76811527.pdf",76811527)</f>
        <v>76811527</v>
      </c>
      <c r="F840" s="7" t="s">
        <v>2385</v>
      </c>
      <c r="G840" s="7" t="s">
        <v>2384</v>
      </c>
      <c r="H840" s="7" t="s">
        <v>2386</v>
      </c>
      <c r="I840" s="9">
        <v>45328</v>
      </c>
    </row>
    <row r="841" spans="1:9" x14ac:dyDescent="0.15">
      <c r="A841" s="6">
        <v>840</v>
      </c>
      <c r="B841" s="7" t="s">
        <v>7</v>
      </c>
      <c r="C841" s="8">
        <v>1890</v>
      </c>
      <c r="D841" s="9">
        <v>45449</v>
      </c>
      <c r="E841" s="13">
        <f>+HYPERLINK("http://trademark.i-assist.jp/data/china/image_1890th/76814959.pdf",76814959)</f>
        <v>76814959</v>
      </c>
      <c r="F841" s="7" t="s">
        <v>2388</v>
      </c>
      <c r="G841" s="7" t="s">
        <v>2387</v>
      </c>
      <c r="H841" s="7" t="s">
        <v>2389</v>
      </c>
      <c r="I841" s="9">
        <v>45329</v>
      </c>
    </row>
    <row r="842" spans="1:9" x14ac:dyDescent="0.15">
      <c r="A842" s="6">
        <v>841</v>
      </c>
      <c r="B842" s="7" t="s">
        <v>7</v>
      </c>
      <c r="C842" s="8">
        <v>1890</v>
      </c>
      <c r="D842" s="9">
        <v>45449</v>
      </c>
      <c r="E842" s="13">
        <f>+HYPERLINK("http://trademark.i-assist.jp/data/china/image_1890th/76815900.pdf",76815900)</f>
        <v>76815900</v>
      </c>
      <c r="F842" s="7" t="s">
        <v>2391</v>
      </c>
      <c r="G842" s="7" t="s">
        <v>2390</v>
      </c>
      <c r="H842" s="7" t="s">
        <v>2392</v>
      </c>
      <c r="I842" s="9">
        <v>45329</v>
      </c>
    </row>
    <row r="843" spans="1:9" x14ac:dyDescent="0.15">
      <c r="A843" s="6">
        <v>842</v>
      </c>
      <c r="B843" s="7" t="s">
        <v>7</v>
      </c>
      <c r="C843" s="8">
        <v>1890</v>
      </c>
      <c r="D843" s="9">
        <v>45449</v>
      </c>
      <c r="E843" s="13">
        <f>+HYPERLINK("http://trademark.i-assist.jp/data/china/image_1890th/76817695.pdf",76817695)</f>
        <v>76817695</v>
      </c>
      <c r="F843" s="7" t="s">
        <v>2394</v>
      </c>
      <c r="G843" s="7" t="s">
        <v>2393</v>
      </c>
      <c r="H843" s="7" t="s">
        <v>2395</v>
      </c>
      <c r="I843" s="9">
        <v>45329</v>
      </c>
    </row>
    <row r="844" spans="1:9" x14ac:dyDescent="0.15">
      <c r="A844" s="6">
        <v>843</v>
      </c>
      <c r="B844" s="7" t="s">
        <v>7</v>
      </c>
      <c r="C844" s="8">
        <v>1890</v>
      </c>
      <c r="D844" s="9">
        <v>45449</v>
      </c>
      <c r="E844" s="13">
        <f>+HYPERLINK("http://trademark.i-assist.jp/data/china/image_1890th/76819121.pdf",76819121)</f>
        <v>76819121</v>
      </c>
      <c r="F844" s="7" t="s">
        <v>2388</v>
      </c>
      <c r="G844" s="7" t="s">
        <v>2387</v>
      </c>
      <c r="H844" s="7" t="s">
        <v>2396</v>
      </c>
      <c r="I844" s="9">
        <v>45329</v>
      </c>
    </row>
    <row r="845" spans="1:9" x14ac:dyDescent="0.15">
      <c r="A845" s="6">
        <v>844</v>
      </c>
      <c r="B845" s="7" t="s">
        <v>7</v>
      </c>
      <c r="C845" s="8">
        <v>1890</v>
      </c>
      <c r="D845" s="9">
        <v>45449</v>
      </c>
      <c r="E845" s="13">
        <f>+HYPERLINK("http://trademark.i-assist.jp/data/china/image_1890th/76822971.pdf",76822971)</f>
        <v>76822971</v>
      </c>
      <c r="F845" s="7" t="s">
        <v>2398</v>
      </c>
      <c r="G845" s="7" t="s">
        <v>2397</v>
      </c>
      <c r="H845" s="7" t="s">
        <v>2399</v>
      </c>
      <c r="I845" s="9">
        <v>45330</v>
      </c>
    </row>
    <row r="846" spans="1:9" ht="27" x14ac:dyDescent="0.15">
      <c r="A846" s="6">
        <v>845</v>
      </c>
      <c r="B846" s="7" t="s">
        <v>7</v>
      </c>
      <c r="C846" s="8">
        <v>1890</v>
      </c>
      <c r="D846" s="9">
        <v>45449</v>
      </c>
      <c r="E846" s="13">
        <f>+HYPERLINK("http://trademark.i-assist.jp/data/china/image_1890th/76826684.pdf",76826684)</f>
        <v>76826684</v>
      </c>
      <c r="F846" s="7" t="s">
        <v>2401</v>
      </c>
      <c r="G846" s="7" t="s">
        <v>2400</v>
      </c>
      <c r="H846" s="7" t="s">
        <v>2402</v>
      </c>
      <c r="I846" s="9">
        <v>45330</v>
      </c>
    </row>
    <row r="847" spans="1:9" x14ac:dyDescent="0.15">
      <c r="A847" s="6">
        <v>846</v>
      </c>
      <c r="B847" s="7" t="s">
        <v>7</v>
      </c>
      <c r="C847" s="8">
        <v>1890</v>
      </c>
      <c r="D847" s="9">
        <v>45449</v>
      </c>
      <c r="E847" s="13">
        <f>+HYPERLINK("http://trademark.i-assist.jp/data/china/image_1890th/76826983.pdf",76826983)</f>
        <v>76826983</v>
      </c>
      <c r="F847" s="7" t="s">
        <v>2404</v>
      </c>
      <c r="G847" s="7" t="s">
        <v>2403</v>
      </c>
      <c r="H847" s="7" t="s">
        <v>2405</v>
      </c>
      <c r="I847" s="9">
        <v>45330</v>
      </c>
    </row>
    <row r="848" spans="1:9" x14ac:dyDescent="0.15">
      <c r="A848" s="6">
        <v>847</v>
      </c>
      <c r="B848" s="7" t="s">
        <v>7</v>
      </c>
      <c r="C848" s="8">
        <v>1890</v>
      </c>
      <c r="D848" s="9">
        <v>45449</v>
      </c>
      <c r="E848" s="13">
        <f>+HYPERLINK("http://trademark.i-assist.jp/data/china/image_1890th/76828518.pdf",76828518)</f>
        <v>76828518</v>
      </c>
      <c r="F848" s="7" t="s">
        <v>2407</v>
      </c>
      <c r="G848" s="7" t="s">
        <v>2406</v>
      </c>
      <c r="H848" s="7" t="s">
        <v>2408</v>
      </c>
      <c r="I848" s="9">
        <v>45329</v>
      </c>
    </row>
    <row r="849" spans="1:9" x14ac:dyDescent="0.15">
      <c r="A849" s="6">
        <v>848</v>
      </c>
      <c r="B849" s="7" t="s">
        <v>7</v>
      </c>
      <c r="C849" s="8">
        <v>1890</v>
      </c>
      <c r="D849" s="9">
        <v>45449</v>
      </c>
      <c r="E849" s="13">
        <f>+HYPERLINK("http://trademark.i-assist.jp/data/china/image_1890th/76829767.pdf",76829767)</f>
        <v>76829767</v>
      </c>
      <c r="F849" s="7" t="s">
        <v>2410</v>
      </c>
      <c r="G849" s="7" t="s">
        <v>2409</v>
      </c>
      <c r="H849" s="7" t="s">
        <v>2411</v>
      </c>
      <c r="I849" s="9">
        <v>45340</v>
      </c>
    </row>
    <row r="850" spans="1:9" x14ac:dyDescent="0.15">
      <c r="A850" s="6">
        <v>849</v>
      </c>
      <c r="B850" s="7" t="s">
        <v>7</v>
      </c>
      <c r="C850" s="8">
        <v>1890</v>
      </c>
      <c r="D850" s="9">
        <v>45449</v>
      </c>
      <c r="E850" s="13">
        <f>+HYPERLINK("http://trademark.i-assist.jp/data/china/image_1890th/76833744.pdf",76833744)</f>
        <v>76833744</v>
      </c>
      <c r="F850" s="7" t="s">
        <v>2412</v>
      </c>
      <c r="G850" s="7" t="s">
        <v>1183</v>
      </c>
      <c r="H850" s="7" t="s">
        <v>2413</v>
      </c>
      <c r="I850" s="9">
        <v>45340</v>
      </c>
    </row>
    <row r="851" spans="1:9" x14ac:dyDescent="0.15">
      <c r="A851" s="6">
        <v>850</v>
      </c>
      <c r="B851" s="7" t="s">
        <v>7</v>
      </c>
      <c r="C851" s="8">
        <v>1890</v>
      </c>
      <c r="D851" s="9">
        <v>45449</v>
      </c>
      <c r="E851" s="13">
        <f>+HYPERLINK("http://trademark.i-assist.jp/data/china/image_1890th/76836030.pdf",76836030)</f>
        <v>76836030</v>
      </c>
      <c r="F851" s="7" t="s">
        <v>2415</v>
      </c>
      <c r="G851" s="7" t="s">
        <v>2414</v>
      </c>
      <c r="H851" s="7" t="s">
        <v>2416</v>
      </c>
      <c r="I851" s="9">
        <v>45340</v>
      </c>
    </row>
    <row r="852" spans="1:9" x14ac:dyDescent="0.15">
      <c r="A852" s="6">
        <v>851</v>
      </c>
      <c r="B852" s="7" t="s">
        <v>7</v>
      </c>
      <c r="C852" s="8">
        <v>1890</v>
      </c>
      <c r="D852" s="9">
        <v>45449</v>
      </c>
      <c r="E852" s="13">
        <f>+HYPERLINK("http://trademark.i-assist.jp/data/china/image_1890th/76852638.pdf",76852638)</f>
        <v>76852638</v>
      </c>
      <c r="F852" s="7" t="s">
        <v>2418</v>
      </c>
      <c r="G852" s="7" t="s">
        <v>2417</v>
      </c>
      <c r="H852" s="7" t="s">
        <v>2419</v>
      </c>
      <c r="I852" s="9">
        <v>45341</v>
      </c>
    </row>
    <row r="853" spans="1:9" ht="27" x14ac:dyDescent="0.15">
      <c r="A853" s="6">
        <v>852</v>
      </c>
      <c r="B853" s="7" t="s">
        <v>7</v>
      </c>
      <c r="C853" s="8">
        <v>1890</v>
      </c>
      <c r="D853" s="9">
        <v>45449</v>
      </c>
      <c r="E853" s="13">
        <f>+HYPERLINK("http://trademark.i-assist.jp/data/china/image_1890th/76853680.pdf",76853680)</f>
        <v>76853680</v>
      </c>
      <c r="F853" s="7" t="s">
        <v>2420</v>
      </c>
      <c r="G853" s="7" t="s">
        <v>1406</v>
      </c>
      <c r="H853" s="7" t="s">
        <v>2421</v>
      </c>
      <c r="I853" s="9">
        <v>45341</v>
      </c>
    </row>
    <row r="854" spans="1:9" x14ac:dyDescent="0.15">
      <c r="A854" s="6">
        <v>853</v>
      </c>
      <c r="B854" s="7" t="s">
        <v>7</v>
      </c>
      <c r="C854" s="8">
        <v>1890</v>
      </c>
      <c r="D854" s="9">
        <v>45449</v>
      </c>
      <c r="E854" s="13">
        <f>+HYPERLINK("http://trademark.i-assist.jp/data/china/image_1890th/76854814.pdf",76854814)</f>
        <v>76854814</v>
      </c>
      <c r="F854" s="7" t="s">
        <v>2422</v>
      </c>
      <c r="G854" s="7" t="s">
        <v>1392</v>
      </c>
      <c r="H854" s="7" t="s">
        <v>2423</v>
      </c>
      <c r="I854" s="9">
        <v>45341</v>
      </c>
    </row>
    <row r="855" spans="1:9" ht="27" x14ac:dyDescent="0.15">
      <c r="A855" s="6">
        <v>854</v>
      </c>
      <c r="B855" s="7" t="s">
        <v>7</v>
      </c>
      <c r="C855" s="8">
        <v>1890</v>
      </c>
      <c r="D855" s="9">
        <v>45449</v>
      </c>
      <c r="E855" s="13">
        <f>+HYPERLINK("http://trademark.i-assist.jp/data/china/image_1890th/76855239.pdf",76855239)</f>
        <v>76855239</v>
      </c>
      <c r="F855" s="7" t="s">
        <v>2424</v>
      </c>
      <c r="G855" s="7" t="s">
        <v>1406</v>
      </c>
      <c r="H855" s="7" t="s">
        <v>2425</v>
      </c>
      <c r="I855" s="9">
        <v>45341</v>
      </c>
    </row>
    <row r="856" spans="1:9" ht="27" x14ac:dyDescent="0.15">
      <c r="A856" s="6">
        <v>855</v>
      </c>
      <c r="B856" s="7" t="s">
        <v>7</v>
      </c>
      <c r="C856" s="8">
        <v>1890</v>
      </c>
      <c r="D856" s="9">
        <v>45449</v>
      </c>
      <c r="E856" s="13">
        <f>+HYPERLINK("http://trademark.i-assist.jp/data/china/image_1890th/76856236.pdf",76856236)</f>
        <v>76856236</v>
      </c>
      <c r="F856" s="7" t="s">
        <v>2426</v>
      </c>
      <c r="G856" s="7" t="s">
        <v>1406</v>
      </c>
      <c r="H856" s="7" t="s">
        <v>2427</v>
      </c>
      <c r="I856" s="9">
        <v>45341</v>
      </c>
    </row>
    <row r="857" spans="1:9" x14ac:dyDescent="0.15">
      <c r="A857" s="6">
        <v>856</v>
      </c>
      <c r="B857" s="7" t="s">
        <v>7</v>
      </c>
      <c r="C857" s="8">
        <v>1890</v>
      </c>
      <c r="D857" s="9">
        <v>45449</v>
      </c>
      <c r="E857" s="13">
        <f>+HYPERLINK("http://trademark.i-assist.jp/data/china/image_1890th/76856603.pdf",76856603)</f>
        <v>76856603</v>
      </c>
      <c r="F857" s="7" t="s">
        <v>2429</v>
      </c>
      <c r="G857" s="7" t="s">
        <v>2428</v>
      </c>
      <c r="H857" s="7" t="s">
        <v>2430</v>
      </c>
      <c r="I857" s="9">
        <v>45341</v>
      </c>
    </row>
    <row r="858" spans="1:9" x14ac:dyDescent="0.15">
      <c r="A858" s="6">
        <v>857</v>
      </c>
      <c r="B858" s="7" t="s">
        <v>7</v>
      </c>
      <c r="C858" s="8">
        <v>1890</v>
      </c>
      <c r="D858" s="9">
        <v>45449</v>
      </c>
      <c r="E858" s="13">
        <f>+HYPERLINK("http://trademark.i-assist.jp/data/china/image_1890th/76858257.pdf",76858257)</f>
        <v>76858257</v>
      </c>
      <c r="F858" s="7" t="s">
        <v>2432</v>
      </c>
      <c r="G858" s="7" t="s">
        <v>2431</v>
      </c>
      <c r="H858" s="7" t="s">
        <v>2433</v>
      </c>
      <c r="I858" s="9">
        <v>45341</v>
      </c>
    </row>
    <row r="859" spans="1:9" x14ac:dyDescent="0.15">
      <c r="A859" s="6">
        <v>858</v>
      </c>
      <c r="B859" s="7" t="s">
        <v>7</v>
      </c>
      <c r="C859" s="8">
        <v>1890</v>
      </c>
      <c r="D859" s="9">
        <v>45449</v>
      </c>
      <c r="E859" s="13">
        <f>+HYPERLINK("http://trademark.i-assist.jp/data/china/image_1890th/76858515.pdf",76858515)</f>
        <v>76858515</v>
      </c>
      <c r="F859" s="7" t="s">
        <v>2435</v>
      </c>
      <c r="G859" s="7" t="s">
        <v>2434</v>
      </c>
      <c r="H859" s="7" t="s">
        <v>2436</v>
      </c>
      <c r="I859" s="9">
        <v>45341</v>
      </c>
    </row>
    <row r="860" spans="1:9" ht="27" x14ac:dyDescent="0.15">
      <c r="A860" s="6">
        <v>859</v>
      </c>
      <c r="B860" s="7" t="s">
        <v>7</v>
      </c>
      <c r="C860" s="8">
        <v>1890</v>
      </c>
      <c r="D860" s="9">
        <v>45449</v>
      </c>
      <c r="E860" s="13">
        <f>+HYPERLINK("http://trademark.i-assist.jp/data/china/image_1890th/76859778.pdf",76859778)</f>
        <v>76859778</v>
      </c>
      <c r="F860" s="7" t="s">
        <v>2437</v>
      </c>
      <c r="G860" s="7" t="s">
        <v>1406</v>
      </c>
      <c r="H860" s="7" t="s">
        <v>2438</v>
      </c>
      <c r="I860" s="9">
        <v>45341</v>
      </c>
    </row>
    <row r="861" spans="1:9" x14ac:dyDescent="0.15">
      <c r="A861" s="6">
        <v>860</v>
      </c>
      <c r="B861" s="7" t="s">
        <v>7</v>
      </c>
      <c r="C861" s="8">
        <v>1890</v>
      </c>
      <c r="D861" s="9">
        <v>45449</v>
      </c>
      <c r="E861" s="13">
        <f>+HYPERLINK("http://trademark.i-assist.jp/data/china/image_1890th/76859967.pdf",76859967)</f>
        <v>76859967</v>
      </c>
      <c r="F861" s="7" t="s">
        <v>2440</v>
      </c>
      <c r="G861" s="7" t="s">
        <v>2439</v>
      </c>
      <c r="H861" s="7" t="s">
        <v>2441</v>
      </c>
      <c r="I861" s="9">
        <v>45341</v>
      </c>
    </row>
    <row r="862" spans="1:9" x14ac:dyDescent="0.15">
      <c r="A862" s="6">
        <v>861</v>
      </c>
      <c r="B862" s="7" t="s">
        <v>7</v>
      </c>
      <c r="C862" s="8">
        <v>1890</v>
      </c>
      <c r="D862" s="9">
        <v>45449</v>
      </c>
      <c r="E862" s="13">
        <f>+HYPERLINK("http://trademark.i-assist.jp/data/china/image_1890th/76860506.pdf",76860506)</f>
        <v>76860506</v>
      </c>
      <c r="F862" s="7" t="s">
        <v>2443</v>
      </c>
      <c r="G862" s="7" t="s">
        <v>2442</v>
      </c>
      <c r="H862" s="7" t="s">
        <v>2444</v>
      </c>
      <c r="I862" s="9">
        <v>45341</v>
      </c>
    </row>
    <row r="863" spans="1:9" x14ac:dyDescent="0.15">
      <c r="A863" s="6">
        <v>862</v>
      </c>
      <c r="B863" s="7" t="s">
        <v>7</v>
      </c>
      <c r="C863" s="8">
        <v>1890</v>
      </c>
      <c r="D863" s="9">
        <v>45449</v>
      </c>
      <c r="E863" s="13">
        <f>+HYPERLINK("http://trademark.i-assist.jp/data/china/image_1890th/76860516.pdf",76860516)</f>
        <v>76860516</v>
      </c>
      <c r="F863" s="7" t="s">
        <v>2446</v>
      </c>
      <c r="G863" s="7" t="s">
        <v>2445</v>
      </c>
      <c r="H863" s="7" t="s">
        <v>2447</v>
      </c>
      <c r="I863" s="9">
        <v>45341</v>
      </c>
    </row>
    <row r="864" spans="1:9" x14ac:dyDescent="0.15">
      <c r="A864" s="6">
        <v>863</v>
      </c>
      <c r="B864" s="7" t="s">
        <v>7</v>
      </c>
      <c r="C864" s="8">
        <v>1890</v>
      </c>
      <c r="D864" s="9">
        <v>45449</v>
      </c>
      <c r="E864" s="13">
        <f>+HYPERLINK("http://trademark.i-assist.jp/data/china/image_1890th/76861259.pdf",76861259)</f>
        <v>76861259</v>
      </c>
      <c r="F864" s="7" t="s">
        <v>2449</v>
      </c>
      <c r="G864" s="7" t="s">
        <v>2448</v>
      </c>
      <c r="H864" s="7" t="s">
        <v>2450</v>
      </c>
      <c r="I864" s="9">
        <v>45341</v>
      </c>
    </row>
    <row r="865" spans="1:9" ht="27" x14ac:dyDescent="0.15">
      <c r="A865" s="6">
        <v>864</v>
      </c>
      <c r="B865" s="7" t="s">
        <v>7</v>
      </c>
      <c r="C865" s="8">
        <v>1890</v>
      </c>
      <c r="D865" s="9">
        <v>45449</v>
      </c>
      <c r="E865" s="13">
        <f>+HYPERLINK("http://trademark.i-assist.jp/data/china/image_1890th/76864198.pdf",76864198)</f>
        <v>76864198</v>
      </c>
      <c r="F865" s="7" t="s">
        <v>2452</v>
      </c>
      <c r="G865" s="7" t="s">
        <v>2451</v>
      </c>
      <c r="H865" s="7" t="s">
        <v>2453</v>
      </c>
      <c r="I865" s="9">
        <v>45342</v>
      </c>
    </row>
    <row r="866" spans="1:9" x14ac:dyDescent="0.15">
      <c r="A866" s="6">
        <v>865</v>
      </c>
      <c r="B866" s="7" t="s">
        <v>7</v>
      </c>
      <c r="C866" s="8">
        <v>1890</v>
      </c>
      <c r="D866" s="9">
        <v>45449</v>
      </c>
      <c r="E866" s="13">
        <f>+HYPERLINK("http://trademark.i-assist.jp/data/china/image_1890th/76866950.pdf",76866950)</f>
        <v>76866950</v>
      </c>
      <c r="F866" s="7" t="s">
        <v>2455</v>
      </c>
      <c r="G866" s="7" t="s">
        <v>2454</v>
      </c>
      <c r="H866" s="7" t="s">
        <v>2456</v>
      </c>
      <c r="I866" s="9">
        <v>45342</v>
      </c>
    </row>
    <row r="867" spans="1:9" x14ac:dyDescent="0.15">
      <c r="A867" s="6">
        <v>866</v>
      </c>
      <c r="B867" s="7" t="s">
        <v>7</v>
      </c>
      <c r="C867" s="8">
        <v>1890</v>
      </c>
      <c r="D867" s="9">
        <v>45449</v>
      </c>
      <c r="E867" s="13">
        <f>+HYPERLINK("http://trademark.i-assist.jp/data/china/image_1890th/76869914.pdf",76869914)</f>
        <v>76869914</v>
      </c>
      <c r="F867" s="7" t="s">
        <v>2458</v>
      </c>
      <c r="G867" s="7" t="s">
        <v>2457</v>
      </c>
      <c r="H867" s="7" t="s">
        <v>2459</v>
      </c>
      <c r="I867" s="9">
        <v>45342</v>
      </c>
    </row>
    <row r="868" spans="1:9" x14ac:dyDescent="0.15">
      <c r="A868" s="6">
        <v>867</v>
      </c>
      <c r="B868" s="7" t="s">
        <v>7</v>
      </c>
      <c r="C868" s="8">
        <v>1890</v>
      </c>
      <c r="D868" s="9">
        <v>45449</v>
      </c>
      <c r="E868" s="13">
        <f>+HYPERLINK("http://trademark.i-assist.jp/data/china/image_1890th/76870798.pdf",76870798)</f>
        <v>76870798</v>
      </c>
      <c r="F868" s="7" t="s">
        <v>2461</v>
      </c>
      <c r="G868" s="7" t="s">
        <v>2460</v>
      </c>
      <c r="H868" s="7" t="s">
        <v>2462</v>
      </c>
      <c r="I868" s="9">
        <v>45342</v>
      </c>
    </row>
    <row r="869" spans="1:9" x14ac:dyDescent="0.15">
      <c r="A869" s="6">
        <v>868</v>
      </c>
      <c r="B869" s="7" t="s">
        <v>7</v>
      </c>
      <c r="C869" s="8">
        <v>1890</v>
      </c>
      <c r="D869" s="9">
        <v>45449</v>
      </c>
      <c r="E869" s="13">
        <f>+HYPERLINK("http://trademark.i-assist.jp/data/china/image_1890th/76876932.pdf",76876932)</f>
        <v>76876932</v>
      </c>
      <c r="F869" s="7" t="s">
        <v>2464</v>
      </c>
      <c r="G869" s="7" t="s">
        <v>2463</v>
      </c>
      <c r="H869" s="7" t="s">
        <v>2465</v>
      </c>
      <c r="I869" s="9">
        <v>45342</v>
      </c>
    </row>
    <row r="870" spans="1:9" x14ac:dyDescent="0.15">
      <c r="A870" s="6">
        <v>869</v>
      </c>
      <c r="B870" s="7" t="s">
        <v>7</v>
      </c>
      <c r="C870" s="8">
        <v>1890</v>
      </c>
      <c r="D870" s="9">
        <v>45449</v>
      </c>
      <c r="E870" s="13">
        <f>+HYPERLINK("http://trademark.i-assist.jp/data/china/image_1890th/76877664.pdf",76877664)</f>
        <v>76877664</v>
      </c>
      <c r="F870" s="7" t="s">
        <v>2467</v>
      </c>
      <c r="G870" s="7" t="s">
        <v>2466</v>
      </c>
      <c r="H870" s="7" t="s">
        <v>2468</v>
      </c>
      <c r="I870" s="9">
        <v>45342</v>
      </c>
    </row>
    <row r="871" spans="1:9" x14ac:dyDescent="0.15">
      <c r="A871" s="6">
        <v>870</v>
      </c>
      <c r="B871" s="7" t="s">
        <v>7</v>
      </c>
      <c r="C871" s="8">
        <v>1890</v>
      </c>
      <c r="D871" s="9">
        <v>45449</v>
      </c>
      <c r="E871" s="13">
        <f>+HYPERLINK("http://trademark.i-assist.jp/data/china/image_1890th/76878100.pdf",76878100)</f>
        <v>76878100</v>
      </c>
      <c r="F871" s="7" t="s">
        <v>2469</v>
      </c>
      <c r="G871" s="7" t="s">
        <v>268</v>
      </c>
      <c r="H871" s="7" t="s">
        <v>2470</v>
      </c>
      <c r="I871" s="9">
        <v>45342</v>
      </c>
    </row>
    <row r="872" spans="1:9" x14ac:dyDescent="0.15">
      <c r="A872" s="6">
        <v>871</v>
      </c>
      <c r="B872" s="7" t="s">
        <v>7</v>
      </c>
      <c r="C872" s="8">
        <v>1890</v>
      </c>
      <c r="D872" s="9">
        <v>45449</v>
      </c>
      <c r="E872" s="13">
        <f>+HYPERLINK("http://trademark.i-assist.jp/data/china/image_1890th/76878101.pdf",76878101)</f>
        <v>76878101</v>
      </c>
      <c r="F872" s="7" t="s">
        <v>2471</v>
      </c>
      <c r="G872" s="7" t="s">
        <v>2457</v>
      </c>
      <c r="H872" s="7" t="s">
        <v>2472</v>
      </c>
      <c r="I872" s="9">
        <v>45342</v>
      </c>
    </row>
    <row r="873" spans="1:9" x14ac:dyDescent="0.15">
      <c r="A873" s="6">
        <v>872</v>
      </c>
      <c r="B873" s="7" t="s">
        <v>7</v>
      </c>
      <c r="C873" s="8">
        <v>1890</v>
      </c>
      <c r="D873" s="9">
        <v>45449</v>
      </c>
      <c r="E873" s="13">
        <f>+HYPERLINK("http://trademark.i-assist.jp/data/china/image_1890th/76878934.pdf",76878934)</f>
        <v>76878934</v>
      </c>
      <c r="F873" s="7" t="s">
        <v>2473</v>
      </c>
      <c r="G873" s="7" t="s">
        <v>2460</v>
      </c>
      <c r="H873" s="7" t="s">
        <v>2474</v>
      </c>
      <c r="I873" s="9">
        <v>45342</v>
      </c>
    </row>
    <row r="874" spans="1:9" x14ac:dyDescent="0.15">
      <c r="A874" s="6">
        <v>873</v>
      </c>
      <c r="B874" s="7" t="s">
        <v>7</v>
      </c>
      <c r="C874" s="8">
        <v>1890</v>
      </c>
      <c r="D874" s="9">
        <v>45449</v>
      </c>
      <c r="E874" s="13">
        <f>+HYPERLINK("http://trademark.i-assist.jp/data/china/image_1890th/76880450.pdf",76880450)</f>
        <v>76880450</v>
      </c>
      <c r="F874" s="7" t="s">
        <v>2476</v>
      </c>
      <c r="G874" s="7" t="s">
        <v>2475</v>
      </c>
      <c r="H874" s="7" t="s">
        <v>2477</v>
      </c>
      <c r="I874" s="9">
        <v>45342</v>
      </c>
    </row>
    <row r="875" spans="1:9" x14ac:dyDescent="0.15">
      <c r="A875" s="6">
        <v>874</v>
      </c>
      <c r="B875" s="7" t="s">
        <v>7</v>
      </c>
      <c r="C875" s="8">
        <v>1890</v>
      </c>
      <c r="D875" s="9">
        <v>45449</v>
      </c>
      <c r="E875" s="13">
        <f>+HYPERLINK("http://trademark.i-assist.jp/data/china/image_1890th/76882427.pdf",76882427)</f>
        <v>76882427</v>
      </c>
      <c r="F875" s="7" t="s">
        <v>2479</v>
      </c>
      <c r="G875" s="7" t="s">
        <v>2478</v>
      </c>
      <c r="H875" s="7" t="s">
        <v>2480</v>
      </c>
      <c r="I875" s="9">
        <v>45343</v>
      </c>
    </row>
    <row r="876" spans="1:9" x14ac:dyDescent="0.15">
      <c r="A876" s="6">
        <v>875</v>
      </c>
      <c r="B876" s="7" t="s">
        <v>7</v>
      </c>
      <c r="C876" s="8">
        <v>1890</v>
      </c>
      <c r="D876" s="9">
        <v>45449</v>
      </c>
      <c r="E876" s="13">
        <f>+HYPERLINK("http://trademark.i-assist.jp/data/china/image_1890th/76882943.pdf",76882943)</f>
        <v>76882943</v>
      </c>
      <c r="F876" s="7" t="s">
        <v>183</v>
      </c>
      <c r="G876" s="7" t="s">
        <v>2481</v>
      </c>
      <c r="H876" s="7" t="s">
        <v>2482</v>
      </c>
      <c r="I876" s="9">
        <v>45343</v>
      </c>
    </row>
    <row r="877" spans="1:9" x14ac:dyDescent="0.15">
      <c r="A877" s="6">
        <v>876</v>
      </c>
      <c r="B877" s="7" t="s">
        <v>7</v>
      </c>
      <c r="C877" s="8">
        <v>1890</v>
      </c>
      <c r="D877" s="9">
        <v>45449</v>
      </c>
      <c r="E877" s="13">
        <f>+HYPERLINK("http://trademark.i-assist.jp/data/china/image_1890th/76884245.pdf",76884245)</f>
        <v>76884245</v>
      </c>
      <c r="F877" s="7" t="s">
        <v>2484</v>
      </c>
      <c r="G877" s="7" t="s">
        <v>2483</v>
      </c>
      <c r="H877" s="7" t="s">
        <v>2485</v>
      </c>
      <c r="I877" s="9">
        <v>45343</v>
      </c>
    </row>
    <row r="878" spans="1:9" x14ac:dyDescent="0.15">
      <c r="A878" s="6">
        <v>877</v>
      </c>
      <c r="B878" s="7" t="s">
        <v>7</v>
      </c>
      <c r="C878" s="8">
        <v>1890</v>
      </c>
      <c r="D878" s="9">
        <v>45449</v>
      </c>
      <c r="E878" s="13">
        <f>+HYPERLINK("http://trademark.i-assist.jp/data/china/image_1890th/76888973.pdf",76888973)</f>
        <v>76888973</v>
      </c>
      <c r="F878" s="7" t="s">
        <v>2486</v>
      </c>
      <c r="G878" s="7" t="s">
        <v>2478</v>
      </c>
      <c r="H878" s="7" t="s">
        <v>2487</v>
      </c>
      <c r="I878" s="9">
        <v>45343</v>
      </c>
    </row>
    <row r="879" spans="1:9" x14ac:dyDescent="0.15">
      <c r="A879" s="6">
        <v>878</v>
      </c>
      <c r="B879" s="7" t="s">
        <v>7</v>
      </c>
      <c r="C879" s="8">
        <v>1890</v>
      </c>
      <c r="D879" s="9">
        <v>45449</v>
      </c>
      <c r="E879" s="13">
        <f>+HYPERLINK("http://trademark.i-assist.jp/data/china/image_1890th/76889728.pdf",76889728)</f>
        <v>76889728</v>
      </c>
      <c r="F879" s="7" t="s">
        <v>183</v>
      </c>
      <c r="G879" s="7" t="s">
        <v>2488</v>
      </c>
      <c r="H879" s="7" t="s">
        <v>2489</v>
      </c>
      <c r="I879" s="9">
        <v>45343</v>
      </c>
    </row>
    <row r="880" spans="1:9" ht="27" x14ac:dyDescent="0.15">
      <c r="A880" s="6">
        <v>879</v>
      </c>
      <c r="B880" s="7" t="s">
        <v>7</v>
      </c>
      <c r="C880" s="8">
        <v>1890</v>
      </c>
      <c r="D880" s="9">
        <v>45449</v>
      </c>
      <c r="E880" s="13">
        <f>+HYPERLINK("http://trademark.i-assist.jp/data/china/image_1890th/76890540.pdf",76890540)</f>
        <v>76890540</v>
      </c>
      <c r="F880" s="7" t="s">
        <v>2491</v>
      </c>
      <c r="G880" s="7" t="s">
        <v>2490</v>
      </c>
      <c r="H880" s="7" t="s">
        <v>2492</v>
      </c>
      <c r="I880" s="9">
        <v>45343</v>
      </c>
    </row>
    <row r="881" spans="1:9" x14ac:dyDescent="0.15">
      <c r="A881" s="6">
        <v>880</v>
      </c>
      <c r="B881" s="7" t="s">
        <v>7</v>
      </c>
      <c r="C881" s="8">
        <v>1890</v>
      </c>
      <c r="D881" s="9">
        <v>45449</v>
      </c>
      <c r="E881" s="13">
        <f>+HYPERLINK("http://trademark.i-assist.jp/data/china/image_1890th/76891944.pdf",76891944)</f>
        <v>76891944</v>
      </c>
      <c r="F881" s="7" t="s">
        <v>2494</v>
      </c>
      <c r="G881" s="7" t="s">
        <v>2493</v>
      </c>
      <c r="H881" s="7" t="s">
        <v>2495</v>
      </c>
      <c r="I881" s="9">
        <v>45343</v>
      </c>
    </row>
    <row r="882" spans="1:9" x14ac:dyDescent="0.15">
      <c r="A882" s="6">
        <v>881</v>
      </c>
      <c r="B882" s="7" t="s">
        <v>7</v>
      </c>
      <c r="C882" s="8">
        <v>1890</v>
      </c>
      <c r="D882" s="9">
        <v>45449</v>
      </c>
      <c r="E882" s="13">
        <f>+HYPERLINK("http://trademark.i-assist.jp/data/china/image_1890th/76893650.pdf",76893650)</f>
        <v>76893650</v>
      </c>
      <c r="F882" s="7" t="s">
        <v>2497</v>
      </c>
      <c r="G882" s="7" t="s">
        <v>2496</v>
      </c>
      <c r="H882" s="7" t="s">
        <v>2498</v>
      </c>
      <c r="I882" s="9">
        <v>45343</v>
      </c>
    </row>
    <row r="883" spans="1:9" x14ac:dyDescent="0.15">
      <c r="A883" s="6">
        <v>882</v>
      </c>
      <c r="B883" s="7" t="s">
        <v>7</v>
      </c>
      <c r="C883" s="8">
        <v>1890</v>
      </c>
      <c r="D883" s="9">
        <v>45449</v>
      </c>
      <c r="E883" s="13">
        <f>+HYPERLINK("http://trademark.i-assist.jp/data/china/image_1890th/76893924.pdf",76893924)</f>
        <v>76893924</v>
      </c>
      <c r="F883" s="7" t="s">
        <v>2500</v>
      </c>
      <c r="G883" s="7" t="s">
        <v>2499</v>
      </c>
      <c r="H883" s="7" t="s">
        <v>2501</v>
      </c>
      <c r="I883" s="9">
        <v>45343</v>
      </c>
    </row>
    <row r="884" spans="1:9" ht="27" x14ac:dyDescent="0.15">
      <c r="A884" s="6">
        <v>883</v>
      </c>
      <c r="B884" s="7" t="s">
        <v>7</v>
      </c>
      <c r="C884" s="8">
        <v>1890</v>
      </c>
      <c r="D884" s="9">
        <v>45449</v>
      </c>
      <c r="E884" s="13">
        <f>+HYPERLINK("http://trademark.i-assist.jp/data/china/image_1890th/76895307.pdf",76895307)</f>
        <v>76895307</v>
      </c>
      <c r="F884" s="7" t="s">
        <v>2503</v>
      </c>
      <c r="G884" s="7" t="s">
        <v>2502</v>
      </c>
      <c r="H884" s="7" t="s">
        <v>2504</v>
      </c>
      <c r="I884" s="9">
        <v>45343</v>
      </c>
    </row>
    <row r="885" spans="1:9" x14ac:dyDescent="0.15">
      <c r="A885" s="6">
        <v>884</v>
      </c>
      <c r="B885" s="7" t="s">
        <v>7</v>
      </c>
      <c r="C885" s="8">
        <v>1890</v>
      </c>
      <c r="D885" s="9">
        <v>45449</v>
      </c>
      <c r="E885" s="13">
        <f>+HYPERLINK("http://trademark.i-assist.jp/data/china/image_1890th/76895879.pdf",76895879)</f>
        <v>76895879</v>
      </c>
      <c r="F885" s="7" t="s">
        <v>2506</v>
      </c>
      <c r="G885" s="7" t="s">
        <v>2505</v>
      </c>
      <c r="H885" s="7" t="s">
        <v>2507</v>
      </c>
      <c r="I885" s="9">
        <v>45343</v>
      </c>
    </row>
    <row r="886" spans="1:9" x14ac:dyDescent="0.15">
      <c r="A886" s="6">
        <v>885</v>
      </c>
      <c r="B886" s="7" t="s">
        <v>7</v>
      </c>
      <c r="C886" s="8">
        <v>1890</v>
      </c>
      <c r="D886" s="9">
        <v>45449</v>
      </c>
      <c r="E886" s="13">
        <f>+HYPERLINK("http://trademark.i-assist.jp/data/china/image_1890th/76896381.pdf",76896381)</f>
        <v>76896381</v>
      </c>
      <c r="F886" s="7" t="s">
        <v>2509</v>
      </c>
      <c r="G886" s="7" t="s">
        <v>2508</v>
      </c>
      <c r="H886" s="7" t="s">
        <v>2510</v>
      </c>
      <c r="I886" s="9">
        <v>45343</v>
      </c>
    </row>
    <row r="887" spans="1:9" x14ac:dyDescent="0.15">
      <c r="A887" s="6">
        <v>886</v>
      </c>
      <c r="B887" s="7" t="s">
        <v>7</v>
      </c>
      <c r="C887" s="8">
        <v>1890</v>
      </c>
      <c r="D887" s="9">
        <v>45449</v>
      </c>
      <c r="E887" s="13">
        <f>+HYPERLINK("http://trademark.i-assist.jp/data/china/image_1890th/76896744.pdf",76896744)</f>
        <v>76896744</v>
      </c>
      <c r="F887" s="7" t="s">
        <v>2512</v>
      </c>
      <c r="G887" s="7" t="s">
        <v>2511</v>
      </c>
      <c r="H887" s="7" t="s">
        <v>2513</v>
      </c>
      <c r="I887" s="9">
        <v>45343</v>
      </c>
    </row>
    <row r="888" spans="1:9" x14ac:dyDescent="0.15">
      <c r="A888" s="6">
        <v>887</v>
      </c>
      <c r="B888" s="7" t="s">
        <v>7</v>
      </c>
      <c r="C888" s="8">
        <v>1890</v>
      </c>
      <c r="D888" s="9">
        <v>45449</v>
      </c>
      <c r="E888" s="13">
        <f>+HYPERLINK("http://trademark.i-assist.jp/data/china/image_1890th/76898389.pdf",76898389)</f>
        <v>76898389</v>
      </c>
      <c r="F888" s="7" t="s">
        <v>2515</v>
      </c>
      <c r="G888" s="7" t="s">
        <v>2514</v>
      </c>
      <c r="H888" s="7" t="s">
        <v>2516</v>
      </c>
      <c r="I888" s="9">
        <v>45343</v>
      </c>
    </row>
    <row r="889" spans="1:9" x14ac:dyDescent="0.15">
      <c r="A889" s="6">
        <v>888</v>
      </c>
      <c r="B889" s="7" t="s">
        <v>7</v>
      </c>
      <c r="C889" s="8">
        <v>1890</v>
      </c>
      <c r="D889" s="9">
        <v>45449</v>
      </c>
      <c r="E889" s="13">
        <f>+HYPERLINK("http://trademark.i-assist.jp/data/china/image_1890th/76899046.pdf",76899046)</f>
        <v>76899046</v>
      </c>
      <c r="F889" s="7" t="s">
        <v>2518</v>
      </c>
      <c r="G889" s="7" t="s">
        <v>2517</v>
      </c>
      <c r="H889" s="7" t="s">
        <v>2519</v>
      </c>
      <c r="I889" s="9">
        <v>45343</v>
      </c>
    </row>
    <row r="890" spans="1:9" x14ac:dyDescent="0.15">
      <c r="A890" s="6">
        <v>889</v>
      </c>
      <c r="B890" s="7" t="s">
        <v>7</v>
      </c>
      <c r="C890" s="8">
        <v>1890</v>
      </c>
      <c r="D890" s="9">
        <v>45449</v>
      </c>
      <c r="E890" s="13">
        <f>+HYPERLINK("http://trademark.i-assist.jp/data/china/image_1890th/76899384.pdf",76899384)</f>
        <v>76899384</v>
      </c>
      <c r="F890" s="7" t="s">
        <v>2521</v>
      </c>
      <c r="G890" s="7" t="s">
        <v>2520</v>
      </c>
      <c r="H890" s="7" t="s">
        <v>2522</v>
      </c>
      <c r="I890" s="9">
        <v>45343</v>
      </c>
    </row>
    <row r="891" spans="1:9" x14ac:dyDescent="0.15">
      <c r="A891" s="6">
        <v>890</v>
      </c>
      <c r="B891" s="7" t="s">
        <v>7</v>
      </c>
      <c r="C891" s="8">
        <v>1890</v>
      </c>
      <c r="D891" s="9">
        <v>45449</v>
      </c>
      <c r="E891" s="13">
        <f>+HYPERLINK("http://trademark.i-assist.jp/data/china/image_1890th/76910669.pdf",76910669)</f>
        <v>76910669</v>
      </c>
      <c r="F891" s="7" t="s">
        <v>2524</v>
      </c>
      <c r="G891" s="7" t="s">
        <v>2523</v>
      </c>
      <c r="H891" s="7" t="s">
        <v>2525</v>
      </c>
      <c r="I891" s="9">
        <v>45344</v>
      </c>
    </row>
    <row r="892" spans="1:9" x14ac:dyDescent="0.15">
      <c r="A892" s="6">
        <v>891</v>
      </c>
      <c r="B892" s="7" t="s">
        <v>7</v>
      </c>
      <c r="C892" s="8">
        <v>1890</v>
      </c>
      <c r="D892" s="9">
        <v>45449</v>
      </c>
      <c r="E892" s="13">
        <f>+HYPERLINK("http://trademark.i-assist.jp/data/china/image_1890th/76912423.pdf",76912423)</f>
        <v>76912423</v>
      </c>
      <c r="F892" s="7" t="s">
        <v>2527</v>
      </c>
      <c r="G892" s="7" t="s">
        <v>2526</v>
      </c>
      <c r="H892" s="7" t="s">
        <v>2528</v>
      </c>
      <c r="I892" s="9">
        <v>45344</v>
      </c>
    </row>
    <row r="893" spans="1:9" x14ac:dyDescent="0.15">
      <c r="A893" s="6">
        <v>892</v>
      </c>
      <c r="B893" s="7" t="s">
        <v>7</v>
      </c>
      <c r="C893" s="8">
        <v>1890</v>
      </c>
      <c r="D893" s="9">
        <v>45449</v>
      </c>
      <c r="E893" s="13">
        <f>+HYPERLINK("http://trademark.i-assist.jp/data/china/image_1890th/76912590.pdf",76912590)</f>
        <v>76912590</v>
      </c>
      <c r="F893" s="7" t="s">
        <v>2530</v>
      </c>
      <c r="G893" s="7" t="s">
        <v>2529</v>
      </c>
      <c r="H893" s="7" t="s">
        <v>2531</v>
      </c>
      <c r="I893" s="9">
        <v>45344</v>
      </c>
    </row>
    <row r="894" spans="1:9" x14ac:dyDescent="0.15">
      <c r="A894" s="6">
        <v>893</v>
      </c>
      <c r="B894" s="7" t="s">
        <v>7</v>
      </c>
      <c r="C894" s="8">
        <v>1890</v>
      </c>
      <c r="D894" s="9">
        <v>45449</v>
      </c>
      <c r="E894" s="13">
        <f>+HYPERLINK("http://trademark.i-assist.jp/data/china/image_1890th/76913321.pdf",76913321)</f>
        <v>76913321</v>
      </c>
      <c r="F894" s="7" t="s">
        <v>2533</v>
      </c>
      <c r="G894" s="7" t="s">
        <v>2532</v>
      </c>
      <c r="H894" s="7" t="s">
        <v>2534</v>
      </c>
      <c r="I894" s="9">
        <v>45344</v>
      </c>
    </row>
    <row r="895" spans="1:9" x14ac:dyDescent="0.15">
      <c r="A895" s="6">
        <v>894</v>
      </c>
      <c r="B895" s="7" t="s">
        <v>7</v>
      </c>
      <c r="C895" s="8">
        <v>1890</v>
      </c>
      <c r="D895" s="9">
        <v>45449</v>
      </c>
      <c r="E895" s="13">
        <f>+HYPERLINK("http://trademark.i-assist.jp/data/china/image_1890th/76913556.pdf",76913556)</f>
        <v>76913556</v>
      </c>
      <c r="F895" s="7" t="s">
        <v>2535</v>
      </c>
      <c r="G895" s="7" t="s">
        <v>663</v>
      </c>
      <c r="H895" s="7" t="s">
        <v>2536</v>
      </c>
      <c r="I895" s="9">
        <v>45344</v>
      </c>
    </row>
    <row r="896" spans="1:9" ht="27" x14ac:dyDescent="0.15">
      <c r="A896" s="6">
        <v>895</v>
      </c>
      <c r="B896" s="7" t="s">
        <v>7</v>
      </c>
      <c r="C896" s="8">
        <v>1890</v>
      </c>
      <c r="D896" s="9">
        <v>45449</v>
      </c>
      <c r="E896" s="13">
        <f>+HYPERLINK("http://trademark.i-assist.jp/data/china/image_1890th/76915744.pdf",76915744)</f>
        <v>76915744</v>
      </c>
      <c r="F896" s="7" t="s">
        <v>2538</v>
      </c>
      <c r="G896" s="7" t="s">
        <v>2537</v>
      </c>
      <c r="H896" s="7" t="s">
        <v>2539</v>
      </c>
      <c r="I896" s="9">
        <v>45344</v>
      </c>
    </row>
    <row r="897" spans="1:9" x14ac:dyDescent="0.15">
      <c r="A897" s="6">
        <v>896</v>
      </c>
      <c r="B897" s="7" t="s">
        <v>7</v>
      </c>
      <c r="C897" s="8">
        <v>1890</v>
      </c>
      <c r="D897" s="9">
        <v>45449</v>
      </c>
      <c r="E897" s="13">
        <f>+HYPERLINK("http://trademark.i-assist.jp/data/china/image_1890th/76915887.pdf",76915887)</f>
        <v>76915887</v>
      </c>
      <c r="F897" s="7" t="s">
        <v>2541</v>
      </c>
      <c r="G897" s="7" t="s">
        <v>2540</v>
      </c>
      <c r="H897" s="7" t="s">
        <v>2542</v>
      </c>
      <c r="I897" s="9">
        <v>45344</v>
      </c>
    </row>
    <row r="898" spans="1:9" x14ac:dyDescent="0.15">
      <c r="A898" s="6">
        <v>897</v>
      </c>
      <c r="B898" s="7" t="s">
        <v>7</v>
      </c>
      <c r="C898" s="8">
        <v>1890</v>
      </c>
      <c r="D898" s="9">
        <v>45449</v>
      </c>
      <c r="E898" s="13">
        <f>+HYPERLINK("http://trademark.i-assist.jp/data/china/image_1890th/76916018.pdf",76916018)</f>
        <v>76916018</v>
      </c>
      <c r="F898" s="7" t="s">
        <v>2544</v>
      </c>
      <c r="G898" s="7" t="s">
        <v>2543</v>
      </c>
      <c r="H898" s="7" t="s">
        <v>2545</v>
      </c>
      <c r="I898" s="9">
        <v>45344</v>
      </c>
    </row>
    <row r="899" spans="1:9" x14ac:dyDescent="0.15">
      <c r="A899" s="6">
        <v>898</v>
      </c>
      <c r="B899" s="7" t="s">
        <v>7</v>
      </c>
      <c r="C899" s="8">
        <v>1890</v>
      </c>
      <c r="D899" s="9">
        <v>45449</v>
      </c>
      <c r="E899" s="13">
        <f>+HYPERLINK("http://trademark.i-assist.jp/data/china/image_1890th/76917032.pdf",76917032)</f>
        <v>76917032</v>
      </c>
      <c r="F899" s="7" t="s">
        <v>2547</v>
      </c>
      <c r="G899" s="7" t="s">
        <v>2546</v>
      </c>
      <c r="H899" s="7" t="s">
        <v>2548</v>
      </c>
      <c r="I899" s="9">
        <v>45344</v>
      </c>
    </row>
    <row r="900" spans="1:9" x14ac:dyDescent="0.15">
      <c r="A900" s="6">
        <v>899</v>
      </c>
      <c r="B900" s="7" t="s">
        <v>7</v>
      </c>
      <c r="C900" s="8">
        <v>1890</v>
      </c>
      <c r="D900" s="9">
        <v>45449</v>
      </c>
      <c r="E900" s="13">
        <f>+HYPERLINK("http://trademark.i-assist.jp/data/china/image_1890th/76917098.pdf",76917098)</f>
        <v>76917098</v>
      </c>
      <c r="F900" s="7" t="s">
        <v>2550</v>
      </c>
      <c r="G900" s="7" t="s">
        <v>2549</v>
      </c>
      <c r="H900" s="7" t="s">
        <v>2551</v>
      </c>
      <c r="I900" s="9">
        <v>45344</v>
      </c>
    </row>
    <row r="901" spans="1:9" x14ac:dyDescent="0.15">
      <c r="A901" s="6">
        <v>900</v>
      </c>
      <c r="B901" s="7" t="s">
        <v>7</v>
      </c>
      <c r="C901" s="8">
        <v>1890</v>
      </c>
      <c r="D901" s="9">
        <v>45449</v>
      </c>
      <c r="E901" s="13">
        <f>+HYPERLINK("http://trademark.i-assist.jp/data/china/image_1890th/76917711.pdf",76917711)</f>
        <v>76917711</v>
      </c>
      <c r="F901" s="7" t="s">
        <v>2553</v>
      </c>
      <c r="G901" s="7" t="s">
        <v>2552</v>
      </c>
      <c r="H901" s="7" t="s">
        <v>2554</v>
      </c>
      <c r="I901" s="9">
        <v>45344</v>
      </c>
    </row>
    <row r="902" spans="1:9" x14ac:dyDescent="0.15">
      <c r="A902" s="6">
        <v>901</v>
      </c>
      <c r="B902" s="7" t="s">
        <v>7</v>
      </c>
      <c r="C902" s="8">
        <v>1890</v>
      </c>
      <c r="D902" s="9">
        <v>45449</v>
      </c>
      <c r="E902" s="13">
        <f>+HYPERLINK("http://trademark.i-assist.jp/data/china/image_1890th/76918202.pdf",76918202)</f>
        <v>76918202</v>
      </c>
      <c r="F902" s="7" t="s">
        <v>2556</v>
      </c>
      <c r="G902" s="7" t="s">
        <v>2555</v>
      </c>
      <c r="H902" s="7" t="s">
        <v>2557</v>
      </c>
      <c r="I902" s="9">
        <v>45344</v>
      </c>
    </row>
    <row r="903" spans="1:9" x14ac:dyDescent="0.15">
      <c r="A903" s="6">
        <v>902</v>
      </c>
      <c r="B903" s="7" t="s">
        <v>7</v>
      </c>
      <c r="C903" s="8">
        <v>1890</v>
      </c>
      <c r="D903" s="9">
        <v>45449</v>
      </c>
      <c r="E903" s="13">
        <f>+HYPERLINK("http://trademark.i-assist.jp/data/china/image_1890th/77079191.pdf",77079191)</f>
        <v>77079191</v>
      </c>
      <c r="F903" s="7" t="s">
        <v>2559</v>
      </c>
      <c r="G903" s="7" t="s">
        <v>2558</v>
      </c>
      <c r="H903" s="7" t="s">
        <v>2560</v>
      </c>
      <c r="I903" s="9">
        <v>45355</v>
      </c>
    </row>
    <row r="904" spans="1:9" x14ac:dyDescent="0.15">
      <c r="A904" s="6">
        <v>903</v>
      </c>
      <c r="B904" s="7" t="s">
        <v>7</v>
      </c>
      <c r="C904" s="8">
        <v>1890</v>
      </c>
      <c r="D904" s="9">
        <v>45449</v>
      </c>
      <c r="E904" s="13">
        <f>+HYPERLINK("http://trademark.i-assist.jp/data/china/image_1890th/77079287.pdf",77079287)</f>
        <v>77079287</v>
      </c>
      <c r="F904" s="7" t="s">
        <v>2562</v>
      </c>
      <c r="G904" s="7" t="s">
        <v>2561</v>
      </c>
      <c r="H904" s="7" t="s">
        <v>2563</v>
      </c>
      <c r="I904" s="9">
        <v>45355</v>
      </c>
    </row>
    <row r="905" spans="1:9" x14ac:dyDescent="0.15">
      <c r="A905" s="6">
        <v>904</v>
      </c>
      <c r="B905" s="7" t="s">
        <v>7</v>
      </c>
      <c r="C905" s="8">
        <v>1890</v>
      </c>
      <c r="D905" s="9">
        <v>45449</v>
      </c>
      <c r="E905" s="13">
        <f>+HYPERLINK("http://trademark.i-assist.jp/data/china/image_1890th/77079480.pdf",77079480)</f>
        <v>77079480</v>
      </c>
      <c r="F905" s="7" t="s">
        <v>2565</v>
      </c>
      <c r="G905" s="7" t="s">
        <v>2564</v>
      </c>
      <c r="H905" s="7" t="s">
        <v>2566</v>
      </c>
      <c r="I905" s="9">
        <v>45355</v>
      </c>
    </row>
    <row r="906" spans="1:9" x14ac:dyDescent="0.15">
      <c r="A906" s="6">
        <v>905</v>
      </c>
      <c r="B906" s="7" t="s">
        <v>7</v>
      </c>
      <c r="C906" s="8">
        <v>1890</v>
      </c>
      <c r="D906" s="9">
        <v>45449</v>
      </c>
      <c r="E906" s="13">
        <f>+HYPERLINK("http://trademark.i-assist.jp/data/china/image_1890th/77079527.pdf",77079527)</f>
        <v>77079527</v>
      </c>
      <c r="F906" s="7" t="s">
        <v>2568</v>
      </c>
      <c r="G906" s="7" t="s">
        <v>2567</v>
      </c>
      <c r="H906" s="7" t="s">
        <v>2569</v>
      </c>
      <c r="I906" s="9">
        <v>45355</v>
      </c>
    </row>
    <row r="907" spans="1:9" x14ac:dyDescent="0.15">
      <c r="A907" s="6">
        <v>906</v>
      </c>
      <c r="B907" s="7" t="s">
        <v>7</v>
      </c>
      <c r="C907" s="8">
        <v>1890</v>
      </c>
      <c r="D907" s="9">
        <v>45449</v>
      </c>
      <c r="E907" s="13">
        <f>+HYPERLINK("http://trademark.i-assist.jp/data/china/image_1890th/77079557.pdf",77079557)</f>
        <v>77079557</v>
      </c>
      <c r="F907" s="7" t="s">
        <v>2571</v>
      </c>
      <c r="G907" s="7" t="s">
        <v>2570</v>
      </c>
      <c r="H907" s="7" t="s">
        <v>2572</v>
      </c>
      <c r="I907" s="9">
        <v>45355</v>
      </c>
    </row>
    <row r="908" spans="1:9" ht="27" x14ac:dyDescent="0.15">
      <c r="A908" s="6">
        <v>907</v>
      </c>
      <c r="B908" s="7" t="s">
        <v>7</v>
      </c>
      <c r="C908" s="8">
        <v>1890</v>
      </c>
      <c r="D908" s="9">
        <v>45449</v>
      </c>
      <c r="E908" s="13">
        <f>+HYPERLINK("http://trademark.i-assist.jp/data/china/image_1890th/77079626.pdf",77079626)</f>
        <v>77079626</v>
      </c>
      <c r="F908" s="7" t="s">
        <v>2574</v>
      </c>
      <c r="G908" s="7" t="s">
        <v>2573</v>
      </c>
      <c r="H908" s="7" t="s">
        <v>2575</v>
      </c>
      <c r="I908" s="9">
        <v>45355</v>
      </c>
    </row>
    <row r="909" spans="1:9" x14ac:dyDescent="0.15">
      <c r="A909" s="6">
        <v>908</v>
      </c>
      <c r="B909" s="7" t="s">
        <v>7</v>
      </c>
      <c r="C909" s="8">
        <v>1890</v>
      </c>
      <c r="D909" s="9">
        <v>45449</v>
      </c>
      <c r="E909" s="13">
        <f>+HYPERLINK("http://trademark.i-assist.jp/data/china/image_1890th/77079924.pdf",77079924)</f>
        <v>77079924</v>
      </c>
      <c r="F909" s="7" t="s">
        <v>2577</v>
      </c>
      <c r="G909" s="7" t="s">
        <v>2576</v>
      </c>
      <c r="H909" s="7" t="s">
        <v>2578</v>
      </c>
      <c r="I909" s="9">
        <v>45355</v>
      </c>
    </row>
    <row r="910" spans="1:9" x14ac:dyDescent="0.15">
      <c r="A910" s="6">
        <v>909</v>
      </c>
      <c r="B910" s="7" t="s">
        <v>7</v>
      </c>
      <c r="C910" s="8">
        <v>1890</v>
      </c>
      <c r="D910" s="9">
        <v>45449</v>
      </c>
      <c r="E910" s="13">
        <f>+HYPERLINK("http://trademark.i-assist.jp/data/china/image_1890th/77079931.pdf",77079931)</f>
        <v>77079931</v>
      </c>
      <c r="F910" s="7" t="s">
        <v>2580</v>
      </c>
      <c r="G910" s="7" t="s">
        <v>2579</v>
      </c>
      <c r="H910" s="7" t="s">
        <v>2581</v>
      </c>
      <c r="I910" s="9">
        <v>45355</v>
      </c>
    </row>
    <row r="911" spans="1:9" x14ac:dyDescent="0.15">
      <c r="A911" s="6">
        <v>910</v>
      </c>
      <c r="B911" s="7" t="s">
        <v>7</v>
      </c>
      <c r="C911" s="8">
        <v>1890</v>
      </c>
      <c r="D911" s="9">
        <v>45449</v>
      </c>
      <c r="E911" s="13">
        <f>+HYPERLINK("http://trademark.i-assist.jp/data/china/image_1890th/77080522.pdf",77080522)</f>
        <v>77080522</v>
      </c>
      <c r="F911" s="7" t="s">
        <v>2583</v>
      </c>
      <c r="G911" s="7" t="s">
        <v>2582</v>
      </c>
      <c r="H911" s="7" t="s">
        <v>2584</v>
      </c>
      <c r="I911" s="9">
        <v>45355</v>
      </c>
    </row>
    <row r="912" spans="1:9" x14ac:dyDescent="0.15">
      <c r="A912" s="6">
        <v>911</v>
      </c>
      <c r="B912" s="7" t="s">
        <v>7</v>
      </c>
      <c r="C912" s="8">
        <v>1890</v>
      </c>
      <c r="D912" s="9">
        <v>45449</v>
      </c>
      <c r="E912" s="13">
        <f>+HYPERLINK("http://trademark.i-assist.jp/data/china/image_1890th/77080713.pdf",77080713)</f>
        <v>77080713</v>
      </c>
      <c r="F912" s="7" t="s">
        <v>2586</v>
      </c>
      <c r="G912" s="7" t="s">
        <v>2585</v>
      </c>
      <c r="H912" s="7" t="s">
        <v>2587</v>
      </c>
      <c r="I912" s="9">
        <v>45355</v>
      </c>
    </row>
    <row r="913" spans="1:9" x14ac:dyDescent="0.15">
      <c r="A913" s="6">
        <v>912</v>
      </c>
      <c r="B913" s="7" t="s">
        <v>7</v>
      </c>
      <c r="C913" s="8">
        <v>1890</v>
      </c>
      <c r="D913" s="9">
        <v>45449</v>
      </c>
      <c r="E913" s="13">
        <f>+HYPERLINK("http://trademark.i-assist.jp/data/china/image_1890th/77138382.pdf",77138382)</f>
        <v>77138382</v>
      </c>
      <c r="F913" s="7" t="s">
        <v>2589</v>
      </c>
      <c r="G913" s="7" t="s">
        <v>2588</v>
      </c>
      <c r="H913" s="7" t="s">
        <v>2590</v>
      </c>
      <c r="I913" s="9">
        <v>45357</v>
      </c>
    </row>
    <row r="914" spans="1:9" x14ac:dyDescent="0.15">
      <c r="A914" s="6">
        <v>913</v>
      </c>
      <c r="B914" s="7" t="s">
        <v>7</v>
      </c>
      <c r="C914" s="8">
        <v>1890</v>
      </c>
      <c r="D914" s="9">
        <v>45449</v>
      </c>
      <c r="E914" s="13">
        <f>+HYPERLINK("http://trademark.i-assist.jp/data/china/image_1890th/77138394.pdf",77138394)</f>
        <v>77138394</v>
      </c>
      <c r="F914" s="7" t="s">
        <v>1123</v>
      </c>
      <c r="G914" s="7" t="s">
        <v>744</v>
      </c>
      <c r="H914" s="7" t="s">
        <v>2591</v>
      </c>
      <c r="I914" s="9">
        <v>45357</v>
      </c>
    </row>
    <row r="915" spans="1:9" x14ac:dyDescent="0.15">
      <c r="A915" s="6">
        <v>914</v>
      </c>
      <c r="B915" s="7" t="s">
        <v>7</v>
      </c>
      <c r="C915" s="8">
        <v>1890</v>
      </c>
      <c r="D915" s="9">
        <v>45449</v>
      </c>
      <c r="E915" s="13">
        <f>+HYPERLINK("http://trademark.i-assist.jp/data/china/image_1890th/77138459.pdf",77138459)</f>
        <v>77138459</v>
      </c>
      <c r="F915" s="7" t="s">
        <v>2593</v>
      </c>
      <c r="G915" s="7" t="s">
        <v>2592</v>
      </c>
      <c r="H915" s="7" t="s">
        <v>2594</v>
      </c>
      <c r="I915" s="9">
        <v>45357</v>
      </c>
    </row>
    <row r="916" spans="1:9" x14ac:dyDescent="0.15">
      <c r="A916" s="6">
        <v>915</v>
      </c>
      <c r="B916" s="7" t="s">
        <v>7</v>
      </c>
      <c r="C916" s="8">
        <v>1890</v>
      </c>
      <c r="D916" s="9">
        <v>45449</v>
      </c>
      <c r="E916" s="13">
        <f>+HYPERLINK("http://trademark.i-assist.jp/data/china/image_1890th/77138726.pdf",77138726)</f>
        <v>77138726</v>
      </c>
      <c r="F916" s="7" t="s">
        <v>2596</v>
      </c>
      <c r="G916" s="7" t="s">
        <v>2595</v>
      </c>
      <c r="H916" s="7" t="s">
        <v>2597</v>
      </c>
      <c r="I916" s="9">
        <v>45357</v>
      </c>
    </row>
    <row r="917" spans="1:9" x14ac:dyDescent="0.15">
      <c r="A917" s="6">
        <v>916</v>
      </c>
      <c r="B917" s="7" t="s">
        <v>7</v>
      </c>
      <c r="C917" s="8">
        <v>1890</v>
      </c>
      <c r="D917" s="9">
        <v>45449</v>
      </c>
      <c r="E917" s="13">
        <f>+HYPERLINK("http://trademark.i-assist.jp/data/china/image_1890th/77138876.pdf",77138876)</f>
        <v>77138876</v>
      </c>
      <c r="F917" s="7" t="s">
        <v>2599</v>
      </c>
      <c r="G917" s="7" t="s">
        <v>2598</v>
      </c>
      <c r="H917" s="7" t="s">
        <v>2600</v>
      </c>
      <c r="I917" s="9">
        <v>45357</v>
      </c>
    </row>
    <row r="918" spans="1:9" x14ac:dyDescent="0.15">
      <c r="A918" s="6">
        <v>917</v>
      </c>
      <c r="B918" s="7" t="s">
        <v>7</v>
      </c>
      <c r="C918" s="8">
        <v>1890</v>
      </c>
      <c r="D918" s="9">
        <v>45449</v>
      </c>
      <c r="E918" s="13">
        <f>+HYPERLINK("http://trademark.i-assist.jp/data/china/image_1890th/77139018.pdf",77139018)</f>
        <v>77139018</v>
      </c>
      <c r="F918" s="7" t="s">
        <v>183</v>
      </c>
      <c r="G918" s="7" t="s">
        <v>2601</v>
      </c>
      <c r="H918" s="7" t="s">
        <v>2602</v>
      </c>
      <c r="I918" s="9">
        <v>45357</v>
      </c>
    </row>
    <row r="919" spans="1:9" x14ac:dyDescent="0.15">
      <c r="A919" s="6">
        <v>918</v>
      </c>
      <c r="B919" s="7" t="s">
        <v>7</v>
      </c>
      <c r="C919" s="8">
        <v>1890</v>
      </c>
      <c r="D919" s="9">
        <v>45449</v>
      </c>
      <c r="E919" s="13">
        <f>+HYPERLINK("http://trademark.i-assist.jp/data/china/image_1890th/77139572.pdf",77139572)</f>
        <v>77139572</v>
      </c>
      <c r="F919" s="7" t="s">
        <v>2604</v>
      </c>
      <c r="G919" s="7" t="s">
        <v>2603</v>
      </c>
      <c r="H919" s="7" t="s">
        <v>2605</v>
      </c>
      <c r="I919" s="9">
        <v>45357</v>
      </c>
    </row>
    <row r="920" spans="1:9" x14ac:dyDescent="0.15">
      <c r="A920" s="6">
        <v>919</v>
      </c>
      <c r="B920" s="7" t="s">
        <v>7</v>
      </c>
      <c r="C920" s="8">
        <v>1890</v>
      </c>
      <c r="D920" s="9">
        <v>45449</v>
      </c>
      <c r="E920" s="13">
        <f>+HYPERLINK("http://trademark.i-assist.jp/data/china/image_1890th/77139698.pdf",77139698)</f>
        <v>77139698</v>
      </c>
      <c r="F920" s="7" t="s">
        <v>2607</v>
      </c>
      <c r="G920" s="7" t="s">
        <v>2606</v>
      </c>
      <c r="H920" s="7" t="s">
        <v>2608</v>
      </c>
      <c r="I920" s="9">
        <v>45357</v>
      </c>
    </row>
    <row r="921" spans="1:9" x14ac:dyDescent="0.15">
      <c r="A921" s="6">
        <v>920</v>
      </c>
      <c r="B921" s="7" t="s">
        <v>7</v>
      </c>
      <c r="C921" s="8">
        <v>1890</v>
      </c>
      <c r="D921" s="9">
        <v>45449</v>
      </c>
      <c r="E921" s="13">
        <f>+HYPERLINK("http://trademark.i-assist.jp/data/china/image_1890th/77139703.pdf",77139703)</f>
        <v>77139703</v>
      </c>
      <c r="F921" s="7" t="s">
        <v>2610</v>
      </c>
      <c r="G921" s="7" t="s">
        <v>2609</v>
      </c>
      <c r="H921" s="7" t="s">
        <v>2611</v>
      </c>
      <c r="I921" s="9">
        <v>45357</v>
      </c>
    </row>
    <row r="922" spans="1:9" x14ac:dyDescent="0.15">
      <c r="A922" s="6">
        <v>921</v>
      </c>
      <c r="B922" s="7" t="s">
        <v>7</v>
      </c>
      <c r="C922" s="8">
        <v>1890</v>
      </c>
      <c r="D922" s="9">
        <v>45449</v>
      </c>
      <c r="E922" s="13">
        <f>+HYPERLINK("http://trademark.i-assist.jp/data/china/image_1890th/77139836.pdf",77139836)</f>
        <v>77139836</v>
      </c>
      <c r="F922" s="7" t="s">
        <v>2613</v>
      </c>
      <c r="G922" s="7" t="s">
        <v>2612</v>
      </c>
      <c r="H922" s="7" t="s">
        <v>2614</v>
      </c>
      <c r="I922" s="9">
        <v>45357</v>
      </c>
    </row>
    <row r="923" spans="1:9" x14ac:dyDescent="0.15">
      <c r="A923" s="6">
        <v>922</v>
      </c>
      <c r="B923" s="7" t="s">
        <v>7</v>
      </c>
      <c r="C923" s="8">
        <v>1890</v>
      </c>
      <c r="D923" s="9">
        <v>45449</v>
      </c>
      <c r="E923" s="13">
        <f>+HYPERLINK("http://trademark.i-assist.jp/data/china/image_1890th/77140414.pdf",77140414)</f>
        <v>77140414</v>
      </c>
      <c r="F923" s="7" t="s">
        <v>2616</v>
      </c>
      <c r="G923" s="7" t="s">
        <v>2615</v>
      </c>
      <c r="H923" s="7" t="s">
        <v>2617</v>
      </c>
      <c r="I923" s="9">
        <v>45357</v>
      </c>
    </row>
    <row r="924" spans="1:9" x14ac:dyDescent="0.15">
      <c r="A924" s="6">
        <v>923</v>
      </c>
      <c r="B924" s="7" t="s">
        <v>7</v>
      </c>
      <c r="C924" s="8">
        <v>1890</v>
      </c>
      <c r="D924" s="9">
        <v>45449</v>
      </c>
      <c r="E924" s="13">
        <f>+HYPERLINK("http://trademark.i-assist.jp/data/china/image_1890th/77140445.pdf",77140445)</f>
        <v>77140445</v>
      </c>
      <c r="F924" s="7" t="s">
        <v>2619</v>
      </c>
      <c r="G924" s="7" t="s">
        <v>2618</v>
      </c>
      <c r="H924" s="7" t="s">
        <v>2620</v>
      </c>
      <c r="I924" s="9">
        <v>45357</v>
      </c>
    </row>
    <row r="925" spans="1:9" ht="27" x14ac:dyDescent="0.15">
      <c r="A925" s="6">
        <v>924</v>
      </c>
      <c r="B925" s="7" t="s">
        <v>7</v>
      </c>
      <c r="C925" s="8">
        <v>1890</v>
      </c>
      <c r="D925" s="9">
        <v>45449</v>
      </c>
      <c r="E925" s="13">
        <f>+HYPERLINK("http://trademark.i-assist.jp/data/china/image_1890th/77140492.pdf",77140492)</f>
        <v>77140492</v>
      </c>
      <c r="F925" s="7" t="s">
        <v>2622</v>
      </c>
      <c r="G925" s="7" t="s">
        <v>2621</v>
      </c>
      <c r="H925" s="7" t="s">
        <v>2623</v>
      </c>
      <c r="I925" s="9">
        <v>45357</v>
      </c>
    </row>
    <row r="926" spans="1:9" x14ac:dyDescent="0.15">
      <c r="A926" s="6">
        <v>925</v>
      </c>
      <c r="B926" s="7" t="s">
        <v>7</v>
      </c>
      <c r="C926" s="8">
        <v>1890</v>
      </c>
      <c r="D926" s="9">
        <v>45449</v>
      </c>
      <c r="E926" s="13">
        <f>+HYPERLINK("http://trademark.i-assist.jp/data/china/image_1890th/77140495.pdf",77140495)</f>
        <v>77140495</v>
      </c>
      <c r="F926" s="7" t="s">
        <v>2625</v>
      </c>
      <c r="G926" s="7" t="s">
        <v>2624</v>
      </c>
      <c r="H926" s="7" t="s">
        <v>2626</v>
      </c>
      <c r="I926" s="9">
        <v>45357</v>
      </c>
    </row>
    <row r="927" spans="1:9" x14ac:dyDescent="0.15">
      <c r="A927" s="6">
        <v>926</v>
      </c>
      <c r="B927" s="7" t="s">
        <v>7</v>
      </c>
      <c r="C927" s="8">
        <v>1890</v>
      </c>
      <c r="D927" s="9">
        <v>45449</v>
      </c>
      <c r="E927" s="13">
        <f>+HYPERLINK("http://trademark.i-assist.jp/data/china/image_1890th/77140570.pdf",77140570)</f>
        <v>77140570</v>
      </c>
      <c r="F927" s="7" t="s">
        <v>2628</v>
      </c>
      <c r="G927" s="7" t="s">
        <v>2627</v>
      </c>
      <c r="H927" s="7" t="s">
        <v>2629</v>
      </c>
      <c r="I927" s="9">
        <v>45357</v>
      </c>
    </row>
    <row r="928" spans="1:9" ht="27" x14ac:dyDescent="0.15">
      <c r="A928" s="6">
        <v>927</v>
      </c>
      <c r="B928" s="7" t="s">
        <v>7</v>
      </c>
      <c r="C928" s="8">
        <v>1890</v>
      </c>
      <c r="D928" s="9">
        <v>45449</v>
      </c>
      <c r="E928" s="13">
        <f>+HYPERLINK("http://trademark.i-assist.jp/data/china/image_1890th/77140870.pdf",77140870)</f>
        <v>77140870</v>
      </c>
      <c r="F928" s="7" t="s">
        <v>2631</v>
      </c>
      <c r="G928" s="7" t="s">
        <v>2630</v>
      </c>
      <c r="H928" s="7" t="s">
        <v>2632</v>
      </c>
      <c r="I928" s="9">
        <v>45357</v>
      </c>
    </row>
    <row r="929" spans="1:9" ht="27" x14ac:dyDescent="0.15">
      <c r="A929" s="6">
        <v>928</v>
      </c>
      <c r="B929" s="7" t="s">
        <v>7</v>
      </c>
      <c r="C929" s="8">
        <v>1890</v>
      </c>
      <c r="D929" s="9">
        <v>45449</v>
      </c>
      <c r="E929" s="13">
        <f>+HYPERLINK("http://trademark.i-assist.jp/data/china/image_1890th/77141238.pdf",77141238)</f>
        <v>77141238</v>
      </c>
      <c r="F929" s="7" t="s">
        <v>2634</v>
      </c>
      <c r="G929" s="7" t="s">
        <v>2633</v>
      </c>
      <c r="H929" s="7" t="s">
        <v>2635</v>
      </c>
      <c r="I929" s="9">
        <v>45357</v>
      </c>
    </row>
    <row r="930" spans="1:9" x14ac:dyDescent="0.15">
      <c r="A930" s="6">
        <v>929</v>
      </c>
      <c r="B930" s="7" t="s">
        <v>7</v>
      </c>
      <c r="C930" s="8">
        <v>1890</v>
      </c>
      <c r="D930" s="9">
        <v>45449</v>
      </c>
      <c r="E930" s="13">
        <f>+HYPERLINK("http://trademark.i-assist.jp/data/china/image_1890th/77141447.pdf",77141447)</f>
        <v>77141447</v>
      </c>
      <c r="F930" s="7" t="s">
        <v>2637</v>
      </c>
      <c r="G930" s="7" t="s">
        <v>2636</v>
      </c>
      <c r="H930" s="7" t="s">
        <v>2638</v>
      </c>
      <c r="I930" s="9">
        <v>45357</v>
      </c>
    </row>
    <row r="931" spans="1:9" x14ac:dyDescent="0.15">
      <c r="A931" s="6">
        <v>930</v>
      </c>
      <c r="B931" s="7" t="s">
        <v>7</v>
      </c>
      <c r="C931" s="8">
        <v>1890</v>
      </c>
      <c r="D931" s="9">
        <v>45449</v>
      </c>
      <c r="E931" s="13">
        <f>+HYPERLINK("http://trademark.i-assist.jp/data/china/image_1890th/77141717.pdf",77141717)</f>
        <v>77141717</v>
      </c>
      <c r="F931" s="7" t="s">
        <v>2640</v>
      </c>
      <c r="G931" s="7" t="s">
        <v>2639</v>
      </c>
      <c r="H931" s="7" t="s">
        <v>2641</v>
      </c>
      <c r="I931" s="9">
        <v>45357</v>
      </c>
    </row>
    <row r="932" spans="1:9" x14ac:dyDescent="0.15">
      <c r="A932" s="6">
        <v>931</v>
      </c>
      <c r="B932" s="7" t="s">
        <v>7</v>
      </c>
      <c r="C932" s="8">
        <v>1890</v>
      </c>
      <c r="D932" s="9">
        <v>45449</v>
      </c>
      <c r="E932" s="13">
        <f>+HYPERLINK("http://trademark.i-assist.jp/data/china/image_1890th/77141725.pdf",77141725)</f>
        <v>77141725</v>
      </c>
      <c r="F932" s="7" t="s">
        <v>2643</v>
      </c>
      <c r="G932" s="7" t="s">
        <v>2642</v>
      </c>
      <c r="H932" s="7" t="s">
        <v>2644</v>
      </c>
      <c r="I932" s="9">
        <v>45357</v>
      </c>
    </row>
    <row r="933" spans="1:9" ht="27" x14ac:dyDescent="0.15">
      <c r="A933" s="6">
        <v>932</v>
      </c>
      <c r="B933" s="7" t="s">
        <v>7</v>
      </c>
      <c r="C933" s="8">
        <v>1890</v>
      </c>
      <c r="D933" s="9">
        <v>45449</v>
      </c>
      <c r="E933" s="13">
        <f>+HYPERLINK("http://trademark.i-assist.jp/data/china/image_1890th/77142350.pdf",77142350)</f>
        <v>77142350</v>
      </c>
      <c r="F933" s="7" t="s">
        <v>2646</v>
      </c>
      <c r="G933" s="7" t="s">
        <v>2645</v>
      </c>
      <c r="H933" s="7" t="s">
        <v>2647</v>
      </c>
      <c r="I933" s="9">
        <v>45357</v>
      </c>
    </row>
    <row r="934" spans="1:9" x14ac:dyDescent="0.15">
      <c r="A934" s="6">
        <v>933</v>
      </c>
      <c r="B934" s="7" t="s">
        <v>7</v>
      </c>
      <c r="C934" s="8">
        <v>1890</v>
      </c>
      <c r="D934" s="9">
        <v>45449</v>
      </c>
      <c r="E934" s="13">
        <f>+HYPERLINK("http://trademark.i-assist.jp/data/china/image_1890th/77142408.pdf",77142408)</f>
        <v>77142408</v>
      </c>
      <c r="F934" s="7" t="s">
        <v>2649</v>
      </c>
      <c r="G934" s="7" t="s">
        <v>2648</v>
      </c>
      <c r="H934" s="7" t="s">
        <v>2650</v>
      </c>
      <c r="I934" s="9">
        <v>45357</v>
      </c>
    </row>
    <row r="935" spans="1:9" ht="27" x14ac:dyDescent="0.15">
      <c r="A935" s="6">
        <v>934</v>
      </c>
      <c r="B935" s="7" t="s">
        <v>7</v>
      </c>
      <c r="C935" s="8">
        <v>1890</v>
      </c>
      <c r="D935" s="9">
        <v>45449</v>
      </c>
      <c r="E935" s="13">
        <f>+HYPERLINK("http://trademark.i-assist.jp/data/china/image_1890th/77142525.pdf",77142525)</f>
        <v>77142525</v>
      </c>
      <c r="F935" s="7" t="s">
        <v>757</v>
      </c>
      <c r="G935" s="7" t="s">
        <v>756</v>
      </c>
      <c r="H935" s="7" t="s">
        <v>2651</v>
      </c>
      <c r="I935" s="9">
        <v>45357</v>
      </c>
    </row>
    <row r="936" spans="1:9" x14ac:dyDescent="0.15">
      <c r="A936" s="6">
        <v>935</v>
      </c>
      <c r="B936" s="7" t="s">
        <v>7</v>
      </c>
      <c r="C936" s="8">
        <v>1890</v>
      </c>
      <c r="D936" s="9">
        <v>45449</v>
      </c>
      <c r="E936" s="13">
        <f>+HYPERLINK("http://trademark.i-assist.jp/data/china/image_1890th/77142857.pdf",77142857)</f>
        <v>77142857</v>
      </c>
      <c r="F936" s="7" t="s">
        <v>2653</v>
      </c>
      <c r="G936" s="7" t="s">
        <v>2652</v>
      </c>
      <c r="H936" s="7" t="s">
        <v>2654</v>
      </c>
      <c r="I936" s="9">
        <v>45357</v>
      </c>
    </row>
    <row r="937" spans="1:9" x14ac:dyDescent="0.15">
      <c r="A937" s="6">
        <v>936</v>
      </c>
      <c r="B937" s="7" t="s">
        <v>7</v>
      </c>
      <c r="C937" s="8">
        <v>1890</v>
      </c>
      <c r="D937" s="9">
        <v>45449</v>
      </c>
      <c r="E937" s="13">
        <f>+HYPERLINK("http://trademark.i-assist.jp/data/china/image_1890th/77142986.pdf",77142986)</f>
        <v>77142986</v>
      </c>
      <c r="F937" s="7" t="s">
        <v>2656</v>
      </c>
      <c r="G937" s="7" t="s">
        <v>2655</v>
      </c>
      <c r="H937" s="7" t="s">
        <v>2657</v>
      </c>
      <c r="I937" s="9">
        <v>45357</v>
      </c>
    </row>
    <row r="938" spans="1:9" ht="27" x14ac:dyDescent="0.15">
      <c r="A938" s="6">
        <v>937</v>
      </c>
      <c r="B938" s="7" t="s">
        <v>7</v>
      </c>
      <c r="C938" s="8">
        <v>1890</v>
      </c>
      <c r="D938" s="9">
        <v>45449</v>
      </c>
      <c r="E938" s="13">
        <f>+HYPERLINK("http://trademark.i-assist.jp/data/china/image_1890th/77143082.pdf",77143082)</f>
        <v>77143082</v>
      </c>
      <c r="F938" s="7" t="s">
        <v>183</v>
      </c>
      <c r="G938" s="7" t="s">
        <v>2658</v>
      </c>
      <c r="H938" s="7" t="s">
        <v>2659</v>
      </c>
      <c r="I938" s="9">
        <v>45357</v>
      </c>
    </row>
    <row r="939" spans="1:9" x14ac:dyDescent="0.15">
      <c r="A939" s="6">
        <v>938</v>
      </c>
      <c r="B939" s="7" t="s">
        <v>7</v>
      </c>
      <c r="C939" s="8">
        <v>1890</v>
      </c>
      <c r="D939" s="9">
        <v>45449</v>
      </c>
      <c r="E939" s="13">
        <f>+HYPERLINK("http://trademark.i-assist.jp/data/china/image_1890th/77143435.pdf",77143435)</f>
        <v>77143435</v>
      </c>
      <c r="F939" s="7" t="s">
        <v>2661</v>
      </c>
      <c r="G939" s="7" t="s">
        <v>2660</v>
      </c>
      <c r="H939" s="7" t="s">
        <v>2662</v>
      </c>
      <c r="I939" s="9">
        <v>45357</v>
      </c>
    </row>
    <row r="940" spans="1:9" x14ac:dyDescent="0.15">
      <c r="A940" s="6">
        <v>939</v>
      </c>
      <c r="B940" s="7" t="s">
        <v>7</v>
      </c>
      <c r="C940" s="8">
        <v>1890</v>
      </c>
      <c r="D940" s="9">
        <v>45449</v>
      </c>
      <c r="E940" s="13">
        <f>+HYPERLINK("http://trademark.i-assist.jp/data/china/image_1890th/77143548.pdf",77143548)</f>
        <v>77143548</v>
      </c>
      <c r="F940" s="7" t="s">
        <v>2664</v>
      </c>
      <c r="G940" s="7" t="s">
        <v>2663</v>
      </c>
      <c r="H940" s="7" t="s">
        <v>2665</v>
      </c>
      <c r="I940" s="9">
        <v>45357</v>
      </c>
    </row>
    <row r="941" spans="1:9" x14ac:dyDescent="0.15">
      <c r="A941" s="6">
        <v>940</v>
      </c>
      <c r="B941" s="7" t="s">
        <v>7</v>
      </c>
      <c r="C941" s="8">
        <v>1890</v>
      </c>
      <c r="D941" s="9">
        <v>45449</v>
      </c>
      <c r="E941" s="13">
        <f>+HYPERLINK("http://trademark.i-assist.jp/data/china/image_1890th/77143689.pdf",77143689)</f>
        <v>77143689</v>
      </c>
      <c r="F941" s="7" t="s">
        <v>2667</v>
      </c>
      <c r="G941" s="7" t="s">
        <v>2666</v>
      </c>
      <c r="H941" s="7" t="s">
        <v>2668</v>
      </c>
      <c r="I941" s="9">
        <v>45357</v>
      </c>
    </row>
    <row r="942" spans="1:9" x14ac:dyDescent="0.15">
      <c r="A942" s="6">
        <v>941</v>
      </c>
      <c r="B942" s="7" t="s">
        <v>7</v>
      </c>
      <c r="C942" s="8">
        <v>1890</v>
      </c>
      <c r="D942" s="9">
        <v>45449</v>
      </c>
      <c r="E942" s="13">
        <f>+HYPERLINK("http://trademark.i-assist.jp/data/china/image_1890th/77193366.pdf",77193366)</f>
        <v>77193366</v>
      </c>
      <c r="F942" s="7" t="s">
        <v>2669</v>
      </c>
      <c r="G942" s="7" t="s">
        <v>12</v>
      </c>
      <c r="H942" s="7" t="s">
        <v>2670</v>
      </c>
      <c r="I942" s="9">
        <v>45359</v>
      </c>
    </row>
    <row r="943" spans="1:9" x14ac:dyDescent="0.15">
      <c r="A943" s="6">
        <v>942</v>
      </c>
      <c r="B943" s="7" t="s">
        <v>7</v>
      </c>
      <c r="C943" s="8">
        <v>1890</v>
      </c>
      <c r="D943" s="9">
        <v>45449</v>
      </c>
      <c r="E943" s="13">
        <f>+HYPERLINK("http://trademark.i-assist.jp/data/china/image_1890th/77193717.pdf",77193717)</f>
        <v>77193717</v>
      </c>
      <c r="F943" s="7" t="s">
        <v>2672</v>
      </c>
      <c r="G943" s="7" t="s">
        <v>2671</v>
      </c>
      <c r="H943" s="7" t="s">
        <v>2673</v>
      </c>
      <c r="I943" s="9">
        <v>45359</v>
      </c>
    </row>
    <row r="944" spans="1:9" x14ac:dyDescent="0.15">
      <c r="A944" s="6">
        <v>943</v>
      </c>
      <c r="B944" s="7" t="s">
        <v>7</v>
      </c>
      <c r="C944" s="8">
        <v>1890</v>
      </c>
      <c r="D944" s="9">
        <v>45449</v>
      </c>
      <c r="E944" s="13">
        <f>+HYPERLINK("http://trademark.i-assist.jp/data/china/image_1890th/77194194.pdf",77194194)</f>
        <v>77194194</v>
      </c>
      <c r="F944" s="7" t="s">
        <v>2675</v>
      </c>
      <c r="G944" s="7" t="s">
        <v>2674</v>
      </c>
      <c r="H944" s="7" t="s">
        <v>2676</v>
      </c>
      <c r="I944" s="9">
        <v>45359</v>
      </c>
    </row>
    <row r="945" spans="1:9" x14ac:dyDescent="0.15">
      <c r="A945" s="6">
        <v>944</v>
      </c>
      <c r="B945" s="7" t="s">
        <v>7</v>
      </c>
      <c r="C945" s="8">
        <v>1890</v>
      </c>
      <c r="D945" s="9">
        <v>45449</v>
      </c>
      <c r="E945" s="13">
        <f>+HYPERLINK("http://trademark.i-assist.jp/data/china/image_1890th/77194951.pdf",77194951)</f>
        <v>77194951</v>
      </c>
      <c r="F945" s="7" t="s">
        <v>2678</v>
      </c>
      <c r="G945" s="7" t="s">
        <v>2677</v>
      </c>
      <c r="H945" s="7" t="s">
        <v>2679</v>
      </c>
      <c r="I945" s="9">
        <v>45359</v>
      </c>
    </row>
    <row r="946" spans="1:9" x14ac:dyDescent="0.15">
      <c r="A946" s="6">
        <v>945</v>
      </c>
      <c r="B946" s="7" t="s">
        <v>7</v>
      </c>
      <c r="C946" s="8">
        <v>1890</v>
      </c>
      <c r="D946" s="9">
        <v>45449</v>
      </c>
      <c r="E946" s="13">
        <f>+HYPERLINK("http://trademark.i-assist.jp/data/china/image_1890th/77195390.pdf",77195390)</f>
        <v>77195390</v>
      </c>
      <c r="F946" s="7" t="s">
        <v>2681</v>
      </c>
      <c r="G946" s="7" t="s">
        <v>2680</v>
      </c>
      <c r="H946" s="7" t="s">
        <v>2682</v>
      </c>
      <c r="I946" s="9">
        <v>45361</v>
      </c>
    </row>
    <row r="947" spans="1:9" x14ac:dyDescent="0.15">
      <c r="A947" s="6">
        <v>946</v>
      </c>
      <c r="B947" s="7" t="s">
        <v>7</v>
      </c>
      <c r="C947" s="8">
        <v>1890</v>
      </c>
      <c r="D947" s="9">
        <v>45449</v>
      </c>
      <c r="E947" s="13">
        <f>+HYPERLINK("http://trademark.i-assist.jp/data/china/image_1890th/77195797.pdf",77195797)</f>
        <v>77195797</v>
      </c>
      <c r="F947" s="7" t="s">
        <v>2684</v>
      </c>
      <c r="G947" s="7" t="s">
        <v>2683</v>
      </c>
      <c r="H947" s="7" t="s">
        <v>2685</v>
      </c>
      <c r="I947" s="9">
        <v>45360</v>
      </c>
    </row>
    <row r="948" spans="1:9" x14ac:dyDescent="0.15">
      <c r="A948" s="6">
        <v>947</v>
      </c>
      <c r="B948" s="7" t="s">
        <v>7</v>
      </c>
      <c r="C948" s="8">
        <v>1890</v>
      </c>
      <c r="D948" s="9">
        <v>45449</v>
      </c>
      <c r="E948" s="13">
        <f>+HYPERLINK("http://trademark.i-assist.jp/data/china/image_1890th/77195910.pdf",77195910)</f>
        <v>77195910</v>
      </c>
      <c r="F948" s="7" t="s">
        <v>2686</v>
      </c>
      <c r="G948" s="7" t="s">
        <v>1830</v>
      </c>
      <c r="H948" s="7" t="s">
        <v>2687</v>
      </c>
      <c r="I948" s="9">
        <v>45359</v>
      </c>
    </row>
    <row r="949" spans="1:9" x14ac:dyDescent="0.15">
      <c r="A949" s="6">
        <v>948</v>
      </c>
      <c r="B949" s="7" t="s">
        <v>7</v>
      </c>
      <c r="C949" s="8">
        <v>1890</v>
      </c>
      <c r="D949" s="9">
        <v>45449</v>
      </c>
      <c r="E949" s="13">
        <f>+HYPERLINK("http://trademark.i-assist.jp/data/china/image_1890th/77195949.pdf",77195949)</f>
        <v>77195949</v>
      </c>
      <c r="F949" s="7" t="s">
        <v>2688</v>
      </c>
      <c r="G949" s="7" t="s">
        <v>1827</v>
      </c>
      <c r="H949" s="7" t="s">
        <v>2689</v>
      </c>
      <c r="I949" s="9">
        <v>45359</v>
      </c>
    </row>
    <row r="950" spans="1:9" x14ac:dyDescent="0.15">
      <c r="A950" s="6">
        <v>949</v>
      </c>
      <c r="B950" s="7" t="s">
        <v>7</v>
      </c>
      <c r="C950" s="8">
        <v>1890</v>
      </c>
      <c r="D950" s="9">
        <v>45449</v>
      </c>
      <c r="E950" s="13">
        <f>+HYPERLINK("http://trademark.i-assist.jp/data/china/image_1890th/77195959.pdf",77195959)</f>
        <v>77195959</v>
      </c>
      <c r="F950" s="7" t="s">
        <v>2690</v>
      </c>
      <c r="G950" s="7" t="s">
        <v>1827</v>
      </c>
      <c r="H950" s="7" t="s">
        <v>2691</v>
      </c>
      <c r="I950" s="9">
        <v>45359</v>
      </c>
    </row>
    <row r="951" spans="1:9" x14ac:dyDescent="0.15">
      <c r="A951" s="6">
        <v>950</v>
      </c>
      <c r="B951" s="7" t="s">
        <v>7</v>
      </c>
      <c r="C951" s="8">
        <v>1890</v>
      </c>
      <c r="D951" s="9">
        <v>45449</v>
      </c>
      <c r="E951" s="13">
        <f>+HYPERLINK("http://trademark.i-assist.jp/data/china/image_1890th/77196071.pdf",77196071)</f>
        <v>77196071</v>
      </c>
      <c r="F951" s="7" t="s">
        <v>2693</v>
      </c>
      <c r="G951" s="7" t="s">
        <v>2692</v>
      </c>
      <c r="H951" s="7" t="s">
        <v>2694</v>
      </c>
      <c r="I951" s="9">
        <v>45359</v>
      </c>
    </row>
    <row r="952" spans="1:9" ht="27" x14ac:dyDescent="0.15">
      <c r="A952" s="6">
        <v>951</v>
      </c>
      <c r="B952" s="7" t="s">
        <v>7</v>
      </c>
      <c r="C952" s="8">
        <v>1890</v>
      </c>
      <c r="D952" s="9">
        <v>45449</v>
      </c>
      <c r="E952" s="13">
        <f>+HYPERLINK("http://trademark.i-assist.jp/data/china/image_1890th/77196231.pdf",77196231)</f>
        <v>77196231</v>
      </c>
      <c r="F952" s="7" t="s">
        <v>2696</v>
      </c>
      <c r="G952" s="7" t="s">
        <v>2695</v>
      </c>
      <c r="H952" s="7" t="s">
        <v>2697</v>
      </c>
      <c r="I952" s="9">
        <v>45361</v>
      </c>
    </row>
    <row r="953" spans="1:9" ht="27" x14ac:dyDescent="0.15">
      <c r="A953" s="6">
        <v>952</v>
      </c>
      <c r="B953" s="7" t="s">
        <v>7</v>
      </c>
      <c r="C953" s="8">
        <v>1890</v>
      </c>
      <c r="D953" s="9">
        <v>45449</v>
      </c>
      <c r="E953" s="13">
        <f>+HYPERLINK("http://trademark.i-assist.jp/data/china/image_1890th/77196234.pdf",77196234)</f>
        <v>77196234</v>
      </c>
      <c r="F953" s="7" t="s">
        <v>2699</v>
      </c>
      <c r="G953" s="7" t="s">
        <v>2698</v>
      </c>
      <c r="H953" s="7" t="s">
        <v>2700</v>
      </c>
      <c r="I953" s="9">
        <v>45361</v>
      </c>
    </row>
    <row r="954" spans="1:9" x14ac:dyDescent="0.15">
      <c r="A954" s="6">
        <v>953</v>
      </c>
      <c r="B954" s="7" t="s">
        <v>7</v>
      </c>
      <c r="C954" s="8">
        <v>1890</v>
      </c>
      <c r="D954" s="9">
        <v>45449</v>
      </c>
      <c r="E954" s="13">
        <f>+HYPERLINK("http://trademark.i-assist.jp/data/china/image_1890th/77196543.pdf",77196543)</f>
        <v>77196543</v>
      </c>
      <c r="F954" s="7" t="s">
        <v>2702</v>
      </c>
      <c r="G954" s="7" t="s">
        <v>2701</v>
      </c>
      <c r="H954" s="7" t="s">
        <v>2703</v>
      </c>
      <c r="I954" s="9">
        <v>45359</v>
      </c>
    </row>
    <row r="955" spans="1:9" x14ac:dyDescent="0.15">
      <c r="A955" s="6">
        <v>954</v>
      </c>
      <c r="B955" s="7" t="s">
        <v>7</v>
      </c>
      <c r="C955" s="8">
        <v>1890</v>
      </c>
      <c r="D955" s="9">
        <v>45449</v>
      </c>
      <c r="E955" s="13">
        <f>+HYPERLINK("http://trademark.i-assist.jp/data/china/image_1890th/77196853.pdf",77196853)</f>
        <v>77196853</v>
      </c>
      <c r="F955" s="7" t="s">
        <v>2705</v>
      </c>
      <c r="G955" s="7" t="s">
        <v>2704</v>
      </c>
      <c r="H955" s="7" t="s">
        <v>2706</v>
      </c>
      <c r="I955" s="9">
        <v>45359</v>
      </c>
    </row>
    <row r="956" spans="1:9" x14ac:dyDescent="0.15">
      <c r="A956" s="6">
        <v>955</v>
      </c>
      <c r="B956" s="7" t="s">
        <v>7</v>
      </c>
      <c r="C956" s="8">
        <v>1890</v>
      </c>
      <c r="D956" s="9">
        <v>45449</v>
      </c>
      <c r="E956" s="13">
        <f>+HYPERLINK("http://trademark.i-assist.jp/data/china/image_1890th/77197176.pdf",77197176)</f>
        <v>77197176</v>
      </c>
      <c r="F956" s="7" t="s">
        <v>2708</v>
      </c>
      <c r="G956" s="7" t="s">
        <v>2707</v>
      </c>
      <c r="H956" s="7" t="s">
        <v>2709</v>
      </c>
      <c r="I956" s="9">
        <v>45359</v>
      </c>
    </row>
    <row r="957" spans="1:9" x14ac:dyDescent="0.15">
      <c r="A957" s="6">
        <v>956</v>
      </c>
      <c r="B957" s="7" t="s">
        <v>7</v>
      </c>
      <c r="C957" s="8">
        <v>1890</v>
      </c>
      <c r="D957" s="9">
        <v>45449</v>
      </c>
      <c r="E957" s="13">
        <f>+HYPERLINK("http://trademark.i-assist.jp/data/china/image_1890th/77197296.pdf",77197296)</f>
        <v>77197296</v>
      </c>
      <c r="F957" s="7" t="s">
        <v>2711</v>
      </c>
      <c r="G957" s="7" t="s">
        <v>2710</v>
      </c>
      <c r="H957" s="7" t="s">
        <v>2712</v>
      </c>
      <c r="I957" s="9">
        <v>45359</v>
      </c>
    </row>
    <row r="958" spans="1:9" ht="121.5" x14ac:dyDescent="0.15">
      <c r="A958" s="6">
        <v>957</v>
      </c>
      <c r="B958" s="7" t="s">
        <v>7</v>
      </c>
      <c r="C958" s="8">
        <v>1890</v>
      </c>
      <c r="D958" s="9">
        <v>45449</v>
      </c>
      <c r="E958" s="13" t="s">
        <v>11358</v>
      </c>
      <c r="F958" s="7" t="s">
        <v>2714</v>
      </c>
      <c r="G958" s="7" t="s">
        <v>2713</v>
      </c>
      <c r="H958" s="7" t="s">
        <v>2715</v>
      </c>
      <c r="I958" s="9">
        <v>45359</v>
      </c>
    </row>
    <row r="959" spans="1:9" x14ac:dyDescent="0.15">
      <c r="A959" s="6">
        <v>958</v>
      </c>
      <c r="B959" s="7" t="s">
        <v>7</v>
      </c>
      <c r="C959" s="8">
        <v>1890</v>
      </c>
      <c r="D959" s="9">
        <v>45449</v>
      </c>
      <c r="E959" s="13">
        <f>+HYPERLINK("http://trademark.i-assist.jp/data/china/image_1890th/77293579.pdf",77293579)</f>
        <v>77293579</v>
      </c>
      <c r="F959" s="7" t="s">
        <v>2717</v>
      </c>
      <c r="G959" s="7" t="s">
        <v>2716</v>
      </c>
      <c r="H959" s="7" t="s">
        <v>2718</v>
      </c>
      <c r="I959" s="9">
        <v>45365</v>
      </c>
    </row>
    <row r="960" spans="1:9" x14ac:dyDescent="0.15">
      <c r="A960" s="6">
        <v>959</v>
      </c>
      <c r="B960" s="7" t="s">
        <v>7</v>
      </c>
      <c r="C960" s="8">
        <v>1890</v>
      </c>
      <c r="D960" s="9">
        <v>45449</v>
      </c>
      <c r="E960" s="13">
        <f>+HYPERLINK("http://trademark.i-assist.jp/data/china/image_1890th/77293780.pdf",77293780)</f>
        <v>77293780</v>
      </c>
      <c r="F960" s="7" t="s">
        <v>2720</v>
      </c>
      <c r="G960" s="7" t="s">
        <v>2719</v>
      </c>
      <c r="H960" s="7" t="s">
        <v>2721</v>
      </c>
      <c r="I960" s="9">
        <v>45365</v>
      </c>
    </row>
    <row r="961" spans="1:9" x14ac:dyDescent="0.15">
      <c r="A961" s="6">
        <v>960</v>
      </c>
      <c r="B961" s="7" t="s">
        <v>7</v>
      </c>
      <c r="C961" s="8">
        <v>1890</v>
      </c>
      <c r="D961" s="9">
        <v>45449</v>
      </c>
      <c r="E961" s="13">
        <f>+HYPERLINK("http://trademark.i-assist.jp/data/china/image_1890th/77293798.pdf",77293798)</f>
        <v>77293798</v>
      </c>
      <c r="F961" s="7" t="s">
        <v>2723</v>
      </c>
      <c r="G961" s="7" t="s">
        <v>2722</v>
      </c>
      <c r="H961" s="7" t="s">
        <v>2724</v>
      </c>
      <c r="I961" s="9">
        <v>45365</v>
      </c>
    </row>
    <row r="962" spans="1:9" x14ac:dyDescent="0.15">
      <c r="A962" s="6">
        <v>961</v>
      </c>
      <c r="B962" s="7" t="s">
        <v>7</v>
      </c>
      <c r="C962" s="8">
        <v>1890</v>
      </c>
      <c r="D962" s="9">
        <v>45449</v>
      </c>
      <c r="E962" s="13">
        <f>+HYPERLINK("http://trademark.i-assist.jp/data/china/image_1890th/77293874.pdf",77293874)</f>
        <v>77293874</v>
      </c>
      <c r="F962" s="7" t="s">
        <v>2726</v>
      </c>
      <c r="G962" s="7" t="s">
        <v>2725</v>
      </c>
      <c r="H962" s="7" t="s">
        <v>2727</v>
      </c>
      <c r="I962" s="9">
        <v>45365</v>
      </c>
    </row>
    <row r="963" spans="1:9" x14ac:dyDescent="0.15">
      <c r="A963" s="6">
        <v>962</v>
      </c>
      <c r="B963" s="7" t="s">
        <v>7</v>
      </c>
      <c r="C963" s="8">
        <v>1890</v>
      </c>
      <c r="D963" s="9">
        <v>45449</v>
      </c>
      <c r="E963" s="13">
        <f>+HYPERLINK("http://trademark.i-assist.jp/data/china/image_1890th/77294203.pdf",77294203)</f>
        <v>77294203</v>
      </c>
      <c r="F963" s="7" t="s">
        <v>183</v>
      </c>
      <c r="G963" s="7" t="s">
        <v>2728</v>
      </c>
      <c r="H963" s="7" t="s">
        <v>2729</v>
      </c>
      <c r="I963" s="9">
        <v>45365</v>
      </c>
    </row>
    <row r="964" spans="1:9" x14ac:dyDescent="0.15">
      <c r="A964" s="6">
        <v>963</v>
      </c>
      <c r="B964" s="7" t="s">
        <v>7</v>
      </c>
      <c r="C964" s="8">
        <v>1890</v>
      </c>
      <c r="D964" s="9">
        <v>45449</v>
      </c>
      <c r="E964" s="13">
        <f>+HYPERLINK("http://trademark.i-assist.jp/data/china/image_1890th/77294244.pdf",77294244)</f>
        <v>77294244</v>
      </c>
      <c r="F964" s="7" t="s">
        <v>2731</v>
      </c>
      <c r="G964" s="7" t="s">
        <v>2730</v>
      </c>
      <c r="H964" s="7" t="s">
        <v>2732</v>
      </c>
      <c r="I964" s="9">
        <v>45365</v>
      </c>
    </row>
    <row r="965" spans="1:9" x14ac:dyDescent="0.15">
      <c r="A965" s="6">
        <v>964</v>
      </c>
      <c r="B965" s="7" t="s">
        <v>7</v>
      </c>
      <c r="C965" s="8">
        <v>1890</v>
      </c>
      <c r="D965" s="9">
        <v>45449</v>
      </c>
      <c r="E965" s="13">
        <f>+HYPERLINK("http://trademark.i-assist.jp/data/china/image_1890th/77294334.pdf",77294334)</f>
        <v>77294334</v>
      </c>
      <c r="F965" s="7" t="s">
        <v>2734</v>
      </c>
      <c r="G965" s="7" t="s">
        <v>2733</v>
      </c>
      <c r="H965" s="7" t="s">
        <v>2735</v>
      </c>
      <c r="I965" s="9">
        <v>45365</v>
      </c>
    </row>
    <row r="966" spans="1:9" x14ac:dyDescent="0.15">
      <c r="A966" s="6">
        <v>965</v>
      </c>
      <c r="B966" s="7" t="s">
        <v>7</v>
      </c>
      <c r="C966" s="8">
        <v>1890</v>
      </c>
      <c r="D966" s="9">
        <v>45449</v>
      </c>
      <c r="E966" s="13">
        <f>+HYPERLINK("http://trademark.i-assist.jp/data/china/image_1890th/77294362.pdf",77294362)</f>
        <v>77294362</v>
      </c>
      <c r="F966" s="7" t="s">
        <v>2737</v>
      </c>
      <c r="G966" s="7" t="s">
        <v>2736</v>
      </c>
      <c r="H966" s="7" t="s">
        <v>2738</v>
      </c>
      <c r="I966" s="9">
        <v>45365</v>
      </c>
    </row>
    <row r="967" spans="1:9" x14ac:dyDescent="0.15">
      <c r="A967" s="6">
        <v>966</v>
      </c>
      <c r="B967" s="7" t="s">
        <v>7</v>
      </c>
      <c r="C967" s="8">
        <v>1890</v>
      </c>
      <c r="D967" s="9">
        <v>45449</v>
      </c>
      <c r="E967" s="13">
        <f>+HYPERLINK("http://trademark.i-assist.jp/data/china/image_1890th/77294766.pdf",77294766)</f>
        <v>77294766</v>
      </c>
      <c r="F967" s="7" t="s">
        <v>2740</v>
      </c>
      <c r="G967" s="7" t="s">
        <v>2739</v>
      </c>
      <c r="H967" s="7" t="s">
        <v>2741</v>
      </c>
      <c r="I967" s="9">
        <v>45365</v>
      </c>
    </row>
    <row r="968" spans="1:9" x14ac:dyDescent="0.15">
      <c r="A968" s="6">
        <v>967</v>
      </c>
      <c r="B968" s="7" t="s">
        <v>7</v>
      </c>
      <c r="C968" s="8">
        <v>1890</v>
      </c>
      <c r="D968" s="9">
        <v>45449</v>
      </c>
      <c r="E968" s="13">
        <f>+HYPERLINK("http://trademark.i-assist.jp/data/china/image_1890th/77294849.pdf",77294849)</f>
        <v>77294849</v>
      </c>
      <c r="F968" s="7" t="s">
        <v>2743</v>
      </c>
      <c r="G968" s="7" t="s">
        <v>2742</v>
      </c>
      <c r="H968" s="7" t="s">
        <v>2744</v>
      </c>
      <c r="I968" s="9">
        <v>45365</v>
      </c>
    </row>
    <row r="969" spans="1:9" x14ac:dyDescent="0.15">
      <c r="A969" s="6">
        <v>968</v>
      </c>
      <c r="B969" s="7" t="s">
        <v>7</v>
      </c>
      <c r="C969" s="8">
        <v>1890</v>
      </c>
      <c r="D969" s="9">
        <v>45449</v>
      </c>
      <c r="E969" s="13">
        <f>+HYPERLINK("http://trademark.i-assist.jp/data/china/image_1890th/77294867.pdf",77294867)</f>
        <v>77294867</v>
      </c>
      <c r="F969" s="7" t="s">
        <v>2746</v>
      </c>
      <c r="G969" s="7" t="s">
        <v>2745</v>
      </c>
      <c r="H969" s="7" t="s">
        <v>2747</v>
      </c>
      <c r="I969" s="9">
        <v>45365</v>
      </c>
    </row>
    <row r="970" spans="1:9" ht="27" x14ac:dyDescent="0.15">
      <c r="A970" s="6">
        <v>969</v>
      </c>
      <c r="B970" s="7" t="s">
        <v>7</v>
      </c>
      <c r="C970" s="8">
        <v>1890</v>
      </c>
      <c r="D970" s="9">
        <v>45449</v>
      </c>
      <c r="E970" s="13">
        <f>+HYPERLINK("http://trademark.i-assist.jp/data/china/image_1890th/77295157.pdf",77295157)</f>
        <v>77295157</v>
      </c>
      <c r="F970" s="7" t="s">
        <v>2749</v>
      </c>
      <c r="G970" s="7" t="s">
        <v>2748</v>
      </c>
      <c r="H970" s="7" t="s">
        <v>2750</v>
      </c>
      <c r="I970" s="9">
        <v>45365</v>
      </c>
    </row>
    <row r="971" spans="1:9" ht="27" x14ac:dyDescent="0.15">
      <c r="A971" s="6">
        <v>970</v>
      </c>
      <c r="B971" s="7" t="s">
        <v>7</v>
      </c>
      <c r="C971" s="8">
        <v>1890</v>
      </c>
      <c r="D971" s="9">
        <v>45449</v>
      </c>
      <c r="E971" s="13">
        <f>+HYPERLINK("http://trademark.i-assist.jp/data/china/image_1890th/77295607.pdf",77295607)</f>
        <v>77295607</v>
      </c>
      <c r="F971" s="7" t="s">
        <v>2752</v>
      </c>
      <c r="G971" s="7" t="s">
        <v>2751</v>
      </c>
      <c r="H971" s="7" t="s">
        <v>2753</v>
      </c>
      <c r="I971" s="9">
        <v>45365</v>
      </c>
    </row>
    <row r="972" spans="1:9" x14ac:dyDescent="0.15">
      <c r="A972" s="6">
        <v>971</v>
      </c>
      <c r="B972" s="7" t="s">
        <v>7</v>
      </c>
      <c r="C972" s="8">
        <v>1890</v>
      </c>
      <c r="D972" s="9">
        <v>45449</v>
      </c>
      <c r="E972" s="13">
        <f>+HYPERLINK("http://trademark.i-assist.jp/data/china/image_1890th/77295847.pdf",77295847)</f>
        <v>77295847</v>
      </c>
      <c r="F972" s="7" t="s">
        <v>2755</v>
      </c>
      <c r="G972" s="7" t="s">
        <v>2754</v>
      </c>
      <c r="H972" s="7" t="s">
        <v>2756</v>
      </c>
      <c r="I972" s="9">
        <v>45365</v>
      </c>
    </row>
    <row r="973" spans="1:9" x14ac:dyDescent="0.15">
      <c r="A973" s="6">
        <v>972</v>
      </c>
      <c r="B973" s="7" t="s">
        <v>7</v>
      </c>
      <c r="C973" s="8">
        <v>1890</v>
      </c>
      <c r="D973" s="9">
        <v>45449</v>
      </c>
      <c r="E973" s="13">
        <f>+HYPERLINK("http://trademark.i-assist.jp/data/china/image_1890th/77296027.pdf",77296027)</f>
        <v>77296027</v>
      </c>
      <c r="F973" s="7" t="s">
        <v>2758</v>
      </c>
      <c r="G973" s="7" t="s">
        <v>2757</v>
      </c>
      <c r="H973" s="7" t="s">
        <v>2759</v>
      </c>
      <c r="I973" s="9">
        <v>45365</v>
      </c>
    </row>
    <row r="974" spans="1:9" x14ac:dyDescent="0.15">
      <c r="A974" s="6">
        <v>973</v>
      </c>
      <c r="B974" s="7" t="s">
        <v>7</v>
      </c>
      <c r="C974" s="8">
        <v>1890</v>
      </c>
      <c r="D974" s="9">
        <v>45449</v>
      </c>
      <c r="E974" s="13">
        <f>+HYPERLINK("http://trademark.i-assist.jp/data/china/image_1890th/77296283.pdf",77296283)</f>
        <v>77296283</v>
      </c>
      <c r="F974" s="7" t="s">
        <v>2761</v>
      </c>
      <c r="G974" s="7" t="s">
        <v>2760</v>
      </c>
      <c r="H974" s="7" t="s">
        <v>2762</v>
      </c>
      <c r="I974" s="9">
        <v>45365</v>
      </c>
    </row>
    <row r="975" spans="1:9" x14ac:dyDescent="0.15">
      <c r="A975" s="6">
        <v>974</v>
      </c>
      <c r="B975" s="7" t="s">
        <v>7</v>
      </c>
      <c r="C975" s="8">
        <v>1890</v>
      </c>
      <c r="D975" s="9">
        <v>45449</v>
      </c>
      <c r="E975" s="13">
        <f>+HYPERLINK("http://trademark.i-assist.jp/data/china/image_1890th/77296415.pdf",77296415)</f>
        <v>77296415</v>
      </c>
      <c r="F975" s="7" t="s">
        <v>2764</v>
      </c>
      <c r="G975" s="7" t="s">
        <v>2763</v>
      </c>
      <c r="H975" s="7" t="s">
        <v>2765</v>
      </c>
      <c r="I975" s="9">
        <v>45365</v>
      </c>
    </row>
    <row r="976" spans="1:9" x14ac:dyDescent="0.15">
      <c r="A976" s="6">
        <v>975</v>
      </c>
      <c r="B976" s="7" t="s">
        <v>7</v>
      </c>
      <c r="C976" s="8">
        <v>1890</v>
      </c>
      <c r="D976" s="9">
        <v>45449</v>
      </c>
      <c r="E976" s="13">
        <f>+HYPERLINK("http://trademark.i-assist.jp/data/china/image_1890th/77296555.pdf",77296555)</f>
        <v>77296555</v>
      </c>
      <c r="F976" s="7" t="s">
        <v>2767</v>
      </c>
      <c r="G976" s="7" t="s">
        <v>2766</v>
      </c>
      <c r="H976" s="7" t="s">
        <v>2768</v>
      </c>
      <c r="I976" s="9">
        <v>45365</v>
      </c>
    </row>
    <row r="977" spans="1:9" x14ac:dyDescent="0.15">
      <c r="A977" s="6">
        <v>976</v>
      </c>
      <c r="B977" s="7" t="s">
        <v>7</v>
      </c>
      <c r="C977" s="8">
        <v>1890</v>
      </c>
      <c r="D977" s="9">
        <v>45449</v>
      </c>
      <c r="E977" s="13">
        <f>+HYPERLINK("http://trademark.i-assist.jp/data/china/image_1890th/77296727.pdf",77296727)</f>
        <v>77296727</v>
      </c>
      <c r="F977" s="7" t="s">
        <v>183</v>
      </c>
      <c r="G977" s="7" t="s">
        <v>2769</v>
      </c>
      <c r="H977" s="7" t="s">
        <v>2770</v>
      </c>
      <c r="I977" s="9">
        <v>45365</v>
      </c>
    </row>
    <row r="978" spans="1:9" x14ac:dyDescent="0.15">
      <c r="A978" s="6">
        <v>977</v>
      </c>
      <c r="B978" s="7" t="s">
        <v>7</v>
      </c>
      <c r="C978" s="8">
        <v>1890</v>
      </c>
      <c r="D978" s="9">
        <v>45449</v>
      </c>
      <c r="E978" s="13">
        <f>+HYPERLINK("http://trademark.i-assist.jp/data/china/image_1890th/77297218.pdf",77297218)</f>
        <v>77297218</v>
      </c>
      <c r="F978" s="7" t="s">
        <v>2772</v>
      </c>
      <c r="G978" s="7" t="s">
        <v>2771</v>
      </c>
      <c r="H978" s="7" t="s">
        <v>2773</v>
      </c>
      <c r="I978" s="9">
        <v>45365</v>
      </c>
    </row>
    <row r="979" spans="1:9" x14ac:dyDescent="0.15">
      <c r="A979" s="6">
        <v>978</v>
      </c>
      <c r="B979" s="7" t="s">
        <v>7</v>
      </c>
      <c r="C979" s="8">
        <v>1890</v>
      </c>
      <c r="D979" s="9">
        <v>45449</v>
      </c>
      <c r="E979" s="13">
        <f>+HYPERLINK("http://trademark.i-assist.jp/data/china/image_1890th/77297566.pdf",77297566)</f>
        <v>77297566</v>
      </c>
      <c r="F979" s="7" t="s">
        <v>2775</v>
      </c>
      <c r="G979" s="7" t="s">
        <v>2774</v>
      </c>
      <c r="H979" s="7" t="s">
        <v>2776</v>
      </c>
      <c r="I979" s="9">
        <v>45365</v>
      </c>
    </row>
    <row r="980" spans="1:9" x14ac:dyDescent="0.15">
      <c r="A980" s="6">
        <v>979</v>
      </c>
      <c r="B980" s="7" t="s">
        <v>7</v>
      </c>
      <c r="C980" s="8">
        <v>1890</v>
      </c>
      <c r="D980" s="9">
        <v>45449</v>
      </c>
      <c r="E980" s="13">
        <f>+HYPERLINK("http://trademark.i-assist.jp/data/china/image_1890th/77297865.pdf",77297865)</f>
        <v>77297865</v>
      </c>
      <c r="F980" s="7" t="s">
        <v>2778</v>
      </c>
      <c r="G980" s="7" t="s">
        <v>2777</v>
      </c>
      <c r="H980" s="7" t="s">
        <v>2779</v>
      </c>
      <c r="I980" s="9">
        <v>45365</v>
      </c>
    </row>
    <row r="981" spans="1:9" x14ac:dyDescent="0.15">
      <c r="A981" s="6">
        <v>980</v>
      </c>
      <c r="B981" s="7" t="s">
        <v>7</v>
      </c>
      <c r="C981" s="8">
        <v>1890</v>
      </c>
      <c r="D981" s="9">
        <v>45449</v>
      </c>
      <c r="E981" s="13">
        <f>+HYPERLINK("http://trademark.i-assist.jp/data/china/image_1890th/77297869.pdf",77297869)</f>
        <v>77297869</v>
      </c>
      <c r="F981" s="7" t="s">
        <v>2781</v>
      </c>
      <c r="G981" s="7" t="s">
        <v>2780</v>
      </c>
      <c r="H981" s="7" t="s">
        <v>2782</v>
      </c>
      <c r="I981" s="9">
        <v>45365</v>
      </c>
    </row>
    <row r="982" spans="1:9" ht="27" x14ac:dyDescent="0.15">
      <c r="A982" s="6">
        <v>981</v>
      </c>
      <c r="B982" s="7" t="s">
        <v>7</v>
      </c>
      <c r="C982" s="8">
        <v>1890</v>
      </c>
      <c r="D982" s="9">
        <v>45449</v>
      </c>
      <c r="E982" s="13">
        <f>+HYPERLINK("http://trademark.i-assist.jp/data/china/image_1890th/77298035.pdf",77298035)</f>
        <v>77298035</v>
      </c>
      <c r="F982" s="7" t="s">
        <v>2784</v>
      </c>
      <c r="G982" s="7" t="s">
        <v>2783</v>
      </c>
      <c r="H982" s="7" t="s">
        <v>2785</v>
      </c>
      <c r="I982" s="9">
        <v>45365</v>
      </c>
    </row>
    <row r="983" spans="1:9" x14ac:dyDescent="0.15">
      <c r="A983" s="6">
        <v>982</v>
      </c>
      <c r="B983" s="7" t="s">
        <v>7</v>
      </c>
      <c r="C983" s="8">
        <v>1890</v>
      </c>
      <c r="D983" s="9">
        <v>45449</v>
      </c>
      <c r="E983" s="13">
        <f>+HYPERLINK("http://trademark.i-assist.jp/data/china/image_1890th/77298265.pdf",77298265)</f>
        <v>77298265</v>
      </c>
      <c r="F983" s="7" t="s">
        <v>2787</v>
      </c>
      <c r="G983" s="7" t="s">
        <v>2786</v>
      </c>
      <c r="H983" s="7" t="s">
        <v>2788</v>
      </c>
      <c r="I983" s="9">
        <v>45365</v>
      </c>
    </row>
    <row r="984" spans="1:9" x14ac:dyDescent="0.15">
      <c r="A984" s="6">
        <v>983</v>
      </c>
      <c r="B984" s="7" t="s">
        <v>7</v>
      </c>
      <c r="C984" s="8">
        <v>1890</v>
      </c>
      <c r="D984" s="9">
        <v>45449</v>
      </c>
      <c r="E984" s="13">
        <f>+HYPERLINK("http://trademark.i-assist.jp/data/china/image_1890th/77298611.pdf",77298611)</f>
        <v>77298611</v>
      </c>
      <c r="F984" s="7" t="s">
        <v>2790</v>
      </c>
      <c r="G984" s="7" t="s">
        <v>2789</v>
      </c>
      <c r="H984" s="7" t="s">
        <v>2791</v>
      </c>
      <c r="I984" s="9">
        <v>45365</v>
      </c>
    </row>
    <row r="985" spans="1:9" x14ac:dyDescent="0.15">
      <c r="A985" s="6">
        <v>984</v>
      </c>
      <c r="B985" s="7" t="s">
        <v>7</v>
      </c>
      <c r="C985" s="8">
        <v>1890</v>
      </c>
      <c r="D985" s="9">
        <v>45449</v>
      </c>
      <c r="E985" s="13">
        <f>+HYPERLINK("http://trademark.i-assist.jp/data/china/image_1890th/77298664.pdf",77298664)</f>
        <v>77298664</v>
      </c>
      <c r="F985" s="7" t="s">
        <v>2793</v>
      </c>
      <c r="G985" s="7" t="s">
        <v>2792</v>
      </c>
      <c r="H985" s="7" t="s">
        <v>2794</v>
      </c>
      <c r="I985" s="9">
        <v>45365</v>
      </c>
    </row>
    <row r="986" spans="1:9" x14ac:dyDescent="0.15">
      <c r="A986" s="6">
        <v>985</v>
      </c>
      <c r="B986" s="7" t="s">
        <v>7</v>
      </c>
      <c r="C986" s="8">
        <v>1890</v>
      </c>
      <c r="D986" s="9">
        <v>45449</v>
      </c>
      <c r="E986" s="13">
        <f>+HYPERLINK("http://trademark.i-assist.jp/data/china/image_1890th/77299682.pdf",77299682)</f>
        <v>77299682</v>
      </c>
      <c r="F986" s="7" t="s">
        <v>2795</v>
      </c>
      <c r="G986" s="7" t="s">
        <v>1980</v>
      </c>
      <c r="H986" s="7" t="s">
        <v>2796</v>
      </c>
      <c r="I986" s="9">
        <v>45365</v>
      </c>
    </row>
    <row r="987" spans="1:9" x14ac:dyDescent="0.15">
      <c r="A987" s="6">
        <v>986</v>
      </c>
      <c r="B987" s="7" t="s">
        <v>7</v>
      </c>
      <c r="C987" s="8">
        <v>1890</v>
      </c>
      <c r="D987" s="9">
        <v>45449</v>
      </c>
      <c r="E987" s="13">
        <f>+HYPERLINK("http://trademark.i-assist.jp/data/china/image_1890th/77299734.pdf",77299734)</f>
        <v>77299734</v>
      </c>
      <c r="F987" s="7" t="s">
        <v>2797</v>
      </c>
      <c r="G987" s="7" t="s">
        <v>2742</v>
      </c>
      <c r="H987" s="7" t="s">
        <v>2798</v>
      </c>
      <c r="I987" s="9">
        <v>45365</v>
      </c>
    </row>
    <row r="988" spans="1:9" x14ac:dyDescent="0.15">
      <c r="A988" s="6">
        <v>987</v>
      </c>
      <c r="B988" s="7" t="s">
        <v>7</v>
      </c>
      <c r="C988" s="8">
        <v>1890</v>
      </c>
      <c r="D988" s="9">
        <v>45449</v>
      </c>
      <c r="E988" s="13">
        <f>+HYPERLINK("http://trademark.i-assist.jp/data/china/image_1890th/76940671.pdf",76940671)</f>
        <v>76940671</v>
      </c>
      <c r="F988" s="7" t="s">
        <v>2800</v>
      </c>
      <c r="G988" s="7" t="s">
        <v>2799</v>
      </c>
      <c r="H988" s="7" t="s">
        <v>2801</v>
      </c>
      <c r="I988" s="9">
        <v>45346</v>
      </c>
    </row>
    <row r="989" spans="1:9" x14ac:dyDescent="0.15">
      <c r="A989" s="6">
        <v>988</v>
      </c>
      <c r="B989" s="7" t="s">
        <v>7</v>
      </c>
      <c r="C989" s="8">
        <v>1890</v>
      </c>
      <c r="D989" s="9">
        <v>45449</v>
      </c>
      <c r="E989" s="13">
        <f>+HYPERLINK("http://trademark.i-assist.jp/data/china/image_1890th/76944374.pdf",76944374)</f>
        <v>76944374</v>
      </c>
      <c r="F989" s="7" t="s">
        <v>2803</v>
      </c>
      <c r="G989" s="7" t="s">
        <v>2802</v>
      </c>
      <c r="H989" s="7" t="s">
        <v>2804</v>
      </c>
      <c r="I989" s="9">
        <v>45346</v>
      </c>
    </row>
    <row r="990" spans="1:9" x14ac:dyDescent="0.15">
      <c r="A990" s="6">
        <v>989</v>
      </c>
      <c r="B990" s="7" t="s">
        <v>7</v>
      </c>
      <c r="C990" s="8">
        <v>1890</v>
      </c>
      <c r="D990" s="9">
        <v>45449</v>
      </c>
      <c r="E990" s="13">
        <f>+HYPERLINK("http://trademark.i-assist.jp/data/china/image_1890th/76945086.pdf",76945086)</f>
        <v>76945086</v>
      </c>
      <c r="F990" s="7" t="s">
        <v>2806</v>
      </c>
      <c r="G990" s="7" t="s">
        <v>2805</v>
      </c>
      <c r="H990" s="7" t="s">
        <v>2807</v>
      </c>
      <c r="I990" s="9">
        <v>45347</v>
      </c>
    </row>
    <row r="991" spans="1:9" x14ac:dyDescent="0.15">
      <c r="A991" s="6">
        <v>990</v>
      </c>
      <c r="B991" s="7" t="s">
        <v>7</v>
      </c>
      <c r="C991" s="8">
        <v>1890</v>
      </c>
      <c r="D991" s="9">
        <v>45449</v>
      </c>
      <c r="E991" s="13">
        <f>+HYPERLINK("http://trademark.i-assist.jp/data/china/image_1890th/76945287.pdf",76945287)</f>
        <v>76945287</v>
      </c>
      <c r="F991" s="7" t="s">
        <v>2809</v>
      </c>
      <c r="G991" s="7" t="s">
        <v>2808</v>
      </c>
      <c r="H991" s="7" t="s">
        <v>2810</v>
      </c>
      <c r="I991" s="9">
        <v>45347</v>
      </c>
    </row>
    <row r="992" spans="1:9" x14ac:dyDescent="0.15">
      <c r="A992" s="6">
        <v>991</v>
      </c>
      <c r="B992" s="7" t="s">
        <v>7</v>
      </c>
      <c r="C992" s="8">
        <v>1890</v>
      </c>
      <c r="D992" s="9">
        <v>45449</v>
      </c>
      <c r="E992" s="13">
        <f>+HYPERLINK("http://trademark.i-assist.jp/data/china/image_1890th/76945667.pdf",76945667)</f>
        <v>76945667</v>
      </c>
      <c r="F992" s="7" t="s">
        <v>2811</v>
      </c>
      <c r="G992" s="7" t="s">
        <v>2805</v>
      </c>
      <c r="H992" s="7" t="s">
        <v>2812</v>
      </c>
      <c r="I992" s="9">
        <v>45347</v>
      </c>
    </row>
    <row r="993" spans="1:9" x14ac:dyDescent="0.15">
      <c r="A993" s="6">
        <v>992</v>
      </c>
      <c r="B993" s="7" t="s">
        <v>7</v>
      </c>
      <c r="C993" s="8">
        <v>1890</v>
      </c>
      <c r="D993" s="9">
        <v>45449</v>
      </c>
      <c r="E993" s="13">
        <f>+HYPERLINK("http://trademark.i-assist.jp/data/china/image_1890th/76945776.pdf",76945776)</f>
        <v>76945776</v>
      </c>
      <c r="F993" s="7" t="s">
        <v>2813</v>
      </c>
      <c r="G993" s="7" t="s">
        <v>16</v>
      </c>
      <c r="H993" s="7" t="s">
        <v>2814</v>
      </c>
      <c r="I993" s="9">
        <v>45347</v>
      </c>
    </row>
    <row r="994" spans="1:9" ht="27" x14ac:dyDescent="0.15">
      <c r="A994" s="6">
        <v>993</v>
      </c>
      <c r="B994" s="7" t="s">
        <v>7</v>
      </c>
      <c r="C994" s="8">
        <v>1890</v>
      </c>
      <c r="D994" s="9">
        <v>45449</v>
      </c>
      <c r="E994" s="13">
        <f>+HYPERLINK("http://trademark.i-assist.jp/data/china/image_1890th/76946165.pdf",76946165)</f>
        <v>76946165</v>
      </c>
      <c r="F994" s="7" t="s">
        <v>2816</v>
      </c>
      <c r="G994" s="7" t="s">
        <v>2815</v>
      </c>
      <c r="H994" s="7" t="s">
        <v>2817</v>
      </c>
      <c r="I994" s="9">
        <v>45347</v>
      </c>
    </row>
    <row r="995" spans="1:9" x14ac:dyDescent="0.15">
      <c r="A995" s="6">
        <v>994</v>
      </c>
      <c r="B995" s="7" t="s">
        <v>7</v>
      </c>
      <c r="C995" s="8">
        <v>1890</v>
      </c>
      <c r="D995" s="9">
        <v>45449</v>
      </c>
      <c r="E995" s="13">
        <f>+HYPERLINK("http://trademark.i-assist.jp/data/china/image_1890th/76946719.pdf",76946719)</f>
        <v>76946719</v>
      </c>
      <c r="F995" s="7" t="s">
        <v>2819</v>
      </c>
      <c r="G995" s="7" t="s">
        <v>2818</v>
      </c>
      <c r="H995" s="7" t="s">
        <v>2820</v>
      </c>
      <c r="I995" s="9">
        <v>45347</v>
      </c>
    </row>
    <row r="996" spans="1:9" x14ac:dyDescent="0.15">
      <c r="A996" s="6">
        <v>995</v>
      </c>
      <c r="B996" s="7" t="s">
        <v>7</v>
      </c>
      <c r="C996" s="8">
        <v>1890</v>
      </c>
      <c r="D996" s="9">
        <v>45449</v>
      </c>
      <c r="E996" s="13">
        <f>+HYPERLINK("http://trademark.i-assist.jp/data/china/image_1890th/76947419.pdf",76947419)</f>
        <v>76947419</v>
      </c>
      <c r="F996" s="7" t="s">
        <v>2822</v>
      </c>
      <c r="G996" s="7" t="s">
        <v>2821</v>
      </c>
      <c r="H996" s="7" t="s">
        <v>2823</v>
      </c>
      <c r="I996" s="9">
        <v>45347</v>
      </c>
    </row>
    <row r="997" spans="1:9" x14ac:dyDescent="0.15">
      <c r="A997" s="6">
        <v>996</v>
      </c>
      <c r="B997" s="7" t="s">
        <v>7</v>
      </c>
      <c r="C997" s="8">
        <v>1890</v>
      </c>
      <c r="D997" s="9">
        <v>45449</v>
      </c>
      <c r="E997" s="13">
        <f>+HYPERLINK("http://trademark.i-assist.jp/data/china/image_1890th/76948248.pdf",76948248)</f>
        <v>76948248</v>
      </c>
      <c r="F997" s="7" t="s">
        <v>2825</v>
      </c>
      <c r="G997" s="7" t="s">
        <v>2824</v>
      </c>
      <c r="H997" s="7" t="s">
        <v>2826</v>
      </c>
      <c r="I997" s="9">
        <v>45348</v>
      </c>
    </row>
    <row r="998" spans="1:9" ht="27" x14ac:dyDescent="0.15">
      <c r="A998" s="6">
        <v>997</v>
      </c>
      <c r="B998" s="7" t="s">
        <v>7</v>
      </c>
      <c r="C998" s="8">
        <v>1890</v>
      </c>
      <c r="D998" s="9">
        <v>45449</v>
      </c>
      <c r="E998" s="13">
        <f>+HYPERLINK("http://trademark.i-assist.jp/data/china/image_1890th/76949374.pdf",76949374)</f>
        <v>76949374</v>
      </c>
      <c r="F998" s="7" t="s">
        <v>2827</v>
      </c>
      <c r="G998" s="7" t="s">
        <v>18</v>
      </c>
      <c r="H998" s="7" t="s">
        <v>2828</v>
      </c>
      <c r="I998" s="9">
        <v>45348</v>
      </c>
    </row>
    <row r="999" spans="1:9" x14ac:dyDescent="0.15">
      <c r="A999" s="6">
        <v>998</v>
      </c>
      <c r="B999" s="7" t="s">
        <v>7</v>
      </c>
      <c r="C999" s="8">
        <v>1890</v>
      </c>
      <c r="D999" s="9">
        <v>45449</v>
      </c>
      <c r="E999" s="13">
        <f>+HYPERLINK("http://trademark.i-assist.jp/data/china/image_1890th/76950030.pdf",76950030)</f>
        <v>76950030</v>
      </c>
      <c r="F999" s="7" t="s">
        <v>2830</v>
      </c>
      <c r="G999" s="7" t="s">
        <v>2829</v>
      </c>
      <c r="H999" s="7" t="s">
        <v>2831</v>
      </c>
      <c r="I999" s="9">
        <v>45348</v>
      </c>
    </row>
    <row r="1000" spans="1:9" x14ac:dyDescent="0.15">
      <c r="A1000" s="6">
        <v>999</v>
      </c>
      <c r="B1000" s="7" t="s">
        <v>7</v>
      </c>
      <c r="C1000" s="8">
        <v>1890</v>
      </c>
      <c r="D1000" s="9">
        <v>45449</v>
      </c>
      <c r="E1000" s="13">
        <f>+HYPERLINK("http://trademark.i-assist.jp/data/china/image_1890th/76950860.pdf",76950860)</f>
        <v>76950860</v>
      </c>
      <c r="F1000" s="7" t="s">
        <v>2833</v>
      </c>
      <c r="G1000" s="7" t="s">
        <v>2832</v>
      </c>
      <c r="H1000" s="7" t="s">
        <v>2834</v>
      </c>
      <c r="I1000" s="9">
        <v>45348</v>
      </c>
    </row>
    <row r="1001" spans="1:9" x14ac:dyDescent="0.15">
      <c r="A1001" s="6">
        <v>1000</v>
      </c>
      <c r="B1001" s="7" t="s">
        <v>7</v>
      </c>
      <c r="C1001" s="8">
        <v>1890</v>
      </c>
      <c r="D1001" s="9">
        <v>45449</v>
      </c>
      <c r="E1001" s="13">
        <f>+HYPERLINK("http://trademark.i-assist.jp/data/china/image_1890th/76951021.pdf",76951021)</f>
        <v>76951021</v>
      </c>
      <c r="F1001" s="7" t="s">
        <v>183</v>
      </c>
      <c r="G1001" s="7" t="s">
        <v>2835</v>
      </c>
      <c r="H1001" s="7" t="s">
        <v>2836</v>
      </c>
      <c r="I1001" s="9">
        <v>45348</v>
      </c>
    </row>
    <row r="1002" spans="1:9" x14ac:dyDescent="0.15">
      <c r="A1002" s="6">
        <v>1001</v>
      </c>
      <c r="B1002" s="7" t="s">
        <v>7</v>
      </c>
      <c r="C1002" s="8">
        <v>1890</v>
      </c>
      <c r="D1002" s="9">
        <v>45449</v>
      </c>
      <c r="E1002" s="13">
        <f>+HYPERLINK("http://trademark.i-assist.jp/data/china/image_1890th/76951227.pdf",76951227)</f>
        <v>76951227</v>
      </c>
      <c r="F1002" s="7" t="s">
        <v>2838</v>
      </c>
      <c r="G1002" s="7" t="s">
        <v>2837</v>
      </c>
      <c r="H1002" s="7" t="s">
        <v>2839</v>
      </c>
      <c r="I1002" s="9">
        <v>45348</v>
      </c>
    </row>
    <row r="1003" spans="1:9" x14ac:dyDescent="0.15">
      <c r="A1003" s="6">
        <v>1002</v>
      </c>
      <c r="B1003" s="7" t="s">
        <v>7</v>
      </c>
      <c r="C1003" s="8">
        <v>1890</v>
      </c>
      <c r="D1003" s="9">
        <v>45449</v>
      </c>
      <c r="E1003" s="13">
        <f>+HYPERLINK("http://trademark.i-assist.jp/data/china/image_1890th/76951457.pdf",76951457)</f>
        <v>76951457</v>
      </c>
      <c r="F1003" s="7" t="s">
        <v>2841</v>
      </c>
      <c r="G1003" s="7" t="s">
        <v>2840</v>
      </c>
      <c r="H1003" s="7" t="s">
        <v>2842</v>
      </c>
      <c r="I1003" s="9">
        <v>45348</v>
      </c>
    </row>
    <row r="1004" spans="1:9" ht="27" x14ac:dyDescent="0.15">
      <c r="A1004" s="6">
        <v>1003</v>
      </c>
      <c r="B1004" s="7" t="s">
        <v>7</v>
      </c>
      <c r="C1004" s="8">
        <v>1890</v>
      </c>
      <c r="D1004" s="9">
        <v>45449</v>
      </c>
      <c r="E1004" s="13">
        <f>+HYPERLINK("http://trademark.i-assist.jp/data/china/image_1890th/76951956.pdf",76951956)</f>
        <v>76951956</v>
      </c>
      <c r="F1004" s="7" t="s">
        <v>2844</v>
      </c>
      <c r="G1004" s="7" t="s">
        <v>2843</v>
      </c>
      <c r="H1004" s="7" t="s">
        <v>2845</v>
      </c>
      <c r="I1004" s="9">
        <v>45348</v>
      </c>
    </row>
    <row r="1005" spans="1:9" x14ac:dyDescent="0.15">
      <c r="A1005" s="6">
        <v>1004</v>
      </c>
      <c r="B1005" s="7" t="s">
        <v>7</v>
      </c>
      <c r="C1005" s="8">
        <v>1890</v>
      </c>
      <c r="D1005" s="9">
        <v>45449</v>
      </c>
      <c r="E1005" s="13">
        <f>+HYPERLINK("http://trademark.i-assist.jp/data/china/image_1890th/76955319.pdf",76955319)</f>
        <v>76955319</v>
      </c>
      <c r="F1005" s="7" t="s">
        <v>2846</v>
      </c>
      <c r="G1005" s="7" t="s">
        <v>2829</v>
      </c>
      <c r="H1005" s="7" t="s">
        <v>2847</v>
      </c>
      <c r="I1005" s="9">
        <v>45348</v>
      </c>
    </row>
    <row r="1006" spans="1:9" x14ac:dyDescent="0.15">
      <c r="A1006" s="6">
        <v>1005</v>
      </c>
      <c r="B1006" s="7" t="s">
        <v>7</v>
      </c>
      <c r="C1006" s="8">
        <v>1890</v>
      </c>
      <c r="D1006" s="9">
        <v>45449</v>
      </c>
      <c r="E1006" s="13">
        <f>+HYPERLINK("http://trademark.i-assist.jp/data/china/image_1890th/76955633.pdf",76955633)</f>
        <v>76955633</v>
      </c>
      <c r="F1006" s="7" t="s">
        <v>2849</v>
      </c>
      <c r="G1006" s="7" t="s">
        <v>2848</v>
      </c>
      <c r="H1006" s="7" t="s">
        <v>2850</v>
      </c>
      <c r="I1006" s="9">
        <v>45348</v>
      </c>
    </row>
    <row r="1007" spans="1:9" x14ac:dyDescent="0.15">
      <c r="A1007" s="6">
        <v>1006</v>
      </c>
      <c r="B1007" s="7" t="s">
        <v>7</v>
      </c>
      <c r="C1007" s="8">
        <v>1890</v>
      </c>
      <c r="D1007" s="9">
        <v>45449</v>
      </c>
      <c r="E1007" s="13">
        <f>+HYPERLINK("http://trademark.i-assist.jp/data/china/image_1890th/76956602.pdf",76956602)</f>
        <v>76956602</v>
      </c>
      <c r="F1007" s="7" t="s">
        <v>2852</v>
      </c>
      <c r="G1007" s="7" t="s">
        <v>2851</v>
      </c>
      <c r="H1007" s="7" t="s">
        <v>2853</v>
      </c>
      <c r="I1007" s="9">
        <v>45348</v>
      </c>
    </row>
    <row r="1008" spans="1:9" x14ac:dyDescent="0.15">
      <c r="A1008" s="6">
        <v>1007</v>
      </c>
      <c r="B1008" s="7" t="s">
        <v>7</v>
      </c>
      <c r="C1008" s="8">
        <v>1890</v>
      </c>
      <c r="D1008" s="9">
        <v>45449</v>
      </c>
      <c r="E1008" s="13">
        <f>+HYPERLINK("http://trademark.i-assist.jp/data/china/image_1890th/76958031.pdf",76958031)</f>
        <v>76958031</v>
      </c>
      <c r="F1008" s="7" t="s">
        <v>2855</v>
      </c>
      <c r="G1008" s="7" t="s">
        <v>2854</v>
      </c>
      <c r="H1008" s="7" t="s">
        <v>2856</v>
      </c>
      <c r="I1008" s="9">
        <v>45348</v>
      </c>
    </row>
    <row r="1009" spans="1:9" x14ac:dyDescent="0.15">
      <c r="A1009" s="6">
        <v>1008</v>
      </c>
      <c r="B1009" s="7" t="s">
        <v>7</v>
      </c>
      <c r="C1009" s="8">
        <v>1890</v>
      </c>
      <c r="D1009" s="9">
        <v>45449</v>
      </c>
      <c r="E1009" s="13">
        <f>+HYPERLINK("http://trademark.i-assist.jp/data/china/image_1890th/76958792.pdf",76958792)</f>
        <v>76958792</v>
      </c>
      <c r="F1009" s="7" t="s">
        <v>2858</v>
      </c>
      <c r="G1009" s="7" t="s">
        <v>2857</v>
      </c>
      <c r="H1009" s="7" t="s">
        <v>2859</v>
      </c>
      <c r="I1009" s="9">
        <v>45348</v>
      </c>
    </row>
    <row r="1010" spans="1:9" ht="27" x14ac:dyDescent="0.15">
      <c r="A1010" s="6">
        <v>1009</v>
      </c>
      <c r="B1010" s="7" t="s">
        <v>7</v>
      </c>
      <c r="C1010" s="8">
        <v>1890</v>
      </c>
      <c r="D1010" s="9">
        <v>45449</v>
      </c>
      <c r="E1010" s="13">
        <f>+HYPERLINK("http://trademark.i-assist.jp/data/china/image_1890th/76959274.pdf",76959274)</f>
        <v>76959274</v>
      </c>
      <c r="F1010" s="7" t="s">
        <v>2861</v>
      </c>
      <c r="G1010" s="7" t="s">
        <v>2860</v>
      </c>
      <c r="H1010" s="7" t="s">
        <v>2862</v>
      </c>
      <c r="I1010" s="9">
        <v>45348</v>
      </c>
    </row>
    <row r="1011" spans="1:9" x14ac:dyDescent="0.15">
      <c r="A1011" s="6">
        <v>1010</v>
      </c>
      <c r="B1011" s="7" t="s">
        <v>7</v>
      </c>
      <c r="C1011" s="8">
        <v>1890</v>
      </c>
      <c r="D1011" s="9">
        <v>45449</v>
      </c>
      <c r="E1011" s="13">
        <f>+HYPERLINK("http://trademark.i-assist.jp/data/china/image_1890th/76960270.pdf",76960270)</f>
        <v>76960270</v>
      </c>
      <c r="F1011" s="7" t="s">
        <v>2864</v>
      </c>
      <c r="G1011" s="7" t="s">
        <v>2863</v>
      </c>
      <c r="H1011" s="7" t="s">
        <v>2865</v>
      </c>
      <c r="I1011" s="9">
        <v>45348</v>
      </c>
    </row>
    <row r="1012" spans="1:9" x14ac:dyDescent="0.15">
      <c r="A1012" s="6">
        <v>1011</v>
      </c>
      <c r="B1012" s="7" t="s">
        <v>7</v>
      </c>
      <c r="C1012" s="8">
        <v>1890</v>
      </c>
      <c r="D1012" s="9">
        <v>45449</v>
      </c>
      <c r="E1012" s="13">
        <f>+HYPERLINK("http://trademark.i-assist.jp/data/china/image_1890th/76960443.pdf",76960443)</f>
        <v>76960443</v>
      </c>
      <c r="F1012" s="7" t="s">
        <v>2867</v>
      </c>
      <c r="G1012" s="7" t="s">
        <v>2866</v>
      </c>
      <c r="H1012" s="7" t="s">
        <v>2868</v>
      </c>
      <c r="I1012" s="9">
        <v>45348</v>
      </c>
    </row>
    <row r="1013" spans="1:9" x14ac:dyDescent="0.15">
      <c r="A1013" s="6">
        <v>1012</v>
      </c>
      <c r="B1013" s="7" t="s">
        <v>7</v>
      </c>
      <c r="C1013" s="8">
        <v>1890</v>
      </c>
      <c r="D1013" s="9">
        <v>45449</v>
      </c>
      <c r="E1013" s="13">
        <f>+HYPERLINK("http://trademark.i-assist.jp/data/china/image_1890th/76961000.pdf",76961000)</f>
        <v>76961000</v>
      </c>
      <c r="F1013" s="7" t="s">
        <v>2870</v>
      </c>
      <c r="G1013" s="7" t="s">
        <v>2869</v>
      </c>
      <c r="H1013" s="7" t="s">
        <v>2871</v>
      </c>
      <c r="I1013" s="9">
        <v>45348</v>
      </c>
    </row>
    <row r="1014" spans="1:9" ht="27" x14ac:dyDescent="0.15">
      <c r="A1014" s="6">
        <v>1013</v>
      </c>
      <c r="B1014" s="7" t="s">
        <v>7</v>
      </c>
      <c r="C1014" s="8">
        <v>1890</v>
      </c>
      <c r="D1014" s="9">
        <v>45449</v>
      </c>
      <c r="E1014" s="13">
        <f>+HYPERLINK("http://trademark.i-assist.jp/data/china/image_1890th/76961265.pdf",76961265)</f>
        <v>76961265</v>
      </c>
      <c r="F1014" s="7" t="s">
        <v>2873</v>
      </c>
      <c r="G1014" s="7" t="s">
        <v>2872</v>
      </c>
      <c r="H1014" s="7" t="s">
        <v>2874</v>
      </c>
      <c r="I1014" s="9">
        <v>45348</v>
      </c>
    </row>
    <row r="1015" spans="1:9" x14ac:dyDescent="0.15">
      <c r="A1015" s="6">
        <v>1014</v>
      </c>
      <c r="B1015" s="7" t="s">
        <v>7</v>
      </c>
      <c r="C1015" s="8">
        <v>1890</v>
      </c>
      <c r="D1015" s="9">
        <v>45449</v>
      </c>
      <c r="E1015" s="13">
        <f>+HYPERLINK("http://trademark.i-assist.jp/data/china/image_1890th/76961410.pdf",76961410)</f>
        <v>76961410</v>
      </c>
      <c r="F1015" s="7" t="s">
        <v>2876</v>
      </c>
      <c r="G1015" s="7" t="s">
        <v>2875</v>
      </c>
      <c r="H1015" s="7" t="s">
        <v>2877</v>
      </c>
      <c r="I1015" s="9">
        <v>45348</v>
      </c>
    </row>
    <row r="1016" spans="1:9" x14ac:dyDescent="0.15">
      <c r="A1016" s="6">
        <v>1015</v>
      </c>
      <c r="B1016" s="7" t="s">
        <v>7</v>
      </c>
      <c r="C1016" s="8">
        <v>1890</v>
      </c>
      <c r="D1016" s="9">
        <v>45449</v>
      </c>
      <c r="E1016" s="13">
        <f>+HYPERLINK("http://trademark.i-assist.jp/data/china/image_1890th/76961717.pdf",76961717)</f>
        <v>76961717</v>
      </c>
      <c r="F1016" s="7" t="s">
        <v>2879</v>
      </c>
      <c r="G1016" s="7" t="s">
        <v>2878</v>
      </c>
      <c r="H1016" s="7" t="s">
        <v>2880</v>
      </c>
      <c r="I1016" s="9">
        <v>45348</v>
      </c>
    </row>
    <row r="1017" spans="1:9" x14ac:dyDescent="0.15">
      <c r="A1017" s="6">
        <v>1016</v>
      </c>
      <c r="B1017" s="7" t="s">
        <v>7</v>
      </c>
      <c r="C1017" s="8">
        <v>1890</v>
      </c>
      <c r="D1017" s="9">
        <v>45449</v>
      </c>
      <c r="E1017" s="13">
        <f>+HYPERLINK("http://trademark.i-assist.jp/data/china/image_1890th/76961845.pdf",76961845)</f>
        <v>76961845</v>
      </c>
      <c r="F1017" s="7" t="s">
        <v>2882</v>
      </c>
      <c r="G1017" s="7" t="s">
        <v>2881</v>
      </c>
      <c r="H1017" s="7" t="s">
        <v>2883</v>
      </c>
      <c r="I1017" s="9">
        <v>45348</v>
      </c>
    </row>
    <row r="1018" spans="1:9" x14ac:dyDescent="0.15">
      <c r="A1018" s="6">
        <v>1017</v>
      </c>
      <c r="B1018" s="7" t="s">
        <v>7</v>
      </c>
      <c r="C1018" s="8">
        <v>1890</v>
      </c>
      <c r="D1018" s="9">
        <v>45449</v>
      </c>
      <c r="E1018" s="13">
        <f>+HYPERLINK("http://trademark.i-assist.jp/data/china/image_1890th/76961897.pdf",76961897)</f>
        <v>76961897</v>
      </c>
      <c r="F1018" s="7" t="s">
        <v>2885</v>
      </c>
      <c r="G1018" s="7" t="s">
        <v>2884</v>
      </c>
      <c r="H1018" s="7" t="s">
        <v>2886</v>
      </c>
      <c r="I1018" s="9">
        <v>45348</v>
      </c>
    </row>
    <row r="1019" spans="1:9" x14ac:dyDescent="0.15">
      <c r="A1019" s="6">
        <v>1018</v>
      </c>
      <c r="B1019" s="7" t="s">
        <v>7</v>
      </c>
      <c r="C1019" s="8">
        <v>1890</v>
      </c>
      <c r="D1019" s="9">
        <v>45449</v>
      </c>
      <c r="E1019" s="13">
        <f>+HYPERLINK("http://trademark.i-assist.jp/data/china/image_1890th/76962054.pdf",76962054)</f>
        <v>76962054</v>
      </c>
      <c r="F1019" s="7" t="s">
        <v>2888</v>
      </c>
      <c r="G1019" s="7" t="s">
        <v>2887</v>
      </c>
      <c r="H1019" s="7" t="s">
        <v>2889</v>
      </c>
      <c r="I1019" s="9">
        <v>45348</v>
      </c>
    </row>
    <row r="1020" spans="1:9" x14ac:dyDescent="0.15">
      <c r="A1020" s="6">
        <v>1019</v>
      </c>
      <c r="B1020" s="7" t="s">
        <v>7</v>
      </c>
      <c r="C1020" s="8">
        <v>1890</v>
      </c>
      <c r="D1020" s="9">
        <v>45449</v>
      </c>
      <c r="E1020" s="13">
        <f>+HYPERLINK("http://trademark.i-assist.jp/data/china/image_1890th/76962184.pdf",76962184)</f>
        <v>76962184</v>
      </c>
      <c r="F1020" s="7" t="s">
        <v>2891</v>
      </c>
      <c r="G1020" s="7" t="s">
        <v>2890</v>
      </c>
      <c r="H1020" s="7" t="s">
        <v>2892</v>
      </c>
      <c r="I1020" s="9">
        <v>45348</v>
      </c>
    </row>
    <row r="1021" spans="1:9" x14ac:dyDescent="0.15">
      <c r="A1021" s="6">
        <v>1020</v>
      </c>
      <c r="B1021" s="7" t="s">
        <v>7</v>
      </c>
      <c r="C1021" s="8">
        <v>1890</v>
      </c>
      <c r="D1021" s="9">
        <v>45449</v>
      </c>
      <c r="E1021" s="13">
        <f>+HYPERLINK("http://trademark.i-assist.jp/data/china/image_1890th/76962285.pdf",76962285)</f>
        <v>76962285</v>
      </c>
      <c r="F1021" s="7" t="s">
        <v>2894</v>
      </c>
      <c r="G1021" s="7" t="s">
        <v>2893</v>
      </c>
      <c r="H1021" s="7" t="s">
        <v>2895</v>
      </c>
      <c r="I1021" s="9">
        <v>45348</v>
      </c>
    </row>
    <row r="1022" spans="1:9" x14ac:dyDescent="0.15">
      <c r="A1022" s="6">
        <v>1021</v>
      </c>
      <c r="B1022" s="7" t="s">
        <v>7</v>
      </c>
      <c r="C1022" s="8">
        <v>1890</v>
      </c>
      <c r="D1022" s="9">
        <v>45449</v>
      </c>
      <c r="E1022" s="13">
        <f>+HYPERLINK("http://trademark.i-assist.jp/data/china/image_1890th/76962454.pdf",76962454)</f>
        <v>76962454</v>
      </c>
      <c r="F1022" s="7" t="s">
        <v>2897</v>
      </c>
      <c r="G1022" s="7" t="s">
        <v>2896</v>
      </c>
      <c r="H1022" s="7" t="s">
        <v>2898</v>
      </c>
      <c r="I1022" s="9">
        <v>45348</v>
      </c>
    </row>
    <row r="1023" spans="1:9" x14ac:dyDescent="0.15">
      <c r="A1023" s="6">
        <v>1022</v>
      </c>
      <c r="B1023" s="7" t="s">
        <v>7</v>
      </c>
      <c r="C1023" s="8">
        <v>1890</v>
      </c>
      <c r="D1023" s="9">
        <v>45449</v>
      </c>
      <c r="E1023" s="13">
        <f>+HYPERLINK("http://trademark.i-assist.jp/data/china/image_1890th/76962819.pdf",76962819)</f>
        <v>76962819</v>
      </c>
      <c r="F1023" s="7" t="s">
        <v>2900</v>
      </c>
      <c r="G1023" s="7" t="s">
        <v>2899</v>
      </c>
      <c r="H1023" s="7" t="s">
        <v>2901</v>
      </c>
      <c r="I1023" s="9">
        <v>45348</v>
      </c>
    </row>
    <row r="1024" spans="1:9" x14ac:dyDescent="0.15">
      <c r="A1024" s="6">
        <v>1023</v>
      </c>
      <c r="B1024" s="7" t="s">
        <v>7</v>
      </c>
      <c r="C1024" s="8">
        <v>1890</v>
      </c>
      <c r="D1024" s="9">
        <v>45449</v>
      </c>
      <c r="E1024" s="13">
        <f>+HYPERLINK("http://trademark.i-assist.jp/data/china/image_1890th/76963135.pdf",76963135)</f>
        <v>76963135</v>
      </c>
      <c r="F1024" s="7" t="s">
        <v>2902</v>
      </c>
      <c r="G1024" s="7" t="s">
        <v>2835</v>
      </c>
      <c r="H1024" s="7" t="s">
        <v>2903</v>
      </c>
      <c r="I1024" s="9">
        <v>45348</v>
      </c>
    </row>
    <row r="1025" spans="1:9" x14ac:dyDescent="0.15">
      <c r="A1025" s="6">
        <v>1024</v>
      </c>
      <c r="B1025" s="7" t="s">
        <v>7</v>
      </c>
      <c r="C1025" s="8">
        <v>1890</v>
      </c>
      <c r="D1025" s="9">
        <v>45449</v>
      </c>
      <c r="E1025" s="13">
        <f>+HYPERLINK("http://trademark.i-assist.jp/data/china/image_1890th/76966476.pdf",76966476)</f>
        <v>76966476</v>
      </c>
      <c r="F1025" s="7" t="s">
        <v>2905</v>
      </c>
      <c r="G1025" s="7" t="s">
        <v>2904</v>
      </c>
      <c r="H1025" s="7" t="s">
        <v>2906</v>
      </c>
      <c r="I1025" s="9">
        <v>45348</v>
      </c>
    </row>
    <row r="1026" spans="1:9" x14ac:dyDescent="0.15">
      <c r="A1026" s="6">
        <v>1025</v>
      </c>
      <c r="B1026" s="7" t="s">
        <v>7</v>
      </c>
      <c r="C1026" s="8">
        <v>1890</v>
      </c>
      <c r="D1026" s="9">
        <v>45449</v>
      </c>
      <c r="E1026" s="13">
        <f>+HYPERLINK("http://trademark.i-assist.jp/data/china/image_1890th/76966770.pdf",76966770)</f>
        <v>76966770</v>
      </c>
      <c r="F1026" s="7" t="s">
        <v>183</v>
      </c>
      <c r="G1026" s="7" t="s">
        <v>2907</v>
      </c>
      <c r="H1026" s="7" t="s">
        <v>2908</v>
      </c>
      <c r="I1026" s="9">
        <v>45348</v>
      </c>
    </row>
    <row r="1027" spans="1:9" x14ac:dyDescent="0.15">
      <c r="A1027" s="6">
        <v>1026</v>
      </c>
      <c r="B1027" s="7" t="s">
        <v>7</v>
      </c>
      <c r="C1027" s="8">
        <v>1890</v>
      </c>
      <c r="D1027" s="9">
        <v>45449</v>
      </c>
      <c r="E1027" s="13">
        <f>+HYPERLINK("http://trademark.i-assist.jp/data/china/image_1890th/76966908.pdf",76966908)</f>
        <v>76966908</v>
      </c>
      <c r="F1027" s="7" t="s">
        <v>2909</v>
      </c>
      <c r="G1027" s="7" t="s">
        <v>1890</v>
      </c>
      <c r="H1027" s="7" t="s">
        <v>2910</v>
      </c>
      <c r="I1027" s="9">
        <v>45348</v>
      </c>
    </row>
    <row r="1028" spans="1:9" x14ac:dyDescent="0.15">
      <c r="A1028" s="6">
        <v>1027</v>
      </c>
      <c r="B1028" s="7" t="s">
        <v>7</v>
      </c>
      <c r="C1028" s="8">
        <v>1890</v>
      </c>
      <c r="D1028" s="9">
        <v>45449</v>
      </c>
      <c r="E1028" s="13">
        <f>+HYPERLINK("http://trademark.i-assist.jp/data/china/image_1890th/76966964.pdf",76966964)</f>
        <v>76966964</v>
      </c>
      <c r="F1028" s="7" t="s">
        <v>2912</v>
      </c>
      <c r="G1028" s="7" t="s">
        <v>2911</v>
      </c>
      <c r="H1028" s="7" t="s">
        <v>2913</v>
      </c>
      <c r="I1028" s="9">
        <v>45348</v>
      </c>
    </row>
    <row r="1029" spans="1:9" x14ac:dyDescent="0.15">
      <c r="A1029" s="6">
        <v>1028</v>
      </c>
      <c r="B1029" s="7" t="s">
        <v>7</v>
      </c>
      <c r="C1029" s="8">
        <v>1890</v>
      </c>
      <c r="D1029" s="9">
        <v>45449</v>
      </c>
      <c r="E1029" s="13">
        <f>+HYPERLINK("http://trademark.i-assist.jp/data/china/image_1890th/76966965.pdf",76966965)</f>
        <v>76966965</v>
      </c>
      <c r="F1029" s="7" t="s">
        <v>2914</v>
      </c>
      <c r="G1029" s="7" t="s">
        <v>1421</v>
      </c>
      <c r="H1029" s="7" t="s">
        <v>2915</v>
      </c>
      <c r="I1029" s="9">
        <v>45348</v>
      </c>
    </row>
    <row r="1030" spans="1:9" x14ac:dyDescent="0.15">
      <c r="A1030" s="6">
        <v>1029</v>
      </c>
      <c r="B1030" s="7" t="s">
        <v>7</v>
      </c>
      <c r="C1030" s="8">
        <v>1890</v>
      </c>
      <c r="D1030" s="9">
        <v>45449</v>
      </c>
      <c r="E1030" s="13">
        <f>+HYPERLINK("http://trademark.i-assist.jp/data/china/image_1890th/76967232.pdf",76967232)</f>
        <v>76967232</v>
      </c>
      <c r="F1030" s="7" t="s">
        <v>2916</v>
      </c>
      <c r="G1030" s="7" t="s">
        <v>975</v>
      </c>
      <c r="H1030" s="7" t="s">
        <v>2917</v>
      </c>
      <c r="I1030" s="9">
        <v>45348</v>
      </c>
    </row>
    <row r="1031" spans="1:9" x14ac:dyDescent="0.15">
      <c r="A1031" s="6">
        <v>1030</v>
      </c>
      <c r="B1031" s="7" t="s">
        <v>7</v>
      </c>
      <c r="C1031" s="8">
        <v>1890</v>
      </c>
      <c r="D1031" s="9">
        <v>45449</v>
      </c>
      <c r="E1031" s="13">
        <f>+HYPERLINK("http://trademark.i-assist.jp/data/china/image_1890th/76967401.pdf",76967401)</f>
        <v>76967401</v>
      </c>
      <c r="F1031" s="7" t="s">
        <v>2919</v>
      </c>
      <c r="G1031" s="7" t="s">
        <v>2918</v>
      </c>
      <c r="H1031" s="7" t="s">
        <v>2920</v>
      </c>
      <c r="I1031" s="9">
        <v>45348</v>
      </c>
    </row>
    <row r="1032" spans="1:9" x14ac:dyDescent="0.15">
      <c r="A1032" s="6">
        <v>1031</v>
      </c>
      <c r="B1032" s="7" t="s">
        <v>7</v>
      </c>
      <c r="C1032" s="8">
        <v>1890</v>
      </c>
      <c r="D1032" s="9">
        <v>45449</v>
      </c>
      <c r="E1032" s="13">
        <f>+HYPERLINK("http://trademark.i-assist.jp/data/china/image_1890th/76967514.pdf",76967514)</f>
        <v>76967514</v>
      </c>
      <c r="F1032" s="7" t="s">
        <v>2922</v>
      </c>
      <c r="G1032" s="7" t="s">
        <v>2921</v>
      </c>
      <c r="H1032" s="7" t="s">
        <v>2923</v>
      </c>
      <c r="I1032" s="9">
        <v>45348</v>
      </c>
    </row>
    <row r="1033" spans="1:9" x14ac:dyDescent="0.15">
      <c r="A1033" s="6">
        <v>1032</v>
      </c>
      <c r="B1033" s="7" t="s">
        <v>7</v>
      </c>
      <c r="C1033" s="8">
        <v>1890</v>
      </c>
      <c r="D1033" s="9">
        <v>45449</v>
      </c>
      <c r="E1033" s="13">
        <f>+HYPERLINK("http://trademark.i-assist.jp/data/china/image_1890th/76967519.pdf",76967519)</f>
        <v>76967519</v>
      </c>
      <c r="F1033" s="7" t="s">
        <v>2925</v>
      </c>
      <c r="G1033" s="7" t="s">
        <v>2924</v>
      </c>
      <c r="H1033" s="7" t="s">
        <v>2926</v>
      </c>
      <c r="I1033" s="9">
        <v>45348</v>
      </c>
    </row>
    <row r="1034" spans="1:9" ht="27" x14ac:dyDescent="0.15">
      <c r="A1034" s="6">
        <v>1033</v>
      </c>
      <c r="B1034" s="7" t="s">
        <v>7</v>
      </c>
      <c r="C1034" s="8">
        <v>1890</v>
      </c>
      <c r="D1034" s="9">
        <v>45449</v>
      </c>
      <c r="E1034" s="13">
        <f>+HYPERLINK("http://trademark.i-assist.jp/data/china/image_1890th/76967858.pdf",76967858)</f>
        <v>76967858</v>
      </c>
      <c r="F1034" s="7" t="s">
        <v>2928</v>
      </c>
      <c r="G1034" s="7" t="s">
        <v>2927</v>
      </c>
      <c r="H1034" s="7" t="s">
        <v>2929</v>
      </c>
      <c r="I1034" s="9">
        <v>45348</v>
      </c>
    </row>
    <row r="1035" spans="1:9" x14ac:dyDescent="0.15">
      <c r="A1035" s="6">
        <v>1034</v>
      </c>
      <c r="B1035" s="7" t="s">
        <v>7</v>
      </c>
      <c r="C1035" s="8">
        <v>1890</v>
      </c>
      <c r="D1035" s="9">
        <v>45449</v>
      </c>
      <c r="E1035" s="13">
        <f>+HYPERLINK("http://trademark.i-assist.jp/data/china/image_1890th/76968202.pdf",76968202)</f>
        <v>76968202</v>
      </c>
      <c r="F1035" s="7" t="s">
        <v>2931</v>
      </c>
      <c r="G1035" s="7" t="s">
        <v>2930</v>
      </c>
      <c r="H1035" s="7" t="s">
        <v>2932</v>
      </c>
      <c r="I1035" s="9">
        <v>45348</v>
      </c>
    </row>
    <row r="1036" spans="1:9" x14ac:dyDescent="0.15">
      <c r="A1036" s="6">
        <v>1035</v>
      </c>
      <c r="B1036" s="7" t="s">
        <v>7</v>
      </c>
      <c r="C1036" s="8">
        <v>1890</v>
      </c>
      <c r="D1036" s="9">
        <v>45449</v>
      </c>
      <c r="E1036" s="13">
        <f>+HYPERLINK("http://trademark.i-assist.jp/data/china/image_1890th/76968294.pdf",76968294)</f>
        <v>76968294</v>
      </c>
      <c r="F1036" s="7" t="s">
        <v>2934</v>
      </c>
      <c r="G1036" s="7" t="s">
        <v>2933</v>
      </c>
      <c r="H1036" s="7" t="s">
        <v>2935</v>
      </c>
      <c r="I1036" s="9">
        <v>45348</v>
      </c>
    </row>
    <row r="1037" spans="1:9" x14ac:dyDescent="0.15">
      <c r="A1037" s="6">
        <v>1036</v>
      </c>
      <c r="B1037" s="7" t="s">
        <v>7</v>
      </c>
      <c r="C1037" s="8">
        <v>1890</v>
      </c>
      <c r="D1037" s="9">
        <v>45449</v>
      </c>
      <c r="E1037" s="13">
        <f>+HYPERLINK("http://trademark.i-assist.jp/data/china/image_1890th/76969349.pdf",76969349)</f>
        <v>76969349</v>
      </c>
      <c r="F1037" s="7" t="s">
        <v>2937</v>
      </c>
      <c r="G1037" s="7" t="s">
        <v>2936</v>
      </c>
      <c r="H1037" s="7" t="s">
        <v>2938</v>
      </c>
      <c r="I1037" s="9">
        <v>45348</v>
      </c>
    </row>
    <row r="1038" spans="1:9" ht="27" x14ac:dyDescent="0.15">
      <c r="A1038" s="6">
        <v>1037</v>
      </c>
      <c r="B1038" s="7" t="s">
        <v>7</v>
      </c>
      <c r="C1038" s="8">
        <v>1890</v>
      </c>
      <c r="D1038" s="9">
        <v>45449</v>
      </c>
      <c r="E1038" s="13">
        <f>+HYPERLINK("http://trademark.i-assist.jp/data/china/image_1890th/76969394.pdf",76969394)</f>
        <v>76969394</v>
      </c>
      <c r="F1038" s="7" t="s">
        <v>2940</v>
      </c>
      <c r="G1038" s="7" t="s">
        <v>2939</v>
      </c>
      <c r="H1038" s="7" t="s">
        <v>2941</v>
      </c>
      <c r="I1038" s="9">
        <v>45348</v>
      </c>
    </row>
    <row r="1039" spans="1:9" x14ac:dyDescent="0.15">
      <c r="A1039" s="6">
        <v>1038</v>
      </c>
      <c r="B1039" s="7" t="s">
        <v>7</v>
      </c>
      <c r="C1039" s="8">
        <v>1890</v>
      </c>
      <c r="D1039" s="9">
        <v>45449</v>
      </c>
      <c r="E1039" s="13">
        <f>+HYPERLINK("http://trademark.i-assist.jp/data/china/image_1890th/76969463.pdf",76969463)</f>
        <v>76969463</v>
      </c>
      <c r="F1039" s="7" t="s">
        <v>2943</v>
      </c>
      <c r="G1039" s="7" t="s">
        <v>2942</v>
      </c>
      <c r="H1039" s="7" t="s">
        <v>2944</v>
      </c>
      <c r="I1039" s="9">
        <v>45348</v>
      </c>
    </row>
    <row r="1040" spans="1:9" x14ac:dyDescent="0.15">
      <c r="A1040" s="6">
        <v>1039</v>
      </c>
      <c r="B1040" s="7" t="s">
        <v>7</v>
      </c>
      <c r="C1040" s="8">
        <v>1890</v>
      </c>
      <c r="D1040" s="9">
        <v>45449</v>
      </c>
      <c r="E1040" s="13">
        <f>+HYPERLINK("http://trademark.i-assist.jp/data/china/image_1890th/76969711.pdf",76969711)</f>
        <v>76969711</v>
      </c>
      <c r="F1040" s="7" t="s">
        <v>2946</v>
      </c>
      <c r="G1040" s="7" t="s">
        <v>2945</v>
      </c>
      <c r="H1040" s="7" t="s">
        <v>2947</v>
      </c>
      <c r="I1040" s="9">
        <v>45348</v>
      </c>
    </row>
    <row r="1041" spans="1:9" ht="27" x14ac:dyDescent="0.15">
      <c r="A1041" s="6">
        <v>1040</v>
      </c>
      <c r="B1041" s="7" t="s">
        <v>7</v>
      </c>
      <c r="C1041" s="8">
        <v>1890</v>
      </c>
      <c r="D1041" s="9">
        <v>45449</v>
      </c>
      <c r="E1041" s="13">
        <f>+HYPERLINK("http://trademark.i-assist.jp/data/china/image_1890th/76969850.pdf",76969850)</f>
        <v>76969850</v>
      </c>
      <c r="F1041" s="7" t="s">
        <v>2949</v>
      </c>
      <c r="G1041" s="7" t="s">
        <v>2948</v>
      </c>
      <c r="H1041" s="7" t="s">
        <v>2950</v>
      </c>
      <c r="I1041" s="9">
        <v>45348</v>
      </c>
    </row>
    <row r="1042" spans="1:9" x14ac:dyDescent="0.15">
      <c r="A1042" s="6">
        <v>1041</v>
      </c>
      <c r="B1042" s="7" t="s">
        <v>7</v>
      </c>
      <c r="C1042" s="8">
        <v>1890</v>
      </c>
      <c r="D1042" s="9">
        <v>45449</v>
      </c>
      <c r="E1042" s="13">
        <f>+HYPERLINK("http://trademark.i-assist.jp/data/china/image_1890th/76970761.pdf",76970761)</f>
        <v>76970761</v>
      </c>
      <c r="F1042" s="7" t="s">
        <v>2951</v>
      </c>
      <c r="G1042" s="7" t="s">
        <v>1089</v>
      </c>
      <c r="H1042" s="7" t="s">
        <v>2952</v>
      </c>
      <c r="I1042" s="9">
        <v>45349</v>
      </c>
    </row>
    <row r="1043" spans="1:9" x14ac:dyDescent="0.15">
      <c r="A1043" s="6">
        <v>1042</v>
      </c>
      <c r="B1043" s="7" t="s">
        <v>7</v>
      </c>
      <c r="C1043" s="8">
        <v>1890</v>
      </c>
      <c r="D1043" s="9">
        <v>45449</v>
      </c>
      <c r="E1043" s="13">
        <f>+HYPERLINK("http://trademark.i-assist.jp/data/china/image_1890th/76991504.pdf",76991504)</f>
        <v>76991504</v>
      </c>
      <c r="F1043" s="7" t="s">
        <v>2953</v>
      </c>
      <c r="G1043" s="7" t="s">
        <v>1748</v>
      </c>
      <c r="H1043" s="7" t="s">
        <v>2954</v>
      </c>
      <c r="I1043" s="9">
        <v>45349</v>
      </c>
    </row>
    <row r="1044" spans="1:9" x14ac:dyDescent="0.15">
      <c r="A1044" s="6">
        <v>1043</v>
      </c>
      <c r="B1044" s="7" t="s">
        <v>7</v>
      </c>
      <c r="C1044" s="8">
        <v>1890</v>
      </c>
      <c r="D1044" s="9">
        <v>45449</v>
      </c>
      <c r="E1044" s="13">
        <f>+HYPERLINK("http://trademark.i-assist.jp/data/china/image_1890th/76991678.pdf",76991678)</f>
        <v>76991678</v>
      </c>
      <c r="F1044" s="7" t="s">
        <v>2956</v>
      </c>
      <c r="G1044" s="7" t="s">
        <v>2955</v>
      </c>
      <c r="H1044" s="7" t="s">
        <v>2957</v>
      </c>
      <c r="I1044" s="9">
        <v>45349</v>
      </c>
    </row>
    <row r="1045" spans="1:9" x14ac:dyDescent="0.15">
      <c r="A1045" s="6">
        <v>1044</v>
      </c>
      <c r="B1045" s="7" t="s">
        <v>7</v>
      </c>
      <c r="C1045" s="8">
        <v>1890</v>
      </c>
      <c r="D1045" s="9">
        <v>45449</v>
      </c>
      <c r="E1045" s="13">
        <f>+HYPERLINK("http://trademark.i-assist.jp/data/china/image_1890th/76992045.pdf",76992045)</f>
        <v>76992045</v>
      </c>
      <c r="F1045" s="7" t="s">
        <v>2959</v>
      </c>
      <c r="G1045" s="7" t="s">
        <v>2958</v>
      </c>
      <c r="H1045" s="7" t="s">
        <v>2960</v>
      </c>
      <c r="I1045" s="9">
        <v>45349</v>
      </c>
    </row>
    <row r="1046" spans="1:9" ht="27" x14ac:dyDescent="0.15">
      <c r="A1046" s="6">
        <v>1045</v>
      </c>
      <c r="B1046" s="7" t="s">
        <v>7</v>
      </c>
      <c r="C1046" s="8">
        <v>1890</v>
      </c>
      <c r="D1046" s="9">
        <v>45449</v>
      </c>
      <c r="E1046" s="13">
        <f>+HYPERLINK("http://trademark.i-assist.jp/data/china/image_1890th/76992353.pdf",76992353)</f>
        <v>76992353</v>
      </c>
      <c r="F1046" s="7" t="s">
        <v>2962</v>
      </c>
      <c r="G1046" s="7" t="s">
        <v>2961</v>
      </c>
      <c r="H1046" s="7" t="s">
        <v>2963</v>
      </c>
      <c r="I1046" s="9">
        <v>45349</v>
      </c>
    </row>
    <row r="1047" spans="1:9" x14ac:dyDescent="0.15">
      <c r="A1047" s="6">
        <v>1046</v>
      </c>
      <c r="B1047" s="7" t="s">
        <v>7</v>
      </c>
      <c r="C1047" s="8">
        <v>1890</v>
      </c>
      <c r="D1047" s="9">
        <v>45449</v>
      </c>
      <c r="E1047" s="13">
        <f>+HYPERLINK("http://trademark.i-assist.jp/data/china/image_1890th/76995185.pdf",76995185)</f>
        <v>76995185</v>
      </c>
      <c r="F1047" s="7" t="s">
        <v>2965</v>
      </c>
      <c r="G1047" s="7" t="s">
        <v>2964</v>
      </c>
      <c r="H1047" s="7" t="s">
        <v>2966</v>
      </c>
      <c r="I1047" s="9">
        <v>45350</v>
      </c>
    </row>
    <row r="1048" spans="1:9" x14ac:dyDescent="0.15">
      <c r="A1048" s="6">
        <v>1047</v>
      </c>
      <c r="B1048" s="7" t="s">
        <v>7</v>
      </c>
      <c r="C1048" s="8">
        <v>1890</v>
      </c>
      <c r="D1048" s="9">
        <v>45449</v>
      </c>
      <c r="E1048" s="13">
        <f>+HYPERLINK("http://trademark.i-assist.jp/data/china/image_1890th/76996532.pdf",76996532)</f>
        <v>76996532</v>
      </c>
      <c r="F1048" s="7" t="s">
        <v>183</v>
      </c>
      <c r="G1048" s="7" t="s">
        <v>2967</v>
      </c>
      <c r="H1048" s="7" t="s">
        <v>2968</v>
      </c>
      <c r="I1048" s="9">
        <v>45350</v>
      </c>
    </row>
    <row r="1049" spans="1:9" x14ac:dyDescent="0.15">
      <c r="A1049" s="6">
        <v>1048</v>
      </c>
      <c r="B1049" s="7" t="s">
        <v>7</v>
      </c>
      <c r="C1049" s="8">
        <v>1890</v>
      </c>
      <c r="D1049" s="9">
        <v>45449</v>
      </c>
      <c r="E1049" s="13">
        <f>+HYPERLINK("http://trademark.i-assist.jp/data/china/image_1890th/76996605.pdf",76996605)</f>
        <v>76996605</v>
      </c>
      <c r="F1049" s="7" t="s">
        <v>2970</v>
      </c>
      <c r="G1049" s="7" t="s">
        <v>2969</v>
      </c>
      <c r="H1049" s="7" t="s">
        <v>2971</v>
      </c>
      <c r="I1049" s="9">
        <v>45350</v>
      </c>
    </row>
    <row r="1050" spans="1:9" x14ac:dyDescent="0.15">
      <c r="A1050" s="6">
        <v>1049</v>
      </c>
      <c r="B1050" s="7" t="s">
        <v>7</v>
      </c>
      <c r="C1050" s="8">
        <v>1890</v>
      </c>
      <c r="D1050" s="9">
        <v>45449</v>
      </c>
      <c r="E1050" s="13">
        <f>+HYPERLINK("http://trademark.i-assist.jp/data/china/image_1890th/76997062.pdf",76997062)</f>
        <v>76997062</v>
      </c>
      <c r="F1050" s="7" t="s">
        <v>2972</v>
      </c>
      <c r="G1050" s="7" t="s">
        <v>376</v>
      </c>
      <c r="H1050" s="7" t="s">
        <v>2973</v>
      </c>
      <c r="I1050" s="9">
        <v>45350</v>
      </c>
    </row>
    <row r="1051" spans="1:9" x14ac:dyDescent="0.15">
      <c r="A1051" s="6">
        <v>1050</v>
      </c>
      <c r="B1051" s="7" t="s">
        <v>7</v>
      </c>
      <c r="C1051" s="8">
        <v>1890</v>
      </c>
      <c r="D1051" s="9">
        <v>45449</v>
      </c>
      <c r="E1051" s="13">
        <f>+HYPERLINK("http://trademark.i-assist.jp/data/china/image_1890th/77003206.pdf",77003206)</f>
        <v>77003206</v>
      </c>
      <c r="F1051" s="7" t="s">
        <v>2975</v>
      </c>
      <c r="G1051" s="7" t="s">
        <v>2974</v>
      </c>
      <c r="H1051" s="7" t="s">
        <v>2976</v>
      </c>
      <c r="I1051" s="9">
        <v>45350</v>
      </c>
    </row>
    <row r="1052" spans="1:9" x14ac:dyDescent="0.15">
      <c r="A1052" s="6">
        <v>1051</v>
      </c>
      <c r="B1052" s="7" t="s">
        <v>7</v>
      </c>
      <c r="C1052" s="8">
        <v>1890</v>
      </c>
      <c r="D1052" s="9">
        <v>45449</v>
      </c>
      <c r="E1052" s="13">
        <f>+HYPERLINK("http://trademark.i-assist.jp/data/china/image_1890th/77003321.pdf",77003321)</f>
        <v>77003321</v>
      </c>
      <c r="F1052" s="7" t="s">
        <v>2978</v>
      </c>
      <c r="G1052" s="7" t="s">
        <v>2977</v>
      </c>
      <c r="H1052" s="7" t="s">
        <v>2979</v>
      </c>
      <c r="I1052" s="9">
        <v>45350</v>
      </c>
    </row>
    <row r="1053" spans="1:9" x14ac:dyDescent="0.15">
      <c r="A1053" s="6">
        <v>1052</v>
      </c>
      <c r="B1053" s="7" t="s">
        <v>7</v>
      </c>
      <c r="C1053" s="8">
        <v>1890</v>
      </c>
      <c r="D1053" s="9">
        <v>45449</v>
      </c>
      <c r="E1053" s="13">
        <f>+HYPERLINK("http://trademark.i-assist.jp/data/china/image_1890th/77003369.pdf",77003369)</f>
        <v>77003369</v>
      </c>
      <c r="F1053" s="7" t="s">
        <v>2980</v>
      </c>
      <c r="G1053" s="7" t="s">
        <v>376</v>
      </c>
      <c r="H1053" s="7" t="s">
        <v>2981</v>
      </c>
      <c r="I1053" s="9">
        <v>45350</v>
      </c>
    </row>
    <row r="1054" spans="1:9" x14ac:dyDescent="0.15">
      <c r="A1054" s="6">
        <v>1053</v>
      </c>
      <c r="B1054" s="7" t="s">
        <v>7</v>
      </c>
      <c r="C1054" s="8">
        <v>1890</v>
      </c>
      <c r="D1054" s="9">
        <v>45449</v>
      </c>
      <c r="E1054" s="13">
        <f>+HYPERLINK("http://trademark.i-assist.jp/data/china/image_1890th/77003412.pdf",77003412)</f>
        <v>77003412</v>
      </c>
      <c r="F1054" s="7" t="s">
        <v>2983</v>
      </c>
      <c r="G1054" s="7" t="s">
        <v>2982</v>
      </c>
      <c r="H1054" s="7" t="s">
        <v>2984</v>
      </c>
      <c r="I1054" s="9">
        <v>45350</v>
      </c>
    </row>
    <row r="1055" spans="1:9" x14ac:dyDescent="0.15">
      <c r="A1055" s="6">
        <v>1054</v>
      </c>
      <c r="B1055" s="7" t="s">
        <v>7</v>
      </c>
      <c r="C1055" s="8">
        <v>1890</v>
      </c>
      <c r="D1055" s="9">
        <v>45449</v>
      </c>
      <c r="E1055" s="13">
        <f>+HYPERLINK("http://trademark.i-assist.jp/data/china/image_1890th/77003484.pdf",77003484)</f>
        <v>77003484</v>
      </c>
      <c r="F1055" s="7" t="s">
        <v>2986</v>
      </c>
      <c r="G1055" s="7" t="s">
        <v>2985</v>
      </c>
      <c r="H1055" s="7" t="s">
        <v>2987</v>
      </c>
      <c r="I1055" s="9">
        <v>45350</v>
      </c>
    </row>
    <row r="1056" spans="1:9" x14ac:dyDescent="0.15">
      <c r="A1056" s="6">
        <v>1055</v>
      </c>
      <c r="B1056" s="7" t="s">
        <v>7</v>
      </c>
      <c r="C1056" s="8">
        <v>1890</v>
      </c>
      <c r="D1056" s="9">
        <v>45449</v>
      </c>
      <c r="E1056" s="13">
        <f>+HYPERLINK("http://trademark.i-assist.jp/data/china/image_1890th/77004519.pdf",77004519)</f>
        <v>77004519</v>
      </c>
      <c r="F1056" s="7" t="s">
        <v>2989</v>
      </c>
      <c r="G1056" s="7" t="s">
        <v>2988</v>
      </c>
      <c r="H1056" s="7" t="s">
        <v>2990</v>
      </c>
      <c r="I1056" s="9">
        <v>45350</v>
      </c>
    </row>
    <row r="1057" spans="1:9" ht="27" x14ac:dyDescent="0.15">
      <c r="A1057" s="6">
        <v>1056</v>
      </c>
      <c r="B1057" s="7" t="s">
        <v>7</v>
      </c>
      <c r="C1057" s="8">
        <v>1890</v>
      </c>
      <c r="D1057" s="9">
        <v>45449</v>
      </c>
      <c r="E1057" s="13">
        <f>+HYPERLINK("http://trademark.i-assist.jp/data/china/image_1890th/77004711.pdf",77004711)</f>
        <v>77004711</v>
      </c>
      <c r="F1057" s="7" t="s">
        <v>2992</v>
      </c>
      <c r="G1057" s="7" t="s">
        <v>2991</v>
      </c>
      <c r="H1057" s="7" t="s">
        <v>2993</v>
      </c>
      <c r="I1057" s="9">
        <v>45350</v>
      </c>
    </row>
    <row r="1058" spans="1:9" x14ac:dyDescent="0.15">
      <c r="A1058" s="6">
        <v>1057</v>
      </c>
      <c r="B1058" s="7" t="s">
        <v>7</v>
      </c>
      <c r="C1058" s="8">
        <v>1890</v>
      </c>
      <c r="D1058" s="9">
        <v>45449</v>
      </c>
      <c r="E1058" s="13">
        <f>+HYPERLINK("http://trademark.i-assist.jp/data/china/image_1890th/77004767.pdf",77004767)</f>
        <v>77004767</v>
      </c>
      <c r="F1058" s="7" t="s">
        <v>2995</v>
      </c>
      <c r="G1058" s="7" t="s">
        <v>2994</v>
      </c>
      <c r="H1058" s="7" t="s">
        <v>2996</v>
      </c>
      <c r="I1058" s="9">
        <v>45350</v>
      </c>
    </row>
    <row r="1059" spans="1:9" x14ac:dyDescent="0.15">
      <c r="A1059" s="6">
        <v>1058</v>
      </c>
      <c r="B1059" s="7" t="s">
        <v>7</v>
      </c>
      <c r="C1059" s="8">
        <v>1890</v>
      </c>
      <c r="D1059" s="9">
        <v>45449</v>
      </c>
      <c r="E1059" s="13">
        <f>+HYPERLINK("http://trademark.i-assist.jp/data/china/image_1890th/77005395.pdf",77005395)</f>
        <v>77005395</v>
      </c>
      <c r="F1059" s="7" t="s">
        <v>2998</v>
      </c>
      <c r="G1059" s="7" t="s">
        <v>2997</v>
      </c>
      <c r="H1059" s="7" t="s">
        <v>2999</v>
      </c>
      <c r="I1059" s="9">
        <v>45350</v>
      </c>
    </row>
    <row r="1060" spans="1:9" x14ac:dyDescent="0.15">
      <c r="A1060" s="6">
        <v>1059</v>
      </c>
      <c r="B1060" s="7" t="s">
        <v>7</v>
      </c>
      <c r="C1060" s="8">
        <v>1890</v>
      </c>
      <c r="D1060" s="9">
        <v>45449</v>
      </c>
      <c r="E1060" s="13">
        <f>+HYPERLINK("http://trademark.i-assist.jp/data/china/image_1890th/77005640.pdf",77005640)</f>
        <v>77005640</v>
      </c>
      <c r="F1060" s="7" t="s">
        <v>3001</v>
      </c>
      <c r="G1060" s="7" t="s">
        <v>3000</v>
      </c>
      <c r="H1060" s="7" t="s">
        <v>3002</v>
      </c>
      <c r="I1060" s="9">
        <v>45350</v>
      </c>
    </row>
    <row r="1061" spans="1:9" x14ac:dyDescent="0.15">
      <c r="A1061" s="6">
        <v>1060</v>
      </c>
      <c r="B1061" s="7" t="s">
        <v>7</v>
      </c>
      <c r="C1061" s="8">
        <v>1890</v>
      </c>
      <c r="D1061" s="9">
        <v>45449</v>
      </c>
      <c r="E1061" s="13">
        <f>+HYPERLINK("http://trademark.i-assist.jp/data/china/image_1890th/77005970.pdf",77005970)</f>
        <v>77005970</v>
      </c>
      <c r="F1061" s="7" t="s">
        <v>3004</v>
      </c>
      <c r="G1061" s="7" t="s">
        <v>3003</v>
      </c>
      <c r="H1061" s="7" t="s">
        <v>3005</v>
      </c>
      <c r="I1061" s="9">
        <v>45350</v>
      </c>
    </row>
    <row r="1062" spans="1:9" x14ac:dyDescent="0.15">
      <c r="A1062" s="6">
        <v>1061</v>
      </c>
      <c r="B1062" s="7" t="s">
        <v>7</v>
      </c>
      <c r="C1062" s="8">
        <v>1890</v>
      </c>
      <c r="D1062" s="9">
        <v>45449</v>
      </c>
      <c r="E1062" s="13">
        <f>+HYPERLINK("http://trademark.i-assist.jp/data/china/image_1890th/77007011.pdf",77007011)</f>
        <v>77007011</v>
      </c>
      <c r="F1062" s="7" t="s">
        <v>183</v>
      </c>
      <c r="G1062" s="7" t="s">
        <v>3006</v>
      </c>
      <c r="H1062" s="7" t="s">
        <v>3007</v>
      </c>
      <c r="I1062" s="9">
        <v>45350</v>
      </c>
    </row>
    <row r="1063" spans="1:9" x14ac:dyDescent="0.15">
      <c r="A1063" s="6">
        <v>1062</v>
      </c>
      <c r="B1063" s="7" t="s">
        <v>7</v>
      </c>
      <c r="C1063" s="8">
        <v>1890</v>
      </c>
      <c r="D1063" s="9">
        <v>45449</v>
      </c>
      <c r="E1063" s="13">
        <f>+HYPERLINK("http://trademark.i-assist.jp/data/china/image_1890th/77007710.pdf",77007710)</f>
        <v>77007710</v>
      </c>
      <c r="F1063" s="7" t="s">
        <v>3009</v>
      </c>
      <c r="G1063" s="7" t="s">
        <v>3008</v>
      </c>
      <c r="H1063" s="7" t="s">
        <v>3010</v>
      </c>
      <c r="I1063" s="9">
        <v>45350</v>
      </c>
    </row>
    <row r="1064" spans="1:9" x14ac:dyDescent="0.15">
      <c r="A1064" s="6">
        <v>1063</v>
      </c>
      <c r="B1064" s="7" t="s">
        <v>7</v>
      </c>
      <c r="C1064" s="8">
        <v>1890</v>
      </c>
      <c r="D1064" s="9">
        <v>45449</v>
      </c>
      <c r="E1064" s="13">
        <f>+HYPERLINK("http://trademark.i-assist.jp/data/china/image_1890th/77008020.pdf",77008020)</f>
        <v>77008020</v>
      </c>
      <c r="F1064" s="7" t="s">
        <v>3012</v>
      </c>
      <c r="G1064" s="7" t="s">
        <v>3011</v>
      </c>
      <c r="H1064" s="7" t="s">
        <v>3013</v>
      </c>
      <c r="I1064" s="9">
        <v>45350</v>
      </c>
    </row>
    <row r="1065" spans="1:9" x14ac:dyDescent="0.15">
      <c r="A1065" s="6">
        <v>1064</v>
      </c>
      <c r="B1065" s="7" t="s">
        <v>7</v>
      </c>
      <c r="C1065" s="8">
        <v>1890</v>
      </c>
      <c r="D1065" s="9">
        <v>45449</v>
      </c>
      <c r="E1065" s="13">
        <f>+HYPERLINK("http://trademark.i-assist.jp/data/china/image_1890th/77008040.pdf",77008040)</f>
        <v>77008040</v>
      </c>
      <c r="F1065" s="7" t="s">
        <v>3014</v>
      </c>
      <c r="G1065" s="7" t="s">
        <v>376</v>
      </c>
      <c r="H1065" s="7" t="s">
        <v>3015</v>
      </c>
      <c r="I1065" s="9">
        <v>45350</v>
      </c>
    </row>
    <row r="1066" spans="1:9" x14ac:dyDescent="0.15">
      <c r="A1066" s="6">
        <v>1065</v>
      </c>
      <c r="B1066" s="7" t="s">
        <v>7</v>
      </c>
      <c r="C1066" s="8">
        <v>1890</v>
      </c>
      <c r="D1066" s="9">
        <v>45449</v>
      </c>
      <c r="E1066" s="13">
        <f>+HYPERLINK("http://trademark.i-assist.jp/data/china/image_1890th/77009135.pdf",77009135)</f>
        <v>77009135</v>
      </c>
      <c r="F1066" s="7" t="s">
        <v>3017</v>
      </c>
      <c r="G1066" s="7" t="s">
        <v>3016</v>
      </c>
      <c r="H1066" s="7" t="s">
        <v>3018</v>
      </c>
      <c r="I1066" s="9">
        <v>45350</v>
      </c>
    </row>
    <row r="1067" spans="1:9" x14ac:dyDescent="0.15">
      <c r="A1067" s="6">
        <v>1066</v>
      </c>
      <c r="B1067" s="7" t="s">
        <v>7</v>
      </c>
      <c r="C1067" s="8">
        <v>1890</v>
      </c>
      <c r="D1067" s="9">
        <v>45449</v>
      </c>
      <c r="E1067" s="13">
        <f>+HYPERLINK("http://trademark.i-assist.jp/data/china/image_1890th/77009362.pdf",77009362)</f>
        <v>77009362</v>
      </c>
      <c r="F1067" s="7" t="s">
        <v>3020</v>
      </c>
      <c r="G1067" s="7" t="s">
        <v>3019</v>
      </c>
      <c r="H1067" s="7" t="s">
        <v>3021</v>
      </c>
      <c r="I1067" s="9">
        <v>45350</v>
      </c>
    </row>
    <row r="1068" spans="1:9" x14ac:dyDescent="0.15">
      <c r="A1068" s="6">
        <v>1067</v>
      </c>
      <c r="B1068" s="7" t="s">
        <v>7</v>
      </c>
      <c r="C1068" s="8">
        <v>1890</v>
      </c>
      <c r="D1068" s="9">
        <v>45449</v>
      </c>
      <c r="E1068" s="13">
        <f>+HYPERLINK("http://trademark.i-assist.jp/data/china/image_1890th/77010811.pdf",77010811)</f>
        <v>77010811</v>
      </c>
      <c r="F1068" s="7" t="s">
        <v>3023</v>
      </c>
      <c r="G1068" s="7" t="s">
        <v>3022</v>
      </c>
      <c r="H1068" s="7" t="s">
        <v>3024</v>
      </c>
      <c r="I1068" s="9">
        <v>45350</v>
      </c>
    </row>
    <row r="1069" spans="1:9" x14ac:dyDescent="0.15">
      <c r="A1069" s="6">
        <v>1068</v>
      </c>
      <c r="B1069" s="7" t="s">
        <v>7</v>
      </c>
      <c r="C1069" s="8">
        <v>1890</v>
      </c>
      <c r="D1069" s="9">
        <v>45449</v>
      </c>
      <c r="E1069" s="13">
        <f>+HYPERLINK("http://trademark.i-assist.jp/data/china/image_1890th/77011557.pdf",77011557)</f>
        <v>77011557</v>
      </c>
      <c r="F1069" s="7" t="s">
        <v>3025</v>
      </c>
      <c r="G1069" s="7" t="s">
        <v>376</v>
      </c>
      <c r="H1069" s="7" t="s">
        <v>3026</v>
      </c>
      <c r="I1069" s="9">
        <v>45350</v>
      </c>
    </row>
    <row r="1070" spans="1:9" x14ac:dyDescent="0.15">
      <c r="A1070" s="6">
        <v>1069</v>
      </c>
      <c r="B1070" s="7" t="s">
        <v>7</v>
      </c>
      <c r="C1070" s="8">
        <v>1890</v>
      </c>
      <c r="D1070" s="9">
        <v>45449</v>
      </c>
      <c r="E1070" s="13">
        <f>+HYPERLINK("http://trademark.i-assist.jp/data/china/image_1890th/77011686.pdf",77011686)</f>
        <v>77011686</v>
      </c>
      <c r="F1070" s="7" t="s">
        <v>3027</v>
      </c>
      <c r="G1070" s="7" t="s">
        <v>376</v>
      </c>
      <c r="H1070" s="7" t="s">
        <v>3028</v>
      </c>
      <c r="I1070" s="9">
        <v>45350</v>
      </c>
    </row>
    <row r="1071" spans="1:9" x14ac:dyDescent="0.15">
      <c r="A1071" s="6">
        <v>1070</v>
      </c>
      <c r="B1071" s="7" t="s">
        <v>7</v>
      </c>
      <c r="C1071" s="8">
        <v>1890</v>
      </c>
      <c r="D1071" s="9">
        <v>45449</v>
      </c>
      <c r="E1071" s="13">
        <f>+HYPERLINK("http://trademark.i-assist.jp/data/china/image_1890th/77012450.pdf",77012450)</f>
        <v>77012450</v>
      </c>
      <c r="F1071" s="7" t="s">
        <v>3030</v>
      </c>
      <c r="G1071" s="7" t="s">
        <v>3029</v>
      </c>
      <c r="H1071" s="7" t="s">
        <v>3031</v>
      </c>
      <c r="I1071" s="9">
        <v>45350</v>
      </c>
    </row>
    <row r="1072" spans="1:9" x14ac:dyDescent="0.15">
      <c r="A1072" s="6">
        <v>1071</v>
      </c>
      <c r="B1072" s="7" t="s">
        <v>7</v>
      </c>
      <c r="C1072" s="8">
        <v>1890</v>
      </c>
      <c r="D1072" s="9">
        <v>45449</v>
      </c>
      <c r="E1072" s="13">
        <f>+HYPERLINK("http://trademark.i-assist.jp/data/china/image_1890th/77013111.pdf",77013111)</f>
        <v>77013111</v>
      </c>
      <c r="F1072" s="7" t="s">
        <v>3033</v>
      </c>
      <c r="G1072" s="7" t="s">
        <v>3032</v>
      </c>
      <c r="H1072" s="7" t="s">
        <v>3034</v>
      </c>
      <c r="I1072" s="9">
        <v>45350</v>
      </c>
    </row>
    <row r="1073" spans="1:9" x14ac:dyDescent="0.15">
      <c r="A1073" s="6">
        <v>1072</v>
      </c>
      <c r="B1073" s="7" t="s">
        <v>7</v>
      </c>
      <c r="C1073" s="8">
        <v>1890</v>
      </c>
      <c r="D1073" s="9">
        <v>45449</v>
      </c>
      <c r="E1073" s="13">
        <f>+HYPERLINK("http://trademark.i-assist.jp/data/china/image_1890th/77013138.pdf",77013138)</f>
        <v>77013138</v>
      </c>
      <c r="F1073" s="7" t="s">
        <v>3036</v>
      </c>
      <c r="G1073" s="7" t="s">
        <v>3035</v>
      </c>
      <c r="H1073" s="7" t="s">
        <v>3037</v>
      </c>
      <c r="I1073" s="9">
        <v>45350</v>
      </c>
    </row>
    <row r="1074" spans="1:9" x14ac:dyDescent="0.15">
      <c r="A1074" s="6">
        <v>1073</v>
      </c>
      <c r="B1074" s="7" t="s">
        <v>7</v>
      </c>
      <c r="C1074" s="8">
        <v>1890</v>
      </c>
      <c r="D1074" s="9">
        <v>45449</v>
      </c>
      <c r="E1074" s="13">
        <f>+HYPERLINK("http://trademark.i-assist.jp/data/china/image_1890th/77013260.pdf",77013260)</f>
        <v>77013260</v>
      </c>
      <c r="F1074" s="7" t="s">
        <v>3039</v>
      </c>
      <c r="G1074" s="7" t="s">
        <v>3038</v>
      </c>
      <c r="H1074" s="7" t="s">
        <v>3040</v>
      </c>
      <c r="I1074" s="9">
        <v>45350</v>
      </c>
    </row>
    <row r="1075" spans="1:9" x14ac:dyDescent="0.15">
      <c r="A1075" s="6">
        <v>1074</v>
      </c>
      <c r="B1075" s="7" t="s">
        <v>7</v>
      </c>
      <c r="C1075" s="8">
        <v>1890</v>
      </c>
      <c r="D1075" s="9">
        <v>45449</v>
      </c>
      <c r="E1075" s="13">
        <f>+HYPERLINK("http://trademark.i-assist.jp/data/china/image_1890th/77013548.pdf",77013548)</f>
        <v>77013548</v>
      </c>
      <c r="F1075" s="7" t="s">
        <v>3042</v>
      </c>
      <c r="G1075" s="7" t="s">
        <v>3041</v>
      </c>
      <c r="H1075" s="7" t="s">
        <v>3043</v>
      </c>
      <c r="I1075" s="9">
        <v>45350</v>
      </c>
    </row>
    <row r="1076" spans="1:9" x14ac:dyDescent="0.15">
      <c r="A1076" s="6">
        <v>1075</v>
      </c>
      <c r="B1076" s="7" t="s">
        <v>7</v>
      </c>
      <c r="C1076" s="8">
        <v>1890</v>
      </c>
      <c r="D1076" s="9">
        <v>45449</v>
      </c>
      <c r="E1076" s="13">
        <f>+HYPERLINK("http://trademark.i-assist.jp/data/china/image_1890th/77014223.pdf",77014223)</f>
        <v>77014223</v>
      </c>
      <c r="F1076" s="7" t="s">
        <v>3045</v>
      </c>
      <c r="G1076" s="7" t="s">
        <v>3044</v>
      </c>
      <c r="H1076" s="7" t="s">
        <v>3046</v>
      </c>
      <c r="I1076" s="9">
        <v>45350</v>
      </c>
    </row>
    <row r="1077" spans="1:9" x14ac:dyDescent="0.15">
      <c r="A1077" s="6">
        <v>1076</v>
      </c>
      <c r="B1077" s="7" t="s">
        <v>7</v>
      </c>
      <c r="C1077" s="8">
        <v>1890</v>
      </c>
      <c r="D1077" s="9">
        <v>45449</v>
      </c>
      <c r="E1077" s="13">
        <f>+HYPERLINK("http://trademark.i-assist.jp/data/china/image_1890th/77014318.pdf",77014318)</f>
        <v>77014318</v>
      </c>
      <c r="F1077" s="7" t="s">
        <v>3048</v>
      </c>
      <c r="G1077" s="7" t="s">
        <v>3047</v>
      </c>
      <c r="H1077" s="7" t="s">
        <v>3049</v>
      </c>
      <c r="I1077" s="9">
        <v>45350</v>
      </c>
    </row>
    <row r="1078" spans="1:9" x14ac:dyDescent="0.15">
      <c r="A1078" s="6">
        <v>1077</v>
      </c>
      <c r="B1078" s="7" t="s">
        <v>7</v>
      </c>
      <c r="C1078" s="8">
        <v>1890</v>
      </c>
      <c r="D1078" s="9">
        <v>45449</v>
      </c>
      <c r="E1078" s="13">
        <f>+HYPERLINK("http://trademark.i-assist.jp/data/china/image_1890th/77014893.pdf",77014893)</f>
        <v>77014893</v>
      </c>
      <c r="F1078" s="7" t="s">
        <v>3051</v>
      </c>
      <c r="G1078" s="7" t="s">
        <v>3050</v>
      </c>
      <c r="H1078" s="7" t="s">
        <v>3052</v>
      </c>
      <c r="I1078" s="9">
        <v>45350</v>
      </c>
    </row>
    <row r="1079" spans="1:9" x14ac:dyDescent="0.15">
      <c r="A1079" s="6">
        <v>1078</v>
      </c>
      <c r="B1079" s="7" t="s">
        <v>7</v>
      </c>
      <c r="C1079" s="8">
        <v>1890</v>
      </c>
      <c r="D1079" s="9">
        <v>45449</v>
      </c>
      <c r="E1079" s="13">
        <f>+HYPERLINK("http://trademark.i-assist.jp/data/china/image_1890th/77015117.pdf",77015117)</f>
        <v>77015117</v>
      </c>
      <c r="F1079" s="7" t="s">
        <v>3054</v>
      </c>
      <c r="G1079" s="7" t="s">
        <v>3053</v>
      </c>
      <c r="H1079" s="7" t="s">
        <v>3055</v>
      </c>
      <c r="I1079" s="9">
        <v>45350</v>
      </c>
    </row>
    <row r="1080" spans="1:9" x14ac:dyDescent="0.15">
      <c r="A1080" s="6">
        <v>1079</v>
      </c>
      <c r="B1080" s="7" t="s">
        <v>7</v>
      </c>
      <c r="C1080" s="8">
        <v>1890</v>
      </c>
      <c r="D1080" s="9">
        <v>45449</v>
      </c>
      <c r="E1080" s="13">
        <f>+HYPERLINK("http://trademark.i-assist.jp/data/china/image_1890th/77015123.pdf",77015123)</f>
        <v>77015123</v>
      </c>
      <c r="F1080" s="7" t="s">
        <v>3057</v>
      </c>
      <c r="G1080" s="7" t="s">
        <v>3056</v>
      </c>
      <c r="H1080" s="7" t="s">
        <v>3058</v>
      </c>
      <c r="I1080" s="9">
        <v>45350</v>
      </c>
    </row>
    <row r="1081" spans="1:9" x14ac:dyDescent="0.15">
      <c r="A1081" s="6">
        <v>1080</v>
      </c>
      <c r="B1081" s="7" t="s">
        <v>7</v>
      </c>
      <c r="C1081" s="8">
        <v>1890</v>
      </c>
      <c r="D1081" s="9">
        <v>45449</v>
      </c>
      <c r="E1081" s="13">
        <f>+HYPERLINK("http://trademark.i-assist.jp/data/china/image_1890th/77015170.pdf",77015170)</f>
        <v>77015170</v>
      </c>
      <c r="F1081" s="7" t="s">
        <v>3060</v>
      </c>
      <c r="G1081" s="7" t="s">
        <v>3059</v>
      </c>
      <c r="H1081" s="7" t="s">
        <v>3061</v>
      </c>
      <c r="I1081" s="9">
        <v>45350</v>
      </c>
    </row>
    <row r="1082" spans="1:9" x14ac:dyDescent="0.15">
      <c r="A1082" s="6">
        <v>1081</v>
      </c>
      <c r="B1082" s="7" t="s">
        <v>7</v>
      </c>
      <c r="C1082" s="8">
        <v>1890</v>
      </c>
      <c r="D1082" s="9">
        <v>45449</v>
      </c>
      <c r="E1082" s="13">
        <f>+HYPERLINK("http://trademark.i-assist.jp/data/china/image_1890th/77015205.pdf",77015205)</f>
        <v>77015205</v>
      </c>
      <c r="F1082" s="7" t="s">
        <v>3063</v>
      </c>
      <c r="G1082" s="7" t="s">
        <v>3062</v>
      </c>
      <c r="H1082" s="7" t="s">
        <v>3064</v>
      </c>
      <c r="I1082" s="9">
        <v>45350</v>
      </c>
    </row>
    <row r="1083" spans="1:9" x14ac:dyDescent="0.15">
      <c r="A1083" s="6">
        <v>1082</v>
      </c>
      <c r="B1083" s="7" t="s">
        <v>7</v>
      </c>
      <c r="C1083" s="8">
        <v>1890</v>
      </c>
      <c r="D1083" s="9">
        <v>45449</v>
      </c>
      <c r="E1083" s="13">
        <f>+HYPERLINK("http://trademark.i-assist.jp/data/china/image_1890th/77015675.pdf",77015675)</f>
        <v>77015675</v>
      </c>
      <c r="F1083" s="7" t="s">
        <v>3066</v>
      </c>
      <c r="G1083" s="7" t="s">
        <v>3065</v>
      </c>
      <c r="H1083" s="7" t="s">
        <v>3067</v>
      </c>
      <c r="I1083" s="9">
        <v>45351</v>
      </c>
    </row>
    <row r="1084" spans="1:9" ht="27" x14ac:dyDescent="0.15">
      <c r="A1084" s="6">
        <v>1083</v>
      </c>
      <c r="B1084" s="7" t="s">
        <v>7</v>
      </c>
      <c r="C1084" s="8">
        <v>1890</v>
      </c>
      <c r="D1084" s="9">
        <v>45449</v>
      </c>
      <c r="E1084" s="13">
        <f>+HYPERLINK("http://trademark.i-assist.jp/data/china/image_1890th/77016114.pdf",77016114)</f>
        <v>77016114</v>
      </c>
      <c r="F1084" s="7" t="s">
        <v>3069</v>
      </c>
      <c r="G1084" s="7" t="s">
        <v>3068</v>
      </c>
      <c r="H1084" s="7" t="s">
        <v>3070</v>
      </c>
      <c r="I1084" s="9">
        <v>45351</v>
      </c>
    </row>
    <row r="1085" spans="1:9" x14ac:dyDescent="0.15">
      <c r="A1085" s="6">
        <v>1084</v>
      </c>
      <c r="B1085" s="7" t="s">
        <v>7</v>
      </c>
      <c r="C1085" s="8">
        <v>1890</v>
      </c>
      <c r="D1085" s="9">
        <v>45449</v>
      </c>
      <c r="E1085" s="13">
        <f>+HYPERLINK("http://trademark.i-assist.jp/data/china/image_1890th/77016612.pdf",77016612)</f>
        <v>77016612</v>
      </c>
      <c r="F1085" s="7" t="s">
        <v>3072</v>
      </c>
      <c r="G1085" s="7" t="s">
        <v>3071</v>
      </c>
      <c r="H1085" s="7" t="s">
        <v>3073</v>
      </c>
      <c r="I1085" s="9">
        <v>45351</v>
      </c>
    </row>
    <row r="1086" spans="1:9" x14ac:dyDescent="0.15">
      <c r="A1086" s="6">
        <v>1085</v>
      </c>
      <c r="B1086" s="7" t="s">
        <v>7</v>
      </c>
      <c r="C1086" s="8">
        <v>1890</v>
      </c>
      <c r="D1086" s="9">
        <v>45449</v>
      </c>
      <c r="E1086" s="13">
        <f>+HYPERLINK("http://trademark.i-assist.jp/data/china/image_1890th/77017966.pdf",77017966)</f>
        <v>77017966</v>
      </c>
      <c r="F1086" s="7" t="s">
        <v>3075</v>
      </c>
      <c r="G1086" s="7" t="s">
        <v>3074</v>
      </c>
      <c r="H1086" s="7" t="s">
        <v>3076</v>
      </c>
      <c r="I1086" s="9">
        <v>45351</v>
      </c>
    </row>
    <row r="1087" spans="1:9" x14ac:dyDescent="0.15">
      <c r="A1087" s="6">
        <v>1086</v>
      </c>
      <c r="B1087" s="7" t="s">
        <v>7</v>
      </c>
      <c r="C1087" s="8">
        <v>1890</v>
      </c>
      <c r="D1087" s="9">
        <v>45449</v>
      </c>
      <c r="E1087" s="13">
        <f>+HYPERLINK("http://trademark.i-assist.jp/data/china/image_1890th/77018865.pdf",77018865)</f>
        <v>77018865</v>
      </c>
      <c r="F1087" s="7" t="s">
        <v>3077</v>
      </c>
      <c r="G1087" s="7" t="s">
        <v>3071</v>
      </c>
      <c r="H1087" s="7" t="s">
        <v>3078</v>
      </c>
      <c r="I1087" s="9">
        <v>45351</v>
      </c>
    </row>
    <row r="1088" spans="1:9" x14ac:dyDescent="0.15">
      <c r="A1088" s="6">
        <v>1087</v>
      </c>
      <c r="B1088" s="7" t="s">
        <v>7</v>
      </c>
      <c r="C1088" s="8">
        <v>1890</v>
      </c>
      <c r="D1088" s="9">
        <v>45449</v>
      </c>
      <c r="E1088" s="13">
        <f>+HYPERLINK("http://trademark.i-assist.jp/data/china/image_1890th/77019218.pdf",77019218)</f>
        <v>77019218</v>
      </c>
      <c r="F1088" s="7" t="s">
        <v>3080</v>
      </c>
      <c r="G1088" s="7" t="s">
        <v>3079</v>
      </c>
      <c r="H1088" s="7" t="s">
        <v>3081</v>
      </c>
      <c r="I1088" s="9">
        <v>45351</v>
      </c>
    </row>
    <row r="1089" spans="1:9" x14ac:dyDescent="0.15">
      <c r="A1089" s="6">
        <v>1088</v>
      </c>
      <c r="B1089" s="7" t="s">
        <v>7</v>
      </c>
      <c r="C1089" s="8">
        <v>1890</v>
      </c>
      <c r="D1089" s="9">
        <v>45449</v>
      </c>
      <c r="E1089" s="13">
        <f>+HYPERLINK("http://trademark.i-assist.jp/data/china/image_1890th/77020032.pdf",77020032)</f>
        <v>77020032</v>
      </c>
      <c r="F1089" s="7" t="s">
        <v>3083</v>
      </c>
      <c r="G1089" s="7" t="s">
        <v>3082</v>
      </c>
      <c r="H1089" s="7" t="s">
        <v>3084</v>
      </c>
      <c r="I1089" s="9">
        <v>45351</v>
      </c>
    </row>
    <row r="1090" spans="1:9" ht="27" x14ac:dyDescent="0.15">
      <c r="A1090" s="6">
        <v>1089</v>
      </c>
      <c r="B1090" s="7" t="s">
        <v>7</v>
      </c>
      <c r="C1090" s="8">
        <v>1890</v>
      </c>
      <c r="D1090" s="9">
        <v>45449</v>
      </c>
      <c r="E1090" s="13">
        <f>+HYPERLINK("http://trademark.i-assist.jp/data/china/image_1890th/77022253.pdf",77022253)</f>
        <v>77022253</v>
      </c>
      <c r="F1090" s="7" t="s">
        <v>3086</v>
      </c>
      <c r="G1090" s="7" t="s">
        <v>3085</v>
      </c>
      <c r="H1090" s="7" t="s">
        <v>3087</v>
      </c>
      <c r="I1090" s="9">
        <v>45351</v>
      </c>
    </row>
    <row r="1091" spans="1:9" x14ac:dyDescent="0.15">
      <c r="A1091" s="6">
        <v>1090</v>
      </c>
      <c r="B1091" s="7" t="s">
        <v>7</v>
      </c>
      <c r="C1091" s="8">
        <v>1890</v>
      </c>
      <c r="D1091" s="9">
        <v>45449</v>
      </c>
      <c r="E1091" s="13">
        <f>+HYPERLINK("http://trademark.i-assist.jp/data/china/image_1890th/77022569.pdf",77022569)</f>
        <v>77022569</v>
      </c>
      <c r="F1091" s="7" t="s">
        <v>3089</v>
      </c>
      <c r="G1091" s="7" t="s">
        <v>3088</v>
      </c>
      <c r="H1091" s="7" t="s">
        <v>3090</v>
      </c>
      <c r="I1091" s="9">
        <v>45351</v>
      </c>
    </row>
    <row r="1092" spans="1:9" x14ac:dyDescent="0.15">
      <c r="A1092" s="6">
        <v>1091</v>
      </c>
      <c r="B1092" s="7" t="s">
        <v>7</v>
      </c>
      <c r="C1092" s="8">
        <v>1890</v>
      </c>
      <c r="D1092" s="9">
        <v>45449</v>
      </c>
      <c r="E1092" s="13">
        <f>+HYPERLINK("http://trademark.i-assist.jp/data/china/image_1890th/77023418.pdf",77023418)</f>
        <v>77023418</v>
      </c>
      <c r="F1092" s="7" t="s">
        <v>3092</v>
      </c>
      <c r="G1092" s="7" t="s">
        <v>3091</v>
      </c>
      <c r="H1092" s="7" t="s">
        <v>8</v>
      </c>
      <c r="I1092" s="9">
        <v>45351</v>
      </c>
    </row>
    <row r="1093" spans="1:9" ht="27" x14ac:dyDescent="0.15">
      <c r="A1093" s="6">
        <v>1092</v>
      </c>
      <c r="B1093" s="7" t="s">
        <v>7</v>
      </c>
      <c r="C1093" s="8">
        <v>1890</v>
      </c>
      <c r="D1093" s="9">
        <v>45449</v>
      </c>
      <c r="E1093" s="13">
        <f>+HYPERLINK("http://trademark.i-assist.jp/data/china/image_1890th/77024636.pdf",77024636)</f>
        <v>77024636</v>
      </c>
      <c r="F1093" s="7" t="s">
        <v>183</v>
      </c>
      <c r="G1093" s="7" t="s">
        <v>3093</v>
      </c>
      <c r="H1093" s="7" t="s">
        <v>3094</v>
      </c>
      <c r="I1093" s="9">
        <v>45351</v>
      </c>
    </row>
    <row r="1094" spans="1:9" x14ac:dyDescent="0.15">
      <c r="A1094" s="6">
        <v>1093</v>
      </c>
      <c r="B1094" s="7" t="s">
        <v>7</v>
      </c>
      <c r="C1094" s="8">
        <v>1890</v>
      </c>
      <c r="D1094" s="9">
        <v>45449</v>
      </c>
      <c r="E1094" s="13">
        <f>+HYPERLINK("http://trademark.i-assist.jp/data/china/image_1890th/77024744.pdf",77024744)</f>
        <v>77024744</v>
      </c>
      <c r="F1094" s="7" t="s">
        <v>3096</v>
      </c>
      <c r="G1094" s="7" t="s">
        <v>3095</v>
      </c>
      <c r="H1094" s="7" t="s">
        <v>3097</v>
      </c>
      <c r="I1094" s="9">
        <v>45351</v>
      </c>
    </row>
    <row r="1095" spans="1:9" ht="27" x14ac:dyDescent="0.15">
      <c r="A1095" s="6">
        <v>1094</v>
      </c>
      <c r="B1095" s="7" t="s">
        <v>7</v>
      </c>
      <c r="C1095" s="8">
        <v>1890</v>
      </c>
      <c r="D1095" s="9">
        <v>45449</v>
      </c>
      <c r="E1095" s="13">
        <f>+HYPERLINK("http://trademark.i-assist.jp/data/china/image_1890th/77026726.pdf",77026726)</f>
        <v>77026726</v>
      </c>
      <c r="F1095" s="7" t="s">
        <v>3098</v>
      </c>
      <c r="G1095" s="7" t="s">
        <v>3068</v>
      </c>
      <c r="H1095" s="7" t="s">
        <v>3099</v>
      </c>
      <c r="I1095" s="9">
        <v>45351</v>
      </c>
    </row>
    <row r="1096" spans="1:9" x14ac:dyDescent="0.15">
      <c r="A1096" s="6">
        <v>1095</v>
      </c>
      <c r="B1096" s="7" t="s">
        <v>7</v>
      </c>
      <c r="C1096" s="8">
        <v>1890</v>
      </c>
      <c r="D1096" s="9">
        <v>45449</v>
      </c>
      <c r="E1096" s="13">
        <f>+HYPERLINK("http://trademark.i-assist.jp/data/china/image_1890th/77028208.pdf",77028208)</f>
        <v>77028208</v>
      </c>
      <c r="F1096" s="7" t="s">
        <v>3101</v>
      </c>
      <c r="G1096" s="7" t="s">
        <v>3100</v>
      </c>
      <c r="H1096" s="7" t="s">
        <v>3102</v>
      </c>
      <c r="I1096" s="9">
        <v>45351</v>
      </c>
    </row>
    <row r="1097" spans="1:9" x14ac:dyDescent="0.15">
      <c r="A1097" s="6">
        <v>1096</v>
      </c>
      <c r="B1097" s="7" t="s">
        <v>7</v>
      </c>
      <c r="C1097" s="8">
        <v>1890</v>
      </c>
      <c r="D1097" s="9">
        <v>45449</v>
      </c>
      <c r="E1097" s="13">
        <f>+HYPERLINK("http://trademark.i-assist.jp/data/china/image_1890th/77028905.pdf",77028905)</f>
        <v>77028905</v>
      </c>
      <c r="F1097" s="7" t="s">
        <v>3104</v>
      </c>
      <c r="G1097" s="7" t="s">
        <v>3103</v>
      </c>
      <c r="H1097" s="7" t="s">
        <v>3105</v>
      </c>
      <c r="I1097" s="9">
        <v>45351</v>
      </c>
    </row>
    <row r="1098" spans="1:9" x14ac:dyDescent="0.15">
      <c r="A1098" s="6">
        <v>1097</v>
      </c>
      <c r="B1098" s="7" t="s">
        <v>7</v>
      </c>
      <c r="C1098" s="8">
        <v>1890</v>
      </c>
      <c r="D1098" s="9">
        <v>45449</v>
      </c>
      <c r="E1098" s="13">
        <f>+HYPERLINK("http://trademark.i-assist.jp/data/china/image_1890th/77029426.pdf",77029426)</f>
        <v>77029426</v>
      </c>
      <c r="F1098" s="7" t="s">
        <v>3106</v>
      </c>
      <c r="G1098" s="7" t="s">
        <v>2375</v>
      </c>
      <c r="H1098" s="7" t="s">
        <v>3107</v>
      </c>
      <c r="I1098" s="9">
        <v>45351</v>
      </c>
    </row>
    <row r="1099" spans="1:9" x14ac:dyDescent="0.15">
      <c r="A1099" s="6">
        <v>1098</v>
      </c>
      <c r="B1099" s="7" t="s">
        <v>7</v>
      </c>
      <c r="C1099" s="8">
        <v>1890</v>
      </c>
      <c r="D1099" s="9">
        <v>45449</v>
      </c>
      <c r="E1099" s="13">
        <f>+HYPERLINK("http://trademark.i-assist.jp/data/china/image_1890th/77029475.pdf",77029475)</f>
        <v>77029475</v>
      </c>
      <c r="F1099" s="7" t="s">
        <v>3109</v>
      </c>
      <c r="G1099" s="7" t="s">
        <v>3108</v>
      </c>
      <c r="H1099" s="7" t="s">
        <v>3110</v>
      </c>
      <c r="I1099" s="9">
        <v>45351</v>
      </c>
    </row>
    <row r="1100" spans="1:9" x14ac:dyDescent="0.15">
      <c r="A1100" s="6">
        <v>1099</v>
      </c>
      <c r="B1100" s="7" t="s">
        <v>7</v>
      </c>
      <c r="C1100" s="8">
        <v>1890</v>
      </c>
      <c r="D1100" s="9">
        <v>45449</v>
      </c>
      <c r="E1100" s="13">
        <f>+HYPERLINK("http://trademark.i-assist.jp/data/china/image_1890th/77029988.pdf",77029988)</f>
        <v>77029988</v>
      </c>
      <c r="F1100" s="7" t="s">
        <v>3112</v>
      </c>
      <c r="G1100" s="7" t="s">
        <v>3111</v>
      </c>
      <c r="H1100" s="7" t="s">
        <v>3113</v>
      </c>
      <c r="I1100" s="9">
        <v>45351</v>
      </c>
    </row>
    <row r="1101" spans="1:9" x14ac:dyDescent="0.15">
      <c r="A1101" s="6">
        <v>1100</v>
      </c>
      <c r="B1101" s="7" t="s">
        <v>7</v>
      </c>
      <c r="C1101" s="8">
        <v>1890</v>
      </c>
      <c r="D1101" s="9">
        <v>45449</v>
      </c>
      <c r="E1101" s="13">
        <f>+HYPERLINK("http://trademark.i-assist.jp/data/china/image_1890th/77031102.pdf",77031102)</f>
        <v>77031102</v>
      </c>
      <c r="F1101" s="7" t="s">
        <v>3115</v>
      </c>
      <c r="G1101" s="7" t="s">
        <v>3114</v>
      </c>
      <c r="H1101" s="7" t="s">
        <v>3116</v>
      </c>
      <c r="I1101" s="9">
        <v>45351</v>
      </c>
    </row>
    <row r="1102" spans="1:9" x14ac:dyDescent="0.15">
      <c r="A1102" s="6">
        <v>1101</v>
      </c>
      <c r="B1102" s="7" t="s">
        <v>7</v>
      </c>
      <c r="C1102" s="8">
        <v>1890</v>
      </c>
      <c r="D1102" s="9">
        <v>45449</v>
      </c>
      <c r="E1102" s="13">
        <f>+HYPERLINK("http://trademark.i-assist.jp/data/china/image_1890th/77032074.pdf",77032074)</f>
        <v>77032074</v>
      </c>
      <c r="F1102" s="7" t="s">
        <v>3118</v>
      </c>
      <c r="G1102" s="7" t="s">
        <v>3117</v>
      </c>
      <c r="H1102" s="7" t="s">
        <v>3119</v>
      </c>
      <c r="I1102" s="9">
        <v>45351</v>
      </c>
    </row>
    <row r="1103" spans="1:9" ht="27" x14ac:dyDescent="0.15">
      <c r="A1103" s="6">
        <v>1102</v>
      </c>
      <c r="B1103" s="7" t="s">
        <v>7</v>
      </c>
      <c r="C1103" s="8">
        <v>1890</v>
      </c>
      <c r="D1103" s="9">
        <v>45449</v>
      </c>
      <c r="E1103" s="13">
        <f>+HYPERLINK("http://trademark.i-assist.jp/data/china/image_1890th/77032518.pdf",77032518)</f>
        <v>77032518</v>
      </c>
      <c r="F1103" s="7" t="s">
        <v>3121</v>
      </c>
      <c r="G1103" s="7" t="s">
        <v>3120</v>
      </c>
      <c r="H1103" s="7" t="s">
        <v>3122</v>
      </c>
      <c r="I1103" s="9">
        <v>45351</v>
      </c>
    </row>
    <row r="1104" spans="1:9" ht="27" x14ac:dyDescent="0.15">
      <c r="A1104" s="6">
        <v>1103</v>
      </c>
      <c r="B1104" s="7" t="s">
        <v>7</v>
      </c>
      <c r="C1104" s="8">
        <v>1890</v>
      </c>
      <c r="D1104" s="9">
        <v>45449</v>
      </c>
      <c r="E1104" s="13">
        <f>+HYPERLINK("http://trademark.i-assist.jp/data/china/image_1890th/77033292.pdf",77033292)</f>
        <v>77033292</v>
      </c>
      <c r="F1104" s="7" t="s">
        <v>3124</v>
      </c>
      <c r="G1104" s="7" t="s">
        <v>3123</v>
      </c>
      <c r="H1104" s="7" t="s">
        <v>3125</v>
      </c>
      <c r="I1104" s="9">
        <v>45351</v>
      </c>
    </row>
    <row r="1105" spans="1:9" ht="27" x14ac:dyDescent="0.15">
      <c r="A1105" s="6">
        <v>1104</v>
      </c>
      <c r="B1105" s="7" t="s">
        <v>7</v>
      </c>
      <c r="C1105" s="8">
        <v>1890</v>
      </c>
      <c r="D1105" s="9">
        <v>45449</v>
      </c>
      <c r="E1105" s="13">
        <f>+HYPERLINK("http://trademark.i-assist.jp/data/china/image_1890th/77033476.pdf",77033476)</f>
        <v>77033476</v>
      </c>
      <c r="F1105" s="7" t="s">
        <v>3127</v>
      </c>
      <c r="G1105" s="7" t="s">
        <v>3126</v>
      </c>
      <c r="H1105" s="7" t="s">
        <v>3128</v>
      </c>
      <c r="I1105" s="9">
        <v>45351</v>
      </c>
    </row>
    <row r="1106" spans="1:9" x14ac:dyDescent="0.15">
      <c r="A1106" s="6">
        <v>1105</v>
      </c>
      <c r="B1106" s="7" t="s">
        <v>7</v>
      </c>
      <c r="C1106" s="8">
        <v>1890</v>
      </c>
      <c r="D1106" s="9">
        <v>45449</v>
      </c>
      <c r="E1106" s="13">
        <f>+HYPERLINK("http://trademark.i-assist.jp/data/china/image_1890th/77033544.pdf",77033544)</f>
        <v>77033544</v>
      </c>
      <c r="F1106" s="7" t="s">
        <v>3130</v>
      </c>
      <c r="G1106" s="7" t="s">
        <v>3129</v>
      </c>
      <c r="H1106" s="7" t="s">
        <v>3131</v>
      </c>
      <c r="I1106" s="9">
        <v>45351</v>
      </c>
    </row>
    <row r="1107" spans="1:9" ht="27" x14ac:dyDescent="0.15">
      <c r="A1107" s="6">
        <v>1106</v>
      </c>
      <c r="B1107" s="7" t="s">
        <v>7</v>
      </c>
      <c r="C1107" s="8">
        <v>1890</v>
      </c>
      <c r="D1107" s="9">
        <v>45449</v>
      </c>
      <c r="E1107" s="13">
        <f>+HYPERLINK("http://trademark.i-assist.jp/data/china/image_1890th/77034077.pdf",77034077)</f>
        <v>77034077</v>
      </c>
      <c r="F1107" s="7" t="s">
        <v>3133</v>
      </c>
      <c r="G1107" s="7" t="s">
        <v>3132</v>
      </c>
      <c r="H1107" s="7" t="s">
        <v>3134</v>
      </c>
      <c r="I1107" s="9">
        <v>45351</v>
      </c>
    </row>
    <row r="1108" spans="1:9" x14ac:dyDescent="0.15">
      <c r="A1108" s="6">
        <v>1107</v>
      </c>
      <c r="B1108" s="7" t="s">
        <v>7</v>
      </c>
      <c r="C1108" s="8">
        <v>1890</v>
      </c>
      <c r="D1108" s="9">
        <v>45449</v>
      </c>
      <c r="E1108" s="13">
        <f>+HYPERLINK("http://trademark.i-assist.jp/data/china/image_1890th/77034365.pdf",77034365)</f>
        <v>77034365</v>
      </c>
      <c r="F1108" s="7" t="s">
        <v>3136</v>
      </c>
      <c r="G1108" s="7" t="s">
        <v>3135</v>
      </c>
      <c r="H1108" s="7" t="s">
        <v>3137</v>
      </c>
      <c r="I1108" s="9">
        <v>45351</v>
      </c>
    </row>
    <row r="1109" spans="1:9" x14ac:dyDescent="0.15">
      <c r="A1109" s="6">
        <v>1108</v>
      </c>
      <c r="B1109" s="7" t="s">
        <v>7</v>
      </c>
      <c r="C1109" s="8">
        <v>1890</v>
      </c>
      <c r="D1109" s="9">
        <v>45449</v>
      </c>
      <c r="E1109" s="13">
        <f>+HYPERLINK("http://trademark.i-assist.jp/data/china/image_1890th/77034949.pdf",77034949)</f>
        <v>77034949</v>
      </c>
      <c r="F1109" s="7" t="s">
        <v>3139</v>
      </c>
      <c r="G1109" s="7" t="s">
        <v>3138</v>
      </c>
      <c r="H1109" s="7" t="s">
        <v>3140</v>
      </c>
      <c r="I1109" s="9">
        <v>45351</v>
      </c>
    </row>
    <row r="1110" spans="1:9" x14ac:dyDescent="0.15">
      <c r="A1110" s="6">
        <v>1109</v>
      </c>
      <c r="B1110" s="7" t="s">
        <v>7</v>
      </c>
      <c r="C1110" s="8">
        <v>1890</v>
      </c>
      <c r="D1110" s="9">
        <v>45449</v>
      </c>
      <c r="E1110" s="13">
        <f>+HYPERLINK("http://trademark.i-assist.jp/data/china/image_1890th/77035061.pdf",77035061)</f>
        <v>77035061</v>
      </c>
      <c r="F1110" s="7" t="s">
        <v>3142</v>
      </c>
      <c r="G1110" s="7" t="s">
        <v>3141</v>
      </c>
      <c r="H1110" s="7" t="s">
        <v>3143</v>
      </c>
      <c r="I1110" s="9">
        <v>45351</v>
      </c>
    </row>
    <row r="1111" spans="1:9" x14ac:dyDescent="0.15">
      <c r="A1111" s="6">
        <v>1110</v>
      </c>
      <c r="B1111" s="7" t="s">
        <v>7</v>
      </c>
      <c r="C1111" s="8">
        <v>1890</v>
      </c>
      <c r="D1111" s="9">
        <v>45449</v>
      </c>
      <c r="E1111" s="13">
        <f>+HYPERLINK("http://trademark.i-assist.jp/data/china/image_1890th/77035359.pdf",77035359)</f>
        <v>77035359</v>
      </c>
      <c r="F1111" s="7" t="s">
        <v>3145</v>
      </c>
      <c r="G1111" s="7" t="s">
        <v>3144</v>
      </c>
      <c r="H1111" s="7" t="s">
        <v>3146</v>
      </c>
      <c r="I1111" s="9">
        <v>45351</v>
      </c>
    </row>
    <row r="1112" spans="1:9" x14ac:dyDescent="0.15">
      <c r="A1112" s="6">
        <v>1111</v>
      </c>
      <c r="B1112" s="7" t="s">
        <v>7</v>
      </c>
      <c r="C1112" s="8">
        <v>1890</v>
      </c>
      <c r="D1112" s="9">
        <v>45449</v>
      </c>
      <c r="E1112" s="13">
        <f>+HYPERLINK("http://trademark.i-assist.jp/data/china/image_1890th/77035366.pdf",77035366)</f>
        <v>77035366</v>
      </c>
      <c r="F1112" s="7" t="s">
        <v>3148</v>
      </c>
      <c r="G1112" s="7" t="s">
        <v>3147</v>
      </c>
      <c r="H1112" s="7" t="s">
        <v>3149</v>
      </c>
      <c r="I1112" s="9">
        <v>45351</v>
      </c>
    </row>
    <row r="1113" spans="1:9" x14ac:dyDescent="0.15">
      <c r="A1113" s="6">
        <v>1112</v>
      </c>
      <c r="B1113" s="7" t="s">
        <v>7</v>
      </c>
      <c r="C1113" s="8">
        <v>1890</v>
      </c>
      <c r="D1113" s="9">
        <v>45449</v>
      </c>
      <c r="E1113" s="13">
        <f>+HYPERLINK("http://trademark.i-assist.jp/data/china/image_1890th/77035584.pdf",77035584)</f>
        <v>77035584</v>
      </c>
      <c r="F1113" s="7" t="s">
        <v>3151</v>
      </c>
      <c r="G1113" s="7" t="s">
        <v>3150</v>
      </c>
      <c r="H1113" s="7" t="s">
        <v>3152</v>
      </c>
      <c r="I1113" s="9">
        <v>45351</v>
      </c>
    </row>
    <row r="1114" spans="1:9" x14ac:dyDescent="0.15">
      <c r="A1114" s="6">
        <v>1113</v>
      </c>
      <c r="B1114" s="7" t="s">
        <v>7</v>
      </c>
      <c r="C1114" s="8">
        <v>1890</v>
      </c>
      <c r="D1114" s="9">
        <v>45449</v>
      </c>
      <c r="E1114" s="13">
        <f>+HYPERLINK("http://trademark.i-assist.jp/data/china/image_1890th/77036255.pdf",77036255)</f>
        <v>77036255</v>
      </c>
      <c r="F1114" s="7" t="s">
        <v>3154</v>
      </c>
      <c r="G1114" s="7" t="s">
        <v>3153</v>
      </c>
      <c r="H1114" s="7" t="s">
        <v>3155</v>
      </c>
      <c r="I1114" s="9">
        <v>45351</v>
      </c>
    </row>
    <row r="1115" spans="1:9" x14ac:dyDescent="0.15">
      <c r="A1115" s="6">
        <v>1114</v>
      </c>
      <c r="B1115" s="7" t="s">
        <v>7</v>
      </c>
      <c r="C1115" s="8">
        <v>1890</v>
      </c>
      <c r="D1115" s="9">
        <v>45449</v>
      </c>
      <c r="E1115" s="13">
        <f>+HYPERLINK("http://trademark.i-assist.jp/data/china/image_1890th/77036446.pdf",77036446)</f>
        <v>77036446</v>
      </c>
      <c r="F1115" s="7" t="s">
        <v>3157</v>
      </c>
      <c r="G1115" s="7" t="s">
        <v>3156</v>
      </c>
      <c r="H1115" s="7" t="s">
        <v>3158</v>
      </c>
      <c r="I1115" s="9">
        <v>45351</v>
      </c>
    </row>
    <row r="1116" spans="1:9" ht="27" x14ac:dyDescent="0.15">
      <c r="A1116" s="6">
        <v>1115</v>
      </c>
      <c r="B1116" s="7" t="s">
        <v>7</v>
      </c>
      <c r="C1116" s="8">
        <v>1890</v>
      </c>
      <c r="D1116" s="9">
        <v>45449</v>
      </c>
      <c r="E1116" s="13">
        <f>+HYPERLINK("http://trademark.i-assist.jp/data/china/image_1890th/77036848.pdf",77036848)</f>
        <v>77036848</v>
      </c>
      <c r="F1116" s="7" t="s">
        <v>3160</v>
      </c>
      <c r="G1116" s="7" t="s">
        <v>3159</v>
      </c>
      <c r="H1116" s="7" t="s">
        <v>3161</v>
      </c>
      <c r="I1116" s="9">
        <v>45351</v>
      </c>
    </row>
    <row r="1117" spans="1:9" x14ac:dyDescent="0.15">
      <c r="A1117" s="6">
        <v>1116</v>
      </c>
      <c r="B1117" s="7" t="s">
        <v>7</v>
      </c>
      <c r="C1117" s="8">
        <v>1890</v>
      </c>
      <c r="D1117" s="9">
        <v>45449</v>
      </c>
      <c r="E1117" s="13">
        <f>+HYPERLINK("http://trademark.i-assist.jp/data/china/image_1890th/77037198.pdf",77037198)</f>
        <v>77037198</v>
      </c>
      <c r="F1117" s="7" t="s">
        <v>3163</v>
      </c>
      <c r="G1117" s="7" t="s">
        <v>3162</v>
      </c>
      <c r="H1117" s="7" t="s">
        <v>3164</v>
      </c>
      <c r="I1117" s="9">
        <v>45351</v>
      </c>
    </row>
    <row r="1118" spans="1:9" x14ac:dyDescent="0.15">
      <c r="A1118" s="6">
        <v>1117</v>
      </c>
      <c r="B1118" s="7" t="s">
        <v>7</v>
      </c>
      <c r="C1118" s="8">
        <v>1890</v>
      </c>
      <c r="D1118" s="9">
        <v>45449</v>
      </c>
      <c r="E1118" s="13">
        <f>+HYPERLINK("http://trademark.i-assist.jp/data/china/image_1890th/77037450.pdf",77037450)</f>
        <v>77037450</v>
      </c>
      <c r="F1118" s="7" t="s">
        <v>3166</v>
      </c>
      <c r="G1118" s="7" t="s">
        <v>3165</v>
      </c>
      <c r="H1118" s="7" t="s">
        <v>3167</v>
      </c>
      <c r="I1118" s="9">
        <v>45351</v>
      </c>
    </row>
    <row r="1119" spans="1:9" ht="121.5" x14ac:dyDescent="0.15">
      <c r="A1119" s="6">
        <v>1118</v>
      </c>
      <c r="B1119" s="7" t="s">
        <v>7</v>
      </c>
      <c r="C1119" s="8">
        <v>1890</v>
      </c>
      <c r="D1119" s="9">
        <v>45449</v>
      </c>
      <c r="E1119" s="13" t="s">
        <v>11359</v>
      </c>
      <c r="F1119" s="7" t="s">
        <v>3169</v>
      </c>
      <c r="G1119" s="7" t="s">
        <v>3168</v>
      </c>
      <c r="H1119" s="7" t="s">
        <v>3170</v>
      </c>
      <c r="I1119" s="9">
        <v>45351</v>
      </c>
    </row>
    <row r="1120" spans="1:9" x14ac:dyDescent="0.15">
      <c r="A1120" s="6">
        <v>1119</v>
      </c>
      <c r="B1120" s="7" t="s">
        <v>7</v>
      </c>
      <c r="C1120" s="8">
        <v>1890</v>
      </c>
      <c r="D1120" s="9">
        <v>45449</v>
      </c>
      <c r="E1120" s="13">
        <f>+HYPERLINK("http://trademark.i-assist.jp/data/china/image_1890th/77038669.pdf",77038669)</f>
        <v>77038669</v>
      </c>
      <c r="F1120" s="7" t="s">
        <v>3172</v>
      </c>
      <c r="G1120" s="7" t="s">
        <v>3171</v>
      </c>
      <c r="H1120" s="7" t="s">
        <v>3173</v>
      </c>
      <c r="I1120" s="9">
        <v>45351</v>
      </c>
    </row>
    <row r="1121" spans="1:9" ht="27" x14ac:dyDescent="0.15">
      <c r="A1121" s="6">
        <v>1120</v>
      </c>
      <c r="B1121" s="7" t="s">
        <v>7</v>
      </c>
      <c r="C1121" s="8">
        <v>1890</v>
      </c>
      <c r="D1121" s="9">
        <v>45449</v>
      </c>
      <c r="E1121" s="13">
        <f>+HYPERLINK("http://trademark.i-assist.jp/data/china/image_1890th/77039800.pdf",77039800)</f>
        <v>77039800</v>
      </c>
      <c r="F1121" s="7" t="s">
        <v>3175</v>
      </c>
      <c r="G1121" s="7" t="s">
        <v>3174</v>
      </c>
      <c r="H1121" s="7" t="s">
        <v>3176</v>
      </c>
      <c r="I1121" s="9">
        <v>45352</v>
      </c>
    </row>
    <row r="1122" spans="1:9" x14ac:dyDescent="0.15">
      <c r="A1122" s="6">
        <v>1121</v>
      </c>
      <c r="B1122" s="7" t="s">
        <v>7</v>
      </c>
      <c r="C1122" s="8">
        <v>1890</v>
      </c>
      <c r="D1122" s="9">
        <v>45449</v>
      </c>
      <c r="E1122" s="13">
        <f>+HYPERLINK("http://trademark.i-assist.jp/data/china/image_1890th/77040216.pdf",77040216)</f>
        <v>77040216</v>
      </c>
      <c r="F1122" s="7" t="s">
        <v>3177</v>
      </c>
      <c r="G1122" s="7" t="s">
        <v>1183</v>
      </c>
      <c r="H1122" s="7" t="s">
        <v>3178</v>
      </c>
      <c r="I1122" s="9">
        <v>45352</v>
      </c>
    </row>
    <row r="1123" spans="1:9" x14ac:dyDescent="0.15">
      <c r="A1123" s="6">
        <v>1122</v>
      </c>
      <c r="B1123" s="7" t="s">
        <v>7</v>
      </c>
      <c r="C1123" s="8">
        <v>1890</v>
      </c>
      <c r="D1123" s="9">
        <v>45449</v>
      </c>
      <c r="E1123" s="13">
        <f>+HYPERLINK("http://trademark.i-assist.jp/data/china/image_1890th/77040317.pdf",77040317)</f>
        <v>77040317</v>
      </c>
      <c r="F1123" s="7" t="s">
        <v>3180</v>
      </c>
      <c r="G1123" s="7" t="s">
        <v>3179</v>
      </c>
      <c r="H1123" s="7" t="s">
        <v>3181</v>
      </c>
      <c r="I1123" s="9">
        <v>45352</v>
      </c>
    </row>
    <row r="1124" spans="1:9" x14ac:dyDescent="0.15">
      <c r="A1124" s="6">
        <v>1123</v>
      </c>
      <c r="B1124" s="7" t="s">
        <v>7</v>
      </c>
      <c r="C1124" s="8">
        <v>1890</v>
      </c>
      <c r="D1124" s="9">
        <v>45449</v>
      </c>
      <c r="E1124" s="13">
        <f>+HYPERLINK("http://trademark.i-assist.jp/data/china/image_1890th/77040657.pdf",77040657)</f>
        <v>77040657</v>
      </c>
      <c r="F1124" s="7" t="s">
        <v>3183</v>
      </c>
      <c r="G1124" s="7" t="s">
        <v>3182</v>
      </c>
      <c r="H1124" s="7" t="s">
        <v>3184</v>
      </c>
      <c r="I1124" s="9">
        <v>45352</v>
      </c>
    </row>
    <row r="1125" spans="1:9" x14ac:dyDescent="0.15">
      <c r="A1125" s="6">
        <v>1124</v>
      </c>
      <c r="B1125" s="7" t="s">
        <v>7</v>
      </c>
      <c r="C1125" s="8">
        <v>1890</v>
      </c>
      <c r="D1125" s="9">
        <v>45449</v>
      </c>
      <c r="E1125" s="13">
        <f>+HYPERLINK("http://trademark.i-assist.jp/data/china/image_1890th/77041100.pdf",77041100)</f>
        <v>77041100</v>
      </c>
      <c r="F1125" s="7" t="s">
        <v>3186</v>
      </c>
      <c r="G1125" s="7" t="s">
        <v>3185</v>
      </c>
      <c r="H1125" s="7" t="s">
        <v>3187</v>
      </c>
      <c r="I1125" s="9">
        <v>45352</v>
      </c>
    </row>
    <row r="1126" spans="1:9" x14ac:dyDescent="0.15">
      <c r="A1126" s="6">
        <v>1125</v>
      </c>
      <c r="B1126" s="7" t="s">
        <v>7</v>
      </c>
      <c r="C1126" s="8">
        <v>1890</v>
      </c>
      <c r="D1126" s="9">
        <v>45449</v>
      </c>
      <c r="E1126" s="13">
        <f>+HYPERLINK("http://trademark.i-assist.jp/data/china/image_1890th/77041857.pdf",77041857)</f>
        <v>77041857</v>
      </c>
      <c r="F1126" s="7" t="s">
        <v>3189</v>
      </c>
      <c r="G1126" s="7" t="s">
        <v>3188</v>
      </c>
      <c r="H1126" s="7" t="s">
        <v>3190</v>
      </c>
      <c r="I1126" s="9">
        <v>45352</v>
      </c>
    </row>
    <row r="1127" spans="1:9" x14ac:dyDescent="0.15">
      <c r="A1127" s="6">
        <v>1126</v>
      </c>
      <c r="B1127" s="7" t="s">
        <v>7</v>
      </c>
      <c r="C1127" s="8">
        <v>1890</v>
      </c>
      <c r="D1127" s="9">
        <v>45449</v>
      </c>
      <c r="E1127" s="13">
        <f>+HYPERLINK("http://trademark.i-assist.jp/data/china/image_1890th/77042502.pdf",77042502)</f>
        <v>77042502</v>
      </c>
      <c r="F1127" s="7" t="s">
        <v>3192</v>
      </c>
      <c r="G1127" s="7" t="s">
        <v>3191</v>
      </c>
      <c r="H1127" s="7" t="s">
        <v>3193</v>
      </c>
      <c r="I1127" s="9">
        <v>45352</v>
      </c>
    </row>
    <row r="1128" spans="1:9" x14ac:dyDescent="0.15">
      <c r="A1128" s="6">
        <v>1127</v>
      </c>
      <c r="B1128" s="7" t="s">
        <v>7</v>
      </c>
      <c r="C1128" s="8">
        <v>1890</v>
      </c>
      <c r="D1128" s="9">
        <v>45449</v>
      </c>
      <c r="E1128" s="13">
        <f>+HYPERLINK("http://trademark.i-assist.jp/data/china/image_1890th/77044645.pdf",77044645)</f>
        <v>77044645</v>
      </c>
      <c r="F1128" s="7" t="s">
        <v>3195</v>
      </c>
      <c r="G1128" s="7" t="s">
        <v>3194</v>
      </c>
      <c r="H1128" s="7" t="s">
        <v>3196</v>
      </c>
      <c r="I1128" s="9">
        <v>45352</v>
      </c>
    </row>
    <row r="1129" spans="1:9" x14ac:dyDescent="0.15">
      <c r="A1129" s="6">
        <v>1128</v>
      </c>
      <c r="B1129" s="7" t="s">
        <v>7</v>
      </c>
      <c r="C1129" s="8">
        <v>1890</v>
      </c>
      <c r="D1129" s="9">
        <v>45449</v>
      </c>
      <c r="E1129" s="13">
        <f>+HYPERLINK("http://trademark.i-assist.jp/data/china/image_1890th/77044924.pdf",77044924)</f>
        <v>77044924</v>
      </c>
      <c r="F1129" s="7" t="s">
        <v>3198</v>
      </c>
      <c r="G1129" s="7" t="s">
        <v>3197</v>
      </c>
      <c r="H1129" s="7" t="s">
        <v>3199</v>
      </c>
      <c r="I1129" s="9">
        <v>45352</v>
      </c>
    </row>
    <row r="1130" spans="1:9" x14ac:dyDescent="0.15">
      <c r="A1130" s="6">
        <v>1129</v>
      </c>
      <c r="B1130" s="7" t="s">
        <v>7</v>
      </c>
      <c r="C1130" s="8">
        <v>1890</v>
      </c>
      <c r="D1130" s="9">
        <v>45449</v>
      </c>
      <c r="E1130" s="13">
        <f>+HYPERLINK("http://trademark.i-assist.jp/data/china/image_1890th/77045430.pdf",77045430)</f>
        <v>77045430</v>
      </c>
      <c r="F1130" s="7" t="s">
        <v>3201</v>
      </c>
      <c r="G1130" s="7" t="s">
        <v>3200</v>
      </c>
      <c r="H1130" s="7" t="s">
        <v>3202</v>
      </c>
      <c r="I1130" s="9">
        <v>45352</v>
      </c>
    </row>
    <row r="1131" spans="1:9" x14ac:dyDescent="0.15">
      <c r="A1131" s="6">
        <v>1130</v>
      </c>
      <c r="B1131" s="7" t="s">
        <v>7</v>
      </c>
      <c r="C1131" s="8">
        <v>1890</v>
      </c>
      <c r="D1131" s="9">
        <v>45449</v>
      </c>
      <c r="E1131" s="13">
        <f>+HYPERLINK("http://trademark.i-assist.jp/data/china/image_1890th/77045531.pdf",77045531)</f>
        <v>77045531</v>
      </c>
      <c r="F1131" s="7" t="s">
        <v>3204</v>
      </c>
      <c r="G1131" s="7" t="s">
        <v>3203</v>
      </c>
      <c r="H1131" s="7" t="s">
        <v>3205</v>
      </c>
      <c r="I1131" s="9">
        <v>45352</v>
      </c>
    </row>
    <row r="1132" spans="1:9" x14ac:dyDescent="0.15">
      <c r="A1132" s="6">
        <v>1131</v>
      </c>
      <c r="B1132" s="7" t="s">
        <v>7</v>
      </c>
      <c r="C1132" s="8">
        <v>1890</v>
      </c>
      <c r="D1132" s="9">
        <v>45449</v>
      </c>
      <c r="E1132" s="13">
        <f>+HYPERLINK("http://trademark.i-assist.jp/data/china/image_1890th/77045925.pdf",77045925)</f>
        <v>77045925</v>
      </c>
      <c r="F1132" s="7" t="s">
        <v>3206</v>
      </c>
      <c r="G1132" s="7" t="s">
        <v>1039</v>
      </c>
      <c r="H1132" s="7" t="s">
        <v>3207</v>
      </c>
      <c r="I1132" s="9">
        <v>45352</v>
      </c>
    </row>
    <row r="1133" spans="1:9" ht="27" x14ac:dyDescent="0.15">
      <c r="A1133" s="6">
        <v>1132</v>
      </c>
      <c r="B1133" s="7" t="s">
        <v>7</v>
      </c>
      <c r="C1133" s="8">
        <v>1890</v>
      </c>
      <c r="D1133" s="9">
        <v>45449</v>
      </c>
      <c r="E1133" s="13">
        <f>+HYPERLINK("http://trademark.i-assist.jp/data/china/image_1890th/77046042.pdf",77046042)</f>
        <v>77046042</v>
      </c>
      <c r="F1133" s="7" t="s">
        <v>3209</v>
      </c>
      <c r="G1133" s="7" t="s">
        <v>3208</v>
      </c>
      <c r="H1133" s="7" t="s">
        <v>3210</v>
      </c>
      <c r="I1133" s="9">
        <v>45352</v>
      </c>
    </row>
    <row r="1134" spans="1:9" x14ac:dyDescent="0.15">
      <c r="A1134" s="6">
        <v>1133</v>
      </c>
      <c r="B1134" s="7" t="s">
        <v>7</v>
      </c>
      <c r="C1134" s="8">
        <v>1890</v>
      </c>
      <c r="D1134" s="9">
        <v>45449</v>
      </c>
      <c r="E1134" s="13">
        <f>+HYPERLINK("http://trademark.i-assist.jp/data/china/image_1890th/77047452.pdf",77047452)</f>
        <v>77047452</v>
      </c>
      <c r="F1134" s="7" t="s">
        <v>3212</v>
      </c>
      <c r="G1134" s="7" t="s">
        <v>3211</v>
      </c>
      <c r="H1134" s="7" t="s">
        <v>3213</v>
      </c>
      <c r="I1134" s="9">
        <v>45352</v>
      </c>
    </row>
    <row r="1135" spans="1:9" ht="27" x14ac:dyDescent="0.15">
      <c r="A1135" s="6">
        <v>1134</v>
      </c>
      <c r="B1135" s="7" t="s">
        <v>7</v>
      </c>
      <c r="C1135" s="8">
        <v>1890</v>
      </c>
      <c r="D1135" s="9">
        <v>45449</v>
      </c>
      <c r="E1135" s="13">
        <f>+HYPERLINK("http://trademark.i-assist.jp/data/china/image_1890th/77047534.pdf",77047534)</f>
        <v>77047534</v>
      </c>
      <c r="F1135" s="7" t="s">
        <v>3215</v>
      </c>
      <c r="G1135" s="7" t="s">
        <v>3214</v>
      </c>
      <c r="H1135" s="7" t="s">
        <v>3216</v>
      </c>
      <c r="I1135" s="9">
        <v>45352</v>
      </c>
    </row>
    <row r="1136" spans="1:9" ht="27" x14ac:dyDescent="0.15">
      <c r="A1136" s="6">
        <v>1135</v>
      </c>
      <c r="B1136" s="7" t="s">
        <v>7</v>
      </c>
      <c r="C1136" s="8">
        <v>1890</v>
      </c>
      <c r="D1136" s="9">
        <v>45449</v>
      </c>
      <c r="E1136" s="13">
        <f>+HYPERLINK("http://trademark.i-assist.jp/data/china/image_1890th/77047542.pdf",77047542)</f>
        <v>77047542</v>
      </c>
      <c r="F1136" s="7" t="s">
        <v>3217</v>
      </c>
      <c r="G1136" s="7" t="s">
        <v>3214</v>
      </c>
      <c r="H1136" s="7" t="s">
        <v>3218</v>
      </c>
      <c r="I1136" s="9">
        <v>45352</v>
      </c>
    </row>
    <row r="1137" spans="1:9" x14ac:dyDescent="0.15">
      <c r="A1137" s="6">
        <v>1136</v>
      </c>
      <c r="B1137" s="7" t="s">
        <v>7</v>
      </c>
      <c r="C1137" s="8">
        <v>1890</v>
      </c>
      <c r="D1137" s="9">
        <v>45449</v>
      </c>
      <c r="E1137" s="13">
        <f>+HYPERLINK("http://trademark.i-assist.jp/data/china/image_1890th/77047831.pdf",77047831)</f>
        <v>77047831</v>
      </c>
      <c r="F1137" s="7" t="s">
        <v>3220</v>
      </c>
      <c r="G1137" s="7" t="s">
        <v>3219</v>
      </c>
      <c r="H1137" s="7" t="s">
        <v>3221</v>
      </c>
      <c r="I1137" s="9">
        <v>45352</v>
      </c>
    </row>
    <row r="1138" spans="1:9" ht="27" x14ac:dyDescent="0.15">
      <c r="A1138" s="6">
        <v>1137</v>
      </c>
      <c r="B1138" s="7" t="s">
        <v>7</v>
      </c>
      <c r="C1138" s="8">
        <v>1890</v>
      </c>
      <c r="D1138" s="9">
        <v>45449</v>
      </c>
      <c r="E1138" s="13">
        <f>+HYPERLINK("http://trademark.i-assist.jp/data/china/image_1890th/77048932.pdf",77048932)</f>
        <v>77048932</v>
      </c>
      <c r="F1138" s="7" t="s">
        <v>3223</v>
      </c>
      <c r="G1138" s="7" t="s">
        <v>3222</v>
      </c>
      <c r="H1138" s="7" t="s">
        <v>3224</v>
      </c>
      <c r="I1138" s="9">
        <v>45352</v>
      </c>
    </row>
    <row r="1139" spans="1:9" ht="27" x14ac:dyDescent="0.15">
      <c r="A1139" s="6">
        <v>1138</v>
      </c>
      <c r="B1139" s="7" t="s">
        <v>7</v>
      </c>
      <c r="C1139" s="8">
        <v>1890</v>
      </c>
      <c r="D1139" s="9">
        <v>45449</v>
      </c>
      <c r="E1139" s="13">
        <f>+HYPERLINK("http://trademark.i-assist.jp/data/china/image_1890th/77049459.pdf",77049459)</f>
        <v>77049459</v>
      </c>
      <c r="F1139" s="7" t="s">
        <v>3225</v>
      </c>
      <c r="G1139" s="7" t="s">
        <v>25</v>
      </c>
      <c r="H1139" s="7" t="s">
        <v>3226</v>
      </c>
      <c r="I1139" s="9">
        <v>45352</v>
      </c>
    </row>
    <row r="1140" spans="1:9" x14ac:dyDescent="0.15">
      <c r="A1140" s="6">
        <v>1139</v>
      </c>
      <c r="B1140" s="7" t="s">
        <v>7</v>
      </c>
      <c r="C1140" s="8">
        <v>1890</v>
      </c>
      <c r="D1140" s="9">
        <v>45449</v>
      </c>
      <c r="E1140" s="13">
        <f>+HYPERLINK("http://trademark.i-assist.jp/data/china/image_1890th/77049716.pdf",77049716)</f>
        <v>77049716</v>
      </c>
      <c r="F1140" s="7" t="s">
        <v>3228</v>
      </c>
      <c r="G1140" s="7" t="s">
        <v>3227</v>
      </c>
      <c r="H1140" s="7" t="s">
        <v>3229</v>
      </c>
      <c r="I1140" s="9">
        <v>45352</v>
      </c>
    </row>
    <row r="1141" spans="1:9" ht="27" x14ac:dyDescent="0.15">
      <c r="A1141" s="6">
        <v>1140</v>
      </c>
      <c r="B1141" s="7" t="s">
        <v>7</v>
      </c>
      <c r="C1141" s="8">
        <v>1890</v>
      </c>
      <c r="D1141" s="9">
        <v>45449</v>
      </c>
      <c r="E1141" s="13">
        <f>+HYPERLINK("http://trademark.i-assist.jp/data/china/image_1890th/77050530.pdf",77050530)</f>
        <v>77050530</v>
      </c>
      <c r="F1141" s="7" t="s">
        <v>3231</v>
      </c>
      <c r="G1141" s="7" t="s">
        <v>3230</v>
      </c>
      <c r="H1141" s="7" t="s">
        <v>3232</v>
      </c>
      <c r="I1141" s="9">
        <v>45352</v>
      </c>
    </row>
    <row r="1142" spans="1:9" x14ac:dyDescent="0.15">
      <c r="A1142" s="6">
        <v>1141</v>
      </c>
      <c r="B1142" s="7" t="s">
        <v>7</v>
      </c>
      <c r="C1142" s="8">
        <v>1890</v>
      </c>
      <c r="D1142" s="9">
        <v>45449</v>
      </c>
      <c r="E1142" s="13">
        <f>+HYPERLINK("http://trademark.i-assist.jp/data/china/image_1890th/77051350.pdf",77051350)</f>
        <v>77051350</v>
      </c>
      <c r="F1142" s="7" t="s">
        <v>3234</v>
      </c>
      <c r="G1142" s="7" t="s">
        <v>3233</v>
      </c>
      <c r="H1142" s="7" t="s">
        <v>3235</v>
      </c>
      <c r="I1142" s="9">
        <v>45352</v>
      </c>
    </row>
    <row r="1143" spans="1:9" x14ac:dyDescent="0.15">
      <c r="A1143" s="6">
        <v>1142</v>
      </c>
      <c r="B1143" s="7" t="s">
        <v>7</v>
      </c>
      <c r="C1143" s="8">
        <v>1890</v>
      </c>
      <c r="D1143" s="9">
        <v>45449</v>
      </c>
      <c r="E1143" s="13">
        <f>+HYPERLINK("http://trademark.i-assist.jp/data/china/image_1890th/77051411.pdf",77051411)</f>
        <v>77051411</v>
      </c>
      <c r="F1143" s="7" t="s">
        <v>3236</v>
      </c>
      <c r="G1143" s="7" t="s">
        <v>2677</v>
      </c>
      <c r="H1143" s="7" t="s">
        <v>3237</v>
      </c>
      <c r="I1143" s="9">
        <v>45352</v>
      </c>
    </row>
    <row r="1144" spans="1:9" x14ac:dyDescent="0.15">
      <c r="A1144" s="6">
        <v>1143</v>
      </c>
      <c r="B1144" s="7" t="s">
        <v>7</v>
      </c>
      <c r="C1144" s="8">
        <v>1890</v>
      </c>
      <c r="D1144" s="9">
        <v>45449</v>
      </c>
      <c r="E1144" s="13">
        <f>+HYPERLINK("http://trademark.i-assist.jp/data/china/image_1890th/77052147.pdf",77052147)</f>
        <v>77052147</v>
      </c>
      <c r="F1144" s="7" t="s">
        <v>183</v>
      </c>
      <c r="G1144" s="7" t="s">
        <v>3238</v>
      </c>
      <c r="H1144" s="7" t="s">
        <v>3239</v>
      </c>
      <c r="I1144" s="9">
        <v>45352</v>
      </c>
    </row>
    <row r="1145" spans="1:9" x14ac:dyDescent="0.15">
      <c r="A1145" s="6">
        <v>1144</v>
      </c>
      <c r="B1145" s="7" t="s">
        <v>7</v>
      </c>
      <c r="C1145" s="8">
        <v>1890</v>
      </c>
      <c r="D1145" s="9">
        <v>45449</v>
      </c>
      <c r="E1145" s="13">
        <f>+HYPERLINK("http://trademark.i-assist.jp/data/china/image_1890th/77052352.pdf",77052352)</f>
        <v>77052352</v>
      </c>
      <c r="F1145" s="7" t="s">
        <v>3241</v>
      </c>
      <c r="G1145" s="7" t="s">
        <v>3240</v>
      </c>
      <c r="H1145" s="7" t="s">
        <v>3242</v>
      </c>
      <c r="I1145" s="9">
        <v>45352</v>
      </c>
    </row>
    <row r="1146" spans="1:9" x14ac:dyDescent="0.15">
      <c r="A1146" s="6">
        <v>1145</v>
      </c>
      <c r="B1146" s="7" t="s">
        <v>7</v>
      </c>
      <c r="C1146" s="8">
        <v>1890</v>
      </c>
      <c r="D1146" s="9">
        <v>45449</v>
      </c>
      <c r="E1146" s="13">
        <f>+HYPERLINK("http://trademark.i-assist.jp/data/china/image_1890th/77052577.pdf",77052577)</f>
        <v>77052577</v>
      </c>
      <c r="F1146" s="7" t="s">
        <v>3244</v>
      </c>
      <c r="G1146" s="7" t="s">
        <v>3243</v>
      </c>
      <c r="H1146" s="7" t="s">
        <v>3245</v>
      </c>
      <c r="I1146" s="9">
        <v>45352</v>
      </c>
    </row>
    <row r="1147" spans="1:9" x14ac:dyDescent="0.15">
      <c r="A1147" s="6">
        <v>1146</v>
      </c>
      <c r="B1147" s="7" t="s">
        <v>7</v>
      </c>
      <c r="C1147" s="8">
        <v>1890</v>
      </c>
      <c r="D1147" s="9">
        <v>45449</v>
      </c>
      <c r="E1147" s="13">
        <f>+HYPERLINK("http://trademark.i-assist.jp/data/china/image_1890th/77052856.pdf",77052856)</f>
        <v>77052856</v>
      </c>
      <c r="F1147" s="7" t="s">
        <v>3247</v>
      </c>
      <c r="G1147" s="7" t="s">
        <v>3246</v>
      </c>
      <c r="H1147" s="7" t="s">
        <v>3248</v>
      </c>
      <c r="I1147" s="9">
        <v>45352</v>
      </c>
    </row>
    <row r="1148" spans="1:9" x14ac:dyDescent="0.15">
      <c r="A1148" s="6">
        <v>1147</v>
      </c>
      <c r="B1148" s="7" t="s">
        <v>7</v>
      </c>
      <c r="C1148" s="8">
        <v>1890</v>
      </c>
      <c r="D1148" s="9">
        <v>45449</v>
      </c>
      <c r="E1148" s="13">
        <f>+HYPERLINK("http://trademark.i-assist.jp/data/china/image_1890th/77052927.pdf",77052927)</f>
        <v>77052927</v>
      </c>
      <c r="F1148" s="7" t="s">
        <v>3249</v>
      </c>
      <c r="G1148" s="7" t="s">
        <v>24</v>
      </c>
      <c r="H1148" s="7" t="s">
        <v>3250</v>
      </c>
      <c r="I1148" s="9">
        <v>45352</v>
      </c>
    </row>
    <row r="1149" spans="1:9" x14ac:dyDescent="0.15">
      <c r="A1149" s="6">
        <v>1148</v>
      </c>
      <c r="B1149" s="7" t="s">
        <v>7</v>
      </c>
      <c r="C1149" s="8">
        <v>1890</v>
      </c>
      <c r="D1149" s="9">
        <v>45449</v>
      </c>
      <c r="E1149" s="13">
        <f>+HYPERLINK("http://trademark.i-assist.jp/data/china/image_1890th/77053261.pdf",77053261)</f>
        <v>77053261</v>
      </c>
      <c r="F1149" s="7" t="s">
        <v>3249</v>
      </c>
      <c r="G1149" s="7" t="s">
        <v>24</v>
      </c>
      <c r="H1149" s="7" t="s">
        <v>3251</v>
      </c>
      <c r="I1149" s="9">
        <v>45352</v>
      </c>
    </row>
    <row r="1150" spans="1:9" x14ac:dyDescent="0.15">
      <c r="A1150" s="6">
        <v>1149</v>
      </c>
      <c r="B1150" s="7" t="s">
        <v>7</v>
      </c>
      <c r="C1150" s="8">
        <v>1890</v>
      </c>
      <c r="D1150" s="9">
        <v>45449</v>
      </c>
      <c r="E1150" s="13">
        <f>+HYPERLINK("http://trademark.i-assist.jp/data/china/image_1890th/77053789.pdf",77053789)</f>
        <v>77053789</v>
      </c>
      <c r="F1150" s="7" t="s">
        <v>3253</v>
      </c>
      <c r="G1150" s="7" t="s">
        <v>3252</v>
      </c>
      <c r="H1150" s="7" t="s">
        <v>3254</v>
      </c>
      <c r="I1150" s="9">
        <v>45352</v>
      </c>
    </row>
    <row r="1151" spans="1:9" x14ac:dyDescent="0.15">
      <c r="A1151" s="6">
        <v>1150</v>
      </c>
      <c r="B1151" s="7" t="s">
        <v>7</v>
      </c>
      <c r="C1151" s="8">
        <v>1890</v>
      </c>
      <c r="D1151" s="9">
        <v>45449</v>
      </c>
      <c r="E1151" s="13">
        <f>+HYPERLINK("http://trademark.i-assist.jp/data/china/image_1890th/77054018.pdf",77054018)</f>
        <v>77054018</v>
      </c>
      <c r="F1151" s="7" t="s">
        <v>3201</v>
      </c>
      <c r="G1151" s="7" t="s">
        <v>3200</v>
      </c>
      <c r="H1151" s="7" t="s">
        <v>3255</v>
      </c>
      <c r="I1151" s="9">
        <v>45352</v>
      </c>
    </row>
    <row r="1152" spans="1:9" x14ac:dyDescent="0.15">
      <c r="A1152" s="6">
        <v>1151</v>
      </c>
      <c r="B1152" s="7" t="s">
        <v>7</v>
      </c>
      <c r="C1152" s="8">
        <v>1890</v>
      </c>
      <c r="D1152" s="9">
        <v>45449</v>
      </c>
      <c r="E1152" s="13">
        <f>+HYPERLINK("http://trademark.i-assist.jp/data/china/image_1890th/77054651.pdf",77054651)</f>
        <v>77054651</v>
      </c>
      <c r="F1152" s="7" t="s">
        <v>3257</v>
      </c>
      <c r="G1152" s="7" t="s">
        <v>3256</v>
      </c>
      <c r="H1152" s="7" t="s">
        <v>3258</v>
      </c>
      <c r="I1152" s="9">
        <v>45352</v>
      </c>
    </row>
    <row r="1153" spans="1:9" x14ac:dyDescent="0.15">
      <c r="A1153" s="6">
        <v>1152</v>
      </c>
      <c r="B1153" s="7" t="s">
        <v>7</v>
      </c>
      <c r="C1153" s="8">
        <v>1890</v>
      </c>
      <c r="D1153" s="9">
        <v>45449</v>
      </c>
      <c r="E1153" s="13">
        <f>+HYPERLINK("http://trademark.i-assist.jp/data/china/image_1890th/77054757.pdf",77054757)</f>
        <v>77054757</v>
      </c>
      <c r="F1153" s="7" t="s">
        <v>3260</v>
      </c>
      <c r="G1153" s="7" t="s">
        <v>3259</v>
      </c>
      <c r="H1153" s="7" t="s">
        <v>3261</v>
      </c>
      <c r="I1153" s="9">
        <v>45352</v>
      </c>
    </row>
    <row r="1154" spans="1:9" x14ac:dyDescent="0.15">
      <c r="A1154" s="6">
        <v>1153</v>
      </c>
      <c r="B1154" s="7" t="s">
        <v>7</v>
      </c>
      <c r="C1154" s="8">
        <v>1890</v>
      </c>
      <c r="D1154" s="9">
        <v>45449</v>
      </c>
      <c r="E1154" s="13">
        <f>+HYPERLINK("http://trademark.i-assist.jp/data/china/image_1890th/77054962.pdf",77054962)</f>
        <v>77054962</v>
      </c>
      <c r="F1154" s="7" t="s">
        <v>3263</v>
      </c>
      <c r="G1154" s="7" t="s">
        <v>3262</v>
      </c>
      <c r="H1154" s="7" t="s">
        <v>3264</v>
      </c>
      <c r="I1154" s="9">
        <v>45352</v>
      </c>
    </row>
    <row r="1155" spans="1:9" x14ac:dyDescent="0.15">
      <c r="A1155" s="6">
        <v>1154</v>
      </c>
      <c r="B1155" s="7" t="s">
        <v>7</v>
      </c>
      <c r="C1155" s="8">
        <v>1890</v>
      </c>
      <c r="D1155" s="9">
        <v>45449</v>
      </c>
      <c r="E1155" s="13">
        <f>+HYPERLINK("http://trademark.i-assist.jp/data/china/image_1890th/77055063.pdf",77055063)</f>
        <v>77055063</v>
      </c>
      <c r="F1155" s="7" t="s">
        <v>3266</v>
      </c>
      <c r="G1155" s="7" t="s">
        <v>3265</v>
      </c>
      <c r="H1155" s="7" t="s">
        <v>3267</v>
      </c>
      <c r="I1155" s="9">
        <v>45352</v>
      </c>
    </row>
    <row r="1156" spans="1:9" x14ac:dyDescent="0.15">
      <c r="A1156" s="6">
        <v>1155</v>
      </c>
      <c r="B1156" s="7" t="s">
        <v>7</v>
      </c>
      <c r="C1156" s="8">
        <v>1890</v>
      </c>
      <c r="D1156" s="9">
        <v>45449</v>
      </c>
      <c r="E1156" s="13">
        <f>+HYPERLINK("http://trademark.i-assist.jp/data/china/image_1890th/77055336.pdf",77055336)</f>
        <v>77055336</v>
      </c>
      <c r="F1156" s="7" t="s">
        <v>3269</v>
      </c>
      <c r="G1156" s="7" t="s">
        <v>3268</v>
      </c>
      <c r="H1156" s="7" t="s">
        <v>3270</v>
      </c>
      <c r="I1156" s="9">
        <v>45352</v>
      </c>
    </row>
    <row r="1157" spans="1:9" x14ac:dyDescent="0.15">
      <c r="A1157" s="6">
        <v>1156</v>
      </c>
      <c r="B1157" s="7" t="s">
        <v>7</v>
      </c>
      <c r="C1157" s="8">
        <v>1890</v>
      </c>
      <c r="D1157" s="9">
        <v>45449</v>
      </c>
      <c r="E1157" s="13">
        <f>+HYPERLINK("http://trademark.i-assist.jp/data/china/image_1890th/77055478.pdf",77055478)</f>
        <v>77055478</v>
      </c>
      <c r="F1157" s="7" t="s">
        <v>3271</v>
      </c>
      <c r="G1157" s="7" t="s">
        <v>26</v>
      </c>
      <c r="H1157" s="7" t="s">
        <v>3272</v>
      </c>
      <c r="I1157" s="9">
        <v>45352</v>
      </c>
    </row>
    <row r="1158" spans="1:9" x14ac:dyDescent="0.15">
      <c r="A1158" s="6">
        <v>1157</v>
      </c>
      <c r="B1158" s="7" t="s">
        <v>7</v>
      </c>
      <c r="C1158" s="8">
        <v>1890</v>
      </c>
      <c r="D1158" s="9">
        <v>45449</v>
      </c>
      <c r="E1158" s="13">
        <f>+HYPERLINK("http://trademark.i-assist.jp/data/china/image_1890th/77055507.pdf",77055507)</f>
        <v>77055507</v>
      </c>
      <c r="F1158" s="7" t="s">
        <v>3274</v>
      </c>
      <c r="G1158" s="7" t="s">
        <v>3273</v>
      </c>
      <c r="H1158" s="7" t="s">
        <v>3275</v>
      </c>
      <c r="I1158" s="9">
        <v>45352</v>
      </c>
    </row>
    <row r="1159" spans="1:9" x14ac:dyDescent="0.15">
      <c r="A1159" s="6">
        <v>1158</v>
      </c>
      <c r="B1159" s="7" t="s">
        <v>7</v>
      </c>
      <c r="C1159" s="8">
        <v>1890</v>
      </c>
      <c r="D1159" s="9">
        <v>45449</v>
      </c>
      <c r="E1159" s="13">
        <f>+HYPERLINK("http://trademark.i-assist.jp/data/china/image_1890th/77055772.pdf",77055772)</f>
        <v>77055772</v>
      </c>
      <c r="F1159" s="7" t="s">
        <v>3276</v>
      </c>
      <c r="G1159" s="7" t="s">
        <v>3259</v>
      </c>
      <c r="H1159" s="7" t="s">
        <v>3277</v>
      </c>
      <c r="I1159" s="9">
        <v>45352</v>
      </c>
    </row>
    <row r="1160" spans="1:9" x14ac:dyDescent="0.15">
      <c r="A1160" s="6">
        <v>1159</v>
      </c>
      <c r="B1160" s="7" t="s">
        <v>7</v>
      </c>
      <c r="C1160" s="8">
        <v>1890</v>
      </c>
      <c r="D1160" s="9">
        <v>45449</v>
      </c>
      <c r="E1160" s="13">
        <f>+HYPERLINK("http://trademark.i-assist.jp/data/china/image_1890th/77055919.pdf",77055919)</f>
        <v>77055919</v>
      </c>
      <c r="F1160" s="7" t="s">
        <v>3201</v>
      </c>
      <c r="G1160" s="7" t="s">
        <v>3200</v>
      </c>
      <c r="H1160" s="7" t="s">
        <v>3278</v>
      </c>
      <c r="I1160" s="9">
        <v>45352</v>
      </c>
    </row>
    <row r="1161" spans="1:9" x14ac:dyDescent="0.15">
      <c r="A1161" s="6">
        <v>1160</v>
      </c>
      <c r="B1161" s="7" t="s">
        <v>7</v>
      </c>
      <c r="C1161" s="8">
        <v>1890</v>
      </c>
      <c r="D1161" s="9">
        <v>45449</v>
      </c>
      <c r="E1161" s="13">
        <f>+HYPERLINK("http://trademark.i-assist.jp/data/china/image_1890th/77056275.pdf",77056275)</f>
        <v>77056275</v>
      </c>
      <c r="F1161" s="7" t="s">
        <v>3280</v>
      </c>
      <c r="G1161" s="7" t="s">
        <v>3279</v>
      </c>
      <c r="H1161" s="7" t="s">
        <v>3281</v>
      </c>
      <c r="I1161" s="9">
        <v>45352</v>
      </c>
    </row>
    <row r="1162" spans="1:9" x14ac:dyDescent="0.15">
      <c r="A1162" s="6">
        <v>1161</v>
      </c>
      <c r="B1162" s="7" t="s">
        <v>7</v>
      </c>
      <c r="C1162" s="8">
        <v>1890</v>
      </c>
      <c r="D1162" s="9">
        <v>45449</v>
      </c>
      <c r="E1162" s="13">
        <f>+HYPERLINK("http://trademark.i-assist.jp/data/china/image_1890th/77056314.pdf",77056314)</f>
        <v>77056314</v>
      </c>
      <c r="F1162" s="7" t="s">
        <v>183</v>
      </c>
      <c r="G1162" s="7" t="s">
        <v>24</v>
      </c>
      <c r="H1162" s="7" t="s">
        <v>3282</v>
      </c>
      <c r="I1162" s="9">
        <v>45352</v>
      </c>
    </row>
    <row r="1163" spans="1:9" x14ac:dyDescent="0.15">
      <c r="A1163" s="6">
        <v>1162</v>
      </c>
      <c r="B1163" s="7" t="s">
        <v>7</v>
      </c>
      <c r="C1163" s="8">
        <v>1890</v>
      </c>
      <c r="D1163" s="9">
        <v>45449</v>
      </c>
      <c r="E1163" s="13">
        <f>+HYPERLINK("http://trademark.i-assist.jp/data/china/image_1890th/77056450.pdf",77056450)</f>
        <v>77056450</v>
      </c>
      <c r="F1163" s="7" t="s">
        <v>3284</v>
      </c>
      <c r="G1163" s="7" t="s">
        <v>3283</v>
      </c>
      <c r="H1163" s="7" t="s">
        <v>3285</v>
      </c>
      <c r="I1163" s="9">
        <v>45352</v>
      </c>
    </row>
    <row r="1164" spans="1:9" x14ac:dyDescent="0.15">
      <c r="A1164" s="6">
        <v>1163</v>
      </c>
      <c r="B1164" s="7" t="s">
        <v>7</v>
      </c>
      <c r="C1164" s="8">
        <v>1890</v>
      </c>
      <c r="D1164" s="9">
        <v>45449</v>
      </c>
      <c r="E1164" s="13">
        <f>+HYPERLINK("http://trademark.i-assist.jp/data/china/image_1890th/77056484.pdf",77056484)</f>
        <v>77056484</v>
      </c>
      <c r="F1164" s="7" t="s">
        <v>3286</v>
      </c>
      <c r="G1164" s="7" t="s">
        <v>21</v>
      </c>
      <c r="H1164" s="7" t="s">
        <v>3287</v>
      </c>
      <c r="I1164" s="9">
        <v>45352</v>
      </c>
    </row>
    <row r="1165" spans="1:9" x14ac:dyDescent="0.15">
      <c r="A1165" s="6">
        <v>1164</v>
      </c>
      <c r="B1165" s="7" t="s">
        <v>7</v>
      </c>
      <c r="C1165" s="8">
        <v>1890</v>
      </c>
      <c r="D1165" s="9">
        <v>45449</v>
      </c>
      <c r="E1165" s="13">
        <f>+HYPERLINK("http://trademark.i-assist.jp/data/china/image_1890th/77056689.pdf",77056689)</f>
        <v>77056689</v>
      </c>
      <c r="F1165" s="7" t="s">
        <v>3289</v>
      </c>
      <c r="G1165" s="7" t="s">
        <v>3288</v>
      </c>
      <c r="H1165" s="7" t="s">
        <v>3290</v>
      </c>
      <c r="I1165" s="9">
        <v>45352</v>
      </c>
    </row>
    <row r="1166" spans="1:9" x14ac:dyDescent="0.15">
      <c r="A1166" s="6">
        <v>1165</v>
      </c>
      <c r="B1166" s="7" t="s">
        <v>7</v>
      </c>
      <c r="C1166" s="8">
        <v>1890</v>
      </c>
      <c r="D1166" s="9">
        <v>45449</v>
      </c>
      <c r="E1166" s="13">
        <f>+HYPERLINK("http://trademark.i-assist.jp/data/china/image_1890th/77056722.pdf",77056722)</f>
        <v>77056722</v>
      </c>
      <c r="F1166" s="7" t="s">
        <v>3292</v>
      </c>
      <c r="G1166" s="7" t="s">
        <v>3291</v>
      </c>
      <c r="H1166" s="7" t="s">
        <v>3293</v>
      </c>
      <c r="I1166" s="9">
        <v>45352</v>
      </c>
    </row>
    <row r="1167" spans="1:9" x14ac:dyDescent="0.15">
      <c r="A1167" s="6">
        <v>1166</v>
      </c>
      <c r="B1167" s="7" t="s">
        <v>7</v>
      </c>
      <c r="C1167" s="8">
        <v>1890</v>
      </c>
      <c r="D1167" s="9">
        <v>45449</v>
      </c>
      <c r="E1167" s="13">
        <f>+HYPERLINK("http://trademark.i-assist.jp/data/china/image_1890th/77056726.pdf",77056726)</f>
        <v>77056726</v>
      </c>
      <c r="F1167" s="7" t="s">
        <v>3295</v>
      </c>
      <c r="G1167" s="7" t="s">
        <v>3294</v>
      </c>
      <c r="H1167" s="7" t="s">
        <v>3296</v>
      </c>
      <c r="I1167" s="9">
        <v>45352</v>
      </c>
    </row>
    <row r="1168" spans="1:9" ht="27" x14ac:dyDescent="0.15">
      <c r="A1168" s="6">
        <v>1167</v>
      </c>
      <c r="B1168" s="7" t="s">
        <v>7</v>
      </c>
      <c r="C1168" s="8">
        <v>1890</v>
      </c>
      <c r="D1168" s="9">
        <v>45449</v>
      </c>
      <c r="E1168" s="13">
        <f>+HYPERLINK("http://trademark.i-assist.jp/data/china/image_1890th/77056743.pdf",77056743)</f>
        <v>77056743</v>
      </c>
      <c r="F1168" s="7" t="s">
        <v>3225</v>
      </c>
      <c r="G1168" s="7" t="s">
        <v>25</v>
      </c>
      <c r="H1168" s="7" t="s">
        <v>3297</v>
      </c>
      <c r="I1168" s="9">
        <v>45352</v>
      </c>
    </row>
    <row r="1169" spans="1:9" ht="27" x14ac:dyDescent="0.15">
      <c r="A1169" s="6">
        <v>1168</v>
      </c>
      <c r="B1169" s="7" t="s">
        <v>7</v>
      </c>
      <c r="C1169" s="8">
        <v>1890</v>
      </c>
      <c r="D1169" s="9">
        <v>45449</v>
      </c>
      <c r="E1169" s="13">
        <f>+HYPERLINK("http://trademark.i-assist.jp/data/china/image_1890th/77057712.pdf",77057712)</f>
        <v>77057712</v>
      </c>
      <c r="F1169" s="7" t="s">
        <v>3299</v>
      </c>
      <c r="G1169" s="7" t="s">
        <v>3298</v>
      </c>
      <c r="H1169" s="7" t="s">
        <v>3300</v>
      </c>
      <c r="I1169" s="9">
        <v>45352</v>
      </c>
    </row>
    <row r="1170" spans="1:9" x14ac:dyDescent="0.15">
      <c r="A1170" s="6">
        <v>1169</v>
      </c>
      <c r="B1170" s="7" t="s">
        <v>7</v>
      </c>
      <c r="C1170" s="8">
        <v>1890</v>
      </c>
      <c r="D1170" s="9">
        <v>45449</v>
      </c>
      <c r="E1170" s="13">
        <f>+HYPERLINK("http://trademark.i-assist.jp/data/china/image_1890th/77058802.pdf",77058802)</f>
        <v>77058802</v>
      </c>
      <c r="F1170" s="7" t="s">
        <v>3302</v>
      </c>
      <c r="G1170" s="7" t="s">
        <v>3301</v>
      </c>
      <c r="H1170" s="7" t="s">
        <v>3303</v>
      </c>
      <c r="I1170" s="9">
        <v>45352</v>
      </c>
    </row>
    <row r="1171" spans="1:9" x14ac:dyDescent="0.15">
      <c r="A1171" s="6">
        <v>1170</v>
      </c>
      <c r="B1171" s="7" t="s">
        <v>7</v>
      </c>
      <c r="C1171" s="8">
        <v>1890</v>
      </c>
      <c r="D1171" s="9">
        <v>45449</v>
      </c>
      <c r="E1171" s="13">
        <f>+HYPERLINK("http://trademark.i-assist.jp/data/china/image_1890th/77059432.pdf",77059432)</f>
        <v>77059432</v>
      </c>
      <c r="F1171" s="7" t="s">
        <v>3305</v>
      </c>
      <c r="G1171" s="7" t="s">
        <v>3304</v>
      </c>
      <c r="H1171" s="7" t="s">
        <v>3306</v>
      </c>
      <c r="I1171" s="9">
        <v>45352</v>
      </c>
    </row>
    <row r="1172" spans="1:9" x14ac:dyDescent="0.15">
      <c r="A1172" s="6">
        <v>1171</v>
      </c>
      <c r="B1172" s="7" t="s">
        <v>7</v>
      </c>
      <c r="C1172" s="8">
        <v>1890</v>
      </c>
      <c r="D1172" s="9">
        <v>45449</v>
      </c>
      <c r="E1172" s="13">
        <f>+HYPERLINK("http://trademark.i-assist.jp/data/china/image_1890th/77059813.pdf",77059813)</f>
        <v>77059813</v>
      </c>
      <c r="F1172" s="7" t="s">
        <v>3308</v>
      </c>
      <c r="G1172" s="7" t="s">
        <v>3307</v>
      </c>
      <c r="H1172" s="7" t="s">
        <v>3309</v>
      </c>
      <c r="I1172" s="9">
        <v>45352</v>
      </c>
    </row>
    <row r="1173" spans="1:9" x14ac:dyDescent="0.15">
      <c r="A1173" s="6">
        <v>1172</v>
      </c>
      <c r="B1173" s="7" t="s">
        <v>7</v>
      </c>
      <c r="C1173" s="8">
        <v>1890</v>
      </c>
      <c r="D1173" s="9">
        <v>45449</v>
      </c>
      <c r="E1173" s="13">
        <f>+HYPERLINK("http://trademark.i-assist.jp/data/china/image_1890th/77059989.pdf",77059989)</f>
        <v>77059989</v>
      </c>
      <c r="F1173" s="7" t="s">
        <v>3311</v>
      </c>
      <c r="G1173" s="7" t="s">
        <v>3310</v>
      </c>
      <c r="H1173" s="7" t="s">
        <v>3312</v>
      </c>
      <c r="I1173" s="9">
        <v>45352</v>
      </c>
    </row>
    <row r="1174" spans="1:9" ht="27" x14ac:dyDescent="0.15">
      <c r="A1174" s="6">
        <v>1173</v>
      </c>
      <c r="B1174" s="7" t="s">
        <v>7</v>
      </c>
      <c r="C1174" s="8">
        <v>1890</v>
      </c>
      <c r="D1174" s="9">
        <v>45449</v>
      </c>
      <c r="E1174" s="13">
        <f>+HYPERLINK("http://trademark.i-assist.jp/data/china/image_1890th/77060040.pdf",77060040)</f>
        <v>77060040</v>
      </c>
      <c r="F1174" s="7" t="s">
        <v>3314</v>
      </c>
      <c r="G1174" s="7" t="s">
        <v>3313</v>
      </c>
      <c r="H1174" s="7" t="s">
        <v>3315</v>
      </c>
      <c r="I1174" s="9">
        <v>45352</v>
      </c>
    </row>
    <row r="1175" spans="1:9" ht="27" x14ac:dyDescent="0.15">
      <c r="A1175" s="6">
        <v>1174</v>
      </c>
      <c r="B1175" s="7" t="s">
        <v>7</v>
      </c>
      <c r="C1175" s="8">
        <v>1890</v>
      </c>
      <c r="D1175" s="9">
        <v>45449</v>
      </c>
      <c r="E1175" s="13">
        <f>+HYPERLINK("http://trademark.i-assist.jp/data/china/image_1890th/77060118.pdf",77060118)</f>
        <v>77060118</v>
      </c>
      <c r="F1175" s="7" t="s">
        <v>3317</v>
      </c>
      <c r="G1175" s="7" t="s">
        <v>3316</v>
      </c>
      <c r="H1175" s="7" t="s">
        <v>3318</v>
      </c>
      <c r="I1175" s="9">
        <v>45352</v>
      </c>
    </row>
    <row r="1176" spans="1:9" x14ac:dyDescent="0.15">
      <c r="A1176" s="6">
        <v>1175</v>
      </c>
      <c r="B1176" s="7" t="s">
        <v>7</v>
      </c>
      <c r="C1176" s="8">
        <v>1890</v>
      </c>
      <c r="D1176" s="9">
        <v>45449</v>
      </c>
      <c r="E1176" s="13">
        <f>+HYPERLINK("http://trademark.i-assist.jp/data/china/image_1890th/77060700.pdf",77060700)</f>
        <v>77060700</v>
      </c>
      <c r="F1176" s="7" t="s">
        <v>3320</v>
      </c>
      <c r="G1176" s="7" t="s">
        <v>3319</v>
      </c>
      <c r="H1176" s="7" t="s">
        <v>3321</v>
      </c>
      <c r="I1176" s="9">
        <v>45352</v>
      </c>
    </row>
    <row r="1177" spans="1:9" x14ac:dyDescent="0.15">
      <c r="A1177" s="6">
        <v>1176</v>
      </c>
      <c r="B1177" s="7" t="s">
        <v>7</v>
      </c>
      <c r="C1177" s="8">
        <v>1890</v>
      </c>
      <c r="D1177" s="9">
        <v>45449</v>
      </c>
      <c r="E1177" s="13">
        <f>+HYPERLINK("http://trademark.i-assist.jp/data/china/image_1890th/77061067.pdf",77061067)</f>
        <v>77061067</v>
      </c>
      <c r="F1177" s="7" t="s">
        <v>3322</v>
      </c>
      <c r="G1177" s="7" t="s">
        <v>3188</v>
      </c>
      <c r="H1177" s="7" t="s">
        <v>3323</v>
      </c>
      <c r="I1177" s="9">
        <v>45352</v>
      </c>
    </row>
    <row r="1178" spans="1:9" x14ac:dyDescent="0.15">
      <c r="A1178" s="6">
        <v>1177</v>
      </c>
      <c r="B1178" s="7" t="s">
        <v>7</v>
      </c>
      <c r="C1178" s="8">
        <v>1890</v>
      </c>
      <c r="D1178" s="9">
        <v>45449</v>
      </c>
      <c r="E1178" s="13">
        <f>+HYPERLINK("http://trademark.i-assist.jp/data/china/image_1890th/77061088.pdf",77061088)</f>
        <v>77061088</v>
      </c>
      <c r="F1178" s="7" t="s">
        <v>3325</v>
      </c>
      <c r="G1178" s="7" t="s">
        <v>3324</v>
      </c>
      <c r="H1178" s="7" t="s">
        <v>3326</v>
      </c>
      <c r="I1178" s="9">
        <v>45352</v>
      </c>
    </row>
    <row r="1179" spans="1:9" x14ac:dyDescent="0.15">
      <c r="A1179" s="6">
        <v>1178</v>
      </c>
      <c r="B1179" s="7" t="s">
        <v>7</v>
      </c>
      <c r="C1179" s="8">
        <v>1890</v>
      </c>
      <c r="D1179" s="9">
        <v>45449</v>
      </c>
      <c r="E1179" s="13">
        <f>+HYPERLINK("http://trademark.i-assist.jp/data/china/image_1890th/77061132.pdf",77061132)</f>
        <v>77061132</v>
      </c>
      <c r="F1179" s="7" t="s">
        <v>3328</v>
      </c>
      <c r="G1179" s="7" t="s">
        <v>3327</v>
      </c>
      <c r="H1179" s="7" t="s">
        <v>3329</v>
      </c>
      <c r="I1179" s="9">
        <v>45352</v>
      </c>
    </row>
    <row r="1180" spans="1:9" x14ac:dyDescent="0.15">
      <c r="A1180" s="6">
        <v>1179</v>
      </c>
      <c r="B1180" s="7" t="s">
        <v>7</v>
      </c>
      <c r="C1180" s="8">
        <v>1890</v>
      </c>
      <c r="D1180" s="9">
        <v>45449</v>
      </c>
      <c r="E1180" s="13">
        <f>+HYPERLINK("http://trademark.i-assist.jp/data/china/image_1890th/77061326.pdf",77061326)</f>
        <v>77061326</v>
      </c>
      <c r="F1180" s="7" t="s">
        <v>3331</v>
      </c>
      <c r="G1180" s="7" t="s">
        <v>3330</v>
      </c>
      <c r="H1180" s="7" t="s">
        <v>3332</v>
      </c>
      <c r="I1180" s="9">
        <v>45352</v>
      </c>
    </row>
    <row r="1181" spans="1:9" x14ac:dyDescent="0.15">
      <c r="A1181" s="6">
        <v>1180</v>
      </c>
      <c r="B1181" s="7" t="s">
        <v>7</v>
      </c>
      <c r="C1181" s="8">
        <v>1890</v>
      </c>
      <c r="D1181" s="9">
        <v>45449</v>
      </c>
      <c r="E1181" s="13">
        <f>+HYPERLINK("http://trademark.i-assist.jp/data/china/image_1890th/77061558.pdf",77061558)</f>
        <v>77061558</v>
      </c>
      <c r="F1181" s="7" t="s">
        <v>3334</v>
      </c>
      <c r="G1181" s="7" t="s">
        <v>3333</v>
      </c>
      <c r="H1181" s="7" t="s">
        <v>3335</v>
      </c>
      <c r="I1181" s="9">
        <v>45352</v>
      </c>
    </row>
    <row r="1182" spans="1:9" ht="27" x14ac:dyDescent="0.15">
      <c r="A1182" s="6">
        <v>1181</v>
      </c>
      <c r="B1182" s="7" t="s">
        <v>7</v>
      </c>
      <c r="C1182" s="8">
        <v>1890</v>
      </c>
      <c r="D1182" s="9">
        <v>45449</v>
      </c>
      <c r="E1182" s="13">
        <f>+HYPERLINK("http://trademark.i-assist.jp/data/china/image_1890th/77061672.pdf",77061672)</f>
        <v>77061672</v>
      </c>
      <c r="F1182" s="7" t="s">
        <v>3337</v>
      </c>
      <c r="G1182" s="7" t="s">
        <v>3336</v>
      </c>
      <c r="H1182" s="7" t="s">
        <v>3338</v>
      </c>
      <c r="I1182" s="9">
        <v>45352</v>
      </c>
    </row>
    <row r="1183" spans="1:9" x14ac:dyDescent="0.15">
      <c r="A1183" s="6">
        <v>1182</v>
      </c>
      <c r="B1183" s="7" t="s">
        <v>7</v>
      </c>
      <c r="C1183" s="8">
        <v>1890</v>
      </c>
      <c r="D1183" s="9">
        <v>45449</v>
      </c>
      <c r="E1183" s="13">
        <f>+HYPERLINK("http://trademark.i-assist.jp/data/china/image_1890th/77061938.pdf",77061938)</f>
        <v>77061938</v>
      </c>
      <c r="F1183" s="7" t="s">
        <v>3340</v>
      </c>
      <c r="G1183" s="7" t="s">
        <v>3339</v>
      </c>
      <c r="H1183" s="7" t="s">
        <v>3341</v>
      </c>
      <c r="I1183" s="9">
        <v>45352</v>
      </c>
    </row>
    <row r="1184" spans="1:9" x14ac:dyDescent="0.15">
      <c r="A1184" s="6">
        <v>1183</v>
      </c>
      <c r="B1184" s="7" t="s">
        <v>7</v>
      </c>
      <c r="C1184" s="8">
        <v>1890</v>
      </c>
      <c r="D1184" s="9">
        <v>45449</v>
      </c>
      <c r="E1184" s="13">
        <f>+HYPERLINK("http://trademark.i-assist.jp/data/china/image_1890th/77061999.pdf",77061999)</f>
        <v>77061999</v>
      </c>
      <c r="F1184" s="7" t="s">
        <v>3343</v>
      </c>
      <c r="G1184" s="7" t="s">
        <v>3342</v>
      </c>
      <c r="H1184" s="7" t="s">
        <v>3344</v>
      </c>
      <c r="I1184" s="9">
        <v>45352</v>
      </c>
    </row>
    <row r="1185" spans="1:9" x14ac:dyDescent="0.15">
      <c r="A1185" s="6">
        <v>1184</v>
      </c>
      <c r="B1185" s="7" t="s">
        <v>7</v>
      </c>
      <c r="C1185" s="8">
        <v>1890</v>
      </c>
      <c r="D1185" s="9">
        <v>45449</v>
      </c>
      <c r="E1185" s="13">
        <f>+HYPERLINK("http://trademark.i-assist.jp/data/china/image_1890th/77062438.pdf",77062438)</f>
        <v>77062438</v>
      </c>
      <c r="F1185" s="7" t="s">
        <v>3346</v>
      </c>
      <c r="G1185" s="7" t="s">
        <v>3345</v>
      </c>
      <c r="H1185" s="7" t="s">
        <v>3347</v>
      </c>
      <c r="I1185" s="9">
        <v>45352</v>
      </c>
    </row>
    <row r="1186" spans="1:9" x14ac:dyDescent="0.15">
      <c r="A1186" s="6">
        <v>1185</v>
      </c>
      <c r="B1186" s="7" t="s">
        <v>7</v>
      </c>
      <c r="C1186" s="8">
        <v>1890</v>
      </c>
      <c r="D1186" s="9">
        <v>45449</v>
      </c>
      <c r="E1186" s="13">
        <f>+HYPERLINK("http://trademark.i-assist.jp/data/china/image_1890th/77064322.pdf",77064322)</f>
        <v>77064322</v>
      </c>
      <c r="F1186" s="7" t="s">
        <v>3349</v>
      </c>
      <c r="G1186" s="7" t="s">
        <v>3348</v>
      </c>
      <c r="H1186" s="7" t="s">
        <v>3350</v>
      </c>
      <c r="I1186" s="9">
        <v>45353</v>
      </c>
    </row>
    <row r="1187" spans="1:9" x14ac:dyDescent="0.15">
      <c r="A1187" s="6">
        <v>1186</v>
      </c>
      <c r="B1187" s="7" t="s">
        <v>7</v>
      </c>
      <c r="C1187" s="8">
        <v>1890</v>
      </c>
      <c r="D1187" s="9">
        <v>45449</v>
      </c>
      <c r="E1187" s="13">
        <f>+HYPERLINK("http://trademark.i-assist.jp/data/china/image_1890th/77064460.pdf",77064460)</f>
        <v>77064460</v>
      </c>
      <c r="F1187" s="7" t="s">
        <v>3352</v>
      </c>
      <c r="G1187" s="7" t="s">
        <v>3351</v>
      </c>
      <c r="H1187" s="7" t="s">
        <v>3353</v>
      </c>
      <c r="I1187" s="9">
        <v>45353</v>
      </c>
    </row>
    <row r="1188" spans="1:9" x14ac:dyDescent="0.15">
      <c r="A1188" s="6">
        <v>1187</v>
      </c>
      <c r="B1188" s="7" t="s">
        <v>7</v>
      </c>
      <c r="C1188" s="8">
        <v>1890</v>
      </c>
      <c r="D1188" s="9">
        <v>45449</v>
      </c>
      <c r="E1188" s="13">
        <f>+HYPERLINK("http://trademark.i-assist.jp/data/china/image_1890th/77064472.pdf",77064472)</f>
        <v>77064472</v>
      </c>
      <c r="F1188" s="7" t="s">
        <v>3355</v>
      </c>
      <c r="G1188" s="7" t="s">
        <v>3354</v>
      </c>
      <c r="H1188" s="7" t="s">
        <v>3356</v>
      </c>
      <c r="I1188" s="9">
        <v>45353</v>
      </c>
    </row>
    <row r="1189" spans="1:9" x14ac:dyDescent="0.15">
      <c r="A1189" s="6">
        <v>1188</v>
      </c>
      <c r="B1189" s="7" t="s">
        <v>7</v>
      </c>
      <c r="C1189" s="8">
        <v>1890</v>
      </c>
      <c r="D1189" s="9">
        <v>45449</v>
      </c>
      <c r="E1189" s="13">
        <f>+HYPERLINK("http://trademark.i-assist.jp/data/china/image_1890th/77064904.pdf",77064904)</f>
        <v>77064904</v>
      </c>
      <c r="F1189" s="7" t="s">
        <v>3358</v>
      </c>
      <c r="G1189" s="7" t="s">
        <v>3357</v>
      </c>
      <c r="H1189" s="7" t="s">
        <v>3359</v>
      </c>
      <c r="I1189" s="9">
        <v>45353</v>
      </c>
    </row>
    <row r="1190" spans="1:9" x14ac:dyDescent="0.15">
      <c r="A1190" s="6">
        <v>1189</v>
      </c>
      <c r="B1190" s="7" t="s">
        <v>7</v>
      </c>
      <c r="C1190" s="8">
        <v>1890</v>
      </c>
      <c r="D1190" s="9">
        <v>45449</v>
      </c>
      <c r="E1190" s="13">
        <f>+HYPERLINK("http://trademark.i-assist.jp/data/china/image_1890th/77065471.pdf",77065471)</f>
        <v>77065471</v>
      </c>
      <c r="F1190" s="7" t="s">
        <v>3361</v>
      </c>
      <c r="G1190" s="7" t="s">
        <v>3360</v>
      </c>
      <c r="H1190" s="7" t="s">
        <v>3362</v>
      </c>
      <c r="I1190" s="9">
        <v>45353</v>
      </c>
    </row>
    <row r="1191" spans="1:9" x14ac:dyDescent="0.15">
      <c r="A1191" s="6">
        <v>1190</v>
      </c>
      <c r="B1191" s="7" t="s">
        <v>7</v>
      </c>
      <c r="C1191" s="8">
        <v>1890</v>
      </c>
      <c r="D1191" s="9">
        <v>45449</v>
      </c>
      <c r="E1191" s="13">
        <f>+HYPERLINK("http://trademark.i-assist.jp/data/china/image_1890th/77065934.pdf",77065934)</f>
        <v>77065934</v>
      </c>
      <c r="F1191" s="7" t="s">
        <v>3364</v>
      </c>
      <c r="G1191" s="7" t="s">
        <v>3363</v>
      </c>
      <c r="H1191" s="7" t="s">
        <v>3365</v>
      </c>
      <c r="I1191" s="9">
        <v>45353</v>
      </c>
    </row>
    <row r="1192" spans="1:9" x14ac:dyDescent="0.15">
      <c r="A1192" s="6">
        <v>1191</v>
      </c>
      <c r="B1192" s="7" t="s">
        <v>7</v>
      </c>
      <c r="C1192" s="8">
        <v>1890</v>
      </c>
      <c r="D1192" s="9">
        <v>45449</v>
      </c>
      <c r="E1192" s="13">
        <f>+HYPERLINK("http://trademark.i-assist.jp/data/china/image_1890th/77067343.pdf",77067343)</f>
        <v>77067343</v>
      </c>
      <c r="F1192" s="7" t="s">
        <v>3367</v>
      </c>
      <c r="G1192" s="7" t="s">
        <v>3366</v>
      </c>
      <c r="H1192" s="7" t="s">
        <v>3368</v>
      </c>
      <c r="I1192" s="9">
        <v>45353</v>
      </c>
    </row>
    <row r="1193" spans="1:9" x14ac:dyDescent="0.15">
      <c r="A1193" s="6">
        <v>1192</v>
      </c>
      <c r="B1193" s="7" t="s">
        <v>7</v>
      </c>
      <c r="C1193" s="8">
        <v>1890</v>
      </c>
      <c r="D1193" s="9">
        <v>45449</v>
      </c>
      <c r="E1193" s="13">
        <f>+HYPERLINK("http://trademark.i-assist.jp/data/china/image_1890th/77067740.pdf",77067740)</f>
        <v>77067740</v>
      </c>
      <c r="F1193" s="7" t="s">
        <v>3370</v>
      </c>
      <c r="G1193" s="7" t="s">
        <v>3369</v>
      </c>
      <c r="H1193" s="7" t="s">
        <v>3371</v>
      </c>
      <c r="I1193" s="9">
        <v>45353</v>
      </c>
    </row>
    <row r="1194" spans="1:9" ht="27" x14ac:dyDescent="0.15">
      <c r="A1194" s="6">
        <v>1193</v>
      </c>
      <c r="B1194" s="7" t="s">
        <v>7</v>
      </c>
      <c r="C1194" s="8">
        <v>1890</v>
      </c>
      <c r="D1194" s="9">
        <v>45449</v>
      </c>
      <c r="E1194" s="13">
        <f>+HYPERLINK("http://trademark.i-assist.jp/data/china/image_1890th/77068113.pdf",77068113)</f>
        <v>77068113</v>
      </c>
      <c r="F1194" s="7" t="s">
        <v>3373</v>
      </c>
      <c r="G1194" s="7" t="s">
        <v>3372</v>
      </c>
      <c r="H1194" s="7" t="s">
        <v>3374</v>
      </c>
      <c r="I1194" s="9">
        <v>45353</v>
      </c>
    </row>
    <row r="1195" spans="1:9" ht="27" x14ac:dyDescent="0.15">
      <c r="A1195" s="6">
        <v>1194</v>
      </c>
      <c r="B1195" s="7" t="s">
        <v>7</v>
      </c>
      <c r="C1195" s="8">
        <v>1890</v>
      </c>
      <c r="D1195" s="9">
        <v>45449</v>
      </c>
      <c r="E1195" s="13">
        <f>+HYPERLINK("http://trademark.i-assist.jp/data/china/image_1890th/77068355.pdf",77068355)</f>
        <v>77068355</v>
      </c>
      <c r="F1195" s="7" t="s">
        <v>3376</v>
      </c>
      <c r="G1195" s="7" t="s">
        <v>3375</v>
      </c>
      <c r="H1195" s="7" t="s">
        <v>3377</v>
      </c>
      <c r="I1195" s="9">
        <v>45353</v>
      </c>
    </row>
    <row r="1196" spans="1:9" x14ac:dyDescent="0.15">
      <c r="A1196" s="6">
        <v>1195</v>
      </c>
      <c r="B1196" s="7" t="s">
        <v>7</v>
      </c>
      <c r="C1196" s="8">
        <v>1890</v>
      </c>
      <c r="D1196" s="9">
        <v>45449</v>
      </c>
      <c r="E1196" s="13">
        <f>+HYPERLINK("http://trademark.i-assist.jp/data/china/image_1890th/77068712.pdf",77068712)</f>
        <v>77068712</v>
      </c>
      <c r="F1196" s="7" t="s">
        <v>3379</v>
      </c>
      <c r="G1196" s="7" t="s">
        <v>3378</v>
      </c>
      <c r="H1196" s="7" t="s">
        <v>3380</v>
      </c>
      <c r="I1196" s="9">
        <v>45353</v>
      </c>
    </row>
    <row r="1197" spans="1:9" x14ac:dyDescent="0.15">
      <c r="A1197" s="6">
        <v>1196</v>
      </c>
      <c r="B1197" s="7" t="s">
        <v>7</v>
      </c>
      <c r="C1197" s="8">
        <v>1890</v>
      </c>
      <c r="D1197" s="9">
        <v>45449</v>
      </c>
      <c r="E1197" s="13">
        <f>+HYPERLINK("http://trademark.i-assist.jp/data/china/image_1890th/77069843.pdf",77069843)</f>
        <v>77069843</v>
      </c>
      <c r="F1197" s="7" t="s">
        <v>3382</v>
      </c>
      <c r="G1197" s="7" t="s">
        <v>3381</v>
      </c>
      <c r="H1197" s="7" t="s">
        <v>3383</v>
      </c>
      <c r="I1197" s="9">
        <v>45354</v>
      </c>
    </row>
    <row r="1198" spans="1:9" ht="27" x14ac:dyDescent="0.15">
      <c r="A1198" s="6">
        <v>1197</v>
      </c>
      <c r="B1198" s="7" t="s">
        <v>7</v>
      </c>
      <c r="C1198" s="8">
        <v>1890</v>
      </c>
      <c r="D1198" s="9">
        <v>45449</v>
      </c>
      <c r="E1198" s="13">
        <f>+HYPERLINK("http://trademark.i-assist.jp/data/china/image_1890th/77070439.pdf",77070439)</f>
        <v>77070439</v>
      </c>
      <c r="F1198" s="7" t="s">
        <v>3385</v>
      </c>
      <c r="G1198" s="7" t="s">
        <v>3384</v>
      </c>
      <c r="H1198" s="7" t="s">
        <v>3386</v>
      </c>
      <c r="I1198" s="9">
        <v>45354</v>
      </c>
    </row>
    <row r="1199" spans="1:9" x14ac:dyDescent="0.15">
      <c r="A1199" s="6">
        <v>1198</v>
      </c>
      <c r="B1199" s="7" t="s">
        <v>7</v>
      </c>
      <c r="C1199" s="8">
        <v>1890</v>
      </c>
      <c r="D1199" s="9">
        <v>45449</v>
      </c>
      <c r="E1199" s="13">
        <f>+HYPERLINK("http://trademark.i-assist.jp/data/china/image_1890th/77071044.pdf",77071044)</f>
        <v>77071044</v>
      </c>
      <c r="F1199" s="7" t="s">
        <v>3388</v>
      </c>
      <c r="G1199" s="7" t="s">
        <v>3387</v>
      </c>
      <c r="H1199" s="7" t="s">
        <v>3389</v>
      </c>
      <c r="I1199" s="9">
        <v>45354</v>
      </c>
    </row>
    <row r="1200" spans="1:9" x14ac:dyDescent="0.15">
      <c r="A1200" s="6">
        <v>1199</v>
      </c>
      <c r="B1200" s="7" t="s">
        <v>7</v>
      </c>
      <c r="C1200" s="8">
        <v>1890</v>
      </c>
      <c r="D1200" s="9">
        <v>45449</v>
      </c>
      <c r="E1200" s="13">
        <f>+HYPERLINK("http://trademark.i-assist.jp/data/china/image_1890th/77081569.pdf",77081569)</f>
        <v>77081569</v>
      </c>
      <c r="F1200" s="7" t="s">
        <v>3391</v>
      </c>
      <c r="G1200" s="7" t="s">
        <v>3390</v>
      </c>
      <c r="H1200" s="7" t="s">
        <v>3392</v>
      </c>
      <c r="I1200" s="9">
        <v>45355</v>
      </c>
    </row>
    <row r="1201" spans="1:9" x14ac:dyDescent="0.15">
      <c r="A1201" s="6">
        <v>1200</v>
      </c>
      <c r="B1201" s="7" t="s">
        <v>7</v>
      </c>
      <c r="C1201" s="8">
        <v>1890</v>
      </c>
      <c r="D1201" s="9">
        <v>45449</v>
      </c>
      <c r="E1201" s="13">
        <f>+HYPERLINK("http://trademark.i-assist.jp/data/china/image_1890th/77081585.pdf",77081585)</f>
        <v>77081585</v>
      </c>
      <c r="F1201" s="7" t="s">
        <v>3394</v>
      </c>
      <c r="G1201" s="7" t="s">
        <v>3393</v>
      </c>
      <c r="H1201" s="7" t="s">
        <v>3395</v>
      </c>
      <c r="I1201" s="9">
        <v>45355</v>
      </c>
    </row>
    <row r="1202" spans="1:9" x14ac:dyDescent="0.15">
      <c r="A1202" s="6">
        <v>1201</v>
      </c>
      <c r="B1202" s="7" t="s">
        <v>7</v>
      </c>
      <c r="C1202" s="8">
        <v>1890</v>
      </c>
      <c r="D1202" s="9">
        <v>45449</v>
      </c>
      <c r="E1202" s="13">
        <f>+HYPERLINK("http://trademark.i-assist.jp/data/china/image_1890th/77081817.pdf",77081817)</f>
        <v>77081817</v>
      </c>
      <c r="F1202" s="7" t="s">
        <v>3397</v>
      </c>
      <c r="G1202" s="7" t="s">
        <v>3396</v>
      </c>
      <c r="H1202" s="7" t="s">
        <v>3398</v>
      </c>
      <c r="I1202" s="9">
        <v>45355</v>
      </c>
    </row>
    <row r="1203" spans="1:9" x14ac:dyDescent="0.15">
      <c r="A1203" s="6">
        <v>1202</v>
      </c>
      <c r="B1203" s="7" t="s">
        <v>7</v>
      </c>
      <c r="C1203" s="8">
        <v>1890</v>
      </c>
      <c r="D1203" s="9">
        <v>45449</v>
      </c>
      <c r="E1203" s="13">
        <f>+HYPERLINK("http://trademark.i-assist.jp/data/china/image_1890th/77081951.pdf",77081951)</f>
        <v>77081951</v>
      </c>
      <c r="F1203" s="7" t="s">
        <v>3400</v>
      </c>
      <c r="G1203" s="7" t="s">
        <v>3399</v>
      </c>
      <c r="H1203" s="7" t="s">
        <v>3401</v>
      </c>
      <c r="I1203" s="9">
        <v>45355</v>
      </c>
    </row>
    <row r="1204" spans="1:9" x14ac:dyDescent="0.15">
      <c r="A1204" s="6">
        <v>1203</v>
      </c>
      <c r="B1204" s="7" t="s">
        <v>7</v>
      </c>
      <c r="C1204" s="8">
        <v>1890</v>
      </c>
      <c r="D1204" s="9">
        <v>45449</v>
      </c>
      <c r="E1204" s="13">
        <f>+HYPERLINK("http://trademark.i-assist.jp/data/china/image_1890th/77081977.pdf",77081977)</f>
        <v>77081977</v>
      </c>
      <c r="F1204" s="7" t="s">
        <v>3403</v>
      </c>
      <c r="G1204" s="7" t="s">
        <v>3402</v>
      </c>
      <c r="H1204" s="7" t="s">
        <v>3404</v>
      </c>
      <c r="I1204" s="9">
        <v>45355</v>
      </c>
    </row>
    <row r="1205" spans="1:9" x14ac:dyDescent="0.15">
      <c r="A1205" s="6">
        <v>1204</v>
      </c>
      <c r="B1205" s="7" t="s">
        <v>7</v>
      </c>
      <c r="C1205" s="8">
        <v>1890</v>
      </c>
      <c r="D1205" s="9">
        <v>45449</v>
      </c>
      <c r="E1205" s="13">
        <f>+HYPERLINK("http://trademark.i-assist.jp/data/china/image_1890th/77082041.pdf",77082041)</f>
        <v>77082041</v>
      </c>
      <c r="F1205" s="7" t="s">
        <v>3406</v>
      </c>
      <c r="G1205" s="7" t="s">
        <v>3405</v>
      </c>
      <c r="H1205" s="7" t="s">
        <v>3407</v>
      </c>
      <c r="I1205" s="9">
        <v>45355</v>
      </c>
    </row>
    <row r="1206" spans="1:9" x14ac:dyDescent="0.15">
      <c r="A1206" s="6">
        <v>1205</v>
      </c>
      <c r="B1206" s="7" t="s">
        <v>7</v>
      </c>
      <c r="C1206" s="8">
        <v>1890</v>
      </c>
      <c r="D1206" s="9">
        <v>45449</v>
      </c>
      <c r="E1206" s="13">
        <f>+HYPERLINK("http://trademark.i-assist.jp/data/china/image_1890th/77082242.pdf",77082242)</f>
        <v>77082242</v>
      </c>
      <c r="F1206" s="7" t="s">
        <v>3408</v>
      </c>
      <c r="G1206" s="7" t="s">
        <v>3085</v>
      </c>
      <c r="H1206" s="7" t="s">
        <v>3409</v>
      </c>
      <c r="I1206" s="9">
        <v>45355</v>
      </c>
    </row>
    <row r="1207" spans="1:9" x14ac:dyDescent="0.15">
      <c r="A1207" s="6">
        <v>1206</v>
      </c>
      <c r="B1207" s="7" t="s">
        <v>7</v>
      </c>
      <c r="C1207" s="8">
        <v>1890</v>
      </c>
      <c r="D1207" s="9">
        <v>45449</v>
      </c>
      <c r="E1207" s="13">
        <f>+HYPERLINK("http://trademark.i-assist.jp/data/china/image_1890th/77083348.pdf",77083348)</f>
        <v>77083348</v>
      </c>
      <c r="F1207" s="7" t="s">
        <v>3411</v>
      </c>
      <c r="G1207" s="7" t="s">
        <v>3410</v>
      </c>
      <c r="H1207" s="7" t="s">
        <v>3412</v>
      </c>
      <c r="I1207" s="9">
        <v>45355</v>
      </c>
    </row>
    <row r="1208" spans="1:9" x14ac:dyDescent="0.15">
      <c r="A1208" s="6">
        <v>1207</v>
      </c>
      <c r="B1208" s="7" t="s">
        <v>7</v>
      </c>
      <c r="C1208" s="8">
        <v>1890</v>
      </c>
      <c r="D1208" s="9">
        <v>45449</v>
      </c>
      <c r="E1208" s="13">
        <f>+HYPERLINK("http://trademark.i-assist.jp/data/china/image_1890th/77083406.pdf",77083406)</f>
        <v>77083406</v>
      </c>
      <c r="F1208" s="7" t="s">
        <v>3414</v>
      </c>
      <c r="G1208" s="7" t="s">
        <v>3413</v>
      </c>
      <c r="H1208" s="7" t="s">
        <v>3415</v>
      </c>
      <c r="I1208" s="9">
        <v>45355</v>
      </c>
    </row>
    <row r="1209" spans="1:9" x14ac:dyDescent="0.15">
      <c r="A1209" s="6">
        <v>1208</v>
      </c>
      <c r="B1209" s="7" t="s">
        <v>7</v>
      </c>
      <c r="C1209" s="8">
        <v>1890</v>
      </c>
      <c r="D1209" s="9">
        <v>45449</v>
      </c>
      <c r="E1209" s="13">
        <f>+HYPERLINK("http://trademark.i-assist.jp/data/china/image_1890th/77084045.pdf",77084045)</f>
        <v>77084045</v>
      </c>
      <c r="F1209" s="7" t="s">
        <v>3417</v>
      </c>
      <c r="G1209" s="7" t="s">
        <v>3416</v>
      </c>
      <c r="H1209" s="7" t="s">
        <v>3418</v>
      </c>
      <c r="I1209" s="9">
        <v>45355</v>
      </c>
    </row>
    <row r="1210" spans="1:9" x14ac:dyDescent="0.15">
      <c r="A1210" s="6">
        <v>1209</v>
      </c>
      <c r="B1210" s="7" t="s">
        <v>7</v>
      </c>
      <c r="C1210" s="8">
        <v>1890</v>
      </c>
      <c r="D1210" s="9">
        <v>45449</v>
      </c>
      <c r="E1210" s="13">
        <f>+HYPERLINK("http://trademark.i-assist.jp/data/china/image_1890th/77084129.pdf",77084129)</f>
        <v>77084129</v>
      </c>
      <c r="F1210" s="7" t="s">
        <v>3420</v>
      </c>
      <c r="G1210" s="7" t="s">
        <v>3419</v>
      </c>
      <c r="H1210" s="7" t="s">
        <v>3421</v>
      </c>
      <c r="I1210" s="9">
        <v>45355</v>
      </c>
    </row>
    <row r="1211" spans="1:9" x14ac:dyDescent="0.15">
      <c r="A1211" s="6">
        <v>1210</v>
      </c>
      <c r="B1211" s="7" t="s">
        <v>7</v>
      </c>
      <c r="C1211" s="8">
        <v>1890</v>
      </c>
      <c r="D1211" s="9">
        <v>45449</v>
      </c>
      <c r="E1211" s="13">
        <f>+HYPERLINK("http://trademark.i-assist.jp/data/china/image_1890th/77084679.pdf",77084679)</f>
        <v>77084679</v>
      </c>
      <c r="F1211" s="7" t="s">
        <v>3423</v>
      </c>
      <c r="G1211" s="7" t="s">
        <v>3422</v>
      </c>
      <c r="H1211" s="7" t="s">
        <v>3424</v>
      </c>
      <c r="I1211" s="9">
        <v>45355</v>
      </c>
    </row>
    <row r="1212" spans="1:9" x14ac:dyDescent="0.15">
      <c r="A1212" s="6">
        <v>1211</v>
      </c>
      <c r="B1212" s="7" t="s">
        <v>7</v>
      </c>
      <c r="C1212" s="8">
        <v>1890</v>
      </c>
      <c r="D1212" s="9">
        <v>45449</v>
      </c>
      <c r="E1212" s="13">
        <f>+HYPERLINK("http://trademark.i-assist.jp/data/china/image_1890th/77085171.pdf",77085171)</f>
        <v>77085171</v>
      </c>
      <c r="F1212" s="7" t="s">
        <v>3426</v>
      </c>
      <c r="G1212" s="7" t="s">
        <v>3425</v>
      </c>
      <c r="H1212" s="7" t="s">
        <v>3427</v>
      </c>
      <c r="I1212" s="9">
        <v>45355</v>
      </c>
    </row>
    <row r="1213" spans="1:9" x14ac:dyDescent="0.15">
      <c r="A1213" s="6">
        <v>1212</v>
      </c>
      <c r="B1213" s="7" t="s">
        <v>7</v>
      </c>
      <c r="C1213" s="8">
        <v>1890</v>
      </c>
      <c r="D1213" s="9">
        <v>45449</v>
      </c>
      <c r="E1213" s="13">
        <f>+HYPERLINK("http://trademark.i-assist.jp/data/china/image_1890th/77085470.pdf",77085470)</f>
        <v>77085470</v>
      </c>
      <c r="F1213" s="7" t="s">
        <v>3429</v>
      </c>
      <c r="G1213" s="7" t="s">
        <v>3428</v>
      </c>
      <c r="H1213" s="7" t="s">
        <v>3430</v>
      </c>
      <c r="I1213" s="9">
        <v>45355</v>
      </c>
    </row>
    <row r="1214" spans="1:9" x14ac:dyDescent="0.15">
      <c r="A1214" s="6">
        <v>1213</v>
      </c>
      <c r="B1214" s="7" t="s">
        <v>7</v>
      </c>
      <c r="C1214" s="8">
        <v>1890</v>
      </c>
      <c r="D1214" s="9">
        <v>45449</v>
      </c>
      <c r="E1214" s="13">
        <f>+HYPERLINK("http://trademark.i-assist.jp/data/china/image_1890th/77085515.pdf",77085515)</f>
        <v>77085515</v>
      </c>
      <c r="F1214" s="7" t="s">
        <v>3432</v>
      </c>
      <c r="G1214" s="7" t="s">
        <v>3431</v>
      </c>
      <c r="H1214" s="7" t="s">
        <v>3433</v>
      </c>
      <c r="I1214" s="9">
        <v>45355</v>
      </c>
    </row>
    <row r="1215" spans="1:9" x14ac:dyDescent="0.15">
      <c r="A1215" s="6">
        <v>1214</v>
      </c>
      <c r="B1215" s="7" t="s">
        <v>7</v>
      </c>
      <c r="C1215" s="8">
        <v>1890</v>
      </c>
      <c r="D1215" s="9">
        <v>45449</v>
      </c>
      <c r="E1215" s="13">
        <f>+HYPERLINK("http://trademark.i-assist.jp/data/china/image_1890th/77085673.pdf",77085673)</f>
        <v>77085673</v>
      </c>
      <c r="F1215" s="7" t="s">
        <v>183</v>
      </c>
      <c r="G1215" s="7" t="s">
        <v>3434</v>
      </c>
      <c r="H1215" s="7" t="s">
        <v>3435</v>
      </c>
      <c r="I1215" s="9">
        <v>45355</v>
      </c>
    </row>
    <row r="1216" spans="1:9" x14ac:dyDescent="0.15">
      <c r="A1216" s="6">
        <v>1215</v>
      </c>
      <c r="B1216" s="7" t="s">
        <v>7</v>
      </c>
      <c r="C1216" s="8">
        <v>1890</v>
      </c>
      <c r="D1216" s="9">
        <v>45449</v>
      </c>
      <c r="E1216" s="13">
        <f>+HYPERLINK("http://trademark.i-assist.jp/data/china/image_1890th/77085833.pdf",77085833)</f>
        <v>77085833</v>
      </c>
      <c r="F1216" s="7" t="s">
        <v>183</v>
      </c>
      <c r="G1216" s="7" t="s">
        <v>3436</v>
      </c>
      <c r="H1216" s="7" t="s">
        <v>3437</v>
      </c>
      <c r="I1216" s="9">
        <v>45355</v>
      </c>
    </row>
    <row r="1217" spans="1:9" x14ac:dyDescent="0.15">
      <c r="A1217" s="6">
        <v>1216</v>
      </c>
      <c r="B1217" s="7" t="s">
        <v>7</v>
      </c>
      <c r="C1217" s="8">
        <v>1890</v>
      </c>
      <c r="D1217" s="9">
        <v>45449</v>
      </c>
      <c r="E1217" s="13">
        <f>+HYPERLINK("http://trademark.i-assist.jp/data/china/image_1890th/77085944.pdf",77085944)</f>
        <v>77085944</v>
      </c>
      <c r="F1217" s="7" t="s">
        <v>3439</v>
      </c>
      <c r="G1217" s="7" t="s">
        <v>3438</v>
      </c>
      <c r="H1217" s="7" t="s">
        <v>3440</v>
      </c>
      <c r="I1217" s="9">
        <v>45355</v>
      </c>
    </row>
    <row r="1218" spans="1:9" x14ac:dyDescent="0.15">
      <c r="A1218" s="6">
        <v>1217</v>
      </c>
      <c r="B1218" s="7" t="s">
        <v>7</v>
      </c>
      <c r="C1218" s="8">
        <v>1890</v>
      </c>
      <c r="D1218" s="9">
        <v>45449</v>
      </c>
      <c r="E1218" s="13">
        <f>+HYPERLINK("http://trademark.i-assist.jp/data/china/image_1890th/77086055.pdf",77086055)</f>
        <v>77086055</v>
      </c>
      <c r="F1218" s="7" t="s">
        <v>3442</v>
      </c>
      <c r="G1218" s="7" t="s">
        <v>3441</v>
      </c>
      <c r="H1218" s="7" t="s">
        <v>3443</v>
      </c>
      <c r="I1218" s="9">
        <v>45355</v>
      </c>
    </row>
    <row r="1219" spans="1:9" x14ac:dyDescent="0.15">
      <c r="A1219" s="6">
        <v>1218</v>
      </c>
      <c r="B1219" s="7" t="s">
        <v>7</v>
      </c>
      <c r="C1219" s="8">
        <v>1890</v>
      </c>
      <c r="D1219" s="9">
        <v>45449</v>
      </c>
      <c r="E1219" s="13">
        <f>+HYPERLINK("http://trademark.i-assist.jp/data/china/image_1890th/77086083.pdf",77086083)</f>
        <v>77086083</v>
      </c>
      <c r="F1219" s="7" t="s">
        <v>3445</v>
      </c>
      <c r="G1219" s="7" t="s">
        <v>3444</v>
      </c>
      <c r="H1219" s="7" t="s">
        <v>3446</v>
      </c>
      <c r="I1219" s="9">
        <v>45355</v>
      </c>
    </row>
    <row r="1220" spans="1:9" x14ac:dyDescent="0.15">
      <c r="A1220" s="6">
        <v>1219</v>
      </c>
      <c r="B1220" s="7" t="s">
        <v>7</v>
      </c>
      <c r="C1220" s="8">
        <v>1890</v>
      </c>
      <c r="D1220" s="9">
        <v>45449</v>
      </c>
      <c r="E1220" s="13">
        <f>+HYPERLINK("http://trademark.i-assist.jp/data/china/image_1890th/77086701.pdf",77086701)</f>
        <v>77086701</v>
      </c>
      <c r="F1220" s="7" t="s">
        <v>3448</v>
      </c>
      <c r="G1220" s="7" t="s">
        <v>3447</v>
      </c>
      <c r="H1220" s="7" t="s">
        <v>3449</v>
      </c>
      <c r="I1220" s="9">
        <v>45355</v>
      </c>
    </row>
    <row r="1221" spans="1:9" x14ac:dyDescent="0.15">
      <c r="A1221" s="6">
        <v>1220</v>
      </c>
      <c r="B1221" s="7" t="s">
        <v>7</v>
      </c>
      <c r="C1221" s="8">
        <v>1890</v>
      </c>
      <c r="D1221" s="9">
        <v>45449</v>
      </c>
      <c r="E1221" s="13">
        <f>+HYPERLINK("http://trademark.i-assist.jp/data/china/image_1890th/77087291.pdf",77087291)</f>
        <v>77087291</v>
      </c>
      <c r="F1221" s="7" t="s">
        <v>183</v>
      </c>
      <c r="G1221" s="7" t="s">
        <v>1250</v>
      </c>
      <c r="H1221" s="7" t="s">
        <v>3450</v>
      </c>
      <c r="I1221" s="9">
        <v>45355</v>
      </c>
    </row>
    <row r="1222" spans="1:9" x14ac:dyDescent="0.15">
      <c r="A1222" s="6">
        <v>1221</v>
      </c>
      <c r="B1222" s="7" t="s">
        <v>7</v>
      </c>
      <c r="C1222" s="8">
        <v>1890</v>
      </c>
      <c r="D1222" s="9">
        <v>45449</v>
      </c>
      <c r="E1222" s="13">
        <f>+HYPERLINK("http://trademark.i-assist.jp/data/china/image_1890th/77087853.pdf",77087853)</f>
        <v>77087853</v>
      </c>
      <c r="F1222" s="7" t="s">
        <v>3452</v>
      </c>
      <c r="G1222" s="7" t="s">
        <v>3451</v>
      </c>
      <c r="H1222" s="7" t="s">
        <v>3453</v>
      </c>
      <c r="I1222" s="9">
        <v>45355</v>
      </c>
    </row>
    <row r="1223" spans="1:9" ht="27" x14ac:dyDescent="0.15">
      <c r="A1223" s="6">
        <v>1222</v>
      </c>
      <c r="B1223" s="7" t="s">
        <v>7</v>
      </c>
      <c r="C1223" s="8">
        <v>1890</v>
      </c>
      <c r="D1223" s="9">
        <v>45449</v>
      </c>
      <c r="E1223" s="13">
        <f>+HYPERLINK("http://trademark.i-assist.jp/data/china/image_1890th/77088722.pdf",77088722)</f>
        <v>77088722</v>
      </c>
      <c r="F1223" s="7" t="s">
        <v>3454</v>
      </c>
      <c r="G1223" s="7" t="s">
        <v>3126</v>
      </c>
      <c r="H1223" s="7" t="s">
        <v>3455</v>
      </c>
      <c r="I1223" s="9">
        <v>45355</v>
      </c>
    </row>
    <row r="1224" spans="1:9" x14ac:dyDescent="0.15">
      <c r="A1224" s="6">
        <v>1223</v>
      </c>
      <c r="B1224" s="7" t="s">
        <v>7</v>
      </c>
      <c r="C1224" s="8">
        <v>1890</v>
      </c>
      <c r="D1224" s="9">
        <v>45449</v>
      </c>
      <c r="E1224" s="13">
        <f>+HYPERLINK("http://trademark.i-assist.jp/data/china/image_1890th/77089627.pdf",77089627)</f>
        <v>77089627</v>
      </c>
      <c r="F1224" s="7" t="s">
        <v>3457</v>
      </c>
      <c r="G1224" s="7" t="s">
        <v>3456</v>
      </c>
      <c r="H1224" s="7" t="s">
        <v>3458</v>
      </c>
      <c r="I1224" s="9">
        <v>45355</v>
      </c>
    </row>
    <row r="1225" spans="1:9" x14ac:dyDescent="0.15">
      <c r="A1225" s="6">
        <v>1224</v>
      </c>
      <c r="B1225" s="7" t="s">
        <v>7</v>
      </c>
      <c r="C1225" s="8">
        <v>1890</v>
      </c>
      <c r="D1225" s="9">
        <v>45449</v>
      </c>
      <c r="E1225" s="13">
        <f>+HYPERLINK("http://trademark.i-assist.jp/data/china/image_1890th/77089651.pdf",77089651)</f>
        <v>77089651</v>
      </c>
      <c r="F1225" s="7" t="s">
        <v>3460</v>
      </c>
      <c r="G1225" s="7" t="s">
        <v>3459</v>
      </c>
      <c r="H1225" s="7" t="s">
        <v>3461</v>
      </c>
      <c r="I1225" s="9">
        <v>45355</v>
      </c>
    </row>
    <row r="1226" spans="1:9" x14ac:dyDescent="0.15">
      <c r="A1226" s="6">
        <v>1225</v>
      </c>
      <c r="B1226" s="7" t="s">
        <v>7</v>
      </c>
      <c r="C1226" s="8">
        <v>1890</v>
      </c>
      <c r="D1226" s="9">
        <v>45449</v>
      </c>
      <c r="E1226" s="13">
        <f>+HYPERLINK("http://trademark.i-assist.jp/data/china/image_1890th/77089830.pdf",77089830)</f>
        <v>77089830</v>
      </c>
      <c r="F1226" s="7" t="s">
        <v>3463</v>
      </c>
      <c r="G1226" s="7" t="s">
        <v>3462</v>
      </c>
      <c r="H1226" s="7" t="s">
        <v>3464</v>
      </c>
      <c r="I1226" s="9">
        <v>45355</v>
      </c>
    </row>
    <row r="1227" spans="1:9" x14ac:dyDescent="0.15">
      <c r="A1227" s="6">
        <v>1226</v>
      </c>
      <c r="B1227" s="7" t="s">
        <v>7</v>
      </c>
      <c r="C1227" s="8">
        <v>1890</v>
      </c>
      <c r="D1227" s="9">
        <v>45449</v>
      </c>
      <c r="E1227" s="13">
        <f>+HYPERLINK("http://trademark.i-assist.jp/data/china/image_1890th/77089998.pdf",77089998)</f>
        <v>77089998</v>
      </c>
      <c r="F1227" s="7" t="s">
        <v>3466</v>
      </c>
      <c r="G1227" s="7" t="s">
        <v>3465</v>
      </c>
      <c r="H1227" s="7" t="s">
        <v>3467</v>
      </c>
      <c r="I1227" s="9">
        <v>45355</v>
      </c>
    </row>
    <row r="1228" spans="1:9" x14ac:dyDescent="0.15">
      <c r="A1228" s="6">
        <v>1227</v>
      </c>
      <c r="B1228" s="7" t="s">
        <v>7</v>
      </c>
      <c r="C1228" s="8">
        <v>1890</v>
      </c>
      <c r="D1228" s="9">
        <v>45449</v>
      </c>
      <c r="E1228" s="13">
        <f>+HYPERLINK("http://trademark.i-assist.jp/data/china/image_1890th/77090024.pdf",77090024)</f>
        <v>77090024</v>
      </c>
      <c r="F1228" s="7" t="s">
        <v>3469</v>
      </c>
      <c r="G1228" s="7" t="s">
        <v>3468</v>
      </c>
      <c r="H1228" s="7" t="s">
        <v>3470</v>
      </c>
      <c r="I1228" s="9">
        <v>45355</v>
      </c>
    </row>
    <row r="1229" spans="1:9" x14ac:dyDescent="0.15">
      <c r="A1229" s="6">
        <v>1228</v>
      </c>
      <c r="B1229" s="7" t="s">
        <v>7</v>
      </c>
      <c r="C1229" s="8">
        <v>1890</v>
      </c>
      <c r="D1229" s="9">
        <v>45449</v>
      </c>
      <c r="E1229" s="13">
        <f>+HYPERLINK("http://trademark.i-assist.jp/data/china/image_1890th/77090435.pdf",77090435)</f>
        <v>77090435</v>
      </c>
      <c r="F1229" s="7" t="s">
        <v>2565</v>
      </c>
      <c r="G1229" s="7" t="s">
        <v>2564</v>
      </c>
      <c r="H1229" s="7" t="s">
        <v>3471</v>
      </c>
      <c r="I1229" s="9">
        <v>45355</v>
      </c>
    </row>
    <row r="1230" spans="1:9" x14ac:dyDescent="0.15">
      <c r="A1230" s="6">
        <v>1229</v>
      </c>
      <c r="B1230" s="7" t="s">
        <v>7</v>
      </c>
      <c r="C1230" s="8">
        <v>1890</v>
      </c>
      <c r="D1230" s="9">
        <v>45449</v>
      </c>
      <c r="E1230" s="13">
        <f>+HYPERLINK("http://trademark.i-assist.jp/data/china/image_1890th/77105950.pdf",77105950)</f>
        <v>77105950</v>
      </c>
      <c r="F1230" s="7" t="s">
        <v>3473</v>
      </c>
      <c r="G1230" s="7" t="s">
        <v>3472</v>
      </c>
      <c r="H1230" s="7" t="s">
        <v>3474</v>
      </c>
      <c r="I1230" s="9">
        <v>45356</v>
      </c>
    </row>
    <row r="1231" spans="1:9" x14ac:dyDescent="0.15">
      <c r="A1231" s="6">
        <v>1230</v>
      </c>
      <c r="B1231" s="7" t="s">
        <v>7</v>
      </c>
      <c r="C1231" s="8">
        <v>1890</v>
      </c>
      <c r="D1231" s="9">
        <v>45449</v>
      </c>
      <c r="E1231" s="13">
        <f>+HYPERLINK("http://trademark.i-assist.jp/data/china/image_1890th/77106068.pdf",77106068)</f>
        <v>77106068</v>
      </c>
      <c r="F1231" s="7" t="s">
        <v>3476</v>
      </c>
      <c r="G1231" s="7" t="s">
        <v>3475</v>
      </c>
      <c r="H1231" s="7" t="s">
        <v>3477</v>
      </c>
      <c r="I1231" s="9">
        <v>45356</v>
      </c>
    </row>
    <row r="1232" spans="1:9" x14ac:dyDescent="0.15">
      <c r="A1232" s="6">
        <v>1231</v>
      </c>
      <c r="B1232" s="7" t="s">
        <v>7</v>
      </c>
      <c r="C1232" s="8">
        <v>1890</v>
      </c>
      <c r="D1232" s="9">
        <v>45449</v>
      </c>
      <c r="E1232" s="13">
        <f>+HYPERLINK("http://trademark.i-assist.jp/data/china/image_1890th/77106555.pdf",77106555)</f>
        <v>77106555</v>
      </c>
      <c r="F1232" s="7" t="s">
        <v>3478</v>
      </c>
      <c r="G1232" s="7" t="s">
        <v>1194</v>
      </c>
      <c r="H1232" s="7" t="s">
        <v>3479</v>
      </c>
      <c r="I1232" s="9">
        <v>45356</v>
      </c>
    </row>
    <row r="1233" spans="1:9" x14ac:dyDescent="0.15">
      <c r="A1233" s="6">
        <v>1232</v>
      </c>
      <c r="B1233" s="7" t="s">
        <v>7</v>
      </c>
      <c r="C1233" s="8">
        <v>1890</v>
      </c>
      <c r="D1233" s="9">
        <v>45449</v>
      </c>
      <c r="E1233" s="13">
        <f>+HYPERLINK("http://trademark.i-assist.jp/data/china/image_1890th/77106568.pdf",77106568)</f>
        <v>77106568</v>
      </c>
      <c r="F1233" s="7" t="s">
        <v>3481</v>
      </c>
      <c r="G1233" s="7" t="s">
        <v>3480</v>
      </c>
      <c r="H1233" s="7" t="s">
        <v>3482</v>
      </c>
      <c r="I1233" s="9">
        <v>45356</v>
      </c>
    </row>
    <row r="1234" spans="1:9" x14ac:dyDescent="0.15">
      <c r="A1234" s="6">
        <v>1233</v>
      </c>
      <c r="B1234" s="7" t="s">
        <v>7</v>
      </c>
      <c r="C1234" s="8">
        <v>1890</v>
      </c>
      <c r="D1234" s="9">
        <v>45449</v>
      </c>
      <c r="E1234" s="13">
        <f>+HYPERLINK("http://trademark.i-assist.jp/data/china/image_1890th/77106723.pdf",77106723)</f>
        <v>77106723</v>
      </c>
      <c r="F1234" s="7" t="s">
        <v>3483</v>
      </c>
      <c r="G1234" s="7" t="s">
        <v>1205</v>
      </c>
      <c r="H1234" s="7" t="s">
        <v>3484</v>
      </c>
      <c r="I1234" s="9">
        <v>45356</v>
      </c>
    </row>
    <row r="1235" spans="1:9" x14ac:dyDescent="0.15">
      <c r="A1235" s="6">
        <v>1234</v>
      </c>
      <c r="B1235" s="7" t="s">
        <v>7</v>
      </c>
      <c r="C1235" s="8">
        <v>1890</v>
      </c>
      <c r="D1235" s="9">
        <v>45449</v>
      </c>
      <c r="E1235" s="13">
        <f>+HYPERLINK("http://trademark.i-assist.jp/data/china/image_1890th/77107146.pdf",77107146)</f>
        <v>77107146</v>
      </c>
      <c r="F1235" s="7" t="s">
        <v>3486</v>
      </c>
      <c r="G1235" s="7" t="s">
        <v>3485</v>
      </c>
      <c r="H1235" s="7" t="s">
        <v>3487</v>
      </c>
      <c r="I1235" s="9">
        <v>45356</v>
      </c>
    </row>
    <row r="1236" spans="1:9" x14ac:dyDescent="0.15">
      <c r="A1236" s="6">
        <v>1235</v>
      </c>
      <c r="B1236" s="7" t="s">
        <v>7</v>
      </c>
      <c r="C1236" s="8">
        <v>1890</v>
      </c>
      <c r="D1236" s="9">
        <v>45449</v>
      </c>
      <c r="E1236" s="13">
        <f>+HYPERLINK("http://trademark.i-assist.jp/data/china/image_1890th/77107183.pdf",77107183)</f>
        <v>77107183</v>
      </c>
      <c r="F1236" s="7" t="s">
        <v>3489</v>
      </c>
      <c r="G1236" s="7" t="s">
        <v>3488</v>
      </c>
      <c r="H1236" s="7" t="s">
        <v>3490</v>
      </c>
      <c r="I1236" s="9">
        <v>45356</v>
      </c>
    </row>
    <row r="1237" spans="1:9" x14ac:dyDescent="0.15">
      <c r="A1237" s="6">
        <v>1236</v>
      </c>
      <c r="B1237" s="7" t="s">
        <v>7</v>
      </c>
      <c r="C1237" s="8">
        <v>1890</v>
      </c>
      <c r="D1237" s="9">
        <v>45449</v>
      </c>
      <c r="E1237" s="13">
        <f>+HYPERLINK("http://trademark.i-assist.jp/data/china/image_1890th/77107729.pdf",77107729)</f>
        <v>77107729</v>
      </c>
      <c r="F1237" s="7" t="s">
        <v>3492</v>
      </c>
      <c r="G1237" s="7" t="s">
        <v>3491</v>
      </c>
      <c r="H1237" s="7" t="s">
        <v>3493</v>
      </c>
      <c r="I1237" s="9">
        <v>45356</v>
      </c>
    </row>
    <row r="1238" spans="1:9" ht="27" x14ac:dyDescent="0.15">
      <c r="A1238" s="6">
        <v>1237</v>
      </c>
      <c r="B1238" s="7" t="s">
        <v>7</v>
      </c>
      <c r="C1238" s="8">
        <v>1890</v>
      </c>
      <c r="D1238" s="9">
        <v>45449</v>
      </c>
      <c r="E1238" s="13">
        <f>+HYPERLINK("http://trademark.i-assist.jp/data/china/image_1890th/77107918.pdf",77107918)</f>
        <v>77107918</v>
      </c>
      <c r="F1238" s="7" t="s">
        <v>3495</v>
      </c>
      <c r="G1238" s="7" t="s">
        <v>3494</v>
      </c>
      <c r="H1238" s="7" t="s">
        <v>3496</v>
      </c>
      <c r="I1238" s="9">
        <v>45356</v>
      </c>
    </row>
    <row r="1239" spans="1:9" x14ac:dyDescent="0.15">
      <c r="A1239" s="6">
        <v>1238</v>
      </c>
      <c r="B1239" s="7" t="s">
        <v>7</v>
      </c>
      <c r="C1239" s="8">
        <v>1890</v>
      </c>
      <c r="D1239" s="9">
        <v>45449</v>
      </c>
      <c r="E1239" s="13">
        <f>+HYPERLINK("http://trademark.i-assist.jp/data/china/image_1890th/77108565.pdf",77108565)</f>
        <v>77108565</v>
      </c>
      <c r="F1239" s="7" t="s">
        <v>3498</v>
      </c>
      <c r="G1239" s="7" t="s">
        <v>3497</v>
      </c>
      <c r="H1239" s="7" t="s">
        <v>3499</v>
      </c>
      <c r="I1239" s="9">
        <v>45356</v>
      </c>
    </row>
    <row r="1240" spans="1:9" x14ac:dyDescent="0.15">
      <c r="A1240" s="6">
        <v>1239</v>
      </c>
      <c r="B1240" s="7" t="s">
        <v>7</v>
      </c>
      <c r="C1240" s="8">
        <v>1890</v>
      </c>
      <c r="D1240" s="9">
        <v>45449</v>
      </c>
      <c r="E1240" s="13">
        <f>+HYPERLINK("http://trademark.i-assist.jp/data/china/image_1890th/77109456.pdf",77109456)</f>
        <v>77109456</v>
      </c>
      <c r="F1240" s="7" t="s">
        <v>3501</v>
      </c>
      <c r="G1240" s="7" t="s">
        <v>3500</v>
      </c>
      <c r="H1240" s="7" t="s">
        <v>3502</v>
      </c>
      <c r="I1240" s="9">
        <v>45356</v>
      </c>
    </row>
    <row r="1241" spans="1:9" x14ac:dyDescent="0.15">
      <c r="A1241" s="6">
        <v>1240</v>
      </c>
      <c r="B1241" s="7" t="s">
        <v>7</v>
      </c>
      <c r="C1241" s="8">
        <v>1890</v>
      </c>
      <c r="D1241" s="9">
        <v>45449</v>
      </c>
      <c r="E1241" s="13">
        <f>+HYPERLINK("http://trademark.i-assist.jp/data/china/image_1890th/77109882.pdf",77109882)</f>
        <v>77109882</v>
      </c>
      <c r="F1241" s="7" t="s">
        <v>3504</v>
      </c>
      <c r="G1241" s="7" t="s">
        <v>3503</v>
      </c>
      <c r="H1241" s="7" t="s">
        <v>3505</v>
      </c>
      <c r="I1241" s="9">
        <v>45356</v>
      </c>
    </row>
    <row r="1242" spans="1:9" x14ac:dyDescent="0.15">
      <c r="A1242" s="6">
        <v>1241</v>
      </c>
      <c r="B1242" s="7" t="s">
        <v>7</v>
      </c>
      <c r="C1242" s="8">
        <v>1890</v>
      </c>
      <c r="D1242" s="9">
        <v>45449</v>
      </c>
      <c r="E1242" s="13">
        <f>+HYPERLINK("http://trademark.i-assist.jp/data/china/image_1890th/77109996.pdf",77109996)</f>
        <v>77109996</v>
      </c>
      <c r="F1242" s="7" t="s">
        <v>3507</v>
      </c>
      <c r="G1242" s="7" t="s">
        <v>3506</v>
      </c>
      <c r="H1242" s="7" t="s">
        <v>3508</v>
      </c>
      <c r="I1242" s="9">
        <v>45356</v>
      </c>
    </row>
    <row r="1243" spans="1:9" x14ac:dyDescent="0.15">
      <c r="A1243" s="6">
        <v>1242</v>
      </c>
      <c r="B1243" s="7" t="s">
        <v>7</v>
      </c>
      <c r="C1243" s="8">
        <v>1890</v>
      </c>
      <c r="D1243" s="9">
        <v>45449</v>
      </c>
      <c r="E1243" s="13">
        <f>+HYPERLINK("http://trademark.i-assist.jp/data/china/image_1890th/77110072.pdf",77110072)</f>
        <v>77110072</v>
      </c>
      <c r="F1243" s="7" t="s">
        <v>3510</v>
      </c>
      <c r="G1243" s="7" t="s">
        <v>3509</v>
      </c>
      <c r="H1243" s="7" t="s">
        <v>3511</v>
      </c>
      <c r="I1243" s="9">
        <v>45356</v>
      </c>
    </row>
    <row r="1244" spans="1:9" x14ac:dyDescent="0.15">
      <c r="A1244" s="6">
        <v>1243</v>
      </c>
      <c r="B1244" s="7" t="s">
        <v>7</v>
      </c>
      <c r="C1244" s="8">
        <v>1890</v>
      </c>
      <c r="D1244" s="9">
        <v>45449</v>
      </c>
      <c r="E1244" s="13">
        <f>+HYPERLINK("http://trademark.i-assist.jp/data/china/image_1890th/77110530.pdf",77110530)</f>
        <v>77110530</v>
      </c>
      <c r="F1244" s="7" t="s">
        <v>3513</v>
      </c>
      <c r="G1244" s="7" t="s">
        <v>3512</v>
      </c>
      <c r="H1244" s="7" t="s">
        <v>3514</v>
      </c>
      <c r="I1244" s="9">
        <v>45356</v>
      </c>
    </row>
    <row r="1245" spans="1:9" x14ac:dyDescent="0.15">
      <c r="A1245" s="6">
        <v>1244</v>
      </c>
      <c r="B1245" s="7" t="s">
        <v>7</v>
      </c>
      <c r="C1245" s="8">
        <v>1890</v>
      </c>
      <c r="D1245" s="9">
        <v>45449</v>
      </c>
      <c r="E1245" s="13">
        <f>+HYPERLINK("http://trademark.i-assist.jp/data/china/image_1890th/77110563.pdf",77110563)</f>
        <v>77110563</v>
      </c>
      <c r="F1245" s="7" t="s">
        <v>3516</v>
      </c>
      <c r="G1245" s="7" t="s">
        <v>3515</v>
      </c>
      <c r="H1245" s="7" t="s">
        <v>3517</v>
      </c>
      <c r="I1245" s="9">
        <v>45356</v>
      </c>
    </row>
    <row r="1246" spans="1:9" x14ac:dyDescent="0.15">
      <c r="A1246" s="6">
        <v>1245</v>
      </c>
      <c r="B1246" s="7" t="s">
        <v>7</v>
      </c>
      <c r="C1246" s="8">
        <v>1890</v>
      </c>
      <c r="D1246" s="9">
        <v>45449</v>
      </c>
      <c r="E1246" s="13">
        <f>+HYPERLINK("http://trademark.i-assist.jp/data/china/image_1890th/77111636.pdf",77111636)</f>
        <v>77111636</v>
      </c>
      <c r="F1246" s="7" t="s">
        <v>183</v>
      </c>
      <c r="G1246" s="7" t="s">
        <v>1174</v>
      </c>
      <c r="H1246" s="7" t="s">
        <v>3518</v>
      </c>
      <c r="I1246" s="9">
        <v>45356</v>
      </c>
    </row>
    <row r="1247" spans="1:9" x14ac:dyDescent="0.15">
      <c r="A1247" s="6">
        <v>1246</v>
      </c>
      <c r="B1247" s="7" t="s">
        <v>7</v>
      </c>
      <c r="C1247" s="8">
        <v>1890</v>
      </c>
      <c r="D1247" s="9">
        <v>45449</v>
      </c>
      <c r="E1247" s="13">
        <f>+HYPERLINK("http://trademark.i-assist.jp/data/china/image_1890th/77111692.pdf",77111692)</f>
        <v>77111692</v>
      </c>
      <c r="F1247" s="7" t="s">
        <v>3519</v>
      </c>
      <c r="G1247" s="7" t="s">
        <v>1174</v>
      </c>
      <c r="H1247" s="7" t="s">
        <v>3520</v>
      </c>
      <c r="I1247" s="9">
        <v>45356</v>
      </c>
    </row>
    <row r="1248" spans="1:9" x14ac:dyDescent="0.15">
      <c r="A1248" s="6">
        <v>1247</v>
      </c>
      <c r="B1248" s="7" t="s">
        <v>7</v>
      </c>
      <c r="C1248" s="8">
        <v>1890</v>
      </c>
      <c r="D1248" s="9">
        <v>45449</v>
      </c>
      <c r="E1248" s="13">
        <f>+HYPERLINK("http://trademark.i-assist.jp/data/china/image_1890th/77112096.pdf",77112096)</f>
        <v>77112096</v>
      </c>
      <c r="F1248" s="7" t="s">
        <v>3522</v>
      </c>
      <c r="G1248" s="7" t="s">
        <v>3521</v>
      </c>
      <c r="H1248" s="7" t="s">
        <v>3523</v>
      </c>
      <c r="I1248" s="9">
        <v>45356</v>
      </c>
    </row>
    <row r="1249" spans="1:9" x14ac:dyDescent="0.15">
      <c r="A1249" s="6">
        <v>1248</v>
      </c>
      <c r="B1249" s="7" t="s">
        <v>7</v>
      </c>
      <c r="C1249" s="8">
        <v>1890</v>
      </c>
      <c r="D1249" s="9">
        <v>45449</v>
      </c>
      <c r="E1249" s="13">
        <f>+HYPERLINK("http://trademark.i-assist.jp/data/china/image_1890th/77112897.pdf",77112897)</f>
        <v>77112897</v>
      </c>
      <c r="F1249" s="7" t="s">
        <v>3525</v>
      </c>
      <c r="G1249" s="7" t="s">
        <v>3524</v>
      </c>
      <c r="H1249" s="7" t="s">
        <v>3526</v>
      </c>
      <c r="I1249" s="9">
        <v>45356</v>
      </c>
    </row>
    <row r="1250" spans="1:9" x14ac:dyDescent="0.15">
      <c r="A1250" s="6">
        <v>1249</v>
      </c>
      <c r="B1250" s="7" t="s">
        <v>7</v>
      </c>
      <c r="C1250" s="8">
        <v>1890</v>
      </c>
      <c r="D1250" s="9">
        <v>45449</v>
      </c>
      <c r="E1250" s="13">
        <f>+HYPERLINK("http://trademark.i-assist.jp/data/china/image_1890th/77112949.pdf",77112949)</f>
        <v>77112949</v>
      </c>
      <c r="F1250" s="7" t="s">
        <v>3528</v>
      </c>
      <c r="G1250" s="7" t="s">
        <v>3527</v>
      </c>
      <c r="H1250" s="7" t="s">
        <v>3529</v>
      </c>
      <c r="I1250" s="9">
        <v>45356</v>
      </c>
    </row>
    <row r="1251" spans="1:9" x14ac:dyDescent="0.15">
      <c r="A1251" s="6">
        <v>1250</v>
      </c>
      <c r="B1251" s="7" t="s">
        <v>7</v>
      </c>
      <c r="C1251" s="8">
        <v>1890</v>
      </c>
      <c r="D1251" s="9">
        <v>45449</v>
      </c>
      <c r="E1251" s="13">
        <f>+HYPERLINK("http://trademark.i-assist.jp/data/china/image_1890th/77113264.pdf",77113264)</f>
        <v>77113264</v>
      </c>
      <c r="F1251" s="7" t="s">
        <v>3531</v>
      </c>
      <c r="G1251" s="7" t="s">
        <v>3530</v>
      </c>
      <c r="H1251" s="7" t="s">
        <v>3532</v>
      </c>
      <c r="I1251" s="9">
        <v>45356</v>
      </c>
    </row>
    <row r="1252" spans="1:9" x14ac:dyDescent="0.15">
      <c r="A1252" s="6">
        <v>1251</v>
      </c>
      <c r="B1252" s="7" t="s">
        <v>7</v>
      </c>
      <c r="C1252" s="8">
        <v>1890</v>
      </c>
      <c r="D1252" s="9">
        <v>45449</v>
      </c>
      <c r="E1252" s="13">
        <f>+HYPERLINK("http://trademark.i-assist.jp/data/china/image_1890th/77113543.pdf",77113543)</f>
        <v>77113543</v>
      </c>
      <c r="F1252" s="7" t="s">
        <v>3534</v>
      </c>
      <c r="G1252" s="7" t="s">
        <v>3533</v>
      </c>
      <c r="H1252" s="7" t="s">
        <v>3535</v>
      </c>
      <c r="I1252" s="9">
        <v>45356</v>
      </c>
    </row>
    <row r="1253" spans="1:9" x14ac:dyDescent="0.15">
      <c r="A1253" s="6">
        <v>1252</v>
      </c>
      <c r="B1253" s="7" t="s">
        <v>7</v>
      </c>
      <c r="C1253" s="8">
        <v>1890</v>
      </c>
      <c r="D1253" s="9">
        <v>45449</v>
      </c>
      <c r="E1253" s="13">
        <f>+HYPERLINK("http://trademark.i-assist.jp/data/china/image_1890th/77114438.pdf",77114438)</f>
        <v>77114438</v>
      </c>
      <c r="F1253" s="7" t="s">
        <v>3537</v>
      </c>
      <c r="G1253" s="7" t="s">
        <v>3536</v>
      </c>
      <c r="H1253" s="7" t="s">
        <v>3538</v>
      </c>
      <c r="I1253" s="9">
        <v>45356</v>
      </c>
    </row>
    <row r="1254" spans="1:9" ht="27" x14ac:dyDescent="0.15">
      <c r="A1254" s="6">
        <v>1253</v>
      </c>
      <c r="B1254" s="7" t="s">
        <v>7</v>
      </c>
      <c r="C1254" s="8">
        <v>1890</v>
      </c>
      <c r="D1254" s="9">
        <v>45449</v>
      </c>
      <c r="E1254" s="13">
        <f>+HYPERLINK("http://trademark.i-assist.jp/data/china/image_1890th/77114447.pdf",77114447)</f>
        <v>77114447</v>
      </c>
      <c r="F1254" s="7" t="s">
        <v>3540</v>
      </c>
      <c r="G1254" s="7" t="s">
        <v>3539</v>
      </c>
      <c r="H1254" s="7" t="s">
        <v>3541</v>
      </c>
      <c r="I1254" s="9">
        <v>45356</v>
      </c>
    </row>
    <row r="1255" spans="1:9" x14ac:dyDescent="0.15">
      <c r="A1255" s="6">
        <v>1254</v>
      </c>
      <c r="B1255" s="7" t="s">
        <v>7</v>
      </c>
      <c r="C1255" s="8">
        <v>1890</v>
      </c>
      <c r="D1255" s="9">
        <v>45449</v>
      </c>
      <c r="E1255" s="13">
        <f>+HYPERLINK("http://trademark.i-assist.jp/data/china/image_1890th/77114468.pdf",77114468)</f>
        <v>77114468</v>
      </c>
      <c r="F1255" s="7" t="s">
        <v>3543</v>
      </c>
      <c r="G1255" s="7" t="s">
        <v>3542</v>
      </c>
      <c r="H1255" s="7" t="s">
        <v>3544</v>
      </c>
      <c r="I1255" s="9">
        <v>45356</v>
      </c>
    </row>
    <row r="1256" spans="1:9" x14ac:dyDescent="0.15">
      <c r="A1256" s="6">
        <v>1255</v>
      </c>
      <c r="B1256" s="7" t="s">
        <v>7</v>
      </c>
      <c r="C1256" s="8">
        <v>1890</v>
      </c>
      <c r="D1256" s="9">
        <v>45449</v>
      </c>
      <c r="E1256" s="13">
        <f>+HYPERLINK("http://trademark.i-assist.jp/data/china/image_1890th/77114752.pdf",77114752)</f>
        <v>77114752</v>
      </c>
      <c r="F1256" s="7" t="s">
        <v>3545</v>
      </c>
      <c r="G1256" s="7" t="s">
        <v>1194</v>
      </c>
      <c r="H1256" s="7" t="s">
        <v>3546</v>
      </c>
      <c r="I1256" s="9">
        <v>45356</v>
      </c>
    </row>
    <row r="1257" spans="1:9" x14ac:dyDescent="0.15">
      <c r="A1257" s="6">
        <v>1256</v>
      </c>
      <c r="B1257" s="7" t="s">
        <v>7</v>
      </c>
      <c r="C1257" s="8">
        <v>1890</v>
      </c>
      <c r="D1257" s="9">
        <v>45449</v>
      </c>
      <c r="E1257" s="13">
        <f>+HYPERLINK("http://trademark.i-assist.jp/data/china/image_1890th/77115080.pdf",77115080)</f>
        <v>77115080</v>
      </c>
      <c r="F1257" s="7" t="s">
        <v>3548</v>
      </c>
      <c r="G1257" s="7" t="s">
        <v>3547</v>
      </c>
      <c r="H1257" s="7" t="s">
        <v>3549</v>
      </c>
      <c r="I1257" s="9">
        <v>45356</v>
      </c>
    </row>
    <row r="1258" spans="1:9" x14ac:dyDescent="0.15">
      <c r="A1258" s="6">
        <v>1257</v>
      </c>
      <c r="B1258" s="7" t="s">
        <v>7</v>
      </c>
      <c r="C1258" s="8">
        <v>1890</v>
      </c>
      <c r="D1258" s="9">
        <v>45449</v>
      </c>
      <c r="E1258" s="13">
        <f>+HYPERLINK("http://trademark.i-assist.jp/data/china/image_1890th/77115128.pdf",77115128)</f>
        <v>77115128</v>
      </c>
      <c r="F1258" s="7" t="s">
        <v>3551</v>
      </c>
      <c r="G1258" s="7" t="s">
        <v>3550</v>
      </c>
      <c r="H1258" s="7" t="s">
        <v>3552</v>
      </c>
      <c r="I1258" s="9">
        <v>45356</v>
      </c>
    </row>
    <row r="1259" spans="1:9" x14ac:dyDescent="0.15">
      <c r="A1259" s="6">
        <v>1258</v>
      </c>
      <c r="B1259" s="7" t="s">
        <v>7</v>
      </c>
      <c r="C1259" s="8">
        <v>1890</v>
      </c>
      <c r="D1259" s="9">
        <v>45449</v>
      </c>
      <c r="E1259" s="13">
        <f>+HYPERLINK("http://trademark.i-assist.jp/data/china/image_1890th/77115203.pdf",77115203)</f>
        <v>77115203</v>
      </c>
      <c r="F1259" s="7" t="s">
        <v>3554</v>
      </c>
      <c r="G1259" s="7" t="s">
        <v>3553</v>
      </c>
      <c r="H1259" s="7" t="s">
        <v>3555</v>
      </c>
      <c r="I1259" s="9">
        <v>45356</v>
      </c>
    </row>
    <row r="1260" spans="1:9" x14ac:dyDescent="0.15">
      <c r="A1260" s="6">
        <v>1259</v>
      </c>
      <c r="B1260" s="7" t="s">
        <v>7</v>
      </c>
      <c r="C1260" s="8">
        <v>1890</v>
      </c>
      <c r="D1260" s="9">
        <v>45449</v>
      </c>
      <c r="E1260" s="13">
        <f>+HYPERLINK("http://trademark.i-assist.jp/data/china/image_1890th/77115481.pdf",77115481)</f>
        <v>77115481</v>
      </c>
      <c r="F1260" s="7" t="s">
        <v>3557</v>
      </c>
      <c r="G1260" s="7" t="s">
        <v>3556</v>
      </c>
      <c r="H1260" s="7" t="s">
        <v>3558</v>
      </c>
      <c r="I1260" s="9">
        <v>45356</v>
      </c>
    </row>
    <row r="1261" spans="1:9" ht="27" x14ac:dyDescent="0.15">
      <c r="A1261" s="6">
        <v>1260</v>
      </c>
      <c r="B1261" s="7" t="s">
        <v>7</v>
      </c>
      <c r="C1261" s="8">
        <v>1890</v>
      </c>
      <c r="D1261" s="9">
        <v>45449</v>
      </c>
      <c r="E1261" s="13">
        <f>+HYPERLINK("http://trademark.i-assist.jp/data/china/image_1890th/77116021.pdf",77116021)</f>
        <v>77116021</v>
      </c>
      <c r="F1261" s="7" t="s">
        <v>3560</v>
      </c>
      <c r="G1261" s="7" t="s">
        <v>3559</v>
      </c>
      <c r="H1261" s="7" t="s">
        <v>3561</v>
      </c>
      <c r="I1261" s="9">
        <v>45356</v>
      </c>
    </row>
    <row r="1262" spans="1:9" x14ac:dyDescent="0.15">
      <c r="A1262" s="6">
        <v>1261</v>
      </c>
      <c r="B1262" s="7" t="s">
        <v>7</v>
      </c>
      <c r="C1262" s="8">
        <v>1890</v>
      </c>
      <c r="D1262" s="9">
        <v>45449</v>
      </c>
      <c r="E1262" s="13">
        <f>+HYPERLINK("http://trademark.i-assist.jp/data/china/image_1890th/77116191.pdf",77116191)</f>
        <v>77116191</v>
      </c>
      <c r="F1262" s="7" t="s">
        <v>3563</v>
      </c>
      <c r="G1262" s="7" t="s">
        <v>3562</v>
      </c>
      <c r="H1262" s="7" t="s">
        <v>3564</v>
      </c>
      <c r="I1262" s="9">
        <v>45356</v>
      </c>
    </row>
    <row r="1263" spans="1:9" x14ac:dyDescent="0.15">
      <c r="A1263" s="6">
        <v>1262</v>
      </c>
      <c r="B1263" s="7" t="s">
        <v>7</v>
      </c>
      <c r="C1263" s="8">
        <v>1890</v>
      </c>
      <c r="D1263" s="9">
        <v>45449</v>
      </c>
      <c r="E1263" s="13">
        <f>+HYPERLINK("http://trademark.i-assist.jp/data/china/image_1890th/77116285.pdf",77116285)</f>
        <v>77116285</v>
      </c>
      <c r="F1263" s="7" t="s">
        <v>183</v>
      </c>
      <c r="G1263" s="7" t="s">
        <v>28</v>
      </c>
      <c r="H1263" s="7" t="s">
        <v>3565</v>
      </c>
      <c r="I1263" s="9">
        <v>45356</v>
      </c>
    </row>
    <row r="1264" spans="1:9" x14ac:dyDescent="0.15">
      <c r="A1264" s="6">
        <v>1263</v>
      </c>
      <c r="B1264" s="7" t="s">
        <v>7</v>
      </c>
      <c r="C1264" s="8">
        <v>1890</v>
      </c>
      <c r="D1264" s="9">
        <v>45449</v>
      </c>
      <c r="E1264" s="13">
        <f>+HYPERLINK("http://trademark.i-assist.jp/data/china/image_1890th/77116286.pdf",77116286)</f>
        <v>77116286</v>
      </c>
      <c r="F1264" s="7" t="s">
        <v>3567</v>
      </c>
      <c r="G1264" s="7" t="s">
        <v>3566</v>
      </c>
      <c r="H1264" s="7" t="s">
        <v>3568</v>
      </c>
      <c r="I1264" s="9">
        <v>45356</v>
      </c>
    </row>
    <row r="1265" spans="1:9" x14ac:dyDescent="0.15">
      <c r="A1265" s="6">
        <v>1264</v>
      </c>
      <c r="B1265" s="7" t="s">
        <v>7</v>
      </c>
      <c r="C1265" s="8">
        <v>1890</v>
      </c>
      <c r="D1265" s="9">
        <v>45449</v>
      </c>
      <c r="E1265" s="13">
        <f>+HYPERLINK("http://trademark.i-assist.jp/data/china/image_1890th/77116405.pdf",77116405)</f>
        <v>77116405</v>
      </c>
      <c r="F1265" s="7" t="s">
        <v>3570</v>
      </c>
      <c r="G1265" s="7" t="s">
        <v>3569</v>
      </c>
      <c r="H1265" s="7" t="s">
        <v>3571</v>
      </c>
      <c r="I1265" s="9">
        <v>45356</v>
      </c>
    </row>
    <row r="1266" spans="1:9" x14ac:dyDescent="0.15">
      <c r="A1266" s="6">
        <v>1265</v>
      </c>
      <c r="B1266" s="7" t="s">
        <v>7</v>
      </c>
      <c r="C1266" s="8">
        <v>1890</v>
      </c>
      <c r="D1266" s="9">
        <v>45449</v>
      </c>
      <c r="E1266" s="13">
        <f>+HYPERLINK("http://trademark.i-assist.jp/data/china/image_1890th/77116872.pdf",77116872)</f>
        <v>77116872</v>
      </c>
      <c r="F1266" s="7" t="s">
        <v>3498</v>
      </c>
      <c r="G1266" s="7" t="s">
        <v>3497</v>
      </c>
      <c r="H1266" s="7" t="s">
        <v>3572</v>
      </c>
      <c r="I1266" s="9">
        <v>45356</v>
      </c>
    </row>
    <row r="1267" spans="1:9" x14ac:dyDescent="0.15">
      <c r="A1267" s="6">
        <v>1266</v>
      </c>
      <c r="B1267" s="7" t="s">
        <v>7</v>
      </c>
      <c r="C1267" s="8">
        <v>1890</v>
      </c>
      <c r="D1267" s="9">
        <v>45449</v>
      </c>
      <c r="E1267" s="13">
        <f>+HYPERLINK("http://trademark.i-assist.jp/data/china/image_1890th/77117143.pdf",77117143)</f>
        <v>77117143</v>
      </c>
      <c r="F1267" s="7" t="s">
        <v>1195</v>
      </c>
      <c r="G1267" s="7" t="s">
        <v>1194</v>
      </c>
      <c r="H1267" s="7" t="s">
        <v>3573</v>
      </c>
      <c r="I1267" s="9">
        <v>45356</v>
      </c>
    </row>
    <row r="1268" spans="1:9" ht="40.5" x14ac:dyDescent="0.15">
      <c r="A1268" s="6">
        <v>1267</v>
      </c>
      <c r="B1268" s="7" t="s">
        <v>7</v>
      </c>
      <c r="C1268" s="8">
        <v>1890</v>
      </c>
      <c r="D1268" s="9">
        <v>45449</v>
      </c>
      <c r="E1268" s="13">
        <f>+HYPERLINK("http://trademark.i-assist.jp/data/china/image_1890th/77117449.pdf",77117449)</f>
        <v>77117449</v>
      </c>
      <c r="F1268" s="7" t="s">
        <v>3575</v>
      </c>
      <c r="G1268" s="7" t="s">
        <v>3574</v>
      </c>
      <c r="H1268" s="7" t="s">
        <v>3576</v>
      </c>
      <c r="I1268" s="9">
        <v>45356</v>
      </c>
    </row>
    <row r="1269" spans="1:9" x14ac:dyDescent="0.15">
      <c r="A1269" s="6">
        <v>1268</v>
      </c>
      <c r="B1269" s="7" t="s">
        <v>7</v>
      </c>
      <c r="C1269" s="8">
        <v>1890</v>
      </c>
      <c r="D1269" s="9">
        <v>45449</v>
      </c>
      <c r="E1269" s="13">
        <f>+HYPERLINK("http://trademark.i-assist.jp/data/china/image_1890th/77118483.pdf",77118483)</f>
        <v>77118483</v>
      </c>
      <c r="F1269" s="7" t="s">
        <v>3578</v>
      </c>
      <c r="G1269" s="7" t="s">
        <v>3577</v>
      </c>
      <c r="H1269" s="7" t="s">
        <v>3579</v>
      </c>
      <c r="I1269" s="9">
        <v>45356</v>
      </c>
    </row>
    <row r="1270" spans="1:9" x14ac:dyDescent="0.15">
      <c r="A1270" s="6">
        <v>1269</v>
      </c>
      <c r="B1270" s="7" t="s">
        <v>7</v>
      </c>
      <c r="C1270" s="8">
        <v>1890</v>
      </c>
      <c r="D1270" s="9">
        <v>45449</v>
      </c>
      <c r="E1270" s="13">
        <f>+HYPERLINK("http://trademark.i-assist.jp/data/china/image_1890th/77119037.pdf",77119037)</f>
        <v>77119037</v>
      </c>
      <c r="F1270" s="7" t="s">
        <v>3581</v>
      </c>
      <c r="G1270" s="7" t="s">
        <v>3580</v>
      </c>
      <c r="H1270" s="7" t="s">
        <v>3582</v>
      </c>
      <c r="I1270" s="9">
        <v>45356</v>
      </c>
    </row>
    <row r="1271" spans="1:9" x14ac:dyDescent="0.15">
      <c r="A1271" s="6">
        <v>1270</v>
      </c>
      <c r="B1271" s="7" t="s">
        <v>7</v>
      </c>
      <c r="C1271" s="8">
        <v>1890</v>
      </c>
      <c r="D1271" s="9">
        <v>45449</v>
      </c>
      <c r="E1271" s="13">
        <f>+HYPERLINK("http://trademark.i-assist.jp/data/china/image_1890th/77119507.pdf",77119507)</f>
        <v>77119507</v>
      </c>
      <c r="F1271" s="7" t="s">
        <v>3584</v>
      </c>
      <c r="G1271" s="7" t="s">
        <v>3583</v>
      </c>
      <c r="H1271" s="7" t="s">
        <v>3585</v>
      </c>
      <c r="I1271" s="9">
        <v>45356</v>
      </c>
    </row>
    <row r="1272" spans="1:9" x14ac:dyDescent="0.15">
      <c r="A1272" s="6">
        <v>1271</v>
      </c>
      <c r="B1272" s="7" t="s">
        <v>7</v>
      </c>
      <c r="C1272" s="8">
        <v>1890</v>
      </c>
      <c r="D1272" s="9">
        <v>45449</v>
      </c>
      <c r="E1272" s="13">
        <f>+HYPERLINK("http://trademark.i-assist.jp/data/china/image_1890th/77119774.pdf",77119774)</f>
        <v>77119774</v>
      </c>
      <c r="F1272" s="7" t="s">
        <v>3587</v>
      </c>
      <c r="G1272" s="7" t="s">
        <v>3586</v>
      </c>
      <c r="H1272" s="7" t="s">
        <v>3588</v>
      </c>
      <c r="I1272" s="9">
        <v>45356</v>
      </c>
    </row>
    <row r="1273" spans="1:9" x14ac:dyDescent="0.15">
      <c r="A1273" s="6">
        <v>1272</v>
      </c>
      <c r="B1273" s="7" t="s">
        <v>7</v>
      </c>
      <c r="C1273" s="8">
        <v>1890</v>
      </c>
      <c r="D1273" s="9">
        <v>45449</v>
      </c>
      <c r="E1273" s="13">
        <f>+HYPERLINK("http://trademark.i-assist.jp/data/china/image_1890th/77120181.pdf",77120181)</f>
        <v>77120181</v>
      </c>
      <c r="F1273" s="7" t="s">
        <v>3590</v>
      </c>
      <c r="G1273" s="7" t="s">
        <v>3589</v>
      </c>
      <c r="H1273" s="7" t="s">
        <v>3591</v>
      </c>
      <c r="I1273" s="9">
        <v>45356</v>
      </c>
    </row>
    <row r="1274" spans="1:9" ht="27" x14ac:dyDescent="0.15">
      <c r="A1274" s="6">
        <v>1273</v>
      </c>
      <c r="B1274" s="7" t="s">
        <v>7</v>
      </c>
      <c r="C1274" s="8">
        <v>1890</v>
      </c>
      <c r="D1274" s="9">
        <v>45449</v>
      </c>
      <c r="E1274" s="13">
        <f>+HYPERLINK("http://trademark.i-assist.jp/data/china/image_1890th/77120206.pdf",77120206)</f>
        <v>77120206</v>
      </c>
      <c r="F1274" s="7" t="s">
        <v>3593</v>
      </c>
      <c r="G1274" s="7" t="s">
        <v>3592</v>
      </c>
      <c r="H1274" s="7" t="s">
        <v>3594</v>
      </c>
      <c r="I1274" s="9">
        <v>45356</v>
      </c>
    </row>
    <row r="1275" spans="1:9" x14ac:dyDescent="0.15">
      <c r="A1275" s="6">
        <v>1274</v>
      </c>
      <c r="B1275" s="7" t="s">
        <v>7</v>
      </c>
      <c r="C1275" s="8">
        <v>1890</v>
      </c>
      <c r="D1275" s="9">
        <v>45449</v>
      </c>
      <c r="E1275" s="13">
        <f>+HYPERLINK("http://trademark.i-assist.jp/data/china/image_1890th/77120413.pdf",77120413)</f>
        <v>77120413</v>
      </c>
      <c r="F1275" s="7" t="s">
        <v>3596</v>
      </c>
      <c r="G1275" s="7" t="s">
        <v>3595</v>
      </c>
      <c r="H1275" s="7" t="s">
        <v>3597</v>
      </c>
      <c r="I1275" s="9">
        <v>45356</v>
      </c>
    </row>
    <row r="1276" spans="1:9" x14ac:dyDescent="0.15">
      <c r="A1276" s="6">
        <v>1275</v>
      </c>
      <c r="B1276" s="7" t="s">
        <v>7</v>
      </c>
      <c r="C1276" s="8">
        <v>1890</v>
      </c>
      <c r="D1276" s="9">
        <v>45449</v>
      </c>
      <c r="E1276" s="13">
        <f>+HYPERLINK("http://trademark.i-assist.jp/data/china/image_1890th/77120445.pdf",77120445)</f>
        <v>77120445</v>
      </c>
      <c r="F1276" s="7" t="s">
        <v>3599</v>
      </c>
      <c r="G1276" s="7" t="s">
        <v>3598</v>
      </c>
      <c r="H1276" s="7" t="s">
        <v>3600</v>
      </c>
      <c r="I1276" s="9">
        <v>45356</v>
      </c>
    </row>
    <row r="1277" spans="1:9" x14ac:dyDescent="0.15">
      <c r="A1277" s="6">
        <v>1276</v>
      </c>
      <c r="B1277" s="7" t="s">
        <v>7</v>
      </c>
      <c r="C1277" s="8">
        <v>1890</v>
      </c>
      <c r="D1277" s="9">
        <v>45449</v>
      </c>
      <c r="E1277" s="13">
        <f>+HYPERLINK("http://trademark.i-assist.jp/data/china/image_1890th/77120762.pdf",77120762)</f>
        <v>77120762</v>
      </c>
      <c r="F1277" s="7" t="s">
        <v>3602</v>
      </c>
      <c r="G1277" s="7" t="s">
        <v>3601</v>
      </c>
      <c r="H1277" s="7" t="s">
        <v>3603</v>
      </c>
      <c r="I1277" s="9">
        <v>45356</v>
      </c>
    </row>
    <row r="1278" spans="1:9" x14ac:dyDescent="0.15">
      <c r="A1278" s="6">
        <v>1277</v>
      </c>
      <c r="B1278" s="7" t="s">
        <v>7</v>
      </c>
      <c r="C1278" s="8">
        <v>1890</v>
      </c>
      <c r="D1278" s="9">
        <v>45449</v>
      </c>
      <c r="E1278" s="13">
        <f>+HYPERLINK("http://trademark.i-assist.jp/data/china/image_1890th/77121405.pdf",77121405)</f>
        <v>77121405</v>
      </c>
      <c r="F1278" s="7" t="s">
        <v>3605</v>
      </c>
      <c r="G1278" s="7" t="s">
        <v>3604</v>
      </c>
      <c r="H1278" s="7" t="s">
        <v>3606</v>
      </c>
      <c r="I1278" s="9">
        <v>45356</v>
      </c>
    </row>
    <row r="1279" spans="1:9" ht="27" x14ac:dyDescent="0.15">
      <c r="A1279" s="6">
        <v>1278</v>
      </c>
      <c r="B1279" s="7" t="s">
        <v>7</v>
      </c>
      <c r="C1279" s="8">
        <v>1890</v>
      </c>
      <c r="D1279" s="9">
        <v>45449</v>
      </c>
      <c r="E1279" s="13">
        <f>+HYPERLINK("http://trademark.i-assist.jp/data/china/image_1890th/77121514.pdf",77121514)</f>
        <v>77121514</v>
      </c>
      <c r="F1279" s="7" t="s">
        <v>3608</v>
      </c>
      <c r="G1279" s="7" t="s">
        <v>3607</v>
      </c>
      <c r="H1279" s="7" t="s">
        <v>3609</v>
      </c>
      <c r="I1279" s="9">
        <v>45356</v>
      </c>
    </row>
    <row r="1280" spans="1:9" x14ac:dyDescent="0.15">
      <c r="A1280" s="6">
        <v>1279</v>
      </c>
      <c r="B1280" s="7" t="s">
        <v>7</v>
      </c>
      <c r="C1280" s="8">
        <v>1890</v>
      </c>
      <c r="D1280" s="9">
        <v>45449</v>
      </c>
      <c r="E1280" s="13">
        <f>+HYPERLINK("http://trademark.i-assist.jp/data/china/image_1890th/77121542.pdf",77121542)</f>
        <v>77121542</v>
      </c>
      <c r="F1280" s="7" t="s">
        <v>3611</v>
      </c>
      <c r="G1280" s="7" t="s">
        <v>3610</v>
      </c>
      <c r="H1280" s="7" t="s">
        <v>3612</v>
      </c>
      <c r="I1280" s="9">
        <v>45356</v>
      </c>
    </row>
    <row r="1281" spans="1:9" x14ac:dyDescent="0.15">
      <c r="A1281" s="6">
        <v>1280</v>
      </c>
      <c r="B1281" s="7" t="s">
        <v>7</v>
      </c>
      <c r="C1281" s="8">
        <v>1890</v>
      </c>
      <c r="D1281" s="9">
        <v>45449</v>
      </c>
      <c r="E1281" s="13">
        <f>+HYPERLINK("http://trademark.i-assist.jp/data/china/image_1890th/77121833.pdf",77121833)</f>
        <v>77121833</v>
      </c>
      <c r="F1281" s="7" t="s">
        <v>3614</v>
      </c>
      <c r="G1281" s="7" t="s">
        <v>3613</v>
      </c>
      <c r="H1281" s="7" t="s">
        <v>3615</v>
      </c>
      <c r="I1281" s="9">
        <v>45356</v>
      </c>
    </row>
    <row r="1282" spans="1:9" x14ac:dyDescent="0.15">
      <c r="A1282" s="6">
        <v>1281</v>
      </c>
      <c r="B1282" s="7" t="s">
        <v>7</v>
      </c>
      <c r="C1282" s="8">
        <v>1890</v>
      </c>
      <c r="D1282" s="9">
        <v>45449</v>
      </c>
      <c r="E1282" s="13">
        <f>+HYPERLINK("http://trademark.i-assist.jp/data/china/image_1890th/77122039.pdf",77122039)</f>
        <v>77122039</v>
      </c>
      <c r="F1282" s="7" t="s">
        <v>3617</v>
      </c>
      <c r="G1282" s="7" t="s">
        <v>3616</v>
      </c>
      <c r="H1282" s="7" t="s">
        <v>3618</v>
      </c>
      <c r="I1282" s="9">
        <v>45356</v>
      </c>
    </row>
    <row r="1283" spans="1:9" x14ac:dyDescent="0.15">
      <c r="A1283" s="6">
        <v>1282</v>
      </c>
      <c r="B1283" s="7" t="s">
        <v>7</v>
      </c>
      <c r="C1283" s="8">
        <v>1890</v>
      </c>
      <c r="D1283" s="9">
        <v>45449</v>
      </c>
      <c r="E1283" s="13">
        <f>+HYPERLINK("http://trademark.i-assist.jp/data/china/image_1890th/77122914.pdf",77122914)</f>
        <v>77122914</v>
      </c>
      <c r="F1283" s="7" t="s">
        <v>3620</v>
      </c>
      <c r="G1283" s="7" t="s">
        <v>3619</v>
      </c>
      <c r="H1283" s="7" t="s">
        <v>3621</v>
      </c>
      <c r="I1283" s="9">
        <v>45356</v>
      </c>
    </row>
    <row r="1284" spans="1:9" x14ac:dyDescent="0.15">
      <c r="A1284" s="6">
        <v>1283</v>
      </c>
      <c r="B1284" s="7" t="s">
        <v>7</v>
      </c>
      <c r="C1284" s="8">
        <v>1890</v>
      </c>
      <c r="D1284" s="9">
        <v>45449</v>
      </c>
      <c r="E1284" s="13">
        <f>+HYPERLINK("http://trademark.i-assist.jp/data/china/image_1890th/77123332.pdf",77123332)</f>
        <v>77123332</v>
      </c>
      <c r="F1284" s="7" t="s">
        <v>3623</v>
      </c>
      <c r="G1284" s="7" t="s">
        <v>3622</v>
      </c>
      <c r="H1284" s="7" t="s">
        <v>3624</v>
      </c>
      <c r="I1284" s="9">
        <v>45356</v>
      </c>
    </row>
    <row r="1285" spans="1:9" x14ac:dyDescent="0.15">
      <c r="A1285" s="6">
        <v>1284</v>
      </c>
      <c r="B1285" s="7" t="s">
        <v>7</v>
      </c>
      <c r="C1285" s="8">
        <v>1890</v>
      </c>
      <c r="D1285" s="9">
        <v>45449</v>
      </c>
      <c r="E1285" s="13">
        <f>+HYPERLINK("http://trademark.i-assist.jp/data/china/image_1890th/77123342.pdf",77123342)</f>
        <v>77123342</v>
      </c>
      <c r="F1285" s="7" t="s">
        <v>3625</v>
      </c>
      <c r="G1285" s="7" t="s">
        <v>3622</v>
      </c>
      <c r="H1285" s="7" t="s">
        <v>3626</v>
      </c>
      <c r="I1285" s="9">
        <v>45356</v>
      </c>
    </row>
    <row r="1286" spans="1:9" x14ac:dyDescent="0.15">
      <c r="A1286" s="6">
        <v>1285</v>
      </c>
      <c r="B1286" s="7" t="s">
        <v>7</v>
      </c>
      <c r="C1286" s="8">
        <v>1890</v>
      </c>
      <c r="D1286" s="9">
        <v>45449</v>
      </c>
      <c r="E1286" s="13">
        <f>+HYPERLINK("http://trademark.i-assist.jp/data/china/image_1890th/77132093.pdf",77132093)</f>
        <v>77132093</v>
      </c>
      <c r="F1286" s="7" t="s">
        <v>3628</v>
      </c>
      <c r="G1286" s="7" t="s">
        <v>3627</v>
      </c>
      <c r="H1286" s="7" t="s">
        <v>3629</v>
      </c>
      <c r="I1286" s="9">
        <v>45357</v>
      </c>
    </row>
    <row r="1287" spans="1:9" x14ac:dyDescent="0.15">
      <c r="A1287" s="6">
        <v>1286</v>
      </c>
      <c r="B1287" s="7" t="s">
        <v>7</v>
      </c>
      <c r="C1287" s="8">
        <v>1890</v>
      </c>
      <c r="D1287" s="9">
        <v>45449</v>
      </c>
      <c r="E1287" s="13">
        <f>+HYPERLINK("http://trademark.i-assist.jp/data/china/image_1890th/77132233.pdf",77132233)</f>
        <v>77132233</v>
      </c>
      <c r="F1287" s="7" t="s">
        <v>183</v>
      </c>
      <c r="G1287" s="7" t="s">
        <v>2234</v>
      </c>
      <c r="H1287" s="7" t="s">
        <v>3630</v>
      </c>
      <c r="I1287" s="9">
        <v>45357</v>
      </c>
    </row>
    <row r="1288" spans="1:9" x14ac:dyDescent="0.15">
      <c r="A1288" s="6">
        <v>1287</v>
      </c>
      <c r="B1288" s="7" t="s">
        <v>7</v>
      </c>
      <c r="C1288" s="8">
        <v>1890</v>
      </c>
      <c r="D1288" s="9">
        <v>45449</v>
      </c>
      <c r="E1288" s="13">
        <f>+HYPERLINK("http://trademark.i-assist.jp/data/china/image_1890th/77132362.pdf",77132362)</f>
        <v>77132362</v>
      </c>
      <c r="F1288" s="7" t="s">
        <v>3632</v>
      </c>
      <c r="G1288" s="7" t="s">
        <v>3631</v>
      </c>
      <c r="H1288" s="7" t="s">
        <v>3633</v>
      </c>
      <c r="I1288" s="9">
        <v>45357</v>
      </c>
    </row>
    <row r="1289" spans="1:9" x14ac:dyDescent="0.15">
      <c r="A1289" s="6">
        <v>1288</v>
      </c>
      <c r="B1289" s="7" t="s">
        <v>7</v>
      </c>
      <c r="C1289" s="8">
        <v>1890</v>
      </c>
      <c r="D1289" s="9">
        <v>45449</v>
      </c>
      <c r="E1289" s="13">
        <f>+HYPERLINK("http://trademark.i-assist.jp/data/china/image_1890th/77132371.pdf",77132371)</f>
        <v>77132371</v>
      </c>
      <c r="F1289" s="7" t="s">
        <v>3634</v>
      </c>
      <c r="G1289" s="7" t="s">
        <v>3631</v>
      </c>
      <c r="H1289" s="7" t="s">
        <v>3635</v>
      </c>
      <c r="I1289" s="9">
        <v>45357</v>
      </c>
    </row>
    <row r="1290" spans="1:9" x14ac:dyDescent="0.15">
      <c r="A1290" s="6">
        <v>1289</v>
      </c>
      <c r="B1290" s="7" t="s">
        <v>7</v>
      </c>
      <c r="C1290" s="8">
        <v>1890</v>
      </c>
      <c r="D1290" s="9">
        <v>45449</v>
      </c>
      <c r="E1290" s="13">
        <f>+HYPERLINK("http://trademark.i-assist.jp/data/china/image_1890th/77132650.pdf",77132650)</f>
        <v>77132650</v>
      </c>
      <c r="F1290" s="7" t="s">
        <v>3637</v>
      </c>
      <c r="G1290" s="7" t="s">
        <v>3636</v>
      </c>
      <c r="H1290" s="7" t="s">
        <v>3638</v>
      </c>
      <c r="I1290" s="9">
        <v>45357</v>
      </c>
    </row>
    <row r="1291" spans="1:9" x14ac:dyDescent="0.15">
      <c r="A1291" s="6">
        <v>1290</v>
      </c>
      <c r="B1291" s="7" t="s">
        <v>7</v>
      </c>
      <c r="C1291" s="8">
        <v>1890</v>
      </c>
      <c r="D1291" s="9">
        <v>45449</v>
      </c>
      <c r="E1291" s="13">
        <f>+HYPERLINK("http://trademark.i-assist.jp/data/china/image_1890th/77133060.pdf",77133060)</f>
        <v>77133060</v>
      </c>
      <c r="F1291" s="7" t="s">
        <v>3640</v>
      </c>
      <c r="G1291" s="7" t="s">
        <v>3639</v>
      </c>
      <c r="H1291" s="7" t="s">
        <v>3641</v>
      </c>
      <c r="I1291" s="9">
        <v>45357</v>
      </c>
    </row>
    <row r="1292" spans="1:9" x14ac:dyDescent="0.15">
      <c r="A1292" s="6">
        <v>1291</v>
      </c>
      <c r="B1292" s="7" t="s">
        <v>7</v>
      </c>
      <c r="C1292" s="8">
        <v>1890</v>
      </c>
      <c r="D1292" s="9">
        <v>45449</v>
      </c>
      <c r="E1292" s="13">
        <f>+HYPERLINK("http://trademark.i-assist.jp/data/china/image_1890th/77133372.pdf",77133372)</f>
        <v>77133372</v>
      </c>
      <c r="F1292" s="7" t="s">
        <v>3643</v>
      </c>
      <c r="G1292" s="7" t="s">
        <v>3642</v>
      </c>
      <c r="H1292" s="7" t="s">
        <v>3644</v>
      </c>
      <c r="I1292" s="9">
        <v>45357</v>
      </c>
    </row>
    <row r="1293" spans="1:9" ht="27" x14ac:dyDescent="0.15">
      <c r="A1293" s="6">
        <v>1292</v>
      </c>
      <c r="B1293" s="7" t="s">
        <v>7</v>
      </c>
      <c r="C1293" s="8">
        <v>1890</v>
      </c>
      <c r="D1293" s="9">
        <v>45449</v>
      </c>
      <c r="E1293" s="13">
        <f>+HYPERLINK("http://trademark.i-assist.jp/data/china/image_1890th/77133436.pdf",77133436)</f>
        <v>77133436</v>
      </c>
      <c r="F1293" s="7" t="s">
        <v>3646</v>
      </c>
      <c r="G1293" s="7" t="s">
        <v>3645</v>
      </c>
      <c r="H1293" s="7" t="s">
        <v>3647</v>
      </c>
      <c r="I1293" s="9">
        <v>45357</v>
      </c>
    </row>
    <row r="1294" spans="1:9" x14ac:dyDescent="0.15">
      <c r="A1294" s="6">
        <v>1293</v>
      </c>
      <c r="B1294" s="7" t="s">
        <v>7</v>
      </c>
      <c r="C1294" s="8">
        <v>1890</v>
      </c>
      <c r="D1294" s="9">
        <v>45449</v>
      </c>
      <c r="E1294" s="13">
        <f>+HYPERLINK("http://trademark.i-assist.jp/data/china/image_1890th/77133586.pdf",77133586)</f>
        <v>77133586</v>
      </c>
      <c r="F1294" s="7" t="s">
        <v>3648</v>
      </c>
      <c r="G1294" s="7" t="s">
        <v>2648</v>
      </c>
      <c r="H1294" s="7" t="s">
        <v>3649</v>
      </c>
      <c r="I1294" s="9">
        <v>45357</v>
      </c>
    </row>
    <row r="1295" spans="1:9" x14ac:dyDescent="0.15">
      <c r="A1295" s="6">
        <v>1294</v>
      </c>
      <c r="B1295" s="7" t="s">
        <v>7</v>
      </c>
      <c r="C1295" s="8">
        <v>1890</v>
      </c>
      <c r="D1295" s="9">
        <v>45449</v>
      </c>
      <c r="E1295" s="13">
        <f>+HYPERLINK("http://trademark.i-assist.jp/data/china/image_1890th/77133947.pdf",77133947)</f>
        <v>77133947</v>
      </c>
      <c r="F1295" s="7" t="s">
        <v>3651</v>
      </c>
      <c r="G1295" s="7" t="s">
        <v>3650</v>
      </c>
      <c r="H1295" s="7" t="s">
        <v>3652</v>
      </c>
      <c r="I1295" s="9">
        <v>45357</v>
      </c>
    </row>
    <row r="1296" spans="1:9" x14ac:dyDescent="0.15">
      <c r="A1296" s="6">
        <v>1295</v>
      </c>
      <c r="B1296" s="7" t="s">
        <v>7</v>
      </c>
      <c r="C1296" s="8">
        <v>1890</v>
      </c>
      <c r="D1296" s="9">
        <v>45449</v>
      </c>
      <c r="E1296" s="13">
        <f>+HYPERLINK("http://trademark.i-assist.jp/data/china/image_1890th/77134111.pdf",77134111)</f>
        <v>77134111</v>
      </c>
      <c r="F1296" s="7" t="s">
        <v>3653</v>
      </c>
      <c r="G1296" s="7" t="s">
        <v>768</v>
      </c>
      <c r="H1296" s="7" t="s">
        <v>3654</v>
      </c>
      <c r="I1296" s="9">
        <v>45357</v>
      </c>
    </row>
    <row r="1297" spans="1:9" x14ac:dyDescent="0.15">
      <c r="A1297" s="6">
        <v>1296</v>
      </c>
      <c r="B1297" s="7" t="s">
        <v>7</v>
      </c>
      <c r="C1297" s="8">
        <v>1890</v>
      </c>
      <c r="D1297" s="9">
        <v>45449</v>
      </c>
      <c r="E1297" s="13">
        <f>+HYPERLINK("http://trademark.i-assist.jp/data/china/image_1890th/77135826.pdf",77135826)</f>
        <v>77135826</v>
      </c>
      <c r="F1297" s="7" t="s">
        <v>3656</v>
      </c>
      <c r="G1297" s="7" t="s">
        <v>3655</v>
      </c>
      <c r="H1297" s="7" t="s">
        <v>3657</v>
      </c>
      <c r="I1297" s="9">
        <v>45357</v>
      </c>
    </row>
    <row r="1298" spans="1:9" ht="121.5" x14ac:dyDescent="0.15">
      <c r="A1298" s="6">
        <v>1297</v>
      </c>
      <c r="B1298" s="7" t="s">
        <v>7</v>
      </c>
      <c r="C1298" s="8">
        <v>1890</v>
      </c>
      <c r="D1298" s="9">
        <v>45449</v>
      </c>
      <c r="E1298" s="13" t="s">
        <v>11360</v>
      </c>
      <c r="F1298" s="7" t="s">
        <v>3659</v>
      </c>
      <c r="G1298" s="7" t="s">
        <v>3658</v>
      </c>
      <c r="H1298" s="7" t="s">
        <v>3660</v>
      </c>
      <c r="I1298" s="9">
        <v>45357</v>
      </c>
    </row>
    <row r="1299" spans="1:9" x14ac:dyDescent="0.15">
      <c r="A1299" s="6">
        <v>1298</v>
      </c>
      <c r="B1299" s="7" t="s">
        <v>7</v>
      </c>
      <c r="C1299" s="8">
        <v>1890</v>
      </c>
      <c r="D1299" s="9">
        <v>45449</v>
      </c>
      <c r="E1299" s="13">
        <f>+HYPERLINK("http://trademark.i-assist.jp/data/china/image_1890th/77136208.pdf",77136208)</f>
        <v>77136208</v>
      </c>
      <c r="F1299" s="7" t="s">
        <v>3662</v>
      </c>
      <c r="G1299" s="7" t="s">
        <v>3661</v>
      </c>
      <c r="H1299" s="7" t="s">
        <v>3663</v>
      </c>
      <c r="I1299" s="9">
        <v>45357</v>
      </c>
    </row>
    <row r="1300" spans="1:9" x14ac:dyDescent="0.15">
      <c r="A1300" s="6">
        <v>1299</v>
      </c>
      <c r="B1300" s="7" t="s">
        <v>7</v>
      </c>
      <c r="C1300" s="8">
        <v>1890</v>
      </c>
      <c r="D1300" s="9">
        <v>45449</v>
      </c>
      <c r="E1300" s="13">
        <f>+HYPERLINK("http://trademark.i-assist.jp/data/china/image_1890th/77152403.pdf",77152403)</f>
        <v>77152403</v>
      </c>
      <c r="F1300" s="7" t="s">
        <v>183</v>
      </c>
      <c r="G1300" s="7" t="s">
        <v>3664</v>
      </c>
      <c r="H1300" s="7" t="s">
        <v>3665</v>
      </c>
      <c r="I1300" s="9">
        <v>45358</v>
      </c>
    </row>
    <row r="1301" spans="1:9" x14ac:dyDescent="0.15">
      <c r="A1301" s="6">
        <v>1300</v>
      </c>
      <c r="B1301" s="7" t="s">
        <v>7</v>
      </c>
      <c r="C1301" s="8">
        <v>1890</v>
      </c>
      <c r="D1301" s="9">
        <v>45449</v>
      </c>
      <c r="E1301" s="13">
        <f>+HYPERLINK("http://trademark.i-assist.jp/data/china/image_1890th/77152429.pdf",77152429)</f>
        <v>77152429</v>
      </c>
      <c r="F1301" s="7" t="s">
        <v>3667</v>
      </c>
      <c r="G1301" s="7" t="s">
        <v>3666</v>
      </c>
      <c r="H1301" s="7" t="s">
        <v>3668</v>
      </c>
      <c r="I1301" s="9">
        <v>45358</v>
      </c>
    </row>
    <row r="1302" spans="1:9" x14ac:dyDescent="0.15">
      <c r="A1302" s="6">
        <v>1301</v>
      </c>
      <c r="B1302" s="7" t="s">
        <v>7</v>
      </c>
      <c r="C1302" s="8">
        <v>1890</v>
      </c>
      <c r="D1302" s="9">
        <v>45449</v>
      </c>
      <c r="E1302" s="13">
        <f>+HYPERLINK("http://trademark.i-assist.jp/data/china/image_1890th/77153682.pdf",77153682)</f>
        <v>77153682</v>
      </c>
      <c r="F1302" s="7" t="s">
        <v>3669</v>
      </c>
      <c r="G1302" s="7" t="s">
        <v>2552</v>
      </c>
      <c r="H1302" s="7" t="s">
        <v>3670</v>
      </c>
      <c r="I1302" s="9">
        <v>45358</v>
      </c>
    </row>
    <row r="1303" spans="1:9" x14ac:dyDescent="0.15">
      <c r="A1303" s="6">
        <v>1302</v>
      </c>
      <c r="B1303" s="7" t="s">
        <v>7</v>
      </c>
      <c r="C1303" s="8">
        <v>1890</v>
      </c>
      <c r="D1303" s="9">
        <v>45449</v>
      </c>
      <c r="E1303" s="13">
        <f>+HYPERLINK("http://trademark.i-assist.jp/data/china/image_1890th/77153696.pdf",77153696)</f>
        <v>77153696</v>
      </c>
      <c r="F1303" s="7" t="s">
        <v>3672</v>
      </c>
      <c r="G1303" s="7" t="s">
        <v>3671</v>
      </c>
      <c r="H1303" s="7" t="s">
        <v>3673</v>
      </c>
      <c r="I1303" s="9">
        <v>45358</v>
      </c>
    </row>
    <row r="1304" spans="1:9" x14ac:dyDescent="0.15">
      <c r="A1304" s="6">
        <v>1303</v>
      </c>
      <c r="B1304" s="7" t="s">
        <v>7</v>
      </c>
      <c r="C1304" s="8">
        <v>1890</v>
      </c>
      <c r="D1304" s="9">
        <v>45449</v>
      </c>
      <c r="E1304" s="13">
        <f>+HYPERLINK("http://trademark.i-assist.jp/data/china/image_1890th/77153939.pdf",77153939)</f>
        <v>77153939</v>
      </c>
      <c r="F1304" s="7" t="s">
        <v>3675</v>
      </c>
      <c r="G1304" s="7" t="s">
        <v>3674</v>
      </c>
      <c r="H1304" s="7" t="s">
        <v>3676</v>
      </c>
      <c r="I1304" s="9">
        <v>45358</v>
      </c>
    </row>
    <row r="1305" spans="1:9" x14ac:dyDescent="0.15">
      <c r="A1305" s="6">
        <v>1304</v>
      </c>
      <c r="B1305" s="7" t="s">
        <v>7</v>
      </c>
      <c r="C1305" s="8">
        <v>1890</v>
      </c>
      <c r="D1305" s="9">
        <v>45449</v>
      </c>
      <c r="E1305" s="13">
        <f>+HYPERLINK("http://trademark.i-assist.jp/data/china/image_1890th/77154264.pdf",77154264)</f>
        <v>77154264</v>
      </c>
      <c r="F1305" s="7" t="s">
        <v>3678</v>
      </c>
      <c r="G1305" s="7" t="s">
        <v>3677</v>
      </c>
      <c r="H1305" s="7" t="s">
        <v>3679</v>
      </c>
      <c r="I1305" s="9">
        <v>45358</v>
      </c>
    </row>
    <row r="1306" spans="1:9" ht="27" x14ac:dyDescent="0.15">
      <c r="A1306" s="6">
        <v>1305</v>
      </c>
      <c r="B1306" s="7" t="s">
        <v>7</v>
      </c>
      <c r="C1306" s="8">
        <v>1890</v>
      </c>
      <c r="D1306" s="9">
        <v>45449</v>
      </c>
      <c r="E1306" s="13">
        <f>+HYPERLINK("http://trademark.i-assist.jp/data/china/image_1890th/77154582.pdf",77154582)</f>
        <v>77154582</v>
      </c>
      <c r="F1306" s="7" t="s">
        <v>3681</v>
      </c>
      <c r="G1306" s="7" t="s">
        <v>3680</v>
      </c>
      <c r="H1306" s="7" t="s">
        <v>3682</v>
      </c>
      <c r="I1306" s="9">
        <v>45358</v>
      </c>
    </row>
    <row r="1307" spans="1:9" x14ac:dyDescent="0.15">
      <c r="A1307" s="6">
        <v>1306</v>
      </c>
      <c r="B1307" s="7" t="s">
        <v>7</v>
      </c>
      <c r="C1307" s="8">
        <v>1890</v>
      </c>
      <c r="D1307" s="9">
        <v>45449</v>
      </c>
      <c r="E1307" s="13">
        <f>+HYPERLINK("http://trademark.i-assist.jp/data/china/image_1890th/77154689.pdf",77154689)</f>
        <v>77154689</v>
      </c>
      <c r="F1307" s="7" t="s">
        <v>3683</v>
      </c>
      <c r="G1307" s="7" t="s">
        <v>1706</v>
      </c>
      <c r="H1307" s="7" t="s">
        <v>3684</v>
      </c>
      <c r="I1307" s="9">
        <v>45358</v>
      </c>
    </row>
    <row r="1308" spans="1:9" x14ac:dyDescent="0.15">
      <c r="A1308" s="6">
        <v>1307</v>
      </c>
      <c r="B1308" s="7" t="s">
        <v>7</v>
      </c>
      <c r="C1308" s="8">
        <v>1890</v>
      </c>
      <c r="D1308" s="9">
        <v>45449</v>
      </c>
      <c r="E1308" s="13">
        <f>+HYPERLINK("http://trademark.i-assist.jp/data/china/image_1890th/77155052.pdf",77155052)</f>
        <v>77155052</v>
      </c>
      <c r="F1308" s="7" t="s">
        <v>3686</v>
      </c>
      <c r="G1308" s="7" t="s">
        <v>3685</v>
      </c>
      <c r="H1308" s="7" t="s">
        <v>3687</v>
      </c>
      <c r="I1308" s="9">
        <v>45358</v>
      </c>
    </row>
    <row r="1309" spans="1:9" ht="27" x14ac:dyDescent="0.15">
      <c r="A1309" s="6">
        <v>1308</v>
      </c>
      <c r="B1309" s="7" t="s">
        <v>7</v>
      </c>
      <c r="C1309" s="8">
        <v>1890</v>
      </c>
      <c r="D1309" s="9">
        <v>45449</v>
      </c>
      <c r="E1309" s="13">
        <f>+HYPERLINK("http://trademark.i-assist.jp/data/china/image_1890th/77155232.pdf",77155232)</f>
        <v>77155232</v>
      </c>
      <c r="F1309" s="7" t="s">
        <v>3689</v>
      </c>
      <c r="G1309" s="7" t="s">
        <v>3688</v>
      </c>
      <c r="H1309" s="7" t="s">
        <v>3690</v>
      </c>
      <c r="I1309" s="9">
        <v>45358</v>
      </c>
    </row>
    <row r="1310" spans="1:9" ht="27" x14ac:dyDescent="0.15">
      <c r="A1310" s="6">
        <v>1309</v>
      </c>
      <c r="B1310" s="7" t="s">
        <v>7</v>
      </c>
      <c r="C1310" s="8">
        <v>1890</v>
      </c>
      <c r="D1310" s="9">
        <v>45449</v>
      </c>
      <c r="E1310" s="13">
        <f>+HYPERLINK("http://trademark.i-assist.jp/data/china/image_1890th/77155882.pdf",77155882)</f>
        <v>77155882</v>
      </c>
      <c r="F1310" s="7" t="s">
        <v>3692</v>
      </c>
      <c r="G1310" s="7" t="s">
        <v>3691</v>
      </c>
      <c r="H1310" s="7" t="s">
        <v>3693</v>
      </c>
      <c r="I1310" s="9">
        <v>45358</v>
      </c>
    </row>
    <row r="1311" spans="1:9" x14ac:dyDescent="0.15">
      <c r="A1311" s="6">
        <v>1310</v>
      </c>
      <c r="B1311" s="7" t="s">
        <v>7</v>
      </c>
      <c r="C1311" s="8">
        <v>1890</v>
      </c>
      <c r="D1311" s="9">
        <v>45449</v>
      </c>
      <c r="E1311" s="13">
        <f>+HYPERLINK("http://trademark.i-assist.jp/data/china/image_1890th/77156010.pdf",77156010)</f>
        <v>77156010</v>
      </c>
      <c r="F1311" s="7" t="s">
        <v>3695</v>
      </c>
      <c r="G1311" s="7" t="s">
        <v>3694</v>
      </c>
      <c r="H1311" s="7" t="s">
        <v>3696</v>
      </c>
      <c r="I1311" s="9">
        <v>45358</v>
      </c>
    </row>
    <row r="1312" spans="1:9" x14ac:dyDescent="0.15">
      <c r="A1312" s="6">
        <v>1311</v>
      </c>
      <c r="B1312" s="7" t="s">
        <v>7</v>
      </c>
      <c r="C1312" s="8">
        <v>1890</v>
      </c>
      <c r="D1312" s="9">
        <v>45449</v>
      </c>
      <c r="E1312" s="13">
        <f>+HYPERLINK("http://trademark.i-assist.jp/data/china/image_1890th/77156064.pdf",77156064)</f>
        <v>77156064</v>
      </c>
      <c r="F1312" s="7" t="s">
        <v>3698</v>
      </c>
      <c r="G1312" s="7" t="s">
        <v>3697</v>
      </c>
      <c r="H1312" s="7" t="s">
        <v>3699</v>
      </c>
      <c r="I1312" s="9">
        <v>45358</v>
      </c>
    </row>
    <row r="1313" spans="1:9" x14ac:dyDescent="0.15">
      <c r="A1313" s="6">
        <v>1312</v>
      </c>
      <c r="B1313" s="7" t="s">
        <v>7</v>
      </c>
      <c r="C1313" s="8">
        <v>1890</v>
      </c>
      <c r="D1313" s="9">
        <v>45449</v>
      </c>
      <c r="E1313" s="13">
        <f>+HYPERLINK("http://trademark.i-assist.jp/data/china/image_1890th/77156087.pdf",77156087)</f>
        <v>77156087</v>
      </c>
      <c r="F1313" s="7" t="s">
        <v>3701</v>
      </c>
      <c r="G1313" s="7" t="s">
        <v>3700</v>
      </c>
      <c r="H1313" s="7" t="s">
        <v>3702</v>
      </c>
      <c r="I1313" s="9">
        <v>45358</v>
      </c>
    </row>
    <row r="1314" spans="1:9" x14ac:dyDescent="0.15">
      <c r="A1314" s="6">
        <v>1313</v>
      </c>
      <c r="B1314" s="7" t="s">
        <v>7</v>
      </c>
      <c r="C1314" s="8">
        <v>1890</v>
      </c>
      <c r="D1314" s="9">
        <v>45449</v>
      </c>
      <c r="E1314" s="13">
        <f>+HYPERLINK("http://trademark.i-assist.jp/data/china/image_1890th/77156307.pdf",77156307)</f>
        <v>77156307</v>
      </c>
      <c r="F1314" s="7" t="s">
        <v>3704</v>
      </c>
      <c r="G1314" s="7" t="s">
        <v>3703</v>
      </c>
      <c r="H1314" s="7" t="s">
        <v>3705</v>
      </c>
      <c r="I1314" s="9">
        <v>45358</v>
      </c>
    </row>
    <row r="1315" spans="1:9" x14ac:dyDescent="0.15">
      <c r="A1315" s="6">
        <v>1314</v>
      </c>
      <c r="B1315" s="7" t="s">
        <v>7</v>
      </c>
      <c r="C1315" s="8">
        <v>1890</v>
      </c>
      <c r="D1315" s="9">
        <v>45449</v>
      </c>
      <c r="E1315" s="13">
        <f>+HYPERLINK("http://trademark.i-assist.jp/data/china/image_1890th/77156644.pdf",77156644)</f>
        <v>77156644</v>
      </c>
      <c r="F1315" s="7" t="s">
        <v>3706</v>
      </c>
      <c r="G1315" s="7" t="s">
        <v>3240</v>
      </c>
      <c r="H1315" s="7" t="s">
        <v>3707</v>
      </c>
      <c r="I1315" s="9">
        <v>45358</v>
      </c>
    </row>
    <row r="1316" spans="1:9" x14ac:dyDescent="0.15">
      <c r="A1316" s="6">
        <v>1315</v>
      </c>
      <c r="B1316" s="7" t="s">
        <v>7</v>
      </c>
      <c r="C1316" s="8">
        <v>1890</v>
      </c>
      <c r="D1316" s="9">
        <v>45449</v>
      </c>
      <c r="E1316" s="13">
        <f>+HYPERLINK("http://trademark.i-assist.jp/data/china/image_1890th/77157482.pdf",77157482)</f>
        <v>77157482</v>
      </c>
      <c r="F1316" s="7" t="s">
        <v>3709</v>
      </c>
      <c r="G1316" s="7" t="s">
        <v>3708</v>
      </c>
      <c r="H1316" s="7" t="s">
        <v>3710</v>
      </c>
      <c r="I1316" s="9">
        <v>45358</v>
      </c>
    </row>
    <row r="1317" spans="1:9" x14ac:dyDescent="0.15">
      <c r="A1317" s="6">
        <v>1316</v>
      </c>
      <c r="B1317" s="7" t="s">
        <v>7</v>
      </c>
      <c r="C1317" s="8">
        <v>1890</v>
      </c>
      <c r="D1317" s="9">
        <v>45449</v>
      </c>
      <c r="E1317" s="13">
        <f>+HYPERLINK("http://trademark.i-assist.jp/data/china/image_1890th/77157522.pdf",77157522)</f>
        <v>77157522</v>
      </c>
      <c r="F1317" s="7" t="s">
        <v>3712</v>
      </c>
      <c r="G1317" s="7" t="s">
        <v>3711</v>
      </c>
      <c r="H1317" s="7" t="s">
        <v>3713</v>
      </c>
      <c r="I1317" s="9">
        <v>45358</v>
      </c>
    </row>
    <row r="1318" spans="1:9" x14ac:dyDescent="0.15">
      <c r="A1318" s="6">
        <v>1317</v>
      </c>
      <c r="B1318" s="7" t="s">
        <v>7</v>
      </c>
      <c r="C1318" s="8">
        <v>1890</v>
      </c>
      <c r="D1318" s="9">
        <v>45449</v>
      </c>
      <c r="E1318" s="13">
        <f>+HYPERLINK("http://trademark.i-assist.jp/data/china/image_1890th/77157658.pdf",77157658)</f>
        <v>77157658</v>
      </c>
      <c r="F1318" s="7" t="s">
        <v>3715</v>
      </c>
      <c r="G1318" s="7" t="s">
        <v>3714</v>
      </c>
      <c r="H1318" s="7" t="s">
        <v>3716</v>
      </c>
      <c r="I1318" s="9">
        <v>45358</v>
      </c>
    </row>
    <row r="1319" spans="1:9" x14ac:dyDescent="0.15">
      <c r="A1319" s="6">
        <v>1318</v>
      </c>
      <c r="B1319" s="7" t="s">
        <v>7</v>
      </c>
      <c r="C1319" s="8">
        <v>1890</v>
      </c>
      <c r="D1319" s="9">
        <v>45449</v>
      </c>
      <c r="E1319" s="13">
        <f>+HYPERLINK("http://trademark.i-assist.jp/data/china/image_1890th/77158073.pdf",77158073)</f>
        <v>77158073</v>
      </c>
      <c r="F1319" s="7" t="s">
        <v>3718</v>
      </c>
      <c r="G1319" s="7" t="s">
        <v>3717</v>
      </c>
      <c r="H1319" s="7" t="s">
        <v>3719</v>
      </c>
      <c r="I1319" s="9">
        <v>45358</v>
      </c>
    </row>
    <row r="1320" spans="1:9" x14ac:dyDescent="0.15">
      <c r="A1320" s="6">
        <v>1319</v>
      </c>
      <c r="B1320" s="7" t="s">
        <v>7</v>
      </c>
      <c r="C1320" s="8">
        <v>1890</v>
      </c>
      <c r="D1320" s="9">
        <v>45449</v>
      </c>
      <c r="E1320" s="13">
        <f>+HYPERLINK("http://trademark.i-assist.jp/data/china/image_1890th/77158324.pdf",77158324)</f>
        <v>77158324</v>
      </c>
      <c r="F1320" s="7" t="s">
        <v>3721</v>
      </c>
      <c r="G1320" s="7" t="s">
        <v>3720</v>
      </c>
      <c r="H1320" s="7" t="s">
        <v>3722</v>
      </c>
      <c r="I1320" s="9">
        <v>45358</v>
      </c>
    </row>
    <row r="1321" spans="1:9" x14ac:dyDescent="0.15">
      <c r="A1321" s="6">
        <v>1320</v>
      </c>
      <c r="B1321" s="7" t="s">
        <v>7</v>
      </c>
      <c r="C1321" s="8">
        <v>1890</v>
      </c>
      <c r="D1321" s="9">
        <v>45449</v>
      </c>
      <c r="E1321" s="13">
        <f>+HYPERLINK("http://trademark.i-assist.jp/data/china/image_1890th/77159319.pdf",77159319)</f>
        <v>77159319</v>
      </c>
      <c r="F1321" s="7" t="s">
        <v>3724</v>
      </c>
      <c r="G1321" s="7" t="s">
        <v>3723</v>
      </c>
      <c r="H1321" s="7" t="s">
        <v>3725</v>
      </c>
      <c r="I1321" s="9">
        <v>45358</v>
      </c>
    </row>
    <row r="1322" spans="1:9" x14ac:dyDescent="0.15">
      <c r="A1322" s="6">
        <v>1321</v>
      </c>
      <c r="B1322" s="7" t="s">
        <v>7</v>
      </c>
      <c r="C1322" s="8">
        <v>1890</v>
      </c>
      <c r="D1322" s="9">
        <v>45449</v>
      </c>
      <c r="E1322" s="13">
        <f>+HYPERLINK("http://trademark.i-assist.jp/data/china/image_1890th/77159654.pdf",77159654)</f>
        <v>77159654</v>
      </c>
      <c r="F1322" s="7" t="s">
        <v>3727</v>
      </c>
      <c r="G1322" s="7" t="s">
        <v>3726</v>
      </c>
      <c r="H1322" s="7" t="s">
        <v>3728</v>
      </c>
      <c r="I1322" s="9">
        <v>45358</v>
      </c>
    </row>
    <row r="1323" spans="1:9" x14ac:dyDescent="0.15">
      <c r="A1323" s="6">
        <v>1322</v>
      </c>
      <c r="B1323" s="7" t="s">
        <v>7</v>
      </c>
      <c r="C1323" s="8">
        <v>1890</v>
      </c>
      <c r="D1323" s="9">
        <v>45449</v>
      </c>
      <c r="E1323" s="13">
        <f>+HYPERLINK("http://trademark.i-assist.jp/data/china/image_1890th/77159686.pdf",77159686)</f>
        <v>77159686</v>
      </c>
      <c r="F1323" s="7" t="s">
        <v>3730</v>
      </c>
      <c r="G1323" s="7" t="s">
        <v>3729</v>
      </c>
      <c r="H1323" s="7" t="s">
        <v>3731</v>
      </c>
      <c r="I1323" s="9">
        <v>45358</v>
      </c>
    </row>
    <row r="1324" spans="1:9" x14ac:dyDescent="0.15">
      <c r="A1324" s="6">
        <v>1323</v>
      </c>
      <c r="B1324" s="7" t="s">
        <v>7</v>
      </c>
      <c r="C1324" s="8">
        <v>1890</v>
      </c>
      <c r="D1324" s="9">
        <v>45449</v>
      </c>
      <c r="E1324" s="13">
        <f>+HYPERLINK("http://trademark.i-assist.jp/data/china/image_1890th/77159784.pdf",77159784)</f>
        <v>77159784</v>
      </c>
      <c r="F1324" s="7" t="s">
        <v>183</v>
      </c>
      <c r="G1324" s="7" t="s">
        <v>1442</v>
      </c>
      <c r="H1324" s="7" t="s">
        <v>3732</v>
      </c>
      <c r="I1324" s="9">
        <v>45358</v>
      </c>
    </row>
    <row r="1325" spans="1:9" x14ac:dyDescent="0.15">
      <c r="A1325" s="6">
        <v>1324</v>
      </c>
      <c r="B1325" s="7" t="s">
        <v>7</v>
      </c>
      <c r="C1325" s="8">
        <v>1890</v>
      </c>
      <c r="D1325" s="9">
        <v>45449</v>
      </c>
      <c r="E1325" s="13">
        <f>+HYPERLINK("http://trademark.i-assist.jp/data/china/image_1890th/77159803.pdf",77159803)</f>
        <v>77159803</v>
      </c>
      <c r="F1325" s="7" t="s">
        <v>3734</v>
      </c>
      <c r="G1325" s="7" t="s">
        <v>3733</v>
      </c>
      <c r="H1325" s="7" t="s">
        <v>3735</v>
      </c>
      <c r="I1325" s="9">
        <v>45358</v>
      </c>
    </row>
    <row r="1326" spans="1:9" x14ac:dyDescent="0.15">
      <c r="A1326" s="6">
        <v>1325</v>
      </c>
      <c r="B1326" s="7" t="s">
        <v>7</v>
      </c>
      <c r="C1326" s="8">
        <v>1890</v>
      </c>
      <c r="D1326" s="9">
        <v>45449</v>
      </c>
      <c r="E1326" s="13">
        <f>+HYPERLINK("http://trademark.i-assist.jp/data/china/image_1890th/77160434.pdf",77160434)</f>
        <v>77160434</v>
      </c>
      <c r="F1326" s="7" t="s">
        <v>3737</v>
      </c>
      <c r="G1326" s="7" t="s">
        <v>3736</v>
      </c>
      <c r="H1326" s="7" t="s">
        <v>3738</v>
      </c>
      <c r="I1326" s="9">
        <v>45358</v>
      </c>
    </row>
    <row r="1327" spans="1:9" ht="27" x14ac:dyDescent="0.15">
      <c r="A1327" s="6">
        <v>1326</v>
      </c>
      <c r="B1327" s="7" t="s">
        <v>7</v>
      </c>
      <c r="C1327" s="8">
        <v>1890</v>
      </c>
      <c r="D1327" s="9">
        <v>45449</v>
      </c>
      <c r="E1327" s="13">
        <f>+HYPERLINK("http://trademark.i-assist.jp/data/china/image_1890th/77160594.pdf",77160594)</f>
        <v>77160594</v>
      </c>
      <c r="F1327" s="7" t="s">
        <v>183</v>
      </c>
      <c r="G1327" s="7" t="s">
        <v>3739</v>
      </c>
      <c r="H1327" s="7" t="s">
        <v>3740</v>
      </c>
      <c r="I1327" s="9">
        <v>45358</v>
      </c>
    </row>
    <row r="1328" spans="1:9" x14ac:dyDescent="0.15">
      <c r="A1328" s="6">
        <v>1327</v>
      </c>
      <c r="B1328" s="7" t="s">
        <v>7</v>
      </c>
      <c r="C1328" s="8">
        <v>1890</v>
      </c>
      <c r="D1328" s="9">
        <v>45449</v>
      </c>
      <c r="E1328" s="13">
        <f>+HYPERLINK("http://trademark.i-assist.jp/data/china/image_1890th/77162158.pdf",77162158)</f>
        <v>77162158</v>
      </c>
      <c r="F1328" s="7" t="s">
        <v>3742</v>
      </c>
      <c r="G1328" s="7" t="s">
        <v>3741</v>
      </c>
      <c r="H1328" s="7" t="s">
        <v>3743</v>
      </c>
      <c r="I1328" s="9">
        <v>45358</v>
      </c>
    </row>
    <row r="1329" spans="1:9" x14ac:dyDescent="0.15">
      <c r="A1329" s="6">
        <v>1328</v>
      </c>
      <c r="B1329" s="7" t="s">
        <v>7</v>
      </c>
      <c r="C1329" s="8">
        <v>1890</v>
      </c>
      <c r="D1329" s="9">
        <v>45449</v>
      </c>
      <c r="E1329" s="13">
        <f>+HYPERLINK("http://trademark.i-assist.jp/data/china/image_1890th/77162236.pdf",77162236)</f>
        <v>77162236</v>
      </c>
      <c r="F1329" s="7" t="s">
        <v>3745</v>
      </c>
      <c r="G1329" s="7" t="s">
        <v>3744</v>
      </c>
      <c r="H1329" s="7" t="s">
        <v>3746</v>
      </c>
      <c r="I1329" s="9">
        <v>45358</v>
      </c>
    </row>
    <row r="1330" spans="1:9" x14ac:dyDescent="0.15">
      <c r="A1330" s="6">
        <v>1329</v>
      </c>
      <c r="B1330" s="7" t="s">
        <v>7</v>
      </c>
      <c r="C1330" s="8">
        <v>1890</v>
      </c>
      <c r="D1330" s="9">
        <v>45449</v>
      </c>
      <c r="E1330" s="13">
        <f>+HYPERLINK("http://trademark.i-assist.jp/data/china/image_1890th/77163265.pdf",77163265)</f>
        <v>77163265</v>
      </c>
      <c r="F1330" s="7" t="s">
        <v>3748</v>
      </c>
      <c r="G1330" s="7" t="s">
        <v>3747</v>
      </c>
      <c r="H1330" s="7" t="s">
        <v>3749</v>
      </c>
      <c r="I1330" s="9">
        <v>45358</v>
      </c>
    </row>
    <row r="1331" spans="1:9" ht="27" x14ac:dyDescent="0.15">
      <c r="A1331" s="6">
        <v>1330</v>
      </c>
      <c r="B1331" s="7" t="s">
        <v>7</v>
      </c>
      <c r="C1331" s="8">
        <v>1890</v>
      </c>
      <c r="D1331" s="9">
        <v>45449</v>
      </c>
      <c r="E1331" s="13">
        <f>+HYPERLINK("http://trademark.i-assist.jp/data/china/image_1890th/77163349.pdf",77163349)</f>
        <v>77163349</v>
      </c>
      <c r="F1331" s="7" t="s">
        <v>183</v>
      </c>
      <c r="G1331" s="7" t="s">
        <v>3750</v>
      </c>
      <c r="H1331" s="7" t="s">
        <v>3751</v>
      </c>
      <c r="I1331" s="9">
        <v>45358</v>
      </c>
    </row>
    <row r="1332" spans="1:9" x14ac:dyDescent="0.15">
      <c r="A1332" s="6">
        <v>1331</v>
      </c>
      <c r="B1332" s="7" t="s">
        <v>7</v>
      </c>
      <c r="C1332" s="8">
        <v>1890</v>
      </c>
      <c r="D1332" s="9">
        <v>45449</v>
      </c>
      <c r="E1332" s="13">
        <f>+HYPERLINK("http://trademark.i-assist.jp/data/china/image_1890th/77163412.pdf",77163412)</f>
        <v>77163412</v>
      </c>
      <c r="F1332" s="7" t="s">
        <v>3753</v>
      </c>
      <c r="G1332" s="7" t="s">
        <v>3752</v>
      </c>
      <c r="H1332" s="7" t="s">
        <v>3754</v>
      </c>
      <c r="I1332" s="9">
        <v>45358</v>
      </c>
    </row>
    <row r="1333" spans="1:9" x14ac:dyDescent="0.15">
      <c r="A1333" s="6">
        <v>1332</v>
      </c>
      <c r="B1333" s="7" t="s">
        <v>7</v>
      </c>
      <c r="C1333" s="8">
        <v>1890</v>
      </c>
      <c r="D1333" s="9">
        <v>45449</v>
      </c>
      <c r="E1333" s="13">
        <f>+HYPERLINK("http://trademark.i-assist.jp/data/china/image_1890th/77163579.pdf",77163579)</f>
        <v>77163579</v>
      </c>
      <c r="F1333" s="7" t="s">
        <v>3756</v>
      </c>
      <c r="G1333" s="7" t="s">
        <v>3755</v>
      </c>
      <c r="H1333" s="7" t="s">
        <v>3757</v>
      </c>
      <c r="I1333" s="9">
        <v>45358</v>
      </c>
    </row>
    <row r="1334" spans="1:9" x14ac:dyDescent="0.15">
      <c r="A1334" s="6">
        <v>1333</v>
      </c>
      <c r="B1334" s="7" t="s">
        <v>7</v>
      </c>
      <c r="C1334" s="8">
        <v>1890</v>
      </c>
      <c r="D1334" s="9">
        <v>45449</v>
      </c>
      <c r="E1334" s="13">
        <f>+HYPERLINK("http://trademark.i-assist.jp/data/china/image_1890th/77164106.pdf",77164106)</f>
        <v>77164106</v>
      </c>
      <c r="F1334" s="7" t="s">
        <v>3759</v>
      </c>
      <c r="G1334" s="7" t="s">
        <v>3758</v>
      </c>
      <c r="H1334" s="7" t="s">
        <v>3760</v>
      </c>
      <c r="I1334" s="9">
        <v>45358</v>
      </c>
    </row>
    <row r="1335" spans="1:9" x14ac:dyDescent="0.15">
      <c r="A1335" s="6">
        <v>1334</v>
      </c>
      <c r="B1335" s="7" t="s">
        <v>7</v>
      </c>
      <c r="C1335" s="8">
        <v>1890</v>
      </c>
      <c r="D1335" s="9">
        <v>45449</v>
      </c>
      <c r="E1335" s="13">
        <f>+HYPERLINK("http://trademark.i-assist.jp/data/china/image_1890th/77164157.pdf",77164157)</f>
        <v>77164157</v>
      </c>
      <c r="F1335" s="7" t="s">
        <v>3762</v>
      </c>
      <c r="G1335" s="7" t="s">
        <v>3761</v>
      </c>
      <c r="H1335" s="7" t="s">
        <v>3763</v>
      </c>
      <c r="I1335" s="9">
        <v>45358</v>
      </c>
    </row>
    <row r="1336" spans="1:9" x14ac:dyDescent="0.15">
      <c r="A1336" s="6">
        <v>1335</v>
      </c>
      <c r="B1336" s="7" t="s">
        <v>7</v>
      </c>
      <c r="C1336" s="8">
        <v>1890</v>
      </c>
      <c r="D1336" s="9">
        <v>45449</v>
      </c>
      <c r="E1336" s="13">
        <f>+HYPERLINK("http://trademark.i-assist.jp/data/china/image_1890th/77164530.pdf",77164530)</f>
        <v>77164530</v>
      </c>
      <c r="F1336" s="7" t="s">
        <v>3765</v>
      </c>
      <c r="G1336" s="7" t="s">
        <v>3764</v>
      </c>
      <c r="H1336" s="7" t="s">
        <v>3766</v>
      </c>
      <c r="I1336" s="9">
        <v>45358</v>
      </c>
    </row>
    <row r="1337" spans="1:9" x14ac:dyDescent="0.15">
      <c r="A1337" s="6">
        <v>1336</v>
      </c>
      <c r="B1337" s="7" t="s">
        <v>7</v>
      </c>
      <c r="C1337" s="8">
        <v>1890</v>
      </c>
      <c r="D1337" s="9">
        <v>45449</v>
      </c>
      <c r="E1337" s="13">
        <f>+HYPERLINK("http://trademark.i-assist.jp/data/china/image_1890th/77164679.pdf",77164679)</f>
        <v>77164679</v>
      </c>
      <c r="F1337" s="7" t="s">
        <v>3768</v>
      </c>
      <c r="G1337" s="7" t="s">
        <v>3767</v>
      </c>
      <c r="H1337" s="7" t="s">
        <v>3769</v>
      </c>
      <c r="I1337" s="9">
        <v>45358</v>
      </c>
    </row>
    <row r="1338" spans="1:9" x14ac:dyDescent="0.15">
      <c r="A1338" s="6">
        <v>1337</v>
      </c>
      <c r="B1338" s="7" t="s">
        <v>7</v>
      </c>
      <c r="C1338" s="8">
        <v>1890</v>
      </c>
      <c r="D1338" s="9">
        <v>45449</v>
      </c>
      <c r="E1338" s="13">
        <f>+HYPERLINK("http://trademark.i-assist.jp/data/china/image_1890th/77164685.pdf",77164685)</f>
        <v>77164685</v>
      </c>
      <c r="F1338" s="7" t="s">
        <v>1413</v>
      </c>
      <c r="G1338" s="7" t="s">
        <v>1412</v>
      </c>
      <c r="H1338" s="7" t="s">
        <v>3770</v>
      </c>
      <c r="I1338" s="9">
        <v>45358</v>
      </c>
    </row>
    <row r="1339" spans="1:9" x14ac:dyDescent="0.15">
      <c r="A1339" s="6">
        <v>1338</v>
      </c>
      <c r="B1339" s="7" t="s">
        <v>7</v>
      </c>
      <c r="C1339" s="8">
        <v>1890</v>
      </c>
      <c r="D1339" s="9">
        <v>45449</v>
      </c>
      <c r="E1339" s="13">
        <f>+HYPERLINK("http://trademark.i-assist.jp/data/china/image_1890th/77164726.pdf",77164726)</f>
        <v>77164726</v>
      </c>
      <c r="F1339" s="7" t="s">
        <v>3772</v>
      </c>
      <c r="G1339" s="7" t="s">
        <v>3771</v>
      </c>
      <c r="H1339" s="7" t="s">
        <v>3773</v>
      </c>
      <c r="I1339" s="9">
        <v>45358</v>
      </c>
    </row>
    <row r="1340" spans="1:9" x14ac:dyDescent="0.15">
      <c r="A1340" s="6">
        <v>1339</v>
      </c>
      <c r="B1340" s="7" t="s">
        <v>7</v>
      </c>
      <c r="C1340" s="8">
        <v>1890</v>
      </c>
      <c r="D1340" s="9">
        <v>45449</v>
      </c>
      <c r="E1340" s="13">
        <f>+HYPERLINK("http://trademark.i-assist.jp/data/china/image_1890th/77164830.pdf",77164830)</f>
        <v>77164830</v>
      </c>
      <c r="F1340" s="7" t="s">
        <v>3775</v>
      </c>
      <c r="G1340" s="7" t="s">
        <v>3774</v>
      </c>
      <c r="H1340" s="7" t="s">
        <v>3776</v>
      </c>
      <c r="I1340" s="9">
        <v>45358</v>
      </c>
    </row>
    <row r="1341" spans="1:9" x14ac:dyDescent="0.15">
      <c r="A1341" s="6">
        <v>1340</v>
      </c>
      <c r="B1341" s="7" t="s">
        <v>7</v>
      </c>
      <c r="C1341" s="8">
        <v>1890</v>
      </c>
      <c r="D1341" s="9">
        <v>45449</v>
      </c>
      <c r="E1341" s="13">
        <f>+HYPERLINK("http://trademark.i-assist.jp/data/china/image_1890th/77164990.pdf",77164990)</f>
        <v>77164990</v>
      </c>
      <c r="F1341" s="7" t="s">
        <v>3778</v>
      </c>
      <c r="G1341" s="7" t="s">
        <v>3777</v>
      </c>
      <c r="H1341" s="7" t="s">
        <v>3779</v>
      </c>
      <c r="I1341" s="9">
        <v>45358</v>
      </c>
    </row>
    <row r="1342" spans="1:9" x14ac:dyDescent="0.15">
      <c r="A1342" s="6">
        <v>1341</v>
      </c>
      <c r="B1342" s="7" t="s">
        <v>7</v>
      </c>
      <c r="C1342" s="8">
        <v>1890</v>
      </c>
      <c r="D1342" s="9">
        <v>45449</v>
      </c>
      <c r="E1342" s="13">
        <f>+HYPERLINK("http://trademark.i-assist.jp/data/china/image_1890th/77164996.pdf",77164996)</f>
        <v>77164996</v>
      </c>
      <c r="F1342" s="7" t="s">
        <v>3781</v>
      </c>
      <c r="G1342" s="7" t="s">
        <v>3780</v>
      </c>
      <c r="H1342" s="7" t="s">
        <v>3782</v>
      </c>
      <c r="I1342" s="9">
        <v>45358</v>
      </c>
    </row>
    <row r="1343" spans="1:9" x14ac:dyDescent="0.15">
      <c r="A1343" s="6">
        <v>1342</v>
      </c>
      <c r="B1343" s="7" t="s">
        <v>7</v>
      </c>
      <c r="C1343" s="8">
        <v>1890</v>
      </c>
      <c r="D1343" s="9">
        <v>45449</v>
      </c>
      <c r="E1343" s="13">
        <f>+HYPERLINK("http://trademark.i-assist.jp/data/china/image_1890th/77165228.pdf",77165228)</f>
        <v>77165228</v>
      </c>
      <c r="F1343" s="7" t="s">
        <v>3784</v>
      </c>
      <c r="G1343" s="7" t="s">
        <v>3783</v>
      </c>
      <c r="H1343" s="7" t="s">
        <v>3785</v>
      </c>
      <c r="I1343" s="9">
        <v>45358</v>
      </c>
    </row>
    <row r="1344" spans="1:9" ht="27" x14ac:dyDescent="0.15">
      <c r="A1344" s="6">
        <v>1343</v>
      </c>
      <c r="B1344" s="7" t="s">
        <v>7</v>
      </c>
      <c r="C1344" s="8">
        <v>1890</v>
      </c>
      <c r="D1344" s="9">
        <v>45449</v>
      </c>
      <c r="E1344" s="13">
        <f>+HYPERLINK("http://trademark.i-assist.jp/data/china/image_1890th/77165450.pdf",77165450)</f>
        <v>77165450</v>
      </c>
      <c r="F1344" s="7" t="s">
        <v>30</v>
      </c>
      <c r="G1344" s="7" t="s">
        <v>3786</v>
      </c>
      <c r="H1344" s="7" t="s">
        <v>3787</v>
      </c>
      <c r="I1344" s="9">
        <v>45358</v>
      </c>
    </row>
    <row r="1345" spans="1:9" x14ac:dyDescent="0.15">
      <c r="A1345" s="6">
        <v>1344</v>
      </c>
      <c r="B1345" s="7" t="s">
        <v>7</v>
      </c>
      <c r="C1345" s="8">
        <v>1890</v>
      </c>
      <c r="D1345" s="9">
        <v>45449</v>
      </c>
      <c r="E1345" s="13">
        <f>+HYPERLINK("http://trademark.i-assist.jp/data/china/image_1890th/77165503.pdf",77165503)</f>
        <v>77165503</v>
      </c>
      <c r="F1345" s="7" t="s">
        <v>3789</v>
      </c>
      <c r="G1345" s="7" t="s">
        <v>3788</v>
      </c>
      <c r="H1345" s="7" t="s">
        <v>3790</v>
      </c>
      <c r="I1345" s="9">
        <v>45358</v>
      </c>
    </row>
    <row r="1346" spans="1:9" x14ac:dyDescent="0.15">
      <c r="A1346" s="6">
        <v>1345</v>
      </c>
      <c r="B1346" s="7" t="s">
        <v>7</v>
      </c>
      <c r="C1346" s="8">
        <v>1890</v>
      </c>
      <c r="D1346" s="9">
        <v>45449</v>
      </c>
      <c r="E1346" s="13">
        <f>+HYPERLINK("http://trademark.i-assist.jp/data/china/image_1890th/77165565.pdf",77165565)</f>
        <v>77165565</v>
      </c>
      <c r="F1346" s="7" t="s">
        <v>3792</v>
      </c>
      <c r="G1346" s="7" t="s">
        <v>3791</v>
      </c>
      <c r="H1346" s="7" t="s">
        <v>3793</v>
      </c>
      <c r="I1346" s="9">
        <v>45358</v>
      </c>
    </row>
    <row r="1347" spans="1:9" x14ac:dyDescent="0.15">
      <c r="A1347" s="6">
        <v>1346</v>
      </c>
      <c r="B1347" s="7" t="s">
        <v>7</v>
      </c>
      <c r="C1347" s="8">
        <v>1890</v>
      </c>
      <c r="D1347" s="9">
        <v>45449</v>
      </c>
      <c r="E1347" s="13">
        <f>+HYPERLINK("http://trademark.i-assist.jp/data/china/image_1890th/77165666.pdf",77165666)</f>
        <v>77165666</v>
      </c>
      <c r="F1347" s="7" t="s">
        <v>3795</v>
      </c>
      <c r="G1347" s="7" t="s">
        <v>3794</v>
      </c>
      <c r="H1347" s="7" t="s">
        <v>3796</v>
      </c>
      <c r="I1347" s="9">
        <v>45358</v>
      </c>
    </row>
    <row r="1348" spans="1:9" ht="27" x14ac:dyDescent="0.15">
      <c r="A1348" s="6">
        <v>1347</v>
      </c>
      <c r="B1348" s="7" t="s">
        <v>7</v>
      </c>
      <c r="C1348" s="8">
        <v>1890</v>
      </c>
      <c r="D1348" s="9">
        <v>45449</v>
      </c>
      <c r="E1348" s="13">
        <f>+HYPERLINK("http://trademark.i-assist.jp/data/china/image_1890th/77165714.pdf",77165714)</f>
        <v>77165714</v>
      </c>
      <c r="F1348" s="7" t="s">
        <v>3798</v>
      </c>
      <c r="G1348" s="7" t="s">
        <v>3797</v>
      </c>
      <c r="H1348" s="7" t="s">
        <v>3799</v>
      </c>
      <c r="I1348" s="9">
        <v>45358</v>
      </c>
    </row>
    <row r="1349" spans="1:9" x14ac:dyDescent="0.15">
      <c r="A1349" s="6">
        <v>1348</v>
      </c>
      <c r="B1349" s="7" t="s">
        <v>7</v>
      </c>
      <c r="C1349" s="8">
        <v>1890</v>
      </c>
      <c r="D1349" s="9">
        <v>45449</v>
      </c>
      <c r="E1349" s="13">
        <f>+HYPERLINK("http://trademark.i-assist.jp/data/china/image_1890th/77166007.pdf",77166007)</f>
        <v>77166007</v>
      </c>
      <c r="F1349" s="7" t="s">
        <v>3801</v>
      </c>
      <c r="G1349" s="7" t="s">
        <v>3800</v>
      </c>
      <c r="H1349" s="7" t="s">
        <v>3802</v>
      </c>
      <c r="I1349" s="9">
        <v>45358</v>
      </c>
    </row>
    <row r="1350" spans="1:9" x14ac:dyDescent="0.15">
      <c r="A1350" s="6">
        <v>1349</v>
      </c>
      <c r="B1350" s="7" t="s">
        <v>7</v>
      </c>
      <c r="C1350" s="8">
        <v>1890</v>
      </c>
      <c r="D1350" s="9">
        <v>45449</v>
      </c>
      <c r="E1350" s="13">
        <f>+HYPERLINK("http://trademark.i-assist.jp/data/china/image_1890th/77166018.pdf",77166018)</f>
        <v>77166018</v>
      </c>
      <c r="F1350" s="7" t="s">
        <v>3804</v>
      </c>
      <c r="G1350" s="7" t="s">
        <v>3803</v>
      </c>
      <c r="H1350" s="7" t="s">
        <v>3805</v>
      </c>
      <c r="I1350" s="9">
        <v>45358</v>
      </c>
    </row>
    <row r="1351" spans="1:9" x14ac:dyDescent="0.15">
      <c r="A1351" s="6">
        <v>1350</v>
      </c>
      <c r="B1351" s="7" t="s">
        <v>7</v>
      </c>
      <c r="C1351" s="8">
        <v>1890</v>
      </c>
      <c r="D1351" s="9">
        <v>45449</v>
      </c>
      <c r="E1351" s="13">
        <f>+HYPERLINK("http://trademark.i-assist.jp/data/china/image_1890th/77166276.pdf",77166276)</f>
        <v>77166276</v>
      </c>
      <c r="F1351" s="7" t="s">
        <v>3807</v>
      </c>
      <c r="G1351" s="7" t="s">
        <v>3806</v>
      </c>
      <c r="H1351" s="7" t="s">
        <v>3808</v>
      </c>
      <c r="I1351" s="9">
        <v>45358</v>
      </c>
    </row>
    <row r="1352" spans="1:9" x14ac:dyDescent="0.15">
      <c r="A1352" s="6">
        <v>1351</v>
      </c>
      <c r="B1352" s="7" t="s">
        <v>7</v>
      </c>
      <c r="C1352" s="8">
        <v>1890</v>
      </c>
      <c r="D1352" s="9">
        <v>45449</v>
      </c>
      <c r="E1352" s="13">
        <f>+HYPERLINK("http://trademark.i-assist.jp/data/china/image_1890th/77166340.pdf",77166340)</f>
        <v>77166340</v>
      </c>
      <c r="F1352" s="7" t="s">
        <v>3810</v>
      </c>
      <c r="G1352" s="7" t="s">
        <v>3809</v>
      </c>
      <c r="H1352" s="7" t="s">
        <v>3811</v>
      </c>
      <c r="I1352" s="9">
        <v>45358</v>
      </c>
    </row>
    <row r="1353" spans="1:9" x14ac:dyDescent="0.15">
      <c r="A1353" s="6">
        <v>1352</v>
      </c>
      <c r="B1353" s="7" t="s">
        <v>7</v>
      </c>
      <c r="C1353" s="8">
        <v>1890</v>
      </c>
      <c r="D1353" s="9">
        <v>45449</v>
      </c>
      <c r="E1353" s="13">
        <f>+HYPERLINK("http://trademark.i-assist.jp/data/china/image_1890th/77166531.pdf",77166531)</f>
        <v>77166531</v>
      </c>
      <c r="F1353" s="7" t="s">
        <v>3813</v>
      </c>
      <c r="G1353" s="7" t="s">
        <v>3812</v>
      </c>
      <c r="H1353" s="7" t="s">
        <v>3814</v>
      </c>
      <c r="I1353" s="9">
        <v>45358</v>
      </c>
    </row>
    <row r="1354" spans="1:9" x14ac:dyDescent="0.15">
      <c r="A1354" s="6">
        <v>1353</v>
      </c>
      <c r="B1354" s="7" t="s">
        <v>7</v>
      </c>
      <c r="C1354" s="8">
        <v>1890</v>
      </c>
      <c r="D1354" s="9">
        <v>45449</v>
      </c>
      <c r="E1354" s="13">
        <f>+HYPERLINK("http://trademark.i-assist.jp/data/china/image_1890th/77166806.pdf",77166806)</f>
        <v>77166806</v>
      </c>
      <c r="F1354" s="7" t="s">
        <v>3816</v>
      </c>
      <c r="G1354" s="7" t="s">
        <v>3815</v>
      </c>
      <c r="H1354" s="7" t="s">
        <v>3817</v>
      </c>
      <c r="I1354" s="9">
        <v>45358</v>
      </c>
    </row>
    <row r="1355" spans="1:9" x14ac:dyDescent="0.15">
      <c r="A1355" s="6">
        <v>1354</v>
      </c>
      <c r="B1355" s="7" t="s">
        <v>7</v>
      </c>
      <c r="C1355" s="8">
        <v>1890</v>
      </c>
      <c r="D1355" s="9">
        <v>45449</v>
      </c>
      <c r="E1355" s="13">
        <f>+HYPERLINK("http://trademark.i-assist.jp/data/china/image_1890th/77166822.pdf",77166822)</f>
        <v>77166822</v>
      </c>
      <c r="F1355" s="7" t="s">
        <v>3819</v>
      </c>
      <c r="G1355" s="7" t="s">
        <v>3818</v>
      </c>
      <c r="H1355" s="7" t="s">
        <v>3820</v>
      </c>
      <c r="I1355" s="9">
        <v>45358</v>
      </c>
    </row>
    <row r="1356" spans="1:9" x14ac:dyDescent="0.15">
      <c r="A1356" s="6">
        <v>1355</v>
      </c>
      <c r="B1356" s="7" t="s">
        <v>7</v>
      </c>
      <c r="C1356" s="8">
        <v>1890</v>
      </c>
      <c r="D1356" s="9">
        <v>45449</v>
      </c>
      <c r="E1356" s="13">
        <f>+HYPERLINK("http://trademark.i-assist.jp/data/china/image_1890th/77166997.pdf",77166997)</f>
        <v>77166997</v>
      </c>
      <c r="F1356" s="7" t="s">
        <v>3822</v>
      </c>
      <c r="G1356" s="7" t="s">
        <v>3821</v>
      </c>
      <c r="H1356" s="7" t="s">
        <v>3823</v>
      </c>
      <c r="I1356" s="9">
        <v>45358</v>
      </c>
    </row>
    <row r="1357" spans="1:9" x14ac:dyDescent="0.15">
      <c r="A1357" s="6">
        <v>1356</v>
      </c>
      <c r="B1357" s="7" t="s">
        <v>7</v>
      </c>
      <c r="C1357" s="8">
        <v>1890</v>
      </c>
      <c r="D1357" s="9">
        <v>45449</v>
      </c>
      <c r="E1357" s="13">
        <f>+HYPERLINK("http://trademark.i-assist.jp/data/china/image_1890th/77167181.pdf",77167181)</f>
        <v>77167181</v>
      </c>
      <c r="F1357" s="7" t="s">
        <v>3825</v>
      </c>
      <c r="G1357" s="7" t="s">
        <v>3824</v>
      </c>
      <c r="H1357" s="7" t="s">
        <v>3826</v>
      </c>
      <c r="I1357" s="9">
        <v>45358</v>
      </c>
    </row>
    <row r="1358" spans="1:9" x14ac:dyDescent="0.15">
      <c r="A1358" s="6">
        <v>1357</v>
      </c>
      <c r="B1358" s="7" t="s">
        <v>7</v>
      </c>
      <c r="C1358" s="8">
        <v>1890</v>
      </c>
      <c r="D1358" s="9">
        <v>45449</v>
      </c>
      <c r="E1358" s="13">
        <f>+HYPERLINK("http://trademark.i-assist.jp/data/china/image_1890th/77167327.pdf",77167327)</f>
        <v>77167327</v>
      </c>
      <c r="F1358" s="7" t="s">
        <v>3828</v>
      </c>
      <c r="G1358" s="7" t="s">
        <v>3827</v>
      </c>
      <c r="H1358" s="7" t="s">
        <v>3829</v>
      </c>
      <c r="I1358" s="9">
        <v>45358</v>
      </c>
    </row>
    <row r="1359" spans="1:9" x14ac:dyDescent="0.15">
      <c r="A1359" s="6">
        <v>1358</v>
      </c>
      <c r="B1359" s="7" t="s">
        <v>7</v>
      </c>
      <c r="C1359" s="8">
        <v>1890</v>
      </c>
      <c r="D1359" s="9">
        <v>45449</v>
      </c>
      <c r="E1359" s="13">
        <f>+HYPERLINK("http://trademark.i-assist.jp/data/china/image_1890th/77167394.pdf",77167394)</f>
        <v>77167394</v>
      </c>
      <c r="F1359" s="7" t="s">
        <v>3831</v>
      </c>
      <c r="G1359" s="7" t="s">
        <v>3830</v>
      </c>
      <c r="H1359" s="7" t="s">
        <v>3832</v>
      </c>
      <c r="I1359" s="9">
        <v>45358</v>
      </c>
    </row>
    <row r="1360" spans="1:9" x14ac:dyDescent="0.15">
      <c r="A1360" s="6">
        <v>1359</v>
      </c>
      <c r="B1360" s="7" t="s">
        <v>7</v>
      </c>
      <c r="C1360" s="8">
        <v>1890</v>
      </c>
      <c r="D1360" s="9">
        <v>45449</v>
      </c>
      <c r="E1360" s="13">
        <f>+HYPERLINK("http://trademark.i-assist.jp/data/china/image_1890th/77167896.pdf",77167896)</f>
        <v>77167896</v>
      </c>
      <c r="F1360" s="7" t="s">
        <v>3833</v>
      </c>
      <c r="G1360" s="7" t="s">
        <v>1703</v>
      </c>
      <c r="H1360" s="7" t="s">
        <v>3834</v>
      </c>
      <c r="I1360" s="9">
        <v>45358</v>
      </c>
    </row>
    <row r="1361" spans="1:9" x14ac:dyDescent="0.15">
      <c r="A1361" s="6">
        <v>1360</v>
      </c>
      <c r="B1361" s="7" t="s">
        <v>7</v>
      </c>
      <c r="C1361" s="8">
        <v>1890</v>
      </c>
      <c r="D1361" s="9">
        <v>45449</v>
      </c>
      <c r="E1361" s="13">
        <f>+HYPERLINK("http://trademark.i-assist.jp/data/china/image_1890th/77171821.pdf",77171821)</f>
        <v>77171821</v>
      </c>
      <c r="F1361" s="7" t="s">
        <v>3836</v>
      </c>
      <c r="G1361" s="7" t="s">
        <v>3835</v>
      </c>
      <c r="H1361" s="7" t="s">
        <v>3837</v>
      </c>
      <c r="I1361" s="9">
        <v>45358</v>
      </c>
    </row>
    <row r="1362" spans="1:9" x14ac:dyDescent="0.15">
      <c r="A1362" s="6">
        <v>1361</v>
      </c>
      <c r="B1362" s="7" t="s">
        <v>7</v>
      </c>
      <c r="C1362" s="8">
        <v>1890</v>
      </c>
      <c r="D1362" s="9">
        <v>45449</v>
      </c>
      <c r="E1362" s="13">
        <f>+HYPERLINK("http://trademark.i-assist.jp/data/china/image_1890th/77171876.pdf",77171876)</f>
        <v>77171876</v>
      </c>
      <c r="F1362" s="7" t="s">
        <v>3839</v>
      </c>
      <c r="G1362" s="7" t="s">
        <v>3838</v>
      </c>
      <c r="H1362" s="7" t="s">
        <v>3840</v>
      </c>
      <c r="I1362" s="9">
        <v>45358</v>
      </c>
    </row>
    <row r="1363" spans="1:9" x14ac:dyDescent="0.15">
      <c r="A1363" s="6">
        <v>1362</v>
      </c>
      <c r="B1363" s="7" t="s">
        <v>7</v>
      </c>
      <c r="C1363" s="8">
        <v>1890</v>
      </c>
      <c r="D1363" s="9">
        <v>45449</v>
      </c>
      <c r="E1363" s="13">
        <f>+HYPERLINK("http://trademark.i-assist.jp/data/china/image_1890th/77171954.pdf",77171954)</f>
        <v>77171954</v>
      </c>
      <c r="F1363" s="7" t="s">
        <v>3842</v>
      </c>
      <c r="G1363" s="7" t="s">
        <v>3841</v>
      </c>
      <c r="H1363" s="7" t="s">
        <v>3843</v>
      </c>
      <c r="I1363" s="9">
        <v>45358</v>
      </c>
    </row>
    <row r="1364" spans="1:9" x14ac:dyDescent="0.15">
      <c r="A1364" s="6">
        <v>1363</v>
      </c>
      <c r="B1364" s="7" t="s">
        <v>7</v>
      </c>
      <c r="C1364" s="8">
        <v>1890</v>
      </c>
      <c r="D1364" s="9">
        <v>45449</v>
      </c>
      <c r="E1364" s="13">
        <f>+HYPERLINK("http://trademark.i-assist.jp/data/china/image_1890th/77172365.pdf",77172365)</f>
        <v>77172365</v>
      </c>
      <c r="F1364" s="7" t="s">
        <v>3844</v>
      </c>
      <c r="G1364" s="7" t="s">
        <v>1932</v>
      </c>
      <c r="H1364" s="7" t="s">
        <v>3845</v>
      </c>
      <c r="I1364" s="9">
        <v>45358</v>
      </c>
    </row>
    <row r="1365" spans="1:9" x14ac:dyDescent="0.15">
      <c r="A1365" s="6">
        <v>1364</v>
      </c>
      <c r="B1365" s="7" t="s">
        <v>7</v>
      </c>
      <c r="C1365" s="8">
        <v>1890</v>
      </c>
      <c r="D1365" s="9">
        <v>45449</v>
      </c>
      <c r="E1365" s="13">
        <f>+HYPERLINK("http://trademark.i-assist.jp/data/china/image_1890th/77172417.pdf",77172417)</f>
        <v>77172417</v>
      </c>
      <c r="F1365" s="7" t="s">
        <v>3847</v>
      </c>
      <c r="G1365" s="7" t="s">
        <v>3846</v>
      </c>
      <c r="H1365" s="7" t="s">
        <v>3848</v>
      </c>
      <c r="I1365" s="9">
        <v>45358</v>
      </c>
    </row>
    <row r="1366" spans="1:9" x14ac:dyDescent="0.15">
      <c r="A1366" s="6">
        <v>1365</v>
      </c>
      <c r="B1366" s="7" t="s">
        <v>7</v>
      </c>
      <c r="C1366" s="8">
        <v>1890</v>
      </c>
      <c r="D1366" s="9">
        <v>45449</v>
      </c>
      <c r="E1366" s="13">
        <f>+HYPERLINK("http://trademark.i-assist.jp/data/china/image_1890th/77172831.pdf",77172831)</f>
        <v>77172831</v>
      </c>
      <c r="F1366" s="7" t="s">
        <v>3849</v>
      </c>
      <c r="G1366" s="7" t="s">
        <v>3794</v>
      </c>
      <c r="H1366" s="7" t="s">
        <v>3850</v>
      </c>
      <c r="I1366" s="9">
        <v>45358</v>
      </c>
    </row>
    <row r="1367" spans="1:9" x14ac:dyDescent="0.15">
      <c r="A1367" s="6">
        <v>1366</v>
      </c>
      <c r="B1367" s="7" t="s">
        <v>7</v>
      </c>
      <c r="C1367" s="8">
        <v>1890</v>
      </c>
      <c r="D1367" s="9">
        <v>45449</v>
      </c>
      <c r="E1367" s="13">
        <f>+HYPERLINK("http://trademark.i-assist.jp/data/china/image_1890th/77172890.pdf",77172890)</f>
        <v>77172890</v>
      </c>
      <c r="F1367" s="7" t="s">
        <v>3851</v>
      </c>
      <c r="G1367" s="7" t="s">
        <v>881</v>
      </c>
      <c r="H1367" s="7" t="s">
        <v>3852</v>
      </c>
      <c r="I1367" s="9">
        <v>45358</v>
      </c>
    </row>
    <row r="1368" spans="1:9" x14ac:dyDescent="0.15">
      <c r="A1368" s="6">
        <v>1367</v>
      </c>
      <c r="B1368" s="7" t="s">
        <v>7</v>
      </c>
      <c r="C1368" s="8">
        <v>1890</v>
      </c>
      <c r="D1368" s="9">
        <v>45449</v>
      </c>
      <c r="E1368" s="13">
        <f>+HYPERLINK("http://trademark.i-assist.jp/data/china/image_1890th/77173522.pdf",77173522)</f>
        <v>77173522</v>
      </c>
      <c r="F1368" s="7" t="s">
        <v>3854</v>
      </c>
      <c r="G1368" s="7" t="s">
        <v>3853</v>
      </c>
      <c r="H1368" s="7" t="s">
        <v>3855</v>
      </c>
      <c r="I1368" s="9">
        <v>45358</v>
      </c>
    </row>
    <row r="1369" spans="1:9" ht="27" x14ac:dyDescent="0.15">
      <c r="A1369" s="6">
        <v>1368</v>
      </c>
      <c r="B1369" s="7" t="s">
        <v>7</v>
      </c>
      <c r="C1369" s="8">
        <v>1890</v>
      </c>
      <c r="D1369" s="9">
        <v>45449</v>
      </c>
      <c r="E1369" s="13">
        <f>+HYPERLINK("http://trademark.i-assist.jp/data/china/image_1890th/77173529.pdf",77173529)</f>
        <v>77173529</v>
      </c>
      <c r="F1369" s="7" t="s">
        <v>3857</v>
      </c>
      <c r="G1369" s="7" t="s">
        <v>3856</v>
      </c>
      <c r="H1369" s="7" t="s">
        <v>3858</v>
      </c>
      <c r="I1369" s="9">
        <v>45358</v>
      </c>
    </row>
    <row r="1370" spans="1:9" x14ac:dyDescent="0.15">
      <c r="A1370" s="6">
        <v>1369</v>
      </c>
      <c r="B1370" s="7" t="s">
        <v>7</v>
      </c>
      <c r="C1370" s="8">
        <v>1890</v>
      </c>
      <c r="D1370" s="9">
        <v>45449</v>
      </c>
      <c r="E1370" s="13">
        <f>+HYPERLINK("http://trademark.i-assist.jp/data/china/image_1890th/77173639.pdf",77173639)</f>
        <v>77173639</v>
      </c>
      <c r="F1370" s="7" t="s">
        <v>3860</v>
      </c>
      <c r="G1370" s="7" t="s">
        <v>3859</v>
      </c>
      <c r="H1370" s="7" t="s">
        <v>3861</v>
      </c>
      <c r="I1370" s="9">
        <v>45358</v>
      </c>
    </row>
    <row r="1371" spans="1:9" ht="27" x14ac:dyDescent="0.15">
      <c r="A1371" s="6">
        <v>1370</v>
      </c>
      <c r="B1371" s="7" t="s">
        <v>7</v>
      </c>
      <c r="C1371" s="8">
        <v>1890</v>
      </c>
      <c r="D1371" s="9">
        <v>45449</v>
      </c>
      <c r="E1371" s="13">
        <f>+HYPERLINK("http://trademark.i-assist.jp/data/china/image_1890th/77174239.pdf",77174239)</f>
        <v>77174239</v>
      </c>
      <c r="F1371" s="7" t="s">
        <v>3863</v>
      </c>
      <c r="G1371" s="7" t="s">
        <v>3862</v>
      </c>
      <c r="H1371" s="7" t="s">
        <v>3864</v>
      </c>
      <c r="I1371" s="9">
        <v>45359</v>
      </c>
    </row>
    <row r="1372" spans="1:9" x14ac:dyDescent="0.15">
      <c r="A1372" s="6">
        <v>1371</v>
      </c>
      <c r="B1372" s="7" t="s">
        <v>7</v>
      </c>
      <c r="C1372" s="8">
        <v>1890</v>
      </c>
      <c r="D1372" s="9">
        <v>45449</v>
      </c>
      <c r="E1372" s="13">
        <f>+HYPERLINK("http://trademark.i-assist.jp/data/china/image_1890th/77174911.pdf",77174911)</f>
        <v>77174911</v>
      </c>
      <c r="F1372" s="7" t="s">
        <v>3866</v>
      </c>
      <c r="G1372" s="7" t="s">
        <v>3865</v>
      </c>
      <c r="H1372" s="7" t="s">
        <v>3867</v>
      </c>
      <c r="I1372" s="9">
        <v>45359</v>
      </c>
    </row>
    <row r="1373" spans="1:9" x14ac:dyDescent="0.15">
      <c r="A1373" s="6">
        <v>1372</v>
      </c>
      <c r="B1373" s="7" t="s">
        <v>7</v>
      </c>
      <c r="C1373" s="8">
        <v>1890</v>
      </c>
      <c r="D1373" s="9">
        <v>45449</v>
      </c>
      <c r="E1373" s="13">
        <f>+HYPERLINK("http://trademark.i-assist.jp/data/china/image_1890th/77175047.pdf",77175047)</f>
        <v>77175047</v>
      </c>
      <c r="F1373" s="7" t="s">
        <v>3869</v>
      </c>
      <c r="G1373" s="7" t="s">
        <v>3868</v>
      </c>
      <c r="H1373" s="7" t="s">
        <v>3870</v>
      </c>
      <c r="I1373" s="9">
        <v>45359</v>
      </c>
    </row>
    <row r="1374" spans="1:9" x14ac:dyDescent="0.15">
      <c r="A1374" s="6">
        <v>1373</v>
      </c>
      <c r="B1374" s="7" t="s">
        <v>7</v>
      </c>
      <c r="C1374" s="8">
        <v>1890</v>
      </c>
      <c r="D1374" s="9">
        <v>45449</v>
      </c>
      <c r="E1374" s="13">
        <f>+HYPERLINK("http://trademark.i-assist.jp/data/china/image_1890th/77175404.pdf",77175404)</f>
        <v>77175404</v>
      </c>
      <c r="F1374" s="7" t="s">
        <v>3872</v>
      </c>
      <c r="G1374" s="7" t="s">
        <v>3871</v>
      </c>
      <c r="H1374" s="7" t="s">
        <v>3873</v>
      </c>
      <c r="I1374" s="9">
        <v>45359</v>
      </c>
    </row>
    <row r="1375" spans="1:9" x14ac:dyDescent="0.15">
      <c r="A1375" s="6">
        <v>1374</v>
      </c>
      <c r="B1375" s="7" t="s">
        <v>7</v>
      </c>
      <c r="C1375" s="8">
        <v>1890</v>
      </c>
      <c r="D1375" s="9">
        <v>45449</v>
      </c>
      <c r="E1375" s="13">
        <f>+HYPERLINK("http://trademark.i-assist.jp/data/china/image_1890th/77175587.pdf",77175587)</f>
        <v>77175587</v>
      </c>
      <c r="F1375" s="7" t="s">
        <v>3875</v>
      </c>
      <c r="G1375" s="7" t="s">
        <v>3874</v>
      </c>
      <c r="H1375" s="7" t="s">
        <v>3876</v>
      </c>
      <c r="I1375" s="9">
        <v>45359</v>
      </c>
    </row>
    <row r="1376" spans="1:9" x14ac:dyDescent="0.15">
      <c r="A1376" s="6">
        <v>1375</v>
      </c>
      <c r="B1376" s="7" t="s">
        <v>7</v>
      </c>
      <c r="C1376" s="8">
        <v>1890</v>
      </c>
      <c r="D1376" s="9">
        <v>45449</v>
      </c>
      <c r="E1376" s="13">
        <f>+HYPERLINK("http://trademark.i-assist.jp/data/china/image_1890th/77176405.pdf",77176405)</f>
        <v>77176405</v>
      </c>
      <c r="F1376" s="7" t="s">
        <v>183</v>
      </c>
      <c r="G1376" s="7" t="s">
        <v>3877</v>
      </c>
      <c r="H1376" s="7" t="s">
        <v>3878</v>
      </c>
      <c r="I1376" s="9">
        <v>45359</v>
      </c>
    </row>
    <row r="1377" spans="1:9" x14ac:dyDescent="0.15">
      <c r="A1377" s="6">
        <v>1376</v>
      </c>
      <c r="B1377" s="7" t="s">
        <v>7</v>
      </c>
      <c r="C1377" s="8">
        <v>1890</v>
      </c>
      <c r="D1377" s="9">
        <v>45449</v>
      </c>
      <c r="E1377" s="13">
        <f>+HYPERLINK("http://trademark.i-assist.jp/data/china/image_1890th/77177184.pdf",77177184)</f>
        <v>77177184</v>
      </c>
      <c r="F1377" s="7" t="s">
        <v>3880</v>
      </c>
      <c r="G1377" s="7" t="s">
        <v>3879</v>
      </c>
      <c r="H1377" s="7" t="s">
        <v>3881</v>
      </c>
      <c r="I1377" s="9">
        <v>45359</v>
      </c>
    </row>
    <row r="1378" spans="1:9" x14ac:dyDescent="0.15">
      <c r="A1378" s="6">
        <v>1377</v>
      </c>
      <c r="B1378" s="7" t="s">
        <v>7</v>
      </c>
      <c r="C1378" s="8">
        <v>1890</v>
      </c>
      <c r="D1378" s="9">
        <v>45449</v>
      </c>
      <c r="E1378" s="13">
        <f>+HYPERLINK("http://trademark.i-assist.jp/data/china/image_1890th/77177816.pdf",77177816)</f>
        <v>77177816</v>
      </c>
      <c r="F1378" s="7" t="s">
        <v>3883</v>
      </c>
      <c r="G1378" s="7" t="s">
        <v>3882</v>
      </c>
      <c r="H1378" s="7" t="s">
        <v>3884</v>
      </c>
      <c r="I1378" s="9">
        <v>45359</v>
      </c>
    </row>
    <row r="1379" spans="1:9" x14ac:dyDescent="0.15">
      <c r="A1379" s="6">
        <v>1378</v>
      </c>
      <c r="B1379" s="7" t="s">
        <v>7</v>
      </c>
      <c r="C1379" s="8">
        <v>1890</v>
      </c>
      <c r="D1379" s="9">
        <v>45449</v>
      </c>
      <c r="E1379" s="13">
        <f>+HYPERLINK("http://trademark.i-assist.jp/data/china/image_1890th/77179060.pdf",77179060)</f>
        <v>77179060</v>
      </c>
      <c r="F1379" s="7" t="s">
        <v>3885</v>
      </c>
      <c r="G1379" s="7" t="s">
        <v>3874</v>
      </c>
      <c r="H1379" s="7" t="s">
        <v>3886</v>
      </c>
      <c r="I1379" s="9">
        <v>45359</v>
      </c>
    </row>
    <row r="1380" spans="1:9" x14ac:dyDescent="0.15">
      <c r="A1380" s="6">
        <v>1379</v>
      </c>
      <c r="B1380" s="7" t="s">
        <v>7</v>
      </c>
      <c r="C1380" s="8">
        <v>1890</v>
      </c>
      <c r="D1380" s="9">
        <v>45449</v>
      </c>
      <c r="E1380" s="13">
        <f>+HYPERLINK("http://trademark.i-assist.jp/data/china/image_1890th/77179132.pdf",77179132)</f>
        <v>77179132</v>
      </c>
      <c r="F1380" s="7" t="s">
        <v>3888</v>
      </c>
      <c r="G1380" s="7" t="s">
        <v>3887</v>
      </c>
      <c r="H1380" s="7" t="s">
        <v>3889</v>
      </c>
      <c r="I1380" s="9">
        <v>45359</v>
      </c>
    </row>
    <row r="1381" spans="1:9" x14ac:dyDescent="0.15">
      <c r="A1381" s="6">
        <v>1380</v>
      </c>
      <c r="B1381" s="7" t="s">
        <v>7</v>
      </c>
      <c r="C1381" s="8">
        <v>1890</v>
      </c>
      <c r="D1381" s="9">
        <v>45449</v>
      </c>
      <c r="E1381" s="13">
        <f>+HYPERLINK("http://trademark.i-assist.jp/data/china/image_1890th/77180037.pdf",77180037)</f>
        <v>77180037</v>
      </c>
      <c r="F1381" s="7" t="s">
        <v>3891</v>
      </c>
      <c r="G1381" s="7" t="s">
        <v>3890</v>
      </c>
      <c r="H1381" s="7" t="s">
        <v>3892</v>
      </c>
      <c r="I1381" s="9">
        <v>45359</v>
      </c>
    </row>
    <row r="1382" spans="1:9" x14ac:dyDescent="0.15">
      <c r="A1382" s="6">
        <v>1381</v>
      </c>
      <c r="B1382" s="7" t="s">
        <v>7</v>
      </c>
      <c r="C1382" s="8">
        <v>1890</v>
      </c>
      <c r="D1382" s="9">
        <v>45449</v>
      </c>
      <c r="E1382" s="13">
        <f>+HYPERLINK("http://trademark.i-assist.jp/data/china/image_1890th/77180560.pdf",77180560)</f>
        <v>77180560</v>
      </c>
      <c r="F1382" s="7" t="s">
        <v>3893</v>
      </c>
      <c r="G1382" s="7" t="s">
        <v>881</v>
      </c>
      <c r="H1382" s="7" t="s">
        <v>3894</v>
      </c>
      <c r="I1382" s="9">
        <v>45359</v>
      </c>
    </row>
    <row r="1383" spans="1:9" x14ac:dyDescent="0.15">
      <c r="A1383" s="6">
        <v>1382</v>
      </c>
      <c r="B1383" s="7" t="s">
        <v>7</v>
      </c>
      <c r="C1383" s="8">
        <v>1890</v>
      </c>
      <c r="D1383" s="9">
        <v>45449</v>
      </c>
      <c r="E1383" s="13">
        <f>+HYPERLINK("http://trademark.i-assist.jp/data/china/image_1890th/77181201.pdf",77181201)</f>
        <v>77181201</v>
      </c>
      <c r="F1383" s="7" t="s">
        <v>3896</v>
      </c>
      <c r="G1383" s="7" t="s">
        <v>3895</v>
      </c>
      <c r="H1383" s="7" t="s">
        <v>3897</v>
      </c>
      <c r="I1383" s="9">
        <v>45359</v>
      </c>
    </row>
    <row r="1384" spans="1:9" x14ac:dyDescent="0.15">
      <c r="A1384" s="6">
        <v>1383</v>
      </c>
      <c r="B1384" s="7" t="s">
        <v>7</v>
      </c>
      <c r="C1384" s="8">
        <v>1890</v>
      </c>
      <c r="D1384" s="9">
        <v>45449</v>
      </c>
      <c r="E1384" s="13">
        <f>+HYPERLINK("http://trademark.i-assist.jp/data/china/image_1890th/77181748.pdf",77181748)</f>
        <v>77181748</v>
      </c>
      <c r="F1384" s="7" t="s">
        <v>3899</v>
      </c>
      <c r="G1384" s="7" t="s">
        <v>3898</v>
      </c>
      <c r="H1384" s="7" t="s">
        <v>3900</v>
      </c>
      <c r="I1384" s="9">
        <v>45360</v>
      </c>
    </row>
    <row r="1385" spans="1:9" x14ac:dyDescent="0.15">
      <c r="A1385" s="6">
        <v>1384</v>
      </c>
      <c r="B1385" s="7" t="s">
        <v>7</v>
      </c>
      <c r="C1385" s="8">
        <v>1890</v>
      </c>
      <c r="D1385" s="9">
        <v>45449</v>
      </c>
      <c r="E1385" s="13">
        <f>+HYPERLINK("http://trademark.i-assist.jp/data/china/image_1890th/77181957.pdf",77181957)</f>
        <v>77181957</v>
      </c>
      <c r="F1385" s="7" t="s">
        <v>183</v>
      </c>
      <c r="G1385" s="7" t="s">
        <v>3901</v>
      </c>
      <c r="H1385" s="7" t="s">
        <v>3902</v>
      </c>
      <c r="I1385" s="9">
        <v>45359</v>
      </c>
    </row>
    <row r="1386" spans="1:9" x14ac:dyDescent="0.15">
      <c r="A1386" s="6">
        <v>1385</v>
      </c>
      <c r="B1386" s="7" t="s">
        <v>7</v>
      </c>
      <c r="C1386" s="8">
        <v>1890</v>
      </c>
      <c r="D1386" s="9">
        <v>45449</v>
      </c>
      <c r="E1386" s="13">
        <f>+HYPERLINK("http://trademark.i-assist.jp/data/china/image_1890th/77182655.pdf",77182655)</f>
        <v>77182655</v>
      </c>
      <c r="F1386" s="7" t="s">
        <v>3904</v>
      </c>
      <c r="G1386" s="7" t="s">
        <v>3903</v>
      </c>
      <c r="H1386" s="7" t="s">
        <v>3905</v>
      </c>
      <c r="I1386" s="9">
        <v>45359</v>
      </c>
    </row>
    <row r="1387" spans="1:9" x14ac:dyDescent="0.15">
      <c r="A1387" s="6">
        <v>1386</v>
      </c>
      <c r="B1387" s="7" t="s">
        <v>7</v>
      </c>
      <c r="C1387" s="8">
        <v>1890</v>
      </c>
      <c r="D1387" s="9">
        <v>45449</v>
      </c>
      <c r="E1387" s="13">
        <f>+HYPERLINK("http://trademark.i-assist.jp/data/china/image_1890th/77182984.pdf",77182984)</f>
        <v>77182984</v>
      </c>
      <c r="F1387" s="7" t="s">
        <v>3906</v>
      </c>
      <c r="G1387" s="7" t="s">
        <v>1183</v>
      </c>
      <c r="H1387" s="7" t="s">
        <v>3907</v>
      </c>
      <c r="I1387" s="9">
        <v>45359</v>
      </c>
    </row>
    <row r="1388" spans="1:9" x14ac:dyDescent="0.15">
      <c r="A1388" s="6">
        <v>1387</v>
      </c>
      <c r="B1388" s="7" t="s">
        <v>7</v>
      </c>
      <c r="C1388" s="8">
        <v>1890</v>
      </c>
      <c r="D1388" s="9">
        <v>45449</v>
      </c>
      <c r="E1388" s="13">
        <f>+HYPERLINK("http://trademark.i-assist.jp/data/china/image_1890th/77183029.pdf",77183029)</f>
        <v>77183029</v>
      </c>
      <c r="F1388" s="7" t="s">
        <v>3909</v>
      </c>
      <c r="G1388" s="7" t="s">
        <v>3908</v>
      </c>
      <c r="H1388" s="7" t="s">
        <v>3910</v>
      </c>
      <c r="I1388" s="9">
        <v>45359</v>
      </c>
    </row>
    <row r="1389" spans="1:9" x14ac:dyDescent="0.15">
      <c r="A1389" s="6">
        <v>1388</v>
      </c>
      <c r="B1389" s="7" t="s">
        <v>7</v>
      </c>
      <c r="C1389" s="8">
        <v>1890</v>
      </c>
      <c r="D1389" s="9">
        <v>45449</v>
      </c>
      <c r="E1389" s="13">
        <f>+HYPERLINK("http://trademark.i-assist.jp/data/china/image_1890th/77183347.pdf",77183347)</f>
        <v>77183347</v>
      </c>
      <c r="F1389" s="7" t="s">
        <v>3912</v>
      </c>
      <c r="G1389" s="7" t="s">
        <v>3911</v>
      </c>
      <c r="H1389" s="7" t="s">
        <v>3913</v>
      </c>
      <c r="I1389" s="9">
        <v>45359</v>
      </c>
    </row>
    <row r="1390" spans="1:9" x14ac:dyDescent="0.15">
      <c r="A1390" s="6">
        <v>1389</v>
      </c>
      <c r="B1390" s="7" t="s">
        <v>7</v>
      </c>
      <c r="C1390" s="8">
        <v>1890</v>
      </c>
      <c r="D1390" s="9">
        <v>45449</v>
      </c>
      <c r="E1390" s="13">
        <f>+HYPERLINK("http://trademark.i-assist.jp/data/china/image_1890th/77183476.pdf",77183476)</f>
        <v>77183476</v>
      </c>
      <c r="F1390" s="7" t="s">
        <v>3915</v>
      </c>
      <c r="G1390" s="7" t="s">
        <v>3914</v>
      </c>
      <c r="H1390" s="7" t="s">
        <v>3916</v>
      </c>
      <c r="I1390" s="9">
        <v>45359</v>
      </c>
    </row>
    <row r="1391" spans="1:9" x14ac:dyDescent="0.15">
      <c r="A1391" s="6">
        <v>1390</v>
      </c>
      <c r="B1391" s="7" t="s">
        <v>7</v>
      </c>
      <c r="C1391" s="8">
        <v>1890</v>
      </c>
      <c r="D1391" s="9">
        <v>45449</v>
      </c>
      <c r="E1391" s="13">
        <f>+HYPERLINK("http://trademark.i-assist.jp/data/china/image_1890th/77183479.pdf",77183479)</f>
        <v>77183479</v>
      </c>
      <c r="F1391" s="7" t="s">
        <v>3918</v>
      </c>
      <c r="G1391" s="7" t="s">
        <v>3917</v>
      </c>
      <c r="H1391" s="7" t="s">
        <v>3919</v>
      </c>
      <c r="I1391" s="9">
        <v>45359</v>
      </c>
    </row>
    <row r="1392" spans="1:9" x14ac:dyDescent="0.15">
      <c r="A1392" s="6">
        <v>1391</v>
      </c>
      <c r="B1392" s="7" t="s">
        <v>7</v>
      </c>
      <c r="C1392" s="8">
        <v>1890</v>
      </c>
      <c r="D1392" s="9">
        <v>45449</v>
      </c>
      <c r="E1392" s="13">
        <f>+HYPERLINK("http://trademark.i-assist.jp/data/china/image_1890th/77183599.pdf",77183599)</f>
        <v>77183599</v>
      </c>
      <c r="F1392" s="7" t="s">
        <v>3921</v>
      </c>
      <c r="G1392" s="7" t="s">
        <v>3920</v>
      </c>
      <c r="H1392" s="7" t="s">
        <v>3922</v>
      </c>
      <c r="I1392" s="9">
        <v>45359</v>
      </c>
    </row>
    <row r="1393" spans="1:9" x14ac:dyDescent="0.15">
      <c r="A1393" s="6">
        <v>1392</v>
      </c>
      <c r="B1393" s="7" t="s">
        <v>7</v>
      </c>
      <c r="C1393" s="8">
        <v>1890</v>
      </c>
      <c r="D1393" s="9">
        <v>45449</v>
      </c>
      <c r="E1393" s="13">
        <f>+HYPERLINK("http://trademark.i-assist.jp/data/china/image_1890th/77184207.pdf",77184207)</f>
        <v>77184207</v>
      </c>
      <c r="F1393" s="7" t="s">
        <v>3924</v>
      </c>
      <c r="G1393" s="7" t="s">
        <v>3923</v>
      </c>
      <c r="H1393" s="7" t="s">
        <v>3925</v>
      </c>
      <c r="I1393" s="9">
        <v>45359</v>
      </c>
    </row>
    <row r="1394" spans="1:9" x14ac:dyDescent="0.15">
      <c r="A1394" s="6">
        <v>1393</v>
      </c>
      <c r="B1394" s="7" t="s">
        <v>7</v>
      </c>
      <c r="C1394" s="8">
        <v>1890</v>
      </c>
      <c r="D1394" s="9">
        <v>45449</v>
      </c>
      <c r="E1394" s="13">
        <f>+HYPERLINK("http://trademark.i-assist.jp/data/china/image_1890th/77184967.pdf",77184967)</f>
        <v>77184967</v>
      </c>
      <c r="F1394" s="7" t="s">
        <v>3927</v>
      </c>
      <c r="G1394" s="7" t="s">
        <v>3926</v>
      </c>
      <c r="H1394" s="7" t="s">
        <v>3928</v>
      </c>
      <c r="I1394" s="9">
        <v>45359</v>
      </c>
    </row>
    <row r="1395" spans="1:9" x14ac:dyDescent="0.15">
      <c r="A1395" s="6">
        <v>1394</v>
      </c>
      <c r="B1395" s="7" t="s">
        <v>7</v>
      </c>
      <c r="C1395" s="8">
        <v>1890</v>
      </c>
      <c r="D1395" s="9">
        <v>45449</v>
      </c>
      <c r="E1395" s="13">
        <f>+HYPERLINK("http://trademark.i-assist.jp/data/china/image_1890th/77185241.pdf",77185241)</f>
        <v>77185241</v>
      </c>
      <c r="F1395" s="7" t="s">
        <v>3930</v>
      </c>
      <c r="G1395" s="7" t="s">
        <v>3929</v>
      </c>
      <c r="H1395" s="7" t="s">
        <v>3931</v>
      </c>
      <c r="I1395" s="9">
        <v>45359</v>
      </c>
    </row>
    <row r="1396" spans="1:9" x14ac:dyDescent="0.15">
      <c r="A1396" s="6">
        <v>1395</v>
      </c>
      <c r="B1396" s="7" t="s">
        <v>7</v>
      </c>
      <c r="C1396" s="8">
        <v>1890</v>
      </c>
      <c r="D1396" s="9">
        <v>45449</v>
      </c>
      <c r="E1396" s="13">
        <f>+HYPERLINK("http://trademark.i-assist.jp/data/china/image_1890th/77185367.pdf",77185367)</f>
        <v>77185367</v>
      </c>
      <c r="F1396" s="7" t="s">
        <v>3933</v>
      </c>
      <c r="G1396" s="7" t="s">
        <v>3932</v>
      </c>
      <c r="H1396" s="7" t="s">
        <v>3934</v>
      </c>
      <c r="I1396" s="9">
        <v>45359</v>
      </c>
    </row>
    <row r="1397" spans="1:9" x14ac:dyDescent="0.15">
      <c r="A1397" s="6">
        <v>1396</v>
      </c>
      <c r="B1397" s="7" t="s">
        <v>7</v>
      </c>
      <c r="C1397" s="8">
        <v>1890</v>
      </c>
      <c r="D1397" s="9">
        <v>45449</v>
      </c>
      <c r="E1397" s="13">
        <f>+HYPERLINK("http://trademark.i-assist.jp/data/china/image_1890th/77185523.pdf",77185523)</f>
        <v>77185523</v>
      </c>
      <c r="F1397" s="7" t="s">
        <v>3936</v>
      </c>
      <c r="G1397" s="7" t="s">
        <v>3935</v>
      </c>
      <c r="H1397" s="7" t="s">
        <v>3937</v>
      </c>
      <c r="I1397" s="9">
        <v>45359</v>
      </c>
    </row>
    <row r="1398" spans="1:9" x14ac:dyDescent="0.15">
      <c r="A1398" s="6">
        <v>1397</v>
      </c>
      <c r="B1398" s="7" t="s">
        <v>7</v>
      </c>
      <c r="C1398" s="8">
        <v>1890</v>
      </c>
      <c r="D1398" s="9">
        <v>45449</v>
      </c>
      <c r="E1398" s="13">
        <f>+HYPERLINK("http://trademark.i-assist.jp/data/china/image_1890th/77185918.pdf",77185918)</f>
        <v>77185918</v>
      </c>
      <c r="F1398" s="7" t="s">
        <v>3938</v>
      </c>
      <c r="G1398" s="7" t="s">
        <v>884</v>
      </c>
      <c r="H1398" s="7" t="s">
        <v>3939</v>
      </c>
      <c r="I1398" s="9">
        <v>45359</v>
      </c>
    </row>
    <row r="1399" spans="1:9" x14ac:dyDescent="0.15">
      <c r="A1399" s="6">
        <v>1398</v>
      </c>
      <c r="B1399" s="7" t="s">
        <v>7</v>
      </c>
      <c r="C1399" s="8">
        <v>1890</v>
      </c>
      <c r="D1399" s="9">
        <v>45449</v>
      </c>
      <c r="E1399" s="13">
        <f>+HYPERLINK("http://trademark.i-assist.jp/data/china/image_1890th/77186093.pdf",77186093)</f>
        <v>77186093</v>
      </c>
      <c r="F1399" s="7" t="s">
        <v>3940</v>
      </c>
      <c r="G1399" s="7" t="s">
        <v>1183</v>
      </c>
      <c r="H1399" s="7" t="s">
        <v>3941</v>
      </c>
      <c r="I1399" s="9">
        <v>45359</v>
      </c>
    </row>
    <row r="1400" spans="1:9" x14ac:dyDescent="0.15">
      <c r="A1400" s="6">
        <v>1399</v>
      </c>
      <c r="B1400" s="7" t="s">
        <v>7</v>
      </c>
      <c r="C1400" s="8">
        <v>1890</v>
      </c>
      <c r="D1400" s="9">
        <v>45449</v>
      </c>
      <c r="E1400" s="13">
        <f>+HYPERLINK("http://trademark.i-assist.jp/data/china/image_1890th/77259446.pdf",77259446)</f>
        <v>77259446</v>
      </c>
      <c r="F1400" s="7" t="s">
        <v>183</v>
      </c>
      <c r="G1400" s="7" t="s">
        <v>3942</v>
      </c>
      <c r="H1400" s="7" t="s">
        <v>3943</v>
      </c>
      <c r="I1400" s="9">
        <v>45363</v>
      </c>
    </row>
    <row r="1401" spans="1:9" ht="27" x14ac:dyDescent="0.15">
      <c r="A1401" s="6">
        <v>1400</v>
      </c>
      <c r="B1401" s="7" t="s">
        <v>7</v>
      </c>
      <c r="C1401" s="8">
        <v>1890</v>
      </c>
      <c r="D1401" s="9">
        <v>45449</v>
      </c>
      <c r="E1401" s="13">
        <f>+HYPERLINK("http://trademark.i-assist.jp/data/china/image_1890th/77259677.pdf",77259677)</f>
        <v>77259677</v>
      </c>
      <c r="F1401" s="7" t="s">
        <v>3945</v>
      </c>
      <c r="G1401" s="7" t="s">
        <v>3944</v>
      </c>
      <c r="H1401" s="7" t="s">
        <v>3946</v>
      </c>
      <c r="I1401" s="9">
        <v>45363</v>
      </c>
    </row>
    <row r="1402" spans="1:9" x14ac:dyDescent="0.15">
      <c r="A1402" s="6">
        <v>1401</v>
      </c>
      <c r="B1402" s="7" t="s">
        <v>7</v>
      </c>
      <c r="C1402" s="8">
        <v>1890</v>
      </c>
      <c r="D1402" s="9">
        <v>45449</v>
      </c>
      <c r="E1402" s="13">
        <f>+HYPERLINK("http://trademark.i-assist.jp/data/china/image_1890th/77259866.pdf",77259866)</f>
        <v>77259866</v>
      </c>
      <c r="F1402" s="7" t="s">
        <v>3948</v>
      </c>
      <c r="G1402" s="7" t="s">
        <v>3947</v>
      </c>
      <c r="H1402" s="7" t="s">
        <v>3949</v>
      </c>
      <c r="I1402" s="9">
        <v>45363</v>
      </c>
    </row>
    <row r="1403" spans="1:9" x14ac:dyDescent="0.15">
      <c r="A1403" s="6">
        <v>1402</v>
      </c>
      <c r="B1403" s="7" t="s">
        <v>7</v>
      </c>
      <c r="C1403" s="8">
        <v>1890</v>
      </c>
      <c r="D1403" s="9">
        <v>45449</v>
      </c>
      <c r="E1403" s="13">
        <f>+HYPERLINK("http://trademark.i-assist.jp/data/china/image_1890th/77259895.pdf",77259895)</f>
        <v>77259895</v>
      </c>
      <c r="F1403" s="7" t="s">
        <v>3951</v>
      </c>
      <c r="G1403" s="7" t="s">
        <v>3950</v>
      </c>
      <c r="H1403" s="7" t="s">
        <v>3952</v>
      </c>
      <c r="I1403" s="9">
        <v>45363</v>
      </c>
    </row>
    <row r="1404" spans="1:9" ht="27" x14ac:dyDescent="0.15">
      <c r="A1404" s="6">
        <v>1403</v>
      </c>
      <c r="B1404" s="7" t="s">
        <v>7</v>
      </c>
      <c r="C1404" s="8">
        <v>1890</v>
      </c>
      <c r="D1404" s="9">
        <v>45449</v>
      </c>
      <c r="E1404" s="13">
        <f>+HYPERLINK("http://trademark.i-assist.jp/data/china/image_1890th/77260229.pdf",77260229)</f>
        <v>77260229</v>
      </c>
      <c r="F1404" s="7" t="s">
        <v>3954</v>
      </c>
      <c r="G1404" s="7" t="s">
        <v>3953</v>
      </c>
      <c r="H1404" s="7" t="s">
        <v>3955</v>
      </c>
      <c r="I1404" s="9">
        <v>45363</v>
      </c>
    </row>
    <row r="1405" spans="1:9" ht="27" x14ac:dyDescent="0.15">
      <c r="A1405" s="6">
        <v>1404</v>
      </c>
      <c r="B1405" s="7" t="s">
        <v>7</v>
      </c>
      <c r="C1405" s="8">
        <v>1890</v>
      </c>
      <c r="D1405" s="9">
        <v>45449</v>
      </c>
      <c r="E1405" s="13">
        <f>+HYPERLINK("http://trademark.i-assist.jp/data/china/image_1890th/77260462.pdf",77260462)</f>
        <v>77260462</v>
      </c>
      <c r="F1405" s="7" t="s">
        <v>3957</v>
      </c>
      <c r="G1405" s="7" t="s">
        <v>3956</v>
      </c>
      <c r="H1405" s="7" t="s">
        <v>3958</v>
      </c>
      <c r="I1405" s="9">
        <v>45363</v>
      </c>
    </row>
    <row r="1406" spans="1:9" x14ac:dyDescent="0.15">
      <c r="A1406" s="6">
        <v>1405</v>
      </c>
      <c r="B1406" s="7" t="s">
        <v>7</v>
      </c>
      <c r="C1406" s="8">
        <v>1890</v>
      </c>
      <c r="D1406" s="9">
        <v>45449</v>
      </c>
      <c r="E1406" s="13">
        <f>+HYPERLINK("http://trademark.i-assist.jp/data/china/image_1890th/77260501.pdf",77260501)</f>
        <v>77260501</v>
      </c>
      <c r="F1406" s="7" t="s">
        <v>3960</v>
      </c>
      <c r="G1406" s="7" t="s">
        <v>3959</v>
      </c>
      <c r="H1406" s="7" t="s">
        <v>3961</v>
      </c>
      <c r="I1406" s="9">
        <v>45363</v>
      </c>
    </row>
    <row r="1407" spans="1:9" x14ac:dyDescent="0.15">
      <c r="A1407" s="6">
        <v>1406</v>
      </c>
      <c r="B1407" s="7" t="s">
        <v>7</v>
      </c>
      <c r="C1407" s="8">
        <v>1890</v>
      </c>
      <c r="D1407" s="9">
        <v>45449</v>
      </c>
      <c r="E1407" s="13">
        <f>+HYPERLINK("http://trademark.i-assist.jp/data/china/image_1890th/77260570.pdf",77260570)</f>
        <v>77260570</v>
      </c>
      <c r="F1407" s="7" t="s">
        <v>3963</v>
      </c>
      <c r="G1407" s="7" t="s">
        <v>3962</v>
      </c>
      <c r="H1407" s="7" t="s">
        <v>3964</v>
      </c>
      <c r="I1407" s="9">
        <v>45363</v>
      </c>
    </row>
    <row r="1408" spans="1:9" x14ac:dyDescent="0.15">
      <c r="A1408" s="6">
        <v>1407</v>
      </c>
      <c r="B1408" s="7" t="s">
        <v>7</v>
      </c>
      <c r="C1408" s="8">
        <v>1890</v>
      </c>
      <c r="D1408" s="9">
        <v>45449</v>
      </c>
      <c r="E1408" s="13">
        <f>+HYPERLINK("http://trademark.i-assist.jp/data/china/image_1890th/77260581.pdf",77260581)</f>
        <v>77260581</v>
      </c>
      <c r="F1408" s="7" t="s">
        <v>3966</v>
      </c>
      <c r="G1408" s="7" t="s">
        <v>3965</v>
      </c>
      <c r="H1408" s="7" t="s">
        <v>3967</v>
      </c>
      <c r="I1408" s="9">
        <v>45363</v>
      </c>
    </row>
    <row r="1409" spans="1:9" x14ac:dyDescent="0.15">
      <c r="A1409" s="6">
        <v>1408</v>
      </c>
      <c r="B1409" s="7" t="s">
        <v>7</v>
      </c>
      <c r="C1409" s="8">
        <v>1890</v>
      </c>
      <c r="D1409" s="9">
        <v>45449</v>
      </c>
      <c r="E1409" s="13">
        <f>+HYPERLINK("http://trademark.i-assist.jp/data/china/image_1890th/77260734.pdf",77260734)</f>
        <v>77260734</v>
      </c>
      <c r="F1409" s="7" t="s">
        <v>3968</v>
      </c>
      <c r="G1409" s="7" t="s">
        <v>2046</v>
      </c>
      <c r="H1409" s="7" t="s">
        <v>3969</v>
      </c>
      <c r="I1409" s="9">
        <v>45363</v>
      </c>
    </row>
    <row r="1410" spans="1:9" x14ac:dyDescent="0.15">
      <c r="A1410" s="6">
        <v>1409</v>
      </c>
      <c r="B1410" s="7" t="s">
        <v>7</v>
      </c>
      <c r="C1410" s="8">
        <v>1890</v>
      </c>
      <c r="D1410" s="9">
        <v>45449</v>
      </c>
      <c r="E1410" s="13">
        <f>+HYPERLINK("http://trademark.i-assist.jp/data/china/image_1890th/77260751.pdf",77260751)</f>
        <v>77260751</v>
      </c>
      <c r="F1410" s="7" t="s">
        <v>183</v>
      </c>
      <c r="G1410" s="7" t="s">
        <v>3970</v>
      </c>
      <c r="H1410" s="7" t="s">
        <v>3971</v>
      </c>
      <c r="I1410" s="9">
        <v>45363</v>
      </c>
    </row>
    <row r="1411" spans="1:9" x14ac:dyDescent="0.15">
      <c r="A1411" s="6">
        <v>1410</v>
      </c>
      <c r="B1411" s="7" t="s">
        <v>7</v>
      </c>
      <c r="C1411" s="8">
        <v>1890</v>
      </c>
      <c r="D1411" s="9">
        <v>45449</v>
      </c>
      <c r="E1411" s="13">
        <f>+HYPERLINK("http://trademark.i-assist.jp/data/china/image_1890th/77260992.pdf",77260992)</f>
        <v>77260992</v>
      </c>
      <c r="F1411" s="7" t="s">
        <v>3973</v>
      </c>
      <c r="G1411" s="7" t="s">
        <v>3972</v>
      </c>
      <c r="H1411" s="7" t="s">
        <v>3974</v>
      </c>
      <c r="I1411" s="9">
        <v>45363</v>
      </c>
    </row>
    <row r="1412" spans="1:9" ht="27" x14ac:dyDescent="0.15">
      <c r="A1412" s="6">
        <v>1411</v>
      </c>
      <c r="B1412" s="7" t="s">
        <v>7</v>
      </c>
      <c r="C1412" s="8">
        <v>1890</v>
      </c>
      <c r="D1412" s="9">
        <v>45449</v>
      </c>
      <c r="E1412" s="13">
        <f>+HYPERLINK("http://trademark.i-assist.jp/data/china/image_1890th/77261042.pdf",77261042)</f>
        <v>77261042</v>
      </c>
      <c r="F1412" s="7" t="s">
        <v>3976</v>
      </c>
      <c r="G1412" s="7" t="s">
        <v>3975</v>
      </c>
      <c r="H1412" s="7" t="s">
        <v>3977</v>
      </c>
      <c r="I1412" s="9">
        <v>45363</v>
      </c>
    </row>
    <row r="1413" spans="1:9" x14ac:dyDescent="0.15">
      <c r="A1413" s="6">
        <v>1412</v>
      </c>
      <c r="B1413" s="7" t="s">
        <v>7</v>
      </c>
      <c r="C1413" s="8">
        <v>1890</v>
      </c>
      <c r="D1413" s="9">
        <v>45449</v>
      </c>
      <c r="E1413" s="13">
        <f>+HYPERLINK("http://trademark.i-assist.jp/data/china/image_1890th/77261155.pdf",77261155)</f>
        <v>77261155</v>
      </c>
      <c r="F1413" s="7" t="s">
        <v>3979</v>
      </c>
      <c r="G1413" s="7" t="s">
        <v>3978</v>
      </c>
      <c r="H1413" s="7" t="s">
        <v>3980</v>
      </c>
      <c r="I1413" s="9">
        <v>45363</v>
      </c>
    </row>
    <row r="1414" spans="1:9" ht="27" x14ac:dyDescent="0.15">
      <c r="A1414" s="6">
        <v>1413</v>
      </c>
      <c r="B1414" s="7" t="s">
        <v>7</v>
      </c>
      <c r="C1414" s="8">
        <v>1890</v>
      </c>
      <c r="D1414" s="9">
        <v>45449</v>
      </c>
      <c r="E1414" s="13">
        <f>+HYPERLINK("http://trademark.i-assist.jp/data/china/image_1890th/77273349.pdf",77273349)</f>
        <v>77273349</v>
      </c>
      <c r="F1414" s="7" t="s">
        <v>3982</v>
      </c>
      <c r="G1414" s="7" t="s">
        <v>3981</v>
      </c>
      <c r="H1414" s="7" t="s">
        <v>3983</v>
      </c>
      <c r="I1414" s="9">
        <v>45364</v>
      </c>
    </row>
    <row r="1415" spans="1:9" ht="27" x14ac:dyDescent="0.15">
      <c r="A1415" s="6">
        <v>1414</v>
      </c>
      <c r="B1415" s="7" t="s">
        <v>7</v>
      </c>
      <c r="C1415" s="8">
        <v>1890</v>
      </c>
      <c r="D1415" s="9">
        <v>45449</v>
      </c>
      <c r="E1415" s="13">
        <f>+HYPERLINK("http://trademark.i-assist.jp/data/china/image_1890th/77273734.pdf",77273734)</f>
        <v>77273734</v>
      </c>
      <c r="F1415" s="7" t="s">
        <v>3985</v>
      </c>
      <c r="G1415" s="7" t="s">
        <v>3984</v>
      </c>
      <c r="H1415" s="7" t="s">
        <v>3986</v>
      </c>
      <c r="I1415" s="9">
        <v>45364</v>
      </c>
    </row>
    <row r="1416" spans="1:9" x14ac:dyDescent="0.15">
      <c r="A1416" s="6">
        <v>1415</v>
      </c>
      <c r="B1416" s="7" t="s">
        <v>7</v>
      </c>
      <c r="C1416" s="8">
        <v>1890</v>
      </c>
      <c r="D1416" s="9">
        <v>45449</v>
      </c>
      <c r="E1416" s="13">
        <f>+HYPERLINK("http://trademark.i-assist.jp/data/china/image_1890th/77273849.pdf",77273849)</f>
        <v>77273849</v>
      </c>
      <c r="F1416" s="7" t="s">
        <v>3988</v>
      </c>
      <c r="G1416" s="7" t="s">
        <v>3987</v>
      </c>
      <c r="H1416" s="7" t="s">
        <v>3989</v>
      </c>
      <c r="I1416" s="9">
        <v>45364</v>
      </c>
    </row>
    <row r="1417" spans="1:9" x14ac:dyDescent="0.15">
      <c r="A1417" s="6">
        <v>1416</v>
      </c>
      <c r="B1417" s="7" t="s">
        <v>7</v>
      </c>
      <c r="C1417" s="8">
        <v>1890</v>
      </c>
      <c r="D1417" s="9">
        <v>45449</v>
      </c>
      <c r="E1417" s="13">
        <f>+HYPERLINK("http://trademark.i-assist.jp/data/china/image_1890th/77273881.pdf",77273881)</f>
        <v>77273881</v>
      </c>
      <c r="F1417" s="7" t="s">
        <v>3991</v>
      </c>
      <c r="G1417" s="7" t="s">
        <v>3990</v>
      </c>
      <c r="H1417" s="7" t="s">
        <v>3992</v>
      </c>
      <c r="I1417" s="9">
        <v>45364</v>
      </c>
    </row>
    <row r="1418" spans="1:9" x14ac:dyDescent="0.15">
      <c r="A1418" s="6">
        <v>1417</v>
      </c>
      <c r="B1418" s="7" t="s">
        <v>7</v>
      </c>
      <c r="C1418" s="8">
        <v>1890</v>
      </c>
      <c r="D1418" s="9">
        <v>45449</v>
      </c>
      <c r="E1418" s="13">
        <f>+HYPERLINK("http://trademark.i-assist.jp/data/china/image_1890th/77274001.pdf",77274001)</f>
        <v>77274001</v>
      </c>
      <c r="F1418" s="7" t="s">
        <v>3994</v>
      </c>
      <c r="G1418" s="7" t="s">
        <v>3993</v>
      </c>
      <c r="H1418" s="7" t="s">
        <v>3995</v>
      </c>
      <c r="I1418" s="9">
        <v>45364</v>
      </c>
    </row>
    <row r="1419" spans="1:9" x14ac:dyDescent="0.15">
      <c r="A1419" s="6">
        <v>1418</v>
      </c>
      <c r="B1419" s="7" t="s">
        <v>7</v>
      </c>
      <c r="C1419" s="8">
        <v>1890</v>
      </c>
      <c r="D1419" s="9">
        <v>45449</v>
      </c>
      <c r="E1419" s="13">
        <f>+HYPERLINK("http://trademark.i-assist.jp/data/china/image_1890th/77274163.pdf",77274163)</f>
        <v>77274163</v>
      </c>
      <c r="F1419" s="7" t="s">
        <v>3997</v>
      </c>
      <c r="G1419" s="7" t="s">
        <v>3996</v>
      </c>
      <c r="H1419" s="7" t="s">
        <v>3998</v>
      </c>
      <c r="I1419" s="9">
        <v>45364</v>
      </c>
    </row>
    <row r="1420" spans="1:9" x14ac:dyDescent="0.15">
      <c r="A1420" s="6">
        <v>1419</v>
      </c>
      <c r="B1420" s="7" t="s">
        <v>7</v>
      </c>
      <c r="C1420" s="8">
        <v>1890</v>
      </c>
      <c r="D1420" s="9">
        <v>45449</v>
      </c>
      <c r="E1420" s="13">
        <f>+HYPERLINK("http://trademark.i-assist.jp/data/china/image_1890th/77274509.pdf",77274509)</f>
        <v>77274509</v>
      </c>
      <c r="F1420" s="7" t="s">
        <v>4000</v>
      </c>
      <c r="G1420" s="7" t="s">
        <v>3999</v>
      </c>
      <c r="H1420" s="7" t="s">
        <v>4001</v>
      </c>
      <c r="I1420" s="9">
        <v>45364</v>
      </c>
    </row>
    <row r="1421" spans="1:9" x14ac:dyDescent="0.15">
      <c r="A1421" s="6">
        <v>1420</v>
      </c>
      <c r="B1421" s="7" t="s">
        <v>7</v>
      </c>
      <c r="C1421" s="8">
        <v>1890</v>
      </c>
      <c r="D1421" s="9">
        <v>45449</v>
      </c>
      <c r="E1421" s="13">
        <f>+HYPERLINK("http://trademark.i-assist.jp/data/china/image_1890th/77274680.pdf",77274680)</f>
        <v>77274680</v>
      </c>
      <c r="F1421" s="7" t="s">
        <v>4003</v>
      </c>
      <c r="G1421" s="7" t="s">
        <v>4002</v>
      </c>
      <c r="H1421" s="7" t="s">
        <v>4004</v>
      </c>
      <c r="I1421" s="9">
        <v>45364</v>
      </c>
    </row>
    <row r="1422" spans="1:9" x14ac:dyDescent="0.15">
      <c r="A1422" s="6">
        <v>1421</v>
      </c>
      <c r="B1422" s="7" t="s">
        <v>7</v>
      </c>
      <c r="C1422" s="8">
        <v>1890</v>
      </c>
      <c r="D1422" s="9">
        <v>45449</v>
      </c>
      <c r="E1422" s="13">
        <f>+HYPERLINK("http://trademark.i-assist.jp/data/china/image_1890th/77274833.pdf",77274833)</f>
        <v>77274833</v>
      </c>
      <c r="F1422" s="7" t="s">
        <v>4006</v>
      </c>
      <c r="G1422" s="7" t="s">
        <v>4005</v>
      </c>
      <c r="H1422" s="7" t="s">
        <v>4007</v>
      </c>
      <c r="I1422" s="9">
        <v>45364</v>
      </c>
    </row>
    <row r="1423" spans="1:9" x14ac:dyDescent="0.15">
      <c r="A1423" s="6">
        <v>1422</v>
      </c>
      <c r="B1423" s="7" t="s">
        <v>7</v>
      </c>
      <c r="C1423" s="8">
        <v>1890</v>
      </c>
      <c r="D1423" s="9">
        <v>45449</v>
      </c>
      <c r="E1423" s="13">
        <f>+HYPERLINK("http://trademark.i-assist.jp/data/china/image_1890th/77274995.pdf",77274995)</f>
        <v>77274995</v>
      </c>
      <c r="F1423" s="7" t="s">
        <v>4009</v>
      </c>
      <c r="G1423" s="7" t="s">
        <v>4008</v>
      </c>
      <c r="H1423" s="7" t="s">
        <v>4010</v>
      </c>
      <c r="I1423" s="9">
        <v>45364</v>
      </c>
    </row>
    <row r="1424" spans="1:9" x14ac:dyDescent="0.15">
      <c r="A1424" s="6">
        <v>1423</v>
      </c>
      <c r="B1424" s="7" t="s">
        <v>7</v>
      </c>
      <c r="C1424" s="8">
        <v>1890</v>
      </c>
      <c r="D1424" s="9">
        <v>45449</v>
      </c>
      <c r="E1424" s="13">
        <f>+HYPERLINK("http://trademark.i-assist.jp/data/china/image_1890th/77275048.pdf",77275048)</f>
        <v>77275048</v>
      </c>
      <c r="F1424" s="7" t="s">
        <v>4012</v>
      </c>
      <c r="G1424" s="7" t="s">
        <v>4011</v>
      </c>
      <c r="H1424" s="7" t="s">
        <v>8</v>
      </c>
      <c r="I1424" s="9">
        <v>45364</v>
      </c>
    </row>
    <row r="1425" spans="1:9" x14ac:dyDescent="0.15">
      <c r="A1425" s="6">
        <v>1424</v>
      </c>
      <c r="B1425" s="7" t="s">
        <v>7</v>
      </c>
      <c r="C1425" s="8">
        <v>1890</v>
      </c>
      <c r="D1425" s="9">
        <v>45449</v>
      </c>
      <c r="E1425" s="13">
        <f>+HYPERLINK("http://trademark.i-assist.jp/data/china/image_1890th/77275253.pdf",77275253)</f>
        <v>77275253</v>
      </c>
      <c r="F1425" s="7" t="s">
        <v>4014</v>
      </c>
      <c r="G1425" s="7" t="s">
        <v>4013</v>
      </c>
      <c r="H1425" s="7" t="s">
        <v>4015</v>
      </c>
      <c r="I1425" s="9">
        <v>45364</v>
      </c>
    </row>
    <row r="1426" spans="1:9" x14ac:dyDescent="0.15">
      <c r="A1426" s="6">
        <v>1425</v>
      </c>
      <c r="B1426" s="7" t="s">
        <v>7</v>
      </c>
      <c r="C1426" s="8">
        <v>1890</v>
      </c>
      <c r="D1426" s="9">
        <v>45449</v>
      </c>
      <c r="E1426" s="13">
        <f>+HYPERLINK("http://trademark.i-assist.jp/data/china/image_1890th/77275295.pdf",77275295)</f>
        <v>77275295</v>
      </c>
      <c r="F1426" s="7" t="s">
        <v>4016</v>
      </c>
      <c r="G1426" s="7" t="s">
        <v>943</v>
      </c>
      <c r="H1426" s="7" t="s">
        <v>4017</v>
      </c>
      <c r="I1426" s="9">
        <v>45364</v>
      </c>
    </row>
    <row r="1427" spans="1:9" ht="27" x14ac:dyDescent="0.15">
      <c r="A1427" s="6">
        <v>1426</v>
      </c>
      <c r="B1427" s="7" t="s">
        <v>7</v>
      </c>
      <c r="C1427" s="8">
        <v>1890</v>
      </c>
      <c r="D1427" s="9">
        <v>45449</v>
      </c>
      <c r="E1427" s="13">
        <f>+HYPERLINK("http://trademark.i-assist.jp/data/china/image_1890th/77275351.pdf",77275351)</f>
        <v>77275351</v>
      </c>
      <c r="F1427" s="7" t="s">
        <v>4019</v>
      </c>
      <c r="G1427" s="7" t="s">
        <v>4018</v>
      </c>
      <c r="H1427" s="7" t="s">
        <v>4020</v>
      </c>
      <c r="I1427" s="9">
        <v>45364</v>
      </c>
    </row>
    <row r="1428" spans="1:9" x14ac:dyDescent="0.15">
      <c r="A1428" s="6">
        <v>1427</v>
      </c>
      <c r="B1428" s="7" t="s">
        <v>7</v>
      </c>
      <c r="C1428" s="8">
        <v>1890</v>
      </c>
      <c r="D1428" s="9">
        <v>45449</v>
      </c>
      <c r="E1428" s="13">
        <f>+HYPERLINK("http://trademark.i-assist.jp/data/china/image_1890th/77275591.pdf",77275591)</f>
        <v>77275591</v>
      </c>
      <c r="F1428" s="7" t="s">
        <v>4021</v>
      </c>
      <c r="G1428" s="7" t="s">
        <v>896</v>
      </c>
      <c r="H1428" s="7" t="s">
        <v>4022</v>
      </c>
      <c r="I1428" s="9">
        <v>45364</v>
      </c>
    </row>
    <row r="1429" spans="1:9" ht="27" x14ac:dyDescent="0.15">
      <c r="A1429" s="6">
        <v>1428</v>
      </c>
      <c r="B1429" s="7" t="s">
        <v>7</v>
      </c>
      <c r="C1429" s="8">
        <v>1890</v>
      </c>
      <c r="D1429" s="9">
        <v>45449</v>
      </c>
      <c r="E1429" s="13">
        <f>+HYPERLINK("http://trademark.i-assist.jp/data/china/image_1890th/77275744.pdf",77275744)</f>
        <v>77275744</v>
      </c>
      <c r="F1429" s="7" t="s">
        <v>4024</v>
      </c>
      <c r="G1429" s="7" t="s">
        <v>4023</v>
      </c>
      <c r="H1429" s="7" t="s">
        <v>4025</v>
      </c>
      <c r="I1429" s="9">
        <v>45364</v>
      </c>
    </row>
    <row r="1430" spans="1:9" x14ac:dyDescent="0.15">
      <c r="A1430" s="6">
        <v>1429</v>
      </c>
      <c r="B1430" s="7" t="s">
        <v>7</v>
      </c>
      <c r="C1430" s="8">
        <v>1890</v>
      </c>
      <c r="D1430" s="9">
        <v>45449</v>
      </c>
      <c r="E1430" s="13">
        <f>+HYPERLINK("http://trademark.i-assist.jp/data/china/image_1890th/77275773.pdf",77275773)</f>
        <v>77275773</v>
      </c>
      <c r="F1430" s="7" t="s">
        <v>4027</v>
      </c>
      <c r="G1430" s="7" t="s">
        <v>4026</v>
      </c>
      <c r="H1430" s="7" t="s">
        <v>4028</v>
      </c>
      <c r="I1430" s="9">
        <v>45364</v>
      </c>
    </row>
    <row r="1431" spans="1:9" x14ac:dyDescent="0.15">
      <c r="A1431" s="6">
        <v>1430</v>
      </c>
      <c r="B1431" s="7" t="s">
        <v>7</v>
      </c>
      <c r="C1431" s="8">
        <v>1890</v>
      </c>
      <c r="D1431" s="9">
        <v>45449</v>
      </c>
      <c r="E1431" s="13">
        <f>+HYPERLINK("http://trademark.i-assist.jp/data/china/image_1890th/77276267.pdf",77276267)</f>
        <v>77276267</v>
      </c>
      <c r="F1431" s="7" t="s">
        <v>4030</v>
      </c>
      <c r="G1431" s="7" t="s">
        <v>4029</v>
      </c>
      <c r="H1431" s="7" t="s">
        <v>4031</v>
      </c>
      <c r="I1431" s="9">
        <v>45364</v>
      </c>
    </row>
    <row r="1432" spans="1:9" x14ac:dyDescent="0.15">
      <c r="A1432" s="6">
        <v>1431</v>
      </c>
      <c r="B1432" s="7" t="s">
        <v>7</v>
      </c>
      <c r="C1432" s="8">
        <v>1890</v>
      </c>
      <c r="D1432" s="9">
        <v>45449</v>
      </c>
      <c r="E1432" s="13">
        <f>+HYPERLINK("http://trademark.i-assist.jp/data/china/image_1890th/77276293.pdf",77276293)</f>
        <v>77276293</v>
      </c>
      <c r="F1432" s="7" t="s">
        <v>4033</v>
      </c>
      <c r="G1432" s="7" t="s">
        <v>4032</v>
      </c>
      <c r="H1432" s="7" t="s">
        <v>4034</v>
      </c>
      <c r="I1432" s="9">
        <v>45364</v>
      </c>
    </row>
    <row r="1433" spans="1:9" ht="27" x14ac:dyDescent="0.15">
      <c r="A1433" s="6">
        <v>1432</v>
      </c>
      <c r="B1433" s="7" t="s">
        <v>7</v>
      </c>
      <c r="C1433" s="8">
        <v>1890</v>
      </c>
      <c r="D1433" s="9">
        <v>45449</v>
      </c>
      <c r="E1433" s="13">
        <f>+HYPERLINK("http://trademark.i-assist.jp/data/china/image_1890th/77276451.pdf",77276451)</f>
        <v>77276451</v>
      </c>
      <c r="F1433" s="7" t="s">
        <v>4036</v>
      </c>
      <c r="G1433" s="7" t="s">
        <v>4035</v>
      </c>
      <c r="H1433" s="7" t="s">
        <v>4037</v>
      </c>
      <c r="I1433" s="9">
        <v>45364</v>
      </c>
    </row>
    <row r="1434" spans="1:9" x14ac:dyDescent="0.15">
      <c r="A1434" s="6">
        <v>1433</v>
      </c>
      <c r="B1434" s="7" t="s">
        <v>7</v>
      </c>
      <c r="C1434" s="8">
        <v>1890</v>
      </c>
      <c r="D1434" s="9">
        <v>45449</v>
      </c>
      <c r="E1434" s="13">
        <f>+HYPERLINK("http://trademark.i-assist.jp/data/china/image_1890th/77276493.pdf",77276493)</f>
        <v>77276493</v>
      </c>
      <c r="F1434" s="7" t="s">
        <v>4039</v>
      </c>
      <c r="G1434" s="7" t="s">
        <v>4038</v>
      </c>
      <c r="H1434" s="7" t="s">
        <v>4040</v>
      </c>
      <c r="I1434" s="9">
        <v>45364</v>
      </c>
    </row>
    <row r="1435" spans="1:9" x14ac:dyDescent="0.15">
      <c r="A1435" s="6">
        <v>1434</v>
      </c>
      <c r="B1435" s="7" t="s">
        <v>7</v>
      </c>
      <c r="C1435" s="8">
        <v>1890</v>
      </c>
      <c r="D1435" s="9">
        <v>45449</v>
      </c>
      <c r="E1435" s="13">
        <f>+HYPERLINK("http://trademark.i-assist.jp/data/china/image_1890th/77276505.pdf",77276505)</f>
        <v>77276505</v>
      </c>
      <c r="F1435" s="7" t="s">
        <v>4042</v>
      </c>
      <c r="G1435" s="7" t="s">
        <v>4041</v>
      </c>
      <c r="H1435" s="7" t="s">
        <v>4043</v>
      </c>
      <c r="I1435" s="9">
        <v>45364</v>
      </c>
    </row>
    <row r="1436" spans="1:9" ht="27" x14ac:dyDescent="0.15">
      <c r="A1436" s="6">
        <v>1435</v>
      </c>
      <c r="B1436" s="7" t="s">
        <v>7</v>
      </c>
      <c r="C1436" s="8">
        <v>1890</v>
      </c>
      <c r="D1436" s="9">
        <v>45449</v>
      </c>
      <c r="E1436" s="13">
        <f>+HYPERLINK("http://trademark.i-assist.jp/data/china/image_1890th/77276917.pdf",77276917)</f>
        <v>77276917</v>
      </c>
      <c r="F1436" s="7" t="s">
        <v>4045</v>
      </c>
      <c r="G1436" s="7" t="s">
        <v>4044</v>
      </c>
      <c r="H1436" s="7" t="s">
        <v>4046</v>
      </c>
      <c r="I1436" s="9">
        <v>45364</v>
      </c>
    </row>
    <row r="1437" spans="1:9" x14ac:dyDescent="0.15">
      <c r="A1437" s="6">
        <v>1436</v>
      </c>
      <c r="B1437" s="7" t="s">
        <v>7</v>
      </c>
      <c r="C1437" s="8">
        <v>1890</v>
      </c>
      <c r="D1437" s="9">
        <v>45449</v>
      </c>
      <c r="E1437" s="13">
        <f>+HYPERLINK("http://trademark.i-assist.jp/data/china/image_1890th/77277055.pdf",77277055)</f>
        <v>77277055</v>
      </c>
      <c r="F1437" s="7" t="s">
        <v>4048</v>
      </c>
      <c r="G1437" s="7" t="s">
        <v>4047</v>
      </c>
      <c r="H1437" s="7" t="s">
        <v>4049</v>
      </c>
      <c r="I1437" s="9">
        <v>45364</v>
      </c>
    </row>
    <row r="1438" spans="1:9" x14ac:dyDescent="0.15">
      <c r="A1438" s="6">
        <v>1437</v>
      </c>
      <c r="B1438" s="7" t="s">
        <v>7</v>
      </c>
      <c r="C1438" s="8">
        <v>1890</v>
      </c>
      <c r="D1438" s="9">
        <v>45449</v>
      </c>
      <c r="E1438" s="13">
        <f>+HYPERLINK("http://trademark.i-assist.jp/data/china/image_1890th/77277566.pdf",77277566)</f>
        <v>77277566</v>
      </c>
      <c r="F1438" s="7" t="s">
        <v>4051</v>
      </c>
      <c r="G1438" s="7" t="s">
        <v>4050</v>
      </c>
      <c r="H1438" s="7" t="s">
        <v>4052</v>
      </c>
      <c r="I1438" s="9">
        <v>45364</v>
      </c>
    </row>
    <row r="1439" spans="1:9" x14ac:dyDescent="0.15">
      <c r="A1439" s="6">
        <v>1438</v>
      </c>
      <c r="B1439" s="7" t="s">
        <v>7</v>
      </c>
      <c r="C1439" s="8">
        <v>1890</v>
      </c>
      <c r="D1439" s="9">
        <v>45449</v>
      </c>
      <c r="E1439" s="13">
        <f>+HYPERLINK("http://trademark.i-assist.jp/data/china/image_1890th/77277608.pdf",77277608)</f>
        <v>77277608</v>
      </c>
      <c r="F1439" s="7" t="s">
        <v>4054</v>
      </c>
      <c r="G1439" s="7" t="s">
        <v>4053</v>
      </c>
      <c r="H1439" s="7" t="s">
        <v>4055</v>
      </c>
      <c r="I1439" s="9">
        <v>45364</v>
      </c>
    </row>
    <row r="1440" spans="1:9" x14ac:dyDescent="0.15">
      <c r="A1440" s="6">
        <v>1439</v>
      </c>
      <c r="B1440" s="7" t="s">
        <v>7</v>
      </c>
      <c r="C1440" s="8">
        <v>1890</v>
      </c>
      <c r="D1440" s="9">
        <v>45449</v>
      </c>
      <c r="E1440" s="13">
        <f>+HYPERLINK("http://trademark.i-assist.jp/data/china/image_1890th/77277707.pdf",77277707)</f>
        <v>77277707</v>
      </c>
      <c r="F1440" s="7" t="s">
        <v>4057</v>
      </c>
      <c r="G1440" s="7" t="s">
        <v>4056</v>
      </c>
      <c r="H1440" s="7" t="s">
        <v>4058</v>
      </c>
      <c r="I1440" s="9">
        <v>45364</v>
      </c>
    </row>
    <row r="1441" spans="1:9" x14ac:dyDescent="0.15">
      <c r="A1441" s="6">
        <v>1440</v>
      </c>
      <c r="B1441" s="7" t="s">
        <v>7</v>
      </c>
      <c r="C1441" s="8">
        <v>1890</v>
      </c>
      <c r="D1441" s="9">
        <v>45449</v>
      </c>
      <c r="E1441" s="13">
        <f>+HYPERLINK("http://trademark.i-assist.jp/data/china/image_1890th/77278111.pdf",77278111)</f>
        <v>77278111</v>
      </c>
      <c r="F1441" s="7" t="s">
        <v>4060</v>
      </c>
      <c r="G1441" s="7" t="s">
        <v>4059</v>
      </c>
      <c r="H1441" s="7" t="s">
        <v>4061</v>
      </c>
      <c r="I1441" s="9">
        <v>45364</v>
      </c>
    </row>
    <row r="1442" spans="1:9" x14ac:dyDescent="0.15">
      <c r="A1442" s="6">
        <v>1441</v>
      </c>
      <c r="B1442" s="7" t="s">
        <v>7</v>
      </c>
      <c r="C1442" s="8">
        <v>1890</v>
      </c>
      <c r="D1442" s="9">
        <v>45449</v>
      </c>
      <c r="E1442" s="13">
        <f>+HYPERLINK("http://trademark.i-assist.jp/data/china/image_1890th/77321509.pdf",77321509)</f>
        <v>77321509</v>
      </c>
      <c r="F1442" s="7" t="s">
        <v>4063</v>
      </c>
      <c r="G1442" s="7" t="s">
        <v>4062</v>
      </c>
      <c r="H1442" s="7" t="s">
        <v>4064</v>
      </c>
      <c r="I1442" s="9">
        <v>45366</v>
      </c>
    </row>
    <row r="1443" spans="1:9" x14ac:dyDescent="0.15">
      <c r="A1443" s="6">
        <v>1442</v>
      </c>
      <c r="B1443" s="7" t="s">
        <v>7</v>
      </c>
      <c r="C1443" s="8">
        <v>1890</v>
      </c>
      <c r="D1443" s="9">
        <v>45449</v>
      </c>
      <c r="E1443" s="13">
        <f>+HYPERLINK("http://trademark.i-assist.jp/data/china/image_1890th/77321535.pdf",77321535)</f>
        <v>77321535</v>
      </c>
      <c r="F1443" s="7" t="s">
        <v>4066</v>
      </c>
      <c r="G1443" s="7" t="s">
        <v>4065</v>
      </c>
      <c r="H1443" s="7" t="s">
        <v>4067</v>
      </c>
      <c r="I1443" s="9">
        <v>45366</v>
      </c>
    </row>
    <row r="1444" spans="1:9" x14ac:dyDescent="0.15">
      <c r="A1444" s="6">
        <v>1443</v>
      </c>
      <c r="B1444" s="7" t="s">
        <v>7</v>
      </c>
      <c r="C1444" s="8">
        <v>1890</v>
      </c>
      <c r="D1444" s="9">
        <v>45449</v>
      </c>
      <c r="E1444" s="13">
        <f>+HYPERLINK("http://trademark.i-assist.jp/data/china/image_1890th/77322008.pdf",77322008)</f>
        <v>77322008</v>
      </c>
      <c r="F1444" s="7" t="s">
        <v>4069</v>
      </c>
      <c r="G1444" s="7" t="s">
        <v>4068</v>
      </c>
      <c r="H1444" s="7" t="s">
        <v>4070</v>
      </c>
      <c r="I1444" s="9">
        <v>45366</v>
      </c>
    </row>
    <row r="1445" spans="1:9" x14ac:dyDescent="0.15">
      <c r="A1445" s="6">
        <v>1444</v>
      </c>
      <c r="B1445" s="7" t="s">
        <v>7</v>
      </c>
      <c r="C1445" s="8">
        <v>1890</v>
      </c>
      <c r="D1445" s="9">
        <v>45449</v>
      </c>
      <c r="E1445" s="13">
        <f>+HYPERLINK("http://trademark.i-assist.jp/data/china/image_1890th/77322059.pdf",77322059)</f>
        <v>77322059</v>
      </c>
      <c r="F1445" s="7" t="s">
        <v>4072</v>
      </c>
      <c r="G1445" s="7" t="s">
        <v>4071</v>
      </c>
      <c r="H1445" s="7" t="s">
        <v>4073</v>
      </c>
      <c r="I1445" s="9">
        <v>45366</v>
      </c>
    </row>
    <row r="1446" spans="1:9" x14ac:dyDescent="0.15">
      <c r="A1446" s="6">
        <v>1445</v>
      </c>
      <c r="B1446" s="7" t="s">
        <v>7</v>
      </c>
      <c r="C1446" s="8">
        <v>1890</v>
      </c>
      <c r="D1446" s="9">
        <v>45449</v>
      </c>
      <c r="E1446" s="13">
        <f>+HYPERLINK("http://trademark.i-assist.jp/data/china/image_1890th/77322201.pdf",77322201)</f>
        <v>77322201</v>
      </c>
      <c r="F1446" s="7" t="s">
        <v>4075</v>
      </c>
      <c r="G1446" s="7" t="s">
        <v>4074</v>
      </c>
      <c r="H1446" s="7" t="s">
        <v>4076</v>
      </c>
      <c r="I1446" s="9">
        <v>45366</v>
      </c>
    </row>
    <row r="1447" spans="1:9" x14ac:dyDescent="0.15">
      <c r="A1447" s="6">
        <v>1446</v>
      </c>
      <c r="B1447" s="7" t="s">
        <v>7</v>
      </c>
      <c r="C1447" s="8">
        <v>1890</v>
      </c>
      <c r="D1447" s="9">
        <v>45449</v>
      </c>
      <c r="E1447" s="13">
        <f>+HYPERLINK("http://trademark.i-assist.jp/data/china/image_1890th/77322708.pdf",77322708)</f>
        <v>77322708</v>
      </c>
      <c r="F1447" s="7" t="s">
        <v>4078</v>
      </c>
      <c r="G1447" s="7" t="s">
        <v>4077</v>
      </c>
      <c r="H1447" s="7" t="s">
        <v>4079</v>
      </c>
      <c r="I1447" s="9">
        <v>45366</v>
      </c>
    </row>
    <row r="1448" spans="1:9" x14ac:dyDescent="0.15">
      <c r="A1448" s="6">
        <v>1447</v>
      </c>
      <c r="B1448" s="7" t="s">
        <v>7</v>
      </c>
      <c r="C1448" s="8">
        <v>1890</v>
      </c>
      <c r="D1448" s="9">
        <v>45449</v>
      </c>
      <c r="E1448" s="13">
        <f>+HYPERLINK("http://trademark.i-assist.jp/data/china/image_1890th/77322832.pdf",77322832)</f>
        <v>77322832</v>
      </c>
      <c r="F1448" s="7" t="s">
        <v>4081</v>
      </c>
      <c r="G1448" s="7" t="s">
        <v>4080</v>
      </c>
      <c r="H1448" s="7" t="s">
        <v>4082</v>
      </c>
      <c r="I1448" s="9">
        <v>45366</v>
      </c>
    </row>
    <row r="1449" spans="1:9" x14ac:dyDescent="0.15">
      <c r="A1449" s="6">
        <v>1448</v>
      </c>
      <c r="B1449" s="7" t="s">
        <v>7</v>
      </c>
      <c r="C1449" s="8">
        <v>1890</v>
      </c>
      <c r="D1449" s="9">
        <v>45449</v>
      </c>
      <c r="E1449" s="13">
        <f>+HYPERLINK("http://trademark.i-assist.jp/data/china/image_1890th/77322911.pdf",77322911)</f>
        <v>77322911</v>
      </c>
      <c r="F1449" s="7" t="s">
        <v>4084</v>
      </c>
      <c r="G1449" s="7" t="s">
        <v>4083</v>
      </c>
      <c r="H1449" s="7" t="s">
        <v>4085</v>
      </c>
      <c r="I1449" s="9">
        <v>45366</v>
      </c>
    </row>
    <row r="1450" spans="1:9" x14ac:dyDescent="0.15">
      <c r="A1450" s="6">
        <v>1449</v>
      </c>
      <c r="B1450" s="7" t="s">
        <v>7</v>
      </c>
      <c r="C1450" s="8">
        <v>1890</v>
      </c>
      <c r="D1450" s="9">
        <v>45449</v>
      </c>
      <c r="E1450" s="13">
        <f>+HYPERLINK("http://trademark.i-assist.jp/data/china/image_1890th/77323414.pdf",77323414)</f>
        <v>77323414</v>
      </c>
      <c r="F1450" s="7" t="s">
        <v>4087</v>
      </c>
      <c r="G1450" s="7" t="s">
        <v>4086</v>
      </c>
      <c r="H1450" s="7" t="s">
        <v>4088</v>
      </c>
      <c r="I1450" s="9">
        <v>45366</v>
      </c>
    </row>
    <row r="1451" spans="1:9" x14ac:dyDescent="0.15">
      <c r="A1451" s="6">
        <v>1450</v>
      </c>
      <c r="B1451" s="7" t="s">
        <v>7</v>
      </c>
      <c r="C1451" s="8">
        <v>1890</v>
      </c>
      <c r="D1451" s="9">
        <v>45449</v>
      </c>
      <c r="E1451" s="13">
        <f>+HYPERLINK("http://trademark.i-assist.jp/data/china/image_1890th/77323416.pdf",77323416)</f>
        <v>77323416</v>
      </c>
      <c r="F1451" s="7" t="s">
        <v>4090</v>
      </c>
      <c r="G1451" s="7" t="s">
        <v>4089</v>
      </c>
      <c r="H1451" s="7" t="s">
        <v>4091</v>
      </c>
      <c r="I1451" s="9">
        <v>45366</v>
      </c>
    </row>
    <row r="1452" spans="1:9" x14ac:dyDescent="0.15">
      <c r="A1452" s="6">
        <v>1451</v>
      </c>
      <c r="B1452" s="7" t="s">
        <v>7</v>
      </c>
      <c r="C1452" s="8">
        <v>1890</v>
      </c>
      <c r="D1452" s="9">
        <v>45449</v>
      </c>
      <c r="E1452" s="13">
        <f>+HYPERLINK("http://trademark.i-assist.jp/data/china/image_1890th/77323419.pdf",77323419)</f>
        <v>77323419</v>
      </c>
      <c r="F1452" s="7" t="s">
        <v>4093</v>
      </c>
      <c r="G1452" s="7" t="s">
        <v>4092</v>
      </c>
      <c r="H1452" s="7" t="s">
        <v>4094</v>
      </c>
      <c r="I1452" s="9">
        <v>45366</v>
      </c>
    </row>
    <row r="1453" spans="1:9" ht="27" x14ac:dyDescent="0.15">
      <c r="A1453" s="6">
        <v>1452</v>
      </c>
      <c r="B1453" s="7" t="s">
        <v>7</v>
      </c>
      <c r="C1453" s="8">
        <v>1890</v>
      </c>
      <c r="D1453" s="9">
        <v>45449</v>
      </c>
      <c r="E1453" s="13">
        <f>+HYPERLINK("http://trademark.i-assist.jp/data/china/image_1890th/77323792.pdf",77323792)</f>
        <v>77323792</v>
      </c>
      <c r="F1453" s="7" t="s">
        <v>4096</v>
      </c>
      <c r="G1453" s="7" t="s">
        <v>4095</v>
      </c>
      <c r="H1453" s="7" t="s">
        <v>4097</v>
      </c>
      <c r="I1453" s="9">
        <v>45366</v>
      </c>
    </row>
    <row r="1454" spans="1:9" x14ac:dyDescent="0.15">
      <c r="A1454" s="6">
        <v>1453</v>
      </c>
      <c r="B1454" s="7" t="s">
        <v>7</v>
      </c>
      <c r="C1454" s="8">
        <v>1890</v>
      </c>
      <c r="D1454" s="9">
        <v>45449</v>
      </c>
      <c r="E1454" s="13">
        <f>+HYPERLINK("http://trademark.i-assist.jp/data/china/image_1890th/77323914.pdf",77323914)</f>
        <v>77323914</v>
      </c>
      <c r="F1454" s="7" t="s">
        <v>4099</v>
      </c>
      <c r="G1454" s="7" t="s">
        <v>4098</v>
      </c>
      <c r="H1454" s="7" t="s">
        <v>4100</v>
      </c>
      <c r="I1454" s="9">
        <v>45366</v>
      </c>
    </row>
    <row r="1455" spans="1:9" x14ac:dyDescent="0.15">
      <c r="A1455" s="6">
        <v>1454</v>
      </c>
      <c r="B1455" s="7" t="s">
        <v>7</v>
      </c>
      <c r="C1455" s="8">
        <v>1890</v>
      </c>
      <c r="D1455" s="9">
        <v>45449</v>
      </c>
      <c r="E1455" s="13">
        <f>+HYPERLINK("http://trademark.i-assist.jp/data/china/image_1890th/77323937.pdf",77323937)</f>
        <v>77323937</v>
      </c>
      <c r="F1455" s="7" t="s">
        <v>4102</v>
      </c>
      <c r="G1455" s="7" t="s">
        <v>4101</v>
      </c>
      <c r="H1455" s="7" t="s">
        <v>4103</v>
      </c>
      <c r="I1455" s="9">
        <v>45366</v>
      </c>
    </row>
    <row r="1456" spans="1:9" ht="27" x14ac:dyDescent="0.15">
      <c r="A1456" s="6">
        <v>1455</v>
      </c>
      <c r="B1456" s="7" t="s">
        <v>7</v>
      </c>
      <c r="C1456" s="8">
        <v>1890</v>
      </c>
      <c r="D1456" s="9">
        <v>45449</v>
      </c>
      <c r="E1456" s="13">
        <f>+HYPERLINK("http://trademark.i-assist.jp/data/china/image_1890th/77323946.pdf",77323946)</f>
        <v>77323946</v>
      </c>
      <c r="F1456" s="7" t="s">
        <v>4105</v>
      </c>
      <c r="G1456" s="7" t="s">
        <v>4104</v>
      </c>
      <c r="H1456" s="7" t="s">
        <v>4106</v>
      </c>
      <c r="I1456" s="9">
        <v>45366</v>
      </c>
    </row>
    <row r="1457" spans="1:9" x14ac:dyDescent="0.15">
      <c r="A1457" s="6">
        <v>1456</v>
      </c>
      <c r="B1457" s="7" t="s">
        <v>7</v>
      </c>
      <c r="C1457" s="8">
        <v>1890</v>
      </c>
      <c r="D1457" s="9">
        <v>45449</v>
      </c>
      <c r="E1457" s="13">
        <f>+HYPERLINK("http://trademark.i-assist.jp/data/china/image_1890th/77323994.pdf",77323994)</f>
        <v>77323994</v>
      </c>
      <c r="F1457" s="7" t="s">
        <v>4108</v>
      </c>
      <c r="G1457" s="7" t="s">
        <v>4107</v>
      </c>
      <c r="H1457" s="7" t="s">
        <v>4109</v>
      </c>
      <c r="I1457" s="9">
        <v>45366</v>
      </c>
    </row>
    <row r="1458" spans="1:9" x14ac:dyDescent="0.15">
      <c r="A1458" s="6">
        <v>1457</v>
      </c>
      <c r="B1458" s="7" t="s">
        <v>7</v>
      </c>
      <c r="C1458" s="8">
        <v>1890</v>
      </c>
      <c r="D1458" s="9">
        <v>45449</v>
      </c>
      <c r="E1458" s="13">
        <f>+HYPERLINK("http://trademark.i-assist.jp/data/china/image_1890th/77324022.pdf",77324022)</f>
        <v>77324022</v>
      </c>
      <c r="F1458" s="7" t="s">
        <v>4111</v>
      </c>
      <c r="G1458" s="7" t="s">
        <v>4110</v>
      </c>
      <c r="H1458" s="7" t="s">
        <v>4112</v>
      </c>
      <c r="I1458" s="9">
        <v>45366</v>
      </c>
    </row>
    <row r="1459" spans="1:9" x14ac:dyDescent="0.15">
      <c r="A1459" s="6">
        <v>1458</v>
      </c>
      <c r="B1459" s="7" t="s">
        <v>7</v>
      </c>
      <c r="C1459" s="8">
        <v>1890</v>
      </c>
      <c r="D1459" s="9">
        <v>45449</v>
      </c>
      <c r="E1459" s="13">
        <f>+HYPERLINK("http://trademark.i-assist.jp/data/china/image_1890th/77324044.pdf",77324044)</f>
        <v>77324044</v>
      </c>
      <c r="F1459" s="7" t="s">
        <v>4114</v>
      </c>
      <c r="G1459" s="7" t="s">
        <v>4113</v>
      </c>
      <c r="H1459" s="7" t="s">
        <v>4115</v>
      </c>
      <c r="I1459" s="9">
        <v>45366</v>
      </c>
    </row>
    <row r="1460" spans="1:9" x14ac:dyDescent="0.15">
      <c r="A1460" s="6">
        <v>1459</v>
      </c>
      <c r="B1460" s="7" t="s">
        <v>7</v>
      </c>
      <c r="C1460" s="8">
        <v>1890</v>
      </c>
      <c r="D1460" s="9">
        <v>45449</v>
      </c>
      <c r="E1460" s="13">
        <f>+HYPERLINK("http://trademark.i-assist.jp/data/china/image_1890th/77324252.pdf",77324252)</f>
        <v>77324252</v>
      </c>
      <c r="F1460" s="7" t="s">
        <v>4117</v>
      </c>
      <c r="G1460" s="7" t="s">
        <v>4116</v>
      </c>
      <c r="H1460" s="7" t="s">
        <v>4118</v>
      </c>
      <c r="I1460" s="9">
        <v>45366</v>
      </c>
    </row>
    <row r="1461" spans="1:9" x14ac:dyDescent="0.15">
      <c r="A1461" s="6">
        <v>1460</v>
      </c>
      <c r="B1461" s="7" t="s">
        <v>7</v>
      </c>
      <c r="C1461" s="8">
        <v>1890</v>
      </c>
      <c r="D1461" s="9">
        <v>45449</v>
      </c>
      <c r="E1461" s="13">
        <f>+HYPERLINK("http://trademark.i-assist.jp/data/china/image_1890th/77324269.pdf",77324269)</f>
        <v>77324269</v>
      </c>
      <c r="F1461" s="7" t="s">
        <v>4120</v>
      </c>
      <c r="G1461" s="7" t="s">
        <v>4119</v>
      </c>
      <c r="H1461" s="7" t="s">
        <v>4121</v>
      </c>
      <c r="I1461" s="9">
        <v>45366</v>
      </c>
    </row>
    <row r="1462" spans="1:9" x14ac:dyDescent="0.15">
      <c r="A1462" s="6">
        <v>1461</v>
      </c>
      <c r="B1462" s="7" t="s">
        <v>7</v>
      </c>
      <c r="C1462" s="8">
        <v>1890</v>
      </c>
      <c r="D1462" s="9">
        <v>45449</v>
      </c>
      <c r="E1462" s="13">
        <f>+HYPERLINK("http://trademark.i-assist.jp/data/china/image_1890th/77324645.pdf",77324645)</f>
        <v>77324645</v>
      </c>
      <c r="F1462" s="7" t="s">
        <v>4123</v>
      </c>
      <c r="G1462" s="7" t="s">
        <v>4122</v>
      </c>
      <c r="H1462" s="7" t="s">
        <v>4124</v>
      </c>
      <c r="I1462" s="9">
        <v>45366</v>
      </c>
    </row>
    <row r="1463" spans="1:9" x14ac:dyDescent="0.15">
      <c r="A1463" s="6">
        <v>1462</v>
      </c>
      <c r="B1463" s="7" t="s">
        <v>7</v>
      </c>
      <c r="C1463" s="8">
        <v>1890</v>
      </c>
      <c r="D1463" s="9">
        <v>45449</v>
      </c>
      <c r="E1463" s="13">
        <f>+HYPERLINK("http://trademark.i-assist.jp/data/china/image_1890th/77324818.pdf",77324818)</f>
        <v>77324818</v>
      </c>
      <c r="F1463" s="7" t="s">
        <v>4126</v>
      </c>
      <c r="G1463" s="7" t="s">
        <v>4125</v>
      </c>
      <c r="H1463" s="7" t="s">
        <v>4127</v>
      </c>
      <c r="I1463" s="9">
        <v>45366</v>
      </c>
    </row>
    <row r="1464" spans="1:9" ht="27" x14ac:dyDescent="0.15">
      <c r="A1464" s="6">
        <v>1463</v>
      </c>
      <c r="B1464" s="7" t="s">
        <v>7</v>
      </c>
      <c r="C1464" s="8">
        <v>1890</v>
      </c>
      <c r="D1464" s="9">
        <v>45449</v>
      </c>
      <c r="E1464" s="13">
        <f>+HYPERLINK("http://trademark.i-assist.jp/data/china/image_1890th/77324969.pdf",77324969)</f>
        <v>77324969</v>
      </c>
      <c r="F1464" s="7" t="s">
        <v>4129</v>
      </c>
      <c r="G1464" s="7" t="s">
        <v>4128</v>
      </c>
      <c r="H1464" s="7" t="s">
        <v>4130</v>
      </c>
      <c r="I1464" s="9">
        <v>45366</v>
      </c>
    </row>
    <row r="1465" spans="1:9" x14ac:dyDescent="0.15">
      <c r="A1465" s="6">
        <v>1464</v>
      </c>
      <c r="B1465" s="7" t="s">
        <v>7</v>
      </c>
      <c r="C1465" s="8">
        <v>1890</v>
      </c>
      <c r="D1465" s="9">
        <v>45449</v>
      </c>
      <c r="E1465" s="13">
        <f>+HYPERLINK("http://trademark.i-assist.jp/data/china/image_1890th/77325030.pdf",77325030)</f>
        <v>77325030</v>
      </c>
      <c r="F1465" s="7" t="s">
        <v>183</v>
      </c>
      <c r="G1465" s="7" t="s">
        <v>4131</v>
      </c>
      <c r="H1465" s="7" t="s">
        <v>4132</v>
      </c>
      <c r="I1465" s="9">
        <v>45366</v>
      </c>
    </row>
    <row r="1466" spans="1:9" x14ac:dyDescent="0.15">
      <c r="A1466" s="6">
        <v>1465</v>
      </c>
      <c r="B1466" s="7" t="s">
        <v>7</v>
      </c>
      <c r="C1466" s="8">
        <v>1890</v>
      </c>
      <c r="D1466" s="9">
        <v>45449</v>
      </c>
      <c r="E1466" s="13">
        <f>+HYPERLINK("http://trademark.i-assist.jp/data/china/image_1890th/77325054.pdf",77325054)</f>
        <v>77325054</v>
      </c>
      <c r="F1466" s="7" t="s">
        <v>4134</v>
      </c>
      <c r="G1466" s="7" t="s">
        <v>4133</v>
      </c>
      <c r="H1466" s="7" t="s">
        <v>4135</v>
      </c>
      <c r="I1466" s="9">
        <v>45366</v>
      </c>
    </row>
    <row r="1467" spans="1:9" x14ac:dyDescent="0.15">
      <c r="A1467" s="6">
        <v>1466</v>
      </c>
      <c r="B1467" s="7" t="s">
        <v>7</v>
      </c>
      <c r="C1467" s="8">
        <v>1890</v>
      </c>
      <c r="D1467" s="9">
        <v>45449</v>
      </c>
      <c r="E1467" s="13">
        <f>+HYPERLINK("http://trademark.i-assist.jp/data/china/image_1890th/77325739.pdf",77325739)</f>
        <v>77325739</v>
      </c>
      <c r="F1467" s="7" t="s">
        <v>4137</v>
      </c>
      <c r="G1467" s="7" t="s">
        <v>4136</v>
      </c>
      <c r="H1467" s="7" t="s">
        <v>4138</v>
      </c>
      <c r="I1467" s="9">
        <v>45366</v>
      </c>
    </row>
    <row r="1468" spans="1:9" x14ac:dyDescent="0.15">
      <c r="A1468" s="6">
        <v>1467</v>
      </c>
      <c r="B1468" s="7" t="s">
        <v>7</v>
      </c>
      <c r="C1468" s="8">
        <v>1890</v>
      </c>
      <c r="D1468" s="9">
        <v>45449</v>
      </c>
      <c r="E1468" s="13">
        <f>+HYPERLINK("http://trademark.i-assist.jp/data/china/image_1890th/77325769.pdf",77325769)</f>
        <v>77325769</v>
      </c>
      <c r="F1468" s="7" t="s">
        <v>4140</v>
      </c>
      <c r="G1468" s="7" t="s">
        <v>4139</v>
      </c>
      <c r="H1468" s="7" t="s">
        <v>4141</v>
      </c>
      <c r="I1468" s="9">
        <v>45366</v>
      </c>
    </row>
    <row r="1469" spans="1:9" x14ac:dyDescent="0.15">
      <c r="A1469" s="6">
        <v>1468</v>
      </c>
      <c r="B1469" s="7" t="s">
        <v>7</v>
      </c>
      <c r="C1469" s="8">
        <v>1890</v>
      </c>
      <c r="D1469" s="9">
        <v>45449</v>
      </c>
      <c r="E1469" s="13">
        <f>+HYPERLINK("http://trademark.i-assist.jp/data/china/image_1890th/77325780.pdf",77325780)</f>
        <v>77325780</v>
      </c>
      <c r="F1469" s="7" t="s">
        <v>4143</v>
      </c>
      <c r="G1469" s="7" t="s">
        <v>4142</v>
      </c>
      <c r="H1469" s="7" t="s">
        <v>4144</v>
      </c>
      <c r="I1469" s="9">
        <v>45366</v>
      </c>
    </row>
    <row r="1470" spans="1:9" x14ac:dyDescent="0.15">
      <c r="A1470" s="6">
        <v>1469</v>
      </c>
      <c r="B1470" s="7" t="s">
        <v>7</v>
      </c>
      <c r="C1470" s="8">
        <v>1890</v>
      </c>
      <c r="D1470" s="9">
        <v>45449</v>
      </c>
      <c r="E1470" s="13">
        <f>+HYPERLINK("http://trademark.i-assist.jp/data/china/image_1890th/77325872.pdf",77325872)</f>
        <v>77325872</v>
      </c>
      <c r="F1470" s="7" t="s">
        <v>4146</v>
      </c>
      <c r="G1470" s="7" t="s">
        <v>4145</v>
      </c>
      <c r="H1470" s="7" t="s">
        <v>4147</v>
      </c>
      <c r="I1470" s="9">
        <v>45366</v>
      </c>
    </row>
    <row r="1471" spans="1:9" x14ac:dyDescent="0.15">
      <c r="A1471" s="6">
        <v>1470</v>
      </c>
      <c r="B1471" s="7" t="s">
        <v>7</v>
      </c>
      <c r="C1471" s="8">
        <v>1890</v>
      </c>
      <c r="D1471" s="9">
        <v>45449</v>
      </c>
      <c r="E1471" s="13">
        <f>+HYPERLINK("http://trademark.i-assist.jp/data/china/image_1890th/77326167.pdf",77326167)</f>
        <v>77326167</v>
      </c>
      <c r="F1471" s="7" t="s">
        <v>4149</v>
      </c>
      <c r="G1471" s="7" t="s">
        <v>4148</v>
      </c>
      <c r="H1471" s="7" t="s">
        <v>4150</v>
      </c>
      <c r="I1471" s="9">
        <v>45366</v>
      </c>
    </row>
    <row r="1472" spans="1:9" x14ac:dyDescent="0.15">
      <c r="A1472" s="6">
        <v>1471</v>
      </c>
      <c r="B1472" s="7" t="s">
        <v>7</v>
      </c>
      <c r="C1472" s="8">
        <v>1890</v>
      </c>
      <c r="D1472" s="9">
        <v>45449</v>
      </c>
      <c r="E1472" s="13">
        <f>+HYPERLINK("http://trademark.i-assist.jp/data/china/image_1890th/77326175.pdf",77326175)</f>
        <v>77326175</v>
      </c>
      <c r="F1472" s="7" t="s">
        <v>4152</v>
      </c>
      <c r="G1472" s="7" t="s">
        <v>4151</v>
      </c>
      <c r="H1472" s="7" t="s">
        <v>4153</v>
      </c>
      <c r="I1472" s="9">
        <v>45366</v>
      </c>
    </row>
    <row r="1473" spans="1:9" x14ac:dyDescent="0.15">
      <c r="A1473" s="6">
        <v>1472</v>
      </c>
      <c r="B1473" s="7" t="s">
        <v>7</v>
      </c>
      <c r="C1473" s="8">
        <v>1890</v>
      </c>
      <c r="D1473" s="9">
        <v>45449</v>
      </c>
      <c r="E1473" s="13">
        <f>+HYPERLINK("http://trademark.i-assist.jp/data/china/image_1890th/77326220.pdf",77326220)</f>
        <v>77326220</v>
      </c>
      <c r="F1473" s="7" t="s">
        <v>4155</v>
      </c>
      <c r="G1473" s="7" t="s">
        <v>4154</v>
      </c>
      <c r="H1473" s="7" t="s">
        <v>4156</v>
      </c>
      <c r="I1473" s="9">
        <v>45366</v>
      </c>
    </row>
    <row r="1474" spans="1:9" ht="27" x14ac:dyDescent="0.15">
      <c r="A1474" s="6">
        <v>1473</v>
      </c>
      <c r="B1474" s="7" t="s">
        <v>7</v>
      </c>
      <c r="C1474" s="8">
        <v>1890</v>
      </c>
      <c r="D1474" s="9">
        <v>45449</v>
      </c>
      <c r="E1474" s="13">
        <f>+HYPERLINK("http://trademark.i-assist.jp/data/china/image_1890th/77326241.pdf",77326241)</f>
        <v>77326241</v>
      </c>
      <c r="F1474" s="7" t="s">
        <v>4158</v>
      </c>
      <c r="G1474" s="7" t="s">
        <v>4157</v>
      </c>
      <c r="H1474" s="7" t="s">
        <v>4159</v>
      </c>
      <c r="I1474" s="9">
        <v>45366</v>
      </c>
    </row>
    <row r="1475" spans="1:9" x14ac:dyDescent="0.15">
      <c r="A1475" s="6">
        <v>1474</v>
      </c>
      <c r="B1475" s="7" t="s">
        <v>7</v>
      </c>
      <c r="C1475" s="8">
        <v>1890</v>
      </c>
      <c r="D1475" s="9">
        <v>45449</v>
      </c>
      <c r="E1475" s="13">
        <f>+HYPERLINK("http://trademark.i-assist.jp/data/china/image_1890th/77326313.pdf",77326313)</f>
        <v>77326313</v>
      </c>
      <c r="F1475" s="7" t="s">
        <v>4161</v>
      </c>
      <c r="G1475" s="7" t="s">
        <v>4160</v>
      </c>
      <c r="H1475" s="7" t="s">
        <v>4162</v>
      </c>
      <c r="I1475" s="9">
        <v>45366</v>
      </c>
    </row>
    <row r="1476" spans="1:9" x14ac:dyDescent="0.15">
      <c r="A1476" s="6">
        <v>1475</v>
      </c>
      <c r="B1476" s="7" t="s">
        <v>7</v>
      </c>
      <c r="C1476" s="8">
        <v>1890</v>
      </c>
      <c r="D1476" s="9">
        <v>45449</v>
      </c>
      <c r="E1476" s="13">
        <f>+HYPERLINK("http://trademark.i-assist.jp/data/china/image_1890th/77326331.pdf",77326331)</f>
        <v>77326331</v>
      </c>
      <c r="F1476" s="7" t="s">
        <v>4164</v>
      </c>
      <c r="G1476" s="7" t="s">
        <v>4163</v>
      </c>
      <c r="H1476" s="7" t="s">
        <v>4165</v>
      </c>
      <c r="I1476" s="9">
        <v>45366</v>
      </c>
    </row>
    <row r="1477" spans="1:9" x14ac:dyDescent="0.15">
      <c r="A1477" s="6">
        <v>1476</v>
      </c>
      <c r="B1477" s="7" t="s">
        <v>7</v>
      </c>
      <c r="C1477" s="8">
        <v>1890</v>
      </c>
      <c r="D1477" s="9">
        <v>45449</v>
      </c>
      <c r="E1477" s="13">
        <f>+HYPERLINK("http://trademark.i-assist.jp/data/china/image_1890th/77326391.pdf",77326391)</f>
        <v>77326391</v>
      </c>
      <c r="F1477" s="7" t="s">
        <v>4167</v>
      </c>
      <c r="G1477" s="7" t="s">
        <v>4166</v>
      </c>
      <c r="H1477" s="7" t="s">
        <v>4168</v>
      </c>
      <c r="I1477" s="9">
        <v>45366</v>
      </c>
    </row>
    <row r="1478" spans="1:9" x14ac:dyDescent="0.15">
      <c r="A1478" s="6">
        <v>1477</v>
      </c>
      <c r="B1478" s="7" t="s">
        <v>7</v>
      </c>
      <c r="C1478" s="8">
        <v>1890</v>
      </c>
      <c r="D1478" s="9">
        <v>45449</v>
      </c>
      <c r="E1478" s="13">
        <f>+HYPERLINK("http://trademark.i-assist.jp/data/china/image_1890th/77326394.pdf",77326394)</f>
        <v>77326394</v>
      </c>
      <c r="F1478" s="7" t="s">
        <v>4170</v>
      </c>
      <c r="G1478" s="7" t="s">
        <v>4169</v>
      </c>
      <c r="H1478" s="7" t="s">
        <v>4171</v>
      </c>
      <c r="I1478" s="9">
        <v>45366</v>
      </c>
    </row>
    <row r="1479" spans="1:9" x14ac:dyDescent="0.15">
      <c r="A1479" s="6">
        <v>1478</v>
      </c>
      <c r="B1479" s="7" t="s">
        <v>7</v>
      </c>
      <c r="C1479" s="8">
        <v>1890</v>
      </c>
      <c r="D1479" s="9">
        <v>45449</v>
      </c>
      <c r="E1479" s="13">
        <f>+HYPERLINK("http://trademark.i-assist.jp/data/china/image_1890th/77326492.pdf",77326492)</f>
        <v>77326492</v>
      </c>
      <c r="F1479" s="7" t="s">
        <v>4173</v>
      </c>
      <c r="G1479" s="7" t="s">
        <v>4172</v>
      </c>
      <c r="H1479" s="7" t="s">
        <v>4174</v>
      </c>
      <c r="I1479" s="9">
        <v>45366</v>
      </c>
    </row>
    <row r="1480" spans="1:9" x14ac:dyDescent="0.15">
      <c r="A1480" s="6">
        <v>1479</v>
      </c>
      <c r="B1480" s="7" t="s">
        <v>7</v>
      </c>
      <c r="C1480" s="8">
        <v>1890</v>
      </c>
      <c r="D1480" s="9">
        <v>45449</v>
      </c>
      <c r="E1480" s="13">
        <f>+HYPERLINK("http://trademark.i-assist.jp/data/china/image_1890th/77327270.pdf",77327270)</f>
        <v>77327270</v>
      </c>
      <c r="F1480" s="7" t="s">
        <v>4176</v>
      </c>
      <c r="G1480" s="7" t="s">
        <v>4175</v>
      </c>
      <c r="H1480" s="7" t="s">
        <v>4177</v>
      </c>
      <c r="I1480" s="9">
        <v>45366</v>
      </c>
    </row>
    <row r="1481" spans="1:9" x14ac:dyDescent="0.15">
      <c r="A1481" s="6">
        <v>1480</v>
      </c>
      <c r="B1481" s="7" t="s">
        <v>7</v>
      </c>
      <c r="C1481" s="8">
        <v>1890</v>
      </c>
      <c r="D1481" s="9">
        <v>45449</v>
      </c>
      <c r="E1481" s="13">
        <f>+HYPERLINK("http://trademark.i-assist.jp/data/china/image_1890th/77327417.pdf",77327417)</f>
        <v>77327417</v>
      </c>
      <c r="F1481" s="7" t="s">
        <v>4179</v>
      </c>
      <c r="G1481" s="7" t="s">
        <v>4178</v>
      </c>
      <c r="H1481" s="7" t="s">
        <v>4180</v>
      </c>
      <c r="I1481" s="9">
        <v>45366</v>
      </c>
    </row>
    <row r="1482" spans="1:9" ht="27" x14ac:dyDescent="0.15">
      <c r="A1482" s="6">
        <v>1481</v>
      </c>
      <c r="B1482" s="7" t="s">
        <v>7</v>
      </c>
      <c r="C1482" s="8">
        <v>1890</v>
      </c>
      <c r="D1482" s="9">
        <v>45449</v>
      </c>
      <c r="E1482" s="13">
        <f>+HYPERLINK("http://trademark.i-assist.jp/data/china/image_1890th/77327579.pdf",77327579)</f>
        <v>77327579</v>
      </c>
      <c r="F1482" s="7" t="s">
        <v>4182</v>
      </c>
      <c r="G1482" s="7" t="s">
        <v>4181</v>
      </c>
      <c r="H1482" s="7" t="s">
        <v>4183</v>
      </c>
      <c r="I1482" s="9">
        <v>45366</v>
      </c>
    </row>
    <row r="1483" spans="1:9" x14ac:dyDescent="0.15">
      <c r="A1483" s="6">
        <v>1482</v>
      </c>
      <c r="B1483" s="7" t="s">
        <v>7</v>
      </c>
      <c r="C1483" s="8">
        <v>1890</v>
      </c>
      <c r="D1483" s="9">
        <v>45449</v>
      </c>
      <c r="E1483" s="13">
        <f>+HYPERLINK("http://trademark.i-assist.jp/data/china/image_1890th/77327620.pdf",77327620)</f>
        <v>77327620</v>
      </c>
      <c r="F1483" s="7" t="s">
        <v>4185</v>
      </c>
      <c r="G1483" s="7" t="s">
        <v>4184</v>
      </c>
      <c r="H1483" s="7" t="s">
        <v>4186</v>
      </c>
      <c r="I1483" s="9">
        <v>45366</v>
      </c>
    </row>
    <row r="1484" spans="1:9" ht="27" x14ac:dyDescent="0.15">
      <c r="A1484" s="6">
        <v>1483</v>
      </c>
      <c r="B1484" s="7" t="s">
        <v>7</v>
      </c>
      <c r="C1484" s="8">
        <v>1890</v>
      </c>
      <c r="D1484" s="9">
        <v>45449</v>
      </c>
      <c r="E1484" s="13">
        <f>+HYPERLINK("http://trademark.i-assist.jp/data/china/image_1890th/77389829.pdf",77389829)</f>
        <v>77389829</v>
      </c>
      <c r="F1484" s="7" t="s">
        <v>4187</v>
      </c>
      <c r="G1484" s="7" t="s">
        <v>1328</v>
      </c>
      <c r="H1484" s="7" t="s">
        <v>4188</v>
      </c>
      <c r="I1484" s="9">
        <v>45370</v>
      </c>
    </row>
    <row r="1485" spans="1:9" x14ac:dyDescent="0.15">
      <c r="A1485" s="6">
        <v>1484</v>
      </c>
      <c r="B1485" s="7" t="s">
        <v>7</v>
      </c>
      <c r="C1485" s="8">
        <v>1890</v>
      </c>
      <c r="D1485" s="9">
        <v>45449</v>
      </c>
      <c r="E1485" s="13">
        <f>+HYPERLINK("http://trademark.i-assist.jp/data/china/image_1890th/77389980.pdf",77389980)</f>
        <v>77389980</v>
      </c>
      <c r="F1485" s="7" t="s">
        <v>4189</v>
      </c>
      <c r="G1485" s="7" t="s">
        <v>585</v>
      </c>
      <c r="H1485" s="7" t="s">
        <v>4190</v>
      </c>
      <c r="I1485" s="9">
        <v>45370</v>
      </c>
    </row>
    <row r="1486" spans="1:9" x14ac:dyDescent="0.15">
      <c r="A1486" s="6">
        <v>1485</v>
      </c>
      <c r="B1486" s="7" t="s">
        <v>7</v>
      </c>
      <c r="C1486" s="8">
        <v>1890</v>
      </c>
      <c r="D1486" s="9">
        <v>45449</v>
      </c>
      <c r="E1486" s="13">
        <f>+HYPERLINK("http://trademark.i-assist.jp/data/china/image_1890th/77390208.pdf",77390208)</f>
        <v>77390208</v>
      </c>
      <c r="F1486" s="7" t="s">
        <v>4192</v>
      </c>
      <c r="G1486" s="7" t="s">
        <v>4191</v>
      </c>
      <c r="H1486" s="7" t="s">
        <v>4193</v>
      </c>
      <c r="I1486" s="9">
        <v>45370</v>
      </c>
    </row>
    <row r="1487" spans="1:9" x14ac:dyDescent="0.15">
      <c r="A1487" s="6">
        <v>1486</v>
      </c>
      <c r="B1487" s="7" t="s">
        <v>7</v>
      </c>
      <c r="C1487" s="8">
        <v>1890</v>
      </c>
      <c r="D1487" s="9">
        <v>45449</v>
      </c>
      <c r="E1487" s="13">
        <f>+HYPERLINK("http://trademark.i-assist.jp/data/china/image_1890th/77390241.pdf",77390241)</f>
        <v>77390241</v>
      </c>
      <c r="F1487" s="7" t="s">
        <v>4195</v>
      </c>
      <c r="G1487" s="7" t="s">
        <v>4194</v>
      </c>
      <c r="H1487" s="7" t="s">
        <v>4196</v>
      </c>
      <c r="I1487" s="9">
        <v>45370</v>
      </c>
    </row>
    <row r="1488" spans="1:9" ht="27" x14ac:dyDescent="0.15">
      <c r="A1488" s="6">
        <v>1487</v>
      </c>
      <c r="B1488" s="7" t="s">
        <v>7</v>
      </c>
      <c r="C1488" s="8">
        <v>1890</v>
      </c>
      <c r="D1488" s="9">
        <v>45449</v>
      </c>
      <c r="E1488" s="13">
        <f>+HYPERLINK("http://trademark.i-assist.jp/data/china/image_1890th/77390250.pdf",77390250)</f>
        <v>77390250</v>
      </c>
      <c r="F1488" s="7" t="s">
        <v>4198</v>
      </c>
      <c r="G1488" s="7" t="s">
        <v>4197</v>
      </c>
      <c r="H1488" s="7" t="s">
        <v>4199</v>
      </c>
      <c r="I1488" s="9">
        <v>45370</v>
      </c>
    </row>
    <row r="1489" spans="1:9" x14ac:dyDescent="0.15">
      <c r="A1489" s="6">
        <v>1488</v>
      </c>
      <c r="B1489" s="7" t="s">
        <v>7</v>
      </c>
      <c r="C1489" s="8">
        <v>1890</v>
      </c>
      <c r="D1489" s="9">
        <v>45449</v>
      </c>
      <c r="E1489" s="13">
        <f>+HYPERLINK("http://trademark.i-assist.jp/data/china/image_1890th/77390284.pdf",77390284)</f>
        <v>77390284</v>
      </c>
      <c r="F1489" s="7" t="s">
        <v>4201</v>
      </c>
      <c r="G1489" s="7" t="s">
        <v>4200</v>
      </c>
      <c r="H1489" s="7" t="s">
        <v>4202</v>
      </c>
      <c r="I1489" s="9">
        <v>45370</v>
      </c>
    </row>
    <row r="1490" spans="1:9" x14ac:dyDescent="0.15">
      <c r="A1490" s="6">
        <v>1489</v>
      </c>
      <c r="B1490" s="7" t="s">
        <v>7</v>
      </c>
      <c r="C1490" s="8">
        <v>1890</v>
      </c>
      <c r="D1490" s="9">
        <v>45449</v>
      </c>
      <c r="E1490" s="13">
        <f>+HYPERLINK("http://trademark.i-assist.jp/data/china/image_1890th/77390288.pdf",77390288)</f>
        <v>77390288</v>
      </c>
      <c r="F1490" s="7" t="s">
        <v>4204</v>
      </c>
      <c r="G1490" s="7" t="s">
        <v>4203</v>
      </c>
      <c r="H1490" s="7" t="s">
        <v>4205</v>
      </c>
      <c r="I1490" s="9">
        <v>45370</v>
      </c>
    </row>
    <row r="1491" spans="1:9" x14ac:dyDescent="0.15">
      <c r="A1491" s="6">
        <v>1490</v>
      </c>
      <c r="B1491" s="7" t="s">
        <v>7</v>
      </c>
      <c r="C1491" s="8">
        <v>1890</v>
      </c>
      <c r="D1491" s="9">
        <v>45449</v>
      </c>
      <c r="E1491" s="13">
        <f>+HYPERLINK("http://trademark.i-assist.jp/data/china/image_1890th/77390296.pdf",77390296)</f>
        <v>77390296</v>
      </c>
      <c r="F1491" s="7" t="s">
        <v>4206</v>
      </c>
      <c r="G1491" s="7" t="s">
        <v>4203</v>
      </c>
      <c r="H1491" s="7" t="s">
        <v>4207</v>
      </c>
      <c r="I1491" s="9">
        <v>45370</v>
      </c>
    </row>
    <row r="1492" spans="1:9" x14ac:dyDescent="0.15">
      <c r="A1492" s="6">
        <v>1491</v>
      </c>
      <c r="B1492" s="7" t="s">
        <v>7</v>
      </c>
      <c r="C1492" s="8">
        <v>1890</v>
      </c>
      <c r="D1492" s="9">
        <v>45449</v>
      </c>
      <c r="E1492" s="13">
        <f>+HYPERLINK("http://trademark.i-assist.jp/data/china/image_1890th/77390417.pdf",77390417)</f>
        <v>77390417</v>
      </c>
      <c r="F1492" s="7" t="s">
        <v>4209</v>
      </c>
      <c r="G1492" s="7" t="s">
        <v>4208</v>
      </c>
      <c r="H1492" s="7" t="s">
        <v>4210</v>
      </c>
      <c r="I1492" s="9">
        <v>45370</v>
      </c>
    </row>
    <row r="1493" spans="1:9" x14ac:dyDescent="0.15">
      <c r="A1493" s="6">
        <v>1492</v>
      </c>
      <c r="B1493" s="7" t="s">
        <v>7</v>
      </c>
      <c r="C1493" s="8">
        <v>1890</v>
      </c>
      <c r="D1493" s="9">
        <v>45449</v>
      </c>
      <c r="E1493" s="13">
        <f>+HYPERLINK("http://trademark.i-assist.jp/data/china/image_1890th/77390499.pdf",77390499)</f>
        <v>77390499</v>
      </c>
      <c r="F1493" s="7" t="s">
        <v>4212</v>
      </c>
      <c r="G1493" s="7" t="s">
        <v>4211</v>
      </c>
      <c r="H1493" s="7" t="s">
        <v>4213</v>
      </c>
      <c r="I1493" s="9">
        <v>45370</v>
      </c>
    </row>
    <row r="1494" spans="1:9" x14ac:dyDescent="0.15">
      <c r="A1494" s="6">
        <v>1493</v>
      </c>
      <c r="B1494" s="7" t="s">
        <v>7</v>
      </c>
      <c r="C1494" s="8">
        <v>1890</v>
      </c>
      <c r="D1494" s="9">
        <v>45449</v>
      </c>
      <c r="E1494" s="13">
        <f>+HYPERLINK("http://trademark.i-assist.jp/data/china/image_1890th/77390510.pdf",77390510)</f>
        <v>77390510</v>
      </c>
      <c r="F1494" s="7" t="s">
        <v>4215</v>
      </c>
      <c r="G1494" s="7" t="s">
        <v>4214</v>
      </c>
      <c r="H1494" s="7" t="s">
        <v>4216</v>
      </c>
      <c r="I1494" s="9">
        <v>45370</v>
      </c>
    </row>
    <row r="1495" spans="1:9" ht="27" x14ac:dyDescent="0.15">
      <c r="A1495" s="6">
        <v>1494</v>
      </c>
      <c r="B1495" s="7" t="s">
        <v>7</v>
      </c>
      <c r="C1495" s="8">
        <v>1890</v>
      </c>
      <c r="D1495" s="9">
        <v>45449</v>
      </c>
      <c r="E1495" s="13">
        <f>+HYPERLINK("http://trademark.i-assist.jp/data/china/image_1890th/77390534.pdf",77390534)</f>
        <v>77390534</v>
      </c>
      <c r="F1495" s="7" t="s">
        <v>4218</v>
      </c>
      <c r="G1495" s="7" t="s">
        <v>4217</v>
      </c>
      <c r="H1495" s="7" t="s">
        <v>4219</v>
      </c>
      <c r="I1495" s="9">
        <v>45370</v>
      </c>
    </row>
    <row r="1496" spans="1:9" x14ac:dyDescent="0.15">
      <c r="A1496" s="6">
        <v>1495</v>
      </c>
      <c r="B1496" s="7" t="s">
        <v>7</v>
      </c>
      <c r="C1496" s="8">
        <v>1890</v>
      </c>
      <c r="D1496" s="9">
        <v>45449</v>
      </c>
      <c r="E1496" s="13">
        <f>+HYPERLINK("http://trademark.i-assist.jp/data/china/image_1890th/77390612.pdf",77390612)</f>
        <v>77390612</v>
      </c>
      <c r="F1496" s="7" t="s">
        <v>4221</v>
      </c>
      <c r="G1496" s="7" t="s">
        <v>4220</v>
      </c>
      <c r="H1496" s="7" t="s">
        <v>4222</v>
      </c>
      <c r="I1496" s="9">
        <v>45370</v>
      </c>
    </row>
    <row r="1497" spans="1:9" x14ac:dyDescent="0.15">
      <c r="A1497" s="6">
        <v>1496</v>
      </c>
      <c r="B1497" s="7" t="s">
        <v>7</v>
      </c>
      <c r="C1497" s="8">
        <v>1890</v>
      </c>
      <c r="D1497" s="9">
        <v>45449</v>
      </c>
      <c r="E1497" s="13">
        <f>+HYPERLINK("http://trademark.i-assist.jp/data/china/image_1890th/77390705.pdf",77390705)</f>
        <v>77390705</v>
      </c>
      <c r="F1497" s="7" t="s">
        <v>4224</v>
      </c>
      <c r="G1497" s="7" t="s">
        <v>4223</v>
      </c>
      <c r="H1497" s="7" t="s">
        <v>4225</v>
      </c>
      <c r="I1497" s="9">
        <v>45370</v>
      </c>
    </row>
    <row r="1498" spans="1:9" x14ac:dyDescent="0.15">
      <c r="A1498" s="6">
        <v>1497</v>
      </c>
      <c r="B1498" s="7" t="s">
        <v>7</v>
      </c>
      <c r="C1498" s="8">
        <v>1890</v>
      </c>
      <c r="D1498" s="9">
        <v>45449</v>
      </c>
      <c r="E1498" s="13">
        <f>+HYPERLINK("http://trademark.i-assist.jp/data/china/image_1890th/77186503.pdf",77186503)</f>
        <v>77186503</v>
      </c>
      <c r="F1498" s="7" t="s">
        <v>4227</v>
      </c>
      <c r="G1498" s="7" t="s">
        <v>4226</v>
      </c>
      <c r="H1498" s="7" t="s">
        <v>4228</v>
      </c>
      <c r="I1498" s="9">
        <v>45359</v>
      </c>
    </row>
    <row r="1499" spans="1:9" x14ac:dyDescent="0.15">
      <c r="A1499" s="6">
        <v>1498</v>
      </c>
      <c r="B1499" s="7" t="s">
        <v>7</v>
      </c>
      <c r="C1499" s="8">
        <v>1890</v>
      </c>
      <c r="D1499" s="9">
        <v>45449</v>
      </c>
      <c r="E1499" s="13">
        <f>+HYPERLINK("http://trademark.i-assist.jp/data/china/image_1890th/77186665.pdf",77186665)</f>
        <v>77186665</v>
      </c>
      <c r="F1499" s="7" t="s">
        <v>4230</v>
      </c>
      <c r="G1499" s="7" t="s">
        <v>4229</v>
      </c>
      <c r="H1499" s="7" t="s">
        <v>4231</v>
      </c>
      <c r="I1499" s="9">
        <v>45359</v>
      </c>
    </row>
    <row r="1500" spans="1:9" x14ac:dyDescent="0.15">
      <c r="A1500" s="6">
        <v>1499</v>
      </c>
      <c r="B1500" s="7" t="s">
        <v>7</v>
      </c>
      <c r="C1500" s="8">
        <v>1890</v>
      </c>
      <c r="D1500" s="9">
        <v>45449</v>
      </c>
      <c r="E1500" s="13">
        <f>+HYPERLINK("http://trademark.i-assist.jp/data/china/image_1890th/77186836.pdf",77186836)</f>
        <v>77186836</v>
      </c>
      <c r="F1500" s="7" t="s">
        <v>4232</v>
      </c>
      <c r="G1500" s="7" t="s">
        <v>694</v>
      </c>
      <c r="H1500" s="7" t="s">
        <v>4233</v>
      </c>
      <c r="I1500" s="9">
        <v>45359</v>
      </c>
    </row>
    <row r="1501" spans="1:9" x14ac:dyDescent="0.15">
      <c r="A1501" s="6">
        <v>1500</v>
      </c>
      <c r="B1501" s="7" t="s">
        <v>7</v>
      </c>
      <c r="C1501" s="8">
        <v>1890</v>
      </c>
      <c r="D1501" s="9">
        <v>45449</v>
      </c>
      <c r="E1501" s="13">
        <f>+HYPERLINK("http://trademark.i-assist.jp/data/china/image_1890th/77187351.pdf",77187351)</f>
        <v>77187351</v>
      </c>
      <c r="F1501" s="7" t="s">
        <v>4234</v>
      </c>
      <c r="G1501" s="7" t="s">
        <v>1824</v>
      </c>
      <c r="H1501" s="7" t="s">
        <v>4235</v>
      </c>
      <c r="I1501" s="9">
        <v>45359</v>
      </c>
    </row>
    <row r="1502" spans="1:9" x14ac:dyDescent="0.15">
      <c r="A1502" s="6">
        <v>1501</v>
      </c>
      <c r="B1502" s="7" t="s">
        <v>7</v>
      </c>
      <c r="C1502" s="8">
        <v>1890</v>
      </c>
      <c r="D1502" s="9">
        <v>45449</v>
      </c>
      <c r="E1502" s="13">
        <f>+HYPERLINK("http://trademark.i-assist.jp/data/china/image_1890th/77187439.pdf",77187439)</f>
        <v>77187439</v>
      </c>
      <c r="F1502" s="7" t="s">
        <v>4237</v>
      </c>
      <c r="G1502" s="7" t="s">
        <v>4236</v>
      </c>
      <c r="H1502" s="7" t="s">
        <v>4238</v>
      </c>
      <c r="I1502" s="9">
        <v>45359</v>
      </c>
    </row>
    <row r="1503" spans="1:9" x14ac:dyDescent="0.15">
      <c r="A1503" s="6">
        <v>1502</v>
      </c>
      <c r="B1503" s="7" t="s">
        <v>7</v>
      </c>
      <c r="C1503" s="8">
        <v>1890</v>
      </c>
      <c r="D1503" s="9">
        <v>45449</v>
      </c>
      <c r="E1503" s="13">
        <f>+HYPERLINK("http://trademark.i-assist.jp/data/china/image_1890th/77191901.pdf",77191901)</f>
        <v>77191901</v>
      </c>
      <c r="F1503" s="7" t="s">
        <v>183</v>
      </c>
      <c r="G1503" s="7" t="s">
        <v>4239</v>
      </c>
      <c r="H1503" s="7" t="s">
        <v>4240</v>
      </c>
      <c r="I1503" s="9">
        <v>45359</v>
      </c>
    </row>
    <row r="1504" spans="1:9" x14ac:dyDescent="0.15">
      <c r="A1504" s="6">
        <v>1503</v>
      </c>
      <c r="B1504" s="7" t="s">
        <v>7</v>
      </c>
      <c r="C1504" s="8">
        <v>1890</v>
      </c>
      <c r="D1504" s="9">
        <v>45449</v>
      </c>
      <c r="E1504" s="13">
        <f>+HYPERLINK("http://trademark.i-assist.jp/data/china/image_1890th/77192072.pdf",77192072)</f>
        <v>77192072</v>
      </c>
      <c r="F1504" s="7" t="s">
        <v>183</v>
      </c>
      <c r="G1504" s="7" t="s">
        <v>4241</v>
      </c>
      <c r="H1504" s="7" t="s">
        <v>4242</v>
      </c>
      <c r="I1504" s="9">
        <v>45359</v>
      </c>
    </row>
    <row r="1505" spans="1:9" x14ac:dyDescent="0.15">
      <c r="A1505" s="6">
        <v>1504</v>
      </c>
      <c r="B1505" s="7" t="s">
        <v>7</v>
      </c>
      <c r="C1505" s="8">
        <v>1890</v>
      </c>
      <c r="D1505" s="9">
        <v>45449</v>
      </c>
      <c r="E1505" s="13">
        <f>+HYPERLINK("http://trademark.i-assist.jp/data/china/image_1890th/77192176.pdf",77192176)</f>
        <v>77192176</v>
      </c>
      <c r="F1505" s="7" t="s">
        <v>4244</v>
      </c>
      <c r="G1505" s="7" t="s">
        <v>4243</v>
      </c>
      <c r="H1505" s="7" t="s">
        <v>4245</v>
      </c>
      <c r="I1505" s="9">
        <v>45359</v>
      </c>
    </row>
    <row r="1506" spans="1:9" x14ac:dyDescent="0.15">
      <c r="A1506" s="6">
        <v>1505</v>
      </c>
      <c r="B1506" s="7" t="s">
        <v>7</v>
      </c>
      <c r="C1506" s="8">
        <v>1890</v>
      </c>
      <c r="D1506" s="9">
        <v>45449</v>
      </c>
      <c r="E1506" s="13">
        <f>+HYPERLINK("http://trademark.i-assist.jp/data/china/image_1890th/77192240.pdf",77192240)</f>
        <v>77192240</v>
      </c>
      <c r="F1506" s="7" t="s">
        <v>4247</v>
      </c>
      <c r="G1506" s="7" t="s">
        <v>4246</v>
      </c>
      <c r="H1506" s="7" t="s">
        <v>4248</v>
      </c>
      <c r="I1506" s="9">
        <v>45359</v>
      </c>
    </row>
    <row r="1507" spans="1:9" x14ac:dyDescent="0.15">
      <c r="A1507" s="6">
        <v>1506</v>
      </c>
      <c r="B1507" s="7" t="s">
        <v>7</v>
      </c>
      <c r="C1507" s="8">
        <v>1890</v>
      </c>
      <c r="D1507" s="9">
        <v>45449</v>
      </c>
      <c r="E1507" s="13">
        <f>+HYPERLINK("http://trademark.i-assist.jp/data/china/image_1890th/77192260.pdf",77192260)</f>
        <v>77192260</v>
      </c>
      <c r="F1507" s="7" t="s">
        <v>4250</v>
      </c>
      <c r="G1507" s="7" t="s">
        <v>4249</v>
      </c>
      <c r="H1507" s="7" t="s">
        <v>4251</v>
      </c>
      <c r="I1507" s="9">
        <v>45359</v>
      </c>
    </row>
    <row r="1508" spans="1:9" x14ac:dyDescent="0.15">
      <c r="A1508" s="6">
        <v>1507</v>
      </c>
      <c r="B1508" s="7" t="s">
        <v>7</v>
      </c>
      <c r="C1508" s="8">
        <v>1890</v>
      </c>
      <c r="D1508" s="9">
        <v>45449</v>
      </c>
      <c r="E1508" s="13">
        <f>+HYPERLINK("http://trademark.i-assist.jp/data/china/image_1890th/77192485.pdf",77192485)</f>
        <v>77192485</v>
      </c>
      <c r="F1508" s="7" t="s">
        <v>4253</v>
      </c>
      <c r="G1508" s="7" t="s">
        <v>4252</v>
      </c>
      <c r="H1508" s="7" t="s">
        <v>115</v>
      </c>
      <c r="I1508" s="9">
        <v>45105</v>
      </c>
    </row>
    <row r="1509" spans="1:9" x14ac:dyDescent="0.15">
      <c r="A1509" s="6">
        <v>1508</v>
      </c>
      <c r="B1509" s="7" t="s">
        <v>7</v>
      </c>
      <c r="C1509" s="8">
        <v>1890</v>
      </c>
      <c r="D1509" s="9">
        <v>45449</v>
      </c>
      <c r="E1509" s="13">
        <f>+HYPERLINK("http://trademark.i-assist.jp/data/china/image_1890th/77192582.pdf",77192582)</f>
        <v>77192582</v>
      </c>
      <c r="F1509" s="7" t="s">
        <v>4255</v>
      </c>
      <c r="G1509" s="7" t="s">
        <v>4254</v>
      </c>
      <c r="H1509" s="7" t="s">
        <v>4256</v>
      </c>
      <c r="I1509" s="9">
        <v>45359</v>
      </c>
    </row>
    <row r="1510" spans="1:9" x14ac:dyDescent="0.15">
      <c r="A1510" s="6">
        <v>1509</v>
      </c>
      <c r="B1510" s="7" t="s">
        <v>7</v>
      </c>
      <c r="C1510" s="8">
        <v>1890</v>
      </c>
      <c r="D1510" s="9">
        <v>45449</v>
      </c>
      <c r="E1510" s="13">
        <f>+HYPERLINK("http://trademark.i-assist.jp/data/china/image_1890th/77192743.pdf",77192743)</f>
        <v>77192743</v>
      </c>
      <c r="F1510" s="7" t="s">
        <v>4258</v>
      </c>
      <c r="G1510" s="7" t="s">
        <v>4257</v>
      </c>
      <c r="H1510" s="7" t="s">
        <v>4259</v>
      </c>
      <c r="I1510" s="9">
        <v>45359</v>
      </c>
    </row>
    <row r="1511" spans="1:9" ht="27" x14ac:dyDescent="0.15">
      <c r="A1511" s="6">
        <v>1510</v>
      </c>
      <c r="B1511" s="7" t="s">
        <v>7</v>
      </c>
      <c r="C1511" s="8">
        <v>1890</v>
      </c>
      <c r="D1511" s="9">
        <v>45449</v>
      </c>
      <c r="E1511" s="13">
        <f>+HYPERLINK("http://trademark.i-assist.jp/data/china/image_1890th/77193050.pdf",77193050)</f>
        <v>77193050</v>
      </c>
      <c r="F1511" s="7" t="s">
        <v>4261</v>
      </c>
      <c r="G1511" s="7" t="s">
        <v>4260</v>
      </c>
      <c r="H1511" s="7" t="s">
        <v>4262</v>
      </c>
      <c r="I1511" s="9">
        <v>45359</v>
      </c>
    </row>
    <row r="1512" spans="1:9" x14ac:dyDescent="0.15">
      <c r="A1512" s="6">
        <v>1511</v>
      </c>
      <c r="B1512" s="7" t="s">
        <v>7</v>
      </c>
      <c r="C1512" s="8">
        <v>1890</v>
      </c>
      <c r="D1512" s="9">
        <v>45449</v>
      </c>
      <c r="E1512" s="13">
        <f>+HYPERLINK("http://trademark.i-assist.jp/data/china/image_1890th/77193057.pdf",77193057)</f>
        <v>77193057</v>
      </c>
      <c r="F1512" s="7" t="s">
        <v>4263</v>
      </c>
      <c r="G1512" s="7" t="s">
        <v>3871</v>
      </c>
      <c r="H1512" s="7" t="s">
        <v>4264</v>
      </c>
      <c r="I1512" s="9">
        <v>45359</v>
      </c>
    </row>
    <row r="1513" spans="1:9" x14ac:dyDescent="0.15">
      <c r="A1513" s="6">
        <v>1512</v>
      </c>
      <c r="B1513" s="7" t="s">
        <v>7</v>
      </c>
      <c r="C1513" s="8">
        <v>1890</v>
      </c>
      <c r="D1513" s="9">
        <v>45449</v>
      </c>
      <c r="E1513" s="13">
        <f>+HYPERLINK("http://trademark.i-assist.jp/data/china/image_1890th/77193076.pdf",77193076)</f>
        <v>77193076</v>
      </c>
      <c r="F1513" s="7" t="s">
        <v>4266</v>
      </c>
      <c r="G1513" s="7" t="s">
        <v>4265</v>
      </c>
      <c r="H1513" s="7" t="s">
        <v>4267</v>
      </c>
      <c r="I1513" s="9">
        <v>45359</v>
      </c>
    </row>
    <row r="1514" spans="1:9" x14ac:dyDescent="0.15">
      <c r="A1514" s="6">
        <v>1513</v>
      </c>
      <c r="B1514" s="7" t="s">
        <v>7</v>
      </c>
      <c r="C1514" s="8">
        <v>1890</v>
      </c>
      <c r="D1514" s="9">
        <v>45449</v>
      </c>
      <c r="E1514" s="13">
        <f>+HYPERLINK("http://trademark.i-assist.jp/data/china/image_1890th/77193128.pdf",77193128)</f>
        <v>77193128</v>
      </c>
      <c r="F1514" s="7" t="s">
        <v>4269</v>
      </c>
      <c r="G1514" s="7" t="s">
        <v>4268</v>
      </c>
      <c r="H1514" s="7" t="s">
        <v>4270</v>
      </c>
      <c r="I1514" s="9">
        <v>45359</v>
      </c>
    </row>
    <row r="1515" spans="1:9" x14ac:dyDescent="0.15">
      <c r="A1515" s="6">
        <v>1514</v>
      </c>
      <c r="B1515" s="7" t="s">
        <v>7</v>
      </c>
      <c r="C1515" s="8">
        <v>1890</v>
      </c>
      <c r="D1515" s="9">
        <v>45449</v>
      </c>
      <c r="E1515" s="13">
        <f>+HYPERLINK("http://trademark.i-assist.jp/data/china/image_1890th/77193184.pdf",77193184)</f>
        <v>77193184</v>
      </c>
      <c r="F1515" s="7" t="s">
        <v>4272</v>
      </c>
      <c r="G1515" s="7" t="s">
        <v>4271</v>
      </c>
      <c r="H1515" s="7" t="s">
        <v>4273</v>
      </c>
      <c r="I1515" s="9">
        <v>45359</v>
      </c>
    </row>
    <row r="1516" spans="1:9" x14ac:dyDescent="0.15">
      <c r="A1516" s="6">
        <v>1515</v>
      </c>
      <c r="B1516" s="7" t="s">
        <v>7</v>
      </c>
      <c r="C1516" s="8">
        <v>1890</v>
      </c>
      <c r="D1516" s="9">
        <v>45449</v>
      </c>
      <c r="E1516" s="13">
        <f>+HYPERLINK("http://trademark.i-assist.jp/data/china/image_1890th/77193186.pdf",77193186)</f>
        <v>77193186</v>
      </c>
      <c r="F1516" s="7" t="s">
        <v>4275</v>
      </c>
      <c r="G1516" s="7" t="s">
        <v>4274</v>
      </c>
      <c r="H1516" s="7" t="s">
        <v>4276</v>
      </c>
      <c r="I1516" s="9">
        <v>45359</v>
      </c>
    </row>
    <row r="1517" spans="1:9" ht="27" x14ac:dyDescent="0.15">
      <c r="A1517" s="6">
        <v>1516</v>
      </c>
      <c r="B1517" s="7" t="s">
        <v>7</v>
      </c>
      <c r="C1517" s="8">
        <v>1890</v>
      </c>
      <c r="D1517" s="9">
        <v>45449</v>
      </c>
      <c r="E1517" s="13">
        <f>+HYPERLINK("http://trademark.i-assist.jp/data/china/image_1890th/77193246.pdf",77193246)</f>
        <v>77193246</v>
      </c>
      <c r="F1517" s="7" t="s">
        <v>4278</v>
      </c>
      <c r="G1517" s="7" t="s">
        <v>4277</v>
      </c>
      <c r="H1517" s="7" t="s">
        <v>4279</v>
      </c>
      <c r="I1517" s="9">
        <v>45359</v>
      </c>
    </row>
    <row r="1518" spans="1:9" x14ac:dyDescent="0.15">
      <c r="A1518" s="6">
        <v>1517</v>
      </c>
      <c r="B1518" s="7" t="s">
        <v>7</v>
      </c>
      <c r="C1518" s="8">
        <v>1890</v>
      </c>
      <c r="D1518" s="9">
        <v>45449</v>
      </c>
      <c r="E1518" s="13">
        <f>+HYPERLINK("http://trademark.i-assist.jp/data/china/image_1890th/77202919.pdf",77202919)</f>
        <v>77202919</v>
      </c>
      <c r="F1518" s="7" t="s">
        <v>4281</v>
      </c>
      <c r="G1518" s="7" t="s">
        <v>4280</v>
      </c>
      <c r="H1518" s="7" t="s">
        <v>4282</v>
      </c>
      <c r="I1518" s="9">
        <v>45360</v>
      </c>
    </row>
    <row r="1519" spans="1:9" x14ac:dyDescent="0.15">
      <c r="A1519" s="6">
        <v>1518</v>
      </c>
      <c r="B1519" s="7" t="s">
        <v>7</v>
      </c>
      <c r="C1519" s="8">
        <v>1890</v>
      </c>
      <c r="D1519" s="9">
        <v>45449</v>
      </c>
      <c r="E1519" s="13">
        <f>+HYPERLINK("http://trademark.i-assist.jp/data/china/image_1890th/77203244.pdf",77203244)</f>
        <v>77203244</v>
      </c>
      <c r="F1519" s="7" t="s">
        <v>4284</v>
      </c>
      <c r="G1519" s="7" t="s">
        <v>4283</v>
      </c>
      <c r="H1519" s="7" t="s">
        <v>4285</v>
      </c>
      <c r="I1519" s="9">
        <v>45360</v>
      </c>
    </row>
    <row r="1520" spans="1:9" x14ac:dyDescent="0.15">
      <c r="A1520" s="6">
        <v>1519</v>
      </c>
      <c r="B1520" s="7" t="s">
        <v>7</v>
      </c>
      <c r="C1520" s="8">
        <v>1890</v>
      </c>
      <c r="D1520" s="9">
        <v>45449</v>
      </c>
      <c r="E1520" s="13">
        <f>+HYPERLINK("http://trademark.i-assist.jp/data/china/image_1890th/77203638.pdf",77203638)</f>
        <v>77203638</v>
      </c>
      <c r="F1520" s="7" t="s">
        <v>4287</v>
      </c>
      <c r="G1520" s="7" t="s">
        <v>4286</v>
      </c>
      <c r="H1520" s="7" t="s">
        <v>4288</v>
      </c>
      <c r="I1520" s="9">
        <v>45360</v>
      </c>
    </row>
    <row r="1521" spans="1:9" ht="27" x14ac:dyDescent="0.15">
      <c r="A1521" s="6">
        <v>1520</v>
      </c>
      <c r="B1521" s="7" t="s">
        <v>7</v>
      </c>
      <c r="C1521" s="8">
        <v>1890</v>
      </c>
      <c r="D1521" s="9">
        <v>45449</v>
      </c>
      <c r="E1521" s="13">
        <f>+HYPERLINK("http://trademark.i-assist.jp/data/china/image_1890th/77204070.pdf",77204070)</f>
        <v>77204070</v>
      </c>
      <c r="F1521" s="7" t="s">
        <v>4290</v>
      </c>
      <c r="G1521" s="7" t="s">
        <v>4289</v>
      </c>
      <c r="H1521" s="7" t="s">
        <v>4291</v>
      </c>
      <c r="I1521" s="9">
        <v>45360</v>
      </c>
    </row>
    <row r="1522" spans="1:9" x14ac:dyDescent="0.15">
      <c r="A1522" s="6">
        <v>1521</v>
      </c>
      <c r="B1522" s="7" t="s">
        <v>7</v>
      </c>
      <c r="C1522" s="8">
        <v>1890</v>
      </c>
      <c r="D1522" s="9">
        <v>45449</v>
      </c>
      <c r="E1522" s="13">
        <f>+HYPERLINK("http://trademark.i-assist.jp/data/china/image_1890th/77204170.pdf",77204170)</f>
        <v>77204170</v>
      </c>
      <c r="F1522" s="7" t="s">
        <v>4293</v>
      </c>
      <c r="G1522" s="7" t="s">
        <v>4292</v>
      </c>
      <c r="H1522" s="7" t="s">
        <v>4294</v>
      </c>
      <c r="I1522" s="9">
        <v>45360</v>
      </c>
    </row>
    <row r="1523" spans="1:9" x14ac:dyDescent="0.15">
      <c r="A1523" s="6">
        <v>1522</v>
      </c>
      <c r="B1523" s="7" t="s">
        <v>7</v>
      </c>
      <c r="C1523" s="8">
        <v>1890</v>
      </c>
      <c r="D1523" s="9">
        <v>45449</v>
      </c>
      <c r="E1523" s="13">
        <f>+HYPERLINK("http://trademark.i-assist.jp/data/china/image_1890th/77204187.pdf",77204187)</f>
        <v>77204187</v>
      </c>
      <c r="F1523" s="7" t="s">
        <v>4296</v>
      </c>
      <c r="G1523" s="7" t="s">
        <v>4295</v>
      </c>
      <c r="H1523" s="7" t="s">
        <v>4297</v>
      </c>
      <c r="I1523" s="9">
        <v>45360</v>
      </c>
    </row>
    <row r="1524" spans="1:9" x14ac:dyDescent="0.15">
      <c r="A1524" s="6">
        <v>1523</v>
      </c>
      <c r="B1524" s="7" t="s">
        <v>7</v>
      </c>
      <c r="C1524" s="8">
        <v>1890</v>
      </c>
      <c r="D1524" s="9">
        <v>45449</v>
      </c>
      <c r="E1524" s="13">
        <f>+HYPERLINK("http://trademark.i-assist.jp/data/china/image_1890th/77204609.pdf",77204609)</f>
        <v>77204609</v>
      </c>
      <c r="F1524" s="7" t="s">
        <v>4299</v>
      </c>
      <c r="G1524" s="7" t="s">
        <v>4298</v>
      </c>
      <c r="H1524" s="7" t="s">
        <v>4300</v>
      </c>
      <c r="I1524" s="9">
        <v>45359</v>
      </c>
    </row>
    <row r="1525" spans="1:9" x14ac:dyDescent="0.15">
      <c r="A1525" s="6">
        <v>1524</v>
      </c>
      <c r="B1525" s="7" t="s">
        <v>7</v>
      </c>
      <c r="C1525" s="8">
        <v>1890</v>
      </c>
      <c r="D1525" s="9">
        <v>45449</v>
      </c>
      <c r="E1525" s="13">
        <f>+HYPERLINK("http://trademark.i-assist.jp/data/china/image_1890th/77204870.pdf",77204870)</f>
        <v>77204870</v>
      </c>
      <c r="F1525" s="7" t="s">
        <v>4302</v>
      </c>
      <c r="G1525" s="7" t="s">
        <v>4301</v>
      </c>
      <c r="H1525" s="7" t="s">
        <v>4303</v>
      </c>
      <c r="I1525" s="9">
        <v>45360</v>
      </c>
    </row>
    <row r="1526" spans="1:9" x14ac:dyDescent="0.15">
      <c r="A1526" s="6">
        <v>1525</v>
      </c>
      <c r="B1526" s="7" t="s">
        <v>7</v>
      </c>
      <c r="C1526" s="8">
        <v>1890</v>
      </c>
      <c r="D1526" s="9">
        <v>45449</v>
      </c>
      <c r="E1526" s="13">
        <f>+HYPERLINK("http://trademark.i-assist.jp/data/china/image_1890th/77205024.pdf",77205024)</f>
        <v>77205024</v>
      </c>
      <c r="F1526" s="7" t="s">
        <v>4305</v>
      </c>
      <c r="G1526" s="7" t="s">
        <v>4304</v>
      </c>
      <c r="H1526" s="7" t="s">
        <v>4306</v>
      </c>
      <c r="I1526" s="9">
        <v>45361</v>
      </c>
    </row>
    <row r="1527" spans="1:9" x14ac:dyDescent="0.15">
      <c r="A1527" s="6">
        <v>1526</v>
      </c>
      <c r="B1527" s="7" t="s">
        <v>7</v>
      </c>
      <c r="C1527" s="8">
        <v>1890</v>
      </c>
      <c r="D1527" s="9">
        <v>45449</v>
      </c>
      <c r="E1527" s="13">
        <f>+HYPERLINK("http://trademark.i-assist.jp/data/china/image_1890th/77205222.pdf",77205222)</f>
        <v>77205222</v>
      </c>
      <c r="F1527" s="7" t="s">
        <v>4308</v>
      </c>
      <c r="G1527" s="7" t="s">
        <v>4307</v>
      </c>
      <c r="H1527" s="7" t="s">
        <v>4309</v>
      </c>
      <c r="I1527" s="9">
        <v>45361</v>
      </c>
    </row>
    <row r="1528" spans="1:9" x14ac:dyDescent="0.15">
      <c r="A1528" s="6">
        <v>1527</v>
      </c>
      <c r="B1528" s="7" t="s">
        <v>7</v>
      </c>
      <c r="C1528" s="8">
        <v>1890</v>
      </c>
      <c r="D1528" s="9">
        <v>45449</v>
      </c>
      <c r="E1528" s="13">
        <f>+HYPERLINK("http://trademark.i-assist.jp/data/china/image_1890th/77205807.pdf",77205807)</f>
        <v>77205807</v>
      </c>
      <c r="F1528" s="7" t="s">
        <v>4310</v>
      </c>
      <c r="G1528" s="7" t="s">
        <v>29</v>
      </c>
      <c r="H1528" s="7" t="s">
        <v>4311</v>
      </c>
      <c r="I1528" s="9">
        <v>45361</v>
      </c>
    </row>
    <row r="1529" spans="1:9" x14ac:dyDescent="0.15">
      <c r="A1529" s="6">
        <v>1528</v>
      </c>
      <c r="B1529" s="7" t="s">
        <v>7</v>
      </c>
      <c r="C1529" s="8">
        <v>1890</v>
      </c>
      <c r="D1529" s="9">
        <v>45449</v>
      </c>
      <c r="E1529" s="13">
        <f>+HYPERLINK("http://trademark.i-assist.jp/data/china/image_1890th/77205892.pdf",77205892)</f>
        <v>77205892</v>
      </c>
      <c r="F1529" s="7" t="s">
        <v>4313</v>
      </c>
      <c r="G1529" s="7" t="s">
        <v>4312</v>
      </c>
      <c r="H1529" s="7" t="s">
        <v>4314</v>
      </c>
      <c r="I1529" s="9">
        <v>45361</v>
      </c>
    </row>
    <row r="1530" spans="1:9" x14ac:dyDescent="0.15">
      <c r="A1530" s="6">
        <v>1529</v>
      </c>
      <c r="B1530" s="7" t="s">
        <v>7</v>
      </c>
      <c r="C1530" s="8">
        <v>1890</v>
      </c>
      <c r="D1530" s="9">
        <v>45449</v>
      </c>
      <c r="E1530" s="13">
        <f>+HYPERLINK("http://trademark.i-assist.jp/data/china/image_1890th/77206262.pdf",77206262)</f>
        <v>77206262</v>
      </c>
      <c r="F1530" s="7" t="s">
        <v>4316</v>
      </c>
      <c r="G1530" s="7" t="s">
        <v>4315</v>
      </c>
      <c r="H1530" s="7" t="s">
        <v>4317</v>
      </c>
      <c r="I1530" s="9">
        <v>45361</v>
      </c>
    </row>
    <row r="1531" spans="1:9" x14ac:dyDescent="0.15">
      <c r="A1531" s="6">
        <v>1530</v>
      </c>
      <c r="B1531" s="7" t="s">
        <v>7</v>
      </c>
      <c r="C1531" s="8">
        <v>1890</v>
      </c>
      <c r="D1531" s="9">
        <v>45449</v>
      </c>
      <c r="E1531" s="13">
        <f>+HYPERLINK("http://trademark.i-assist.jp/data/china/image_1890th/77206543.pdf",77206543)</f>
        <v>77206543</v>
      </c>
      <c r="F1531" s="7" t="s">
        <v>4318</v>
      </c>
      <c r="G1531" s="7" t="s">
        <v>975</v>
      </c>
      <c r="H1531" s="7" t="s">
        <v>4319</v>
      </c>
      <c r="I1531" s="9">
        <v>45361</v>
      </c>
    </row>
    <row r="1532" spans="1:9" ht="121.5" x14ac:dyDescent="0.15">
      <c r="A1532" s="6">
        <v>1531</v>
      </c>
      <c r="B1532" s="7" t="s">
        <v>7</v>
      </c>
      <c r="C1532" s="8">
        <v>1890</v>
      </c>
      <c r="D1532" s="9">
        <v>45449</v>
      </c>
      <c r="E1532" s="13" t="s">
        <v>11361</v>
      </c>
      <c r="F1532" s="7" t="s">
        <v>4321</v>
      </c>
      <c r="G1532" s="7" t="s">
        <v>4320</v>
      </c>
      <c r="H1532" s="7" t="s">
        <v>4322</v>
      </c>
      <c r="I1532" s="9">
        <v>45361</v>
      </c>
    </row>
    <row r="1533" spans="1:9" x14ac:dyDescent="0.15">
      <c r="A1533" s="6">
        <v>1532</v>
      </c>
      <c r="B1533" s="7" t="s">
        <v>7</v>
      </c>
      <c r="C1533" s="8">
        <v>1890</v>
      </c>
      <c r="D1533" s="9">
        <v>45449</v>
      </c>
      <c r="E1533" s="13">
        <f>+HYPERLINK("http://trademark.i-assist.jp/data/china/image_1890th/77207211.pdf",77207211)</f>
        <v>77207211</v>
      </c>
      <c r="F1533" s="7" t="s">
        <v>4323</v>
      </c>
      <c r="G1533" s="7" t="s">
        <v>4315</v>
      </c>
      <c r="H1533" s="7" t="s">
        <v>4324</v>
      </c>
      <c r="I1533" s="9">
        <v>45361</v>
      </c>
    </row>
    <row r="1534" spans="1:9" x14ac:dyDescent="0.15">
      <c r="A1534" s="6">
        <v>1533</v>
      </c>
      <c r="B1534" s="7" t="s">
        <v>7</v>
      </c>
      <c r="C1534" s="8">
        <v>1890</v>
      </c>
      <c r="D1534" s="9">
        <v>45449</v>
      </c>
      <c r="E1534" s="13">
        <f>+HYPERLINK("http://trademark.i-assist.jp/data/china/image_1890th/77207806.pdf",77207806)</f>
        <v>77207806</v>
      </c>
      <c r="F1534" s="7" t="s">
        <v>4326</v>
      </c>
      <c r="G1534" s="7" t="s">
        <v>4325</v>
      </c>
      <c r="H1534" s="7" t="s">
        <v>4327</v>
      </c>
      <c r="I1534" s="9">
        <v>45359</v>
      </c>
    </row>
    <row r="1535" spans="1:9" x14ac:dyDescent="0.15">
      <c r="A1535" s="6">
        <v>1534</v>
      </c>
      <c r="B1535" s="7" t="s">
        <v>7</v>
      </c>
      <c r="C1535" s="8">
        <v>1890</v>
      </c>
      <c r="D1535" s="9">
        <v>45449</v>
      </c>
      <c r="E1535" s="13">
        <f>+HYPERLINK("http://trademark.i-assist.jp/data/china/image_1890th/77207836.pdf",77207836)</f>
        <v>77207836</v>
      </c>
      <c r="F1535" s="7" t="s">
        <v>4329</v>
      </c>
      <c r="G1535" s="7" t="s">
        <v>4328</v>
      </c>
      <c r="H1535" s="7" t="s">
        <v>4330</v>
      </c>
      <c r="I1535" s="9">
        <v>45359</v>
      </c>
    </row>
    <row r="1536" spans="1:9" x14ac:dyDescent="0.15">
      <c r="A1536" s="6">
        <v>1535</v>
      </c>
      <c r="B1536" s="7" t="s">
        <v>7</v>
      </c>
      <c r="C1536" s="8">
        <v>1890</v>
      </c>
      <c r="D1536" s="9">
        <v>45449</v>
      </c>
      <c r="E1536" s="13">
        <f>+HYPERLINK("http://trademark.i-assist.jp/data/china/image_1890th/77208512.pdf",77208512)</f>
        <v>77208512</v>
      </c>
      <c r="F1536" s="7" t="s">
        <v>4331</v>
      </c>
      <c r="G1536" s="7" t="s">
        <v>1183</v>
      </c>
      <c r="H1536" s="7" t="s">
        <v>4332</v>
      </c>
      <c r="I1536" s="9">
        <v>45362</v>
      </c>
    </row>
    <row r="1537" spans="1:9" x14ac:dyDescent="0.15">
      <c r="A1537" s="6">
        <v>1536</v>
      </c>
      <c r="B1537" s="7" t="s">
        <v>7</v>
      </c>
      <c r="C1537" s="8">
        <v>1890</v>
      </c>
      <c r="D1537" s="9">
        <v>45449</v>
      </c>
      <c r="E1537" s="13">
        <f>+HYPERLINK("http://trademark.i-assist.jp/data/china/image_1890th/77208550.pdf",77208550)</f>
        <v>77208550</v>
      </c>
      <c r="F1537" s="7" t="s">
        <v>4334</v>
      </c>
      <c r="G1537" s="7" t="s">
        <v>4333</v>
      </c>
      <c r="H1537" s="7" t="s">
        <v>4335</v>
      </c>
      <c r="I1537" s="9">
        <v>45362</v>
      </c>
    </row>
    <row r="1538" spans="1:9" x14ac:dyDescent="0.15">
      <c r="A1538" s="6">
        <v>1537</v>
      </c>
      <c r="B1538" s="7" t="s">
        <v>7</v>
      </c>
      <c r="C1538" s="8">
        <v>1890</v>
      </c>
      <c r="D1538" s="9">
        <v>45449</v>
      </c>
      <c r="E1538" s="13">
        <f>+HYPERLINK("http://trademark.i-assist.jp/data/china/image_1890th/77208828.pdf",77208828)</f>
        <v>77208828</v>
      </c>
      <c r="F1538" s="7" t="s">
        <v>4337</v>
      </c>
      <c r="G1538" s="7" t="s">
        <v>4336</v>
      </c>
      <c r="H1538" s="7" t="s">
        <v>4338</v>
      </c>
      <c r="I1538" s="9">
        <v>45362</v>
      </c>
    </row>
    <row r="1539" spans="1:9" x14ac:dyDescent="0.15">
      <c r="A1539" s="6">
        <v>1538</v>
      </c>
      <c r="B1539" s="7" t="s">
        <v>7</v>
      </c>
      <c r="C1539" s="8">
        <v>1890</v>
      </c>
      <c r="D1539" s="9">
        <v>45449</v>
      </c>
      <c r="E1539" s="13">
        <f>+HYPERLINK("http://trademark.i-assist.jp/data/china/image_1890th/77208913.pdf",77208913)</f>
        <v>77208913</v>
      </c>
      <c r="F1539" s="7" t="s">
        <v>183</v>
      </c>
      <c r="G1539" s="7" t="s">
        <v>4339</v>
      </c>
      <c r="H1539" s="7" t="s">
        <v>4340</v>
      </c>
      <c r="I1539" s="9">
        <v>45362</v>
      </c>
    </row>
    <row r="1540" spans="1:9" x14ac:dyDescent="0.15">
      <c r="A1540" s="6">
        <v>1539</v>
      </c>
      <c r="B1540" s="7" t="s">
        <v>7</v>
      </c>
      <c r="C1540" s="8">
        <v>1890</v>
      </c>
      <c r="D1540" s="9">
        <v>45449</v>
      </c>
      <c r="E1540" s="13">
        <f>+HYPERLINK("http://trademark.i-assist.jp/data/china/image_1890th/77209049.pdf",77209049)</f>
        <v>77209049</v>
      </c>
      <c r="F1540" s="7" t="s">
        <v>4342</v>
      </c>
      <c r="G1540" s="7" t="s">
        <v>4341</v>
      </c>
      <c r="H1540" s="7" t="s">
        <v>4343</v>
      </c>
      <c r="I1540" s="9">
        <v>45362</v>
      </c>
    </row>
    <row r="1541" spans="1:9" x14ac:dyDescent="0.15">
      <c r="A1541" s="6">
        <v>1540</v>
      </c>
      <c r="B1541" s="7" t="s">
        <v>7</v>
      </c>
      <c r="C1541" s="8">
        <v>1890</v>
      </c>
      <c r="D1541" s="9">
        <v>45449</v>
      </c>
      <c r="E1541" s="13">
        <f>+HYPERLINK("http://trademark.i-assist.jp/data/china/image_1890th/77209295.pdf",77209295)</f>
        <v>77209295</v>
      </c>
      <c r="F1541" s="7" t="s">
        <v>4344</v>
      </c>
      <c r="G1541" s="7" t="s">
        <v>3360</v>
      </c>
      <c r="H1541" s="7" t="s">
        <v>4345</v>
      </c>
      <c r="I1541" s="9">
        <v>45362</v>
      </c>
    </row>
    <row r="1542" spans="1:9" x14ac:dyDescent="0.15">
      <c r="A1542" s="6">
        <v>1541</v>
      </c>
      <c r="B1542" s="7" t="s">
        <v>7</v>
      </c>
      <c r="C1542" s="8">
        <v>1890</v>
      </c>
      <c r="D1542" s="9">
        <v>45449</v>
      </c>
      <c r="E1542" s="13">
        <f>+HYPERLINK("http://trademark.i-assist.jp/data/china/image_1890th/77209336.pdf",77209336)</f>
        <v>77209336</v>
      </c>
      <c r="F1542" s="7" t="s">
        <v>4346</v>
      </c>
      <c r="G1542" s="7" t="s">
        <v>3360</v>
      </c>
      <c r="H1542" s="7" t="s">
        <v>4347</v>
      </c>
      <c r="I1542" s="9">
        <v>45362</v>
      </c>
    </row>
    <row r="1543" spans="1:9" x14ac:dyDescent="0.15">
      <c r="A1543" s="6">
        <v>1542</v>
      </c>
      <c r="B1543" s="7" t="s">
        <v>7</v>
      </c>
      <c r="C1543" s="8">
        <v>1890</v>
      </c>
      <c r="D1543" s="9">
        <v>45449</v>
      </c>
      <c r="E1543" s="13">
        <f>+HYPERLINK("http://trademark.i-assist.jp/data/china/image_1890th/77209707.pdf",77209707)</f>
        <v>77209707</v>
      </c>
      <c r="F1543" s="7" t="s">
        <v>4349</v>
      </c>
      <c r="G1543" s="7" t="s">
        <v>4348</v>
      </c>
      <c r="H1543" s="7" t="s">
        <v>4350</v>
      </c>
      <c r="I1543" s="9">
        <v>45362</v>
      </c>
    </row>
    <row r="1544" spans="1:9" x14ac:dyDescent="0.15">
      <c r="A1544" s="6">
        <v>1543</v>
      </c>
      <c r="B1544" s="7" t="s">
        <v>7</v>
      </c>
      <c r="C1544" s="8">
        <v>1890</v>
      </c>
      <c r="D1544" s="9">
        <v>45449</v>
      </c>
      <c r="E1544" s="13">
        <f>+HYPERLINK("http://trademark.i-assist.jp/data/china/image_1890th/77210301.pdf",77210301)</f>
        <v>77210301</v>
      </c>
      <c r="F1544" s="7" t="s">
        <v>4352</v>
      </c>
      <c r="G1544" s="7" t="s">
        <v>4351</v>
      </c>
      <c r="H1544" s="7" t="s">
        <v>4353</v>
      </c>
      <c r="I1544" s="9">
        <v>45362</v>
      </c>
    </row>
    <row r="1545" spans="1:9" x14ac:dyDescent="0.15">
      <c r="A1545" s="6">
        <v>1544</v>
      </c>
      <c r="B1545" s="7" t="s">
        <v>7</v>
      </c>
      <c r="C1545" s="8">
        <v>1890</v>
      </c>
      <c r="D1545" s="9">
        <v>45449</v>
      </c>
      <c r="E1545" s="13">
        <f>+HYPERLINK("http://trademark.i-assist.jp/data/china/image_1890th/77210806.pdf",77210806)</f>
        <v>77210806</v>
      </c>
      <c r="F1545" s="7" t="s">
        <v>4355</v>
      </c>
      <c r="G1545" s="7" t="s">
        <v>4354</v>
      </c>
      <c r="H1545" s="7" t="s">
        <v>4356</v>
      </c>
      <c r="I1545" s="9">
        <v>45362</v>
      </c>
    </row>
    <row r="1546" spans="1:9" x14ac:dyDescent="0.15">
      <c r="A1546" s="6">
        <v>1545</v>
      </c>
      <c r="B1546" s="7" t="s">
        <v>7</v>
      </c>
      <c r="C1546" s="8">
        <v>1890</v>
      </c>
      <c r="D1546" s="9">
        <v>45449</v>
      </c>
      <c r="E1546" s="13">
        <f>+HYPERLINK("http://trademark.i-assist.jp/data/china/image_1890th/77211101.pdf",77211101)</f>
        <v>77211101</v>
      </c>
      <c r="F1546" s="7" t="s">
        <v>4358</v>
      </c>
      <c r="G1546" s="7" t="s">
        <v>4357</v>
      </c>
      <c r="H1546" s="7" t="s">
        <v>4359</v>
      </c>
      <c r="I1546" s="9">
        <v>45362</v>
      </c>
    </row>
    <row r="1547" spans="1:9" x14ac:dyDescent="0.15">
      <c r="A1547" s="6">
        <v>1546</v>
      </c>
      <c r="B1547" s="7" t="s">
        <v>7</v>
      </c>
      <c r="C1547" s="8">
        <v>1890</v>
      </c>
      <c r="D1547" s="9">
        <v>45449</v>
      </c>
      <c r="E1547" s="13">
        <f>+HYPERLINK("http://trademark.i-assist.jp/data/china/image_1890th/77211309.pdf",77211309)</f>
        <v>77211309</v>
      </c>
      <c r="F1547" s="7" t="s">
        <v>4360</v>
      </c>
      <c r="G1547" s="7" t="s">
        <v>3360</v>
      </c>
      <c r="H1547" s="7" t="s">
        <v>4361</v>
      </c>
      <c r="I1547" s="9">
        <v>45362</v>
      </c>
    </row>
    <row r="1548" spans="1:9" x14ac:dyDescent="0.15">
      <c r="A1548" s="6">
        <v>1547</v>
      </c>
      <c r="B1548" s="7" t="s">
        <v>7</v>
      </c>
      <c r="C1548" s="8">
        <v>1890</v>
      </c>
      <c r="D1548" s="9">
        <v>45449</v>
      </c>
      <c r="E1548" s="13">
        <f>+HYPERLINK("http://trademark.i-assist.jp/data/china/image_1890th/77211501.pdf",77211501)</f>
        <v>77211501</v>
      </c>
      <c r="F1548" s="7" t="s">
        <v>183</v>
      </c>
      <c r="G1548" s="7" t="s">
        <v>4362</v>
      </c>
      <c r="H1548" s="7" t="s">
        <v>4363</v>
      </c>
      <c r="I1548" s="9">
        <v>45362</v>
      </c>
    </row>
    <row r="1549" spans="1:9" x14ac:dyDescent="0.15">
      <c r="A1549" s="6">
        <v>1548</v>
      </c>
      <c r="B1549" s="7" t="s">
        <v>7</v>
      </c>
      <c r="C1549" s="8">
        <v>1890</v>
      </c>
      <c r="D1549" s="9">
        <v>45449</v>
      </c>
      <c r="E1549" s="13">
        <f>+HYPERLINK("http://trademark.i-assist.jp/data/china/image_1890th/77211591.pdf",77211591)</f>
        <v>77211591</v>
      </c>
      <c r="F1549" s="7" t="s">
        <v>4365</v>
      </c>
      <c r="G1549" s="7" t="s">
        <v>4364</v>
      </c>
      <c r="H1549" s="7" t="s">
        <v>4366</v>
      </c>
      <c r="I1549" s="9">
        <v>45362</v>
      </c>
    </row>
    <row r="1550" spans="1:9" ht="27" x14ac:dyDescent="0.15">
      <c r="A1550" s="6">
        <v>1549</v>
      </c>
      <c r="B1550" s="7" t="s">
        <v>7</v>
      </c>
      <c r="C1550" s="8">
        <v>1890</v>
      </c>
      <c r="D1550" s="9">
        <v>45449</v>
      </c>
      <c r="E1550" s="13">
        <f>+HYPERLINK("http://trademark.i-assist.jp/data/china/image_1890th/77211748.pdf",77211748)</f>
        <v>77211748</v>
      </c>
      <c r="F1550" s="7" t="s">
        <v>4368</v>
      </c>
      <c r="G1550" s="7" t="s">
        <v>4367</v>
      </c>
      <c r="H1550" s="7" t="s">
        <v>4369</v>
      </c>
      <c r="I1550" s="9">
        <v>45362</v>
      </c>
    </row>
    <row r="1551" spans="1:9" x14ac:dyDescent="0.15">
      <c r="A1551" s="6">
        <v>1550</v>
      </c>
      <c r="B1551" s="7" t="s">
        <v>7</v>
      </c>
      <c r="C1551" s="8">
        <v>1890</v>
      </c>
      <c r="D1551" s="9">
        <v>45449</v>
      </c>
      <c r="E1551" s="13">
        <f>+HYPERLINK("http://trademark.i-assist.jp/data/china/image_1890th/77212040.pdf",77212040)</f>
        <v>77212040</v>
      </c>
      <c r="F1551" s="7" t="s">
        <v>4371</v>
      </c>
      <c r="G1551" s="7" t="s">
        <v>4370</v>
      </c>
      <c r="H1551" s="7" t="s">
        <v>4372</v>
      </c>
      <c r="I1551" s="9">
        <v>45362</v>
      </c>
    </row>
    <row r="1552" spans="1:9" ht="27" x14ac:dyDescent="0.15">
      <c r="A1552" s="6">
        <v>1551</v>
      </c>
      <c r="B1552" s="7" t="s">
        <v>7</v>
      </c>
      <c r="C1552" s="8">
        <v>1890</v>
      </c>
      <c r="D1552" s="9">
        <v>45449</v>
      </c>
      <c r="E1552" s="13">
        <f>+HYPERLINK("http://trademark.i-assist.jp/data/china/image_1890th/77212215.pdf",77212215)</f>
        <v>77212215</v>
      </c>
      <c r="F1552" s="7" t="s">
        <v>4374</v>
      </c>
      <c r="G1552" s="7" t="s">
        <v>4373</v>
      </c>
      <c r="H1552" s="7" t="s">
        <v>4375</v>
      </c>
      <c r="I1552" s="9">
        <v>45362</v>
      </c>
    </row>
    <row r="1553" spans="1:9" x14ac:dyDescent="0.15">
      <c r="A1553" s="6">
        <v>1552</v>
      </c>
      <c r="B1553" s="7" t="s">
        <v>7</v>
      </c>
      <c r="C1553" s="8">
        <v>1890</v>
      </c>
      <c r="D1553" s="9">
        <v>45449</v>
      </c>
      <c r="E1553" s="13">
        <f>+HYPERLINK("http://trademark.i-assist.jp/data/china/image_1890th/77212306.pdf",77212306)</f>
        <v>77212306</v>
      </c>
      <c r="F1553" s="7" t="s">
        <v>183</v>
      </c>
      <c r="G1553" s="7" t="s">
        <v>4376</v>
      </c>
      <c r="H1553" s="7" t="s">
        <v>4377</v>
      </c>
      <c r="I1553" s="9">
        <v>45362</v>
      </c>
    </row>
    <row r="1554" spans="1:9" x14ac:dyDescent="0.15">
      <c r="A1554" s="6">
        <v>1553</v>
      </c>
      <c r="B1554" s="7" t="s">
        <v>7</v>
      </c>
      <c r="C1554" s="8">
        <v>1890</v>
      </c>
      <c r="D1554" s="9">
        <v>45449</v>
      </c>
      <c r="E1554" s="13">
        <f>+HYPERLINK("http://trademark.i-assist.jp/data/china/image_1890th/77213096.pdf",77213096)</f>
        <v>77213096</v>
      </c>
      <c r="F1554" s="7" t="s">
        <v>4378</v>
      </c>
      <c r="G1554" s="7" t="s">
        <v>36</v>
      </c>
      <c r="H1554" s="7" t="s">
        <v>4379</v>
      </c>
      <c r="I1554" s="9">
        <v>45362</v>
      </c>
    </row>
    <row r="1555" spans="1:9" x14ac:dyDescent="0.15">
      <c r="A1555" s="6">
        <v>1554</v>
      </c>
      <c r="B1555" s="7" t="s">
        <v>7</v>
      </c>
      <c r="C1555" s="8">
        <v>1890</v>
      </c>
      <c r="D1555" s="9">
        <v>45449</v>
      </c>
      <c r="E1555" s="13">
        <f>+HYPERLINK("http://trademark.i-assist.jp/data/china/image_1890th/77213287.pdf",77213287)</f>
        <v>77213287</v>
      </c>
      <c r="F1555" s="7" t="s">
        <v>4381</v>
      </c>
      <c r="G1555" s="7" t="s">
        <v>4380</v>
      </c>
      <c r="H1555" s="7" t="s">
        <v>4382</v>
      </c>
      <c r="I1555" s="9">
        <v>45362</v>
      </c>
    </row>
    <row r="1556" spans="1:9" x14ac:dyDescent="0.15">
      <c r="A1556" s="6">
        <v>1555</v>
      </c>
      <c r="B1556" s="7" t="s">
        <v>7</v>
      </c>
      <c r="C1556" s="8">
        <v>1890</v>
      </c>
      <c r="D1556" s="9">
        <v>45449</v>
      </c>
      <c r="E1556" s="13">
        <f>+HYPERLINK("http://trademark.i-assist.jp/data/china/image_1890th/77213524.pdf",77213524)</f>
        <v>77213524</v>
      </c>
      <c r="F1556" s="7" t="s">
        <v>4384</v>
      </c>
      <c r="G1556" s="7" t="s">
        <v>4383</v>
      </c>
      <c r="H1556" s="7" t="s">
        <v>4385</v>
      </c>
      <c r="I1556" s="9">
        <v>45362</v>
      </c>
    </row>
    <row r="1557" spans="1:9" x14ac:dyDescent="0.15">
      <c r="A1557" s="6">
        <v>1556</v>
      </c>
      <c r="B1557" s="7" t="s">
        <v>7</v>
      </c>
      <c r="C1557" s="8">
        <v>1890</v>
      </c>
      <c r="D1557" s="9">
        <v>45449</v>
      </c>
      <c r="E1557" s="13">
        <f>+HYPERLINK("http://trademark.i-assist.jp/data/china/image_1890th/77213842.pdf",77213842)</f>
        <v>77213842</v>
      </c>
      <c r="F1557" s="7" t="s">
        <v>4387</v>
      </c>
      <c r="G1557" s="7" t="s">
        <v>4386</v>
      </c>
      <c r="H1557" s="7" t="s">
        <v>4388</v>
      </c>
      <c r="I1557" s="9">
        <v>45362</v>
      </c>
    </row>
    <row r="1558" spans="1:9" x14ac:dyDescent="0.15">
      <c r="A1558" s="6">
        <v>1557</v>
      </c>
      <c r="B1558" s="7" t="s">
        <v>7</v>
      </c>
      <c r="C1558" s="8">
        <v>1890</v>
      </c>
      <c r="D1558" s="9">
        <v>45449</v>
      </c>
      <c r="E1558" s="13">
        <f>+HYPERLINK("http://trademark.i-assist.jp/data/china/image_1890th/77214197.pdf",77214197)</f>
        <v>77214197</v>
      </c>
      <c r="F1558" s="7" t="s">
        <v>4389</v>
      </c>
      <c r="G1558" s="7" t="s">
        <v>1331</v>
      </c>
      <c r="H1558" s="7" t="s">
        <v>4390</v>
      </c>
      <c r="I1558" s="9">
        <v>45362</v>
      </c>
    </row>
    <row r="1559" spans="1:9" x14ac:dyDescent="0.15">
      <c r="A1559" s="6">
        <v>1558</v>
      </c>
      <c r="B1559" s="7" t="s">
        <v>7</v>
      </c>
      <c r="C1559" s="8">
        <v>1890</v>
      </c>
      <c r="D1559" s="9">
        <v>45449</v>
      </c>
      <c r="E1559" s="13">
        <f>+HYPERLINK("http://trademark.i-assist.jp/data/china/image_1890th/77214227.pdf",77214227)</f>
        <v>77214227</v>
      </c>
      <c r="F1559" s="7" t="s">
        <v>4392</v>
      </c>
      <c r="G1559" s="7" t="s">
        <v>4391</v>
      </c>
      <c r="H1559" s="7" t="s">
        <v>4393</v>
      </c>
      <c r="I1559" s="9">
        <v>45362</v>
      </c>
    </row>
    <row r="1560" spans="1:9" ht="27" x14ac:dyDescent="0.15">
      <c r="A1560" s="6">
        <v>1559</v>
      </c>
      <c r="B1560" s="7" t="s">
        <v>7</v>
      </c>
      <c r="C1560" s="8">
        <v>1890</v>
      </c>
      <c r="D1560" s="9">
        <v>45449</v>
      </c>
      <c r="E1560" s="13">
        <f>+HYPERLINK("http://trademark.i-assist.jp/data/china/image_1890th/77214635.pdf",77214635)</f>
        <v>77214635</v>
      </c>
      <c r="F1560" s="7" t="s">
        <v>4395</v>
      </c>
      <c r="G1560" s="7" t="s">
        <v>4394</v>
      </c>
      <c r="H1560" s="7" t="s">
        <v>4396</v>
      </c>
      <c r="I1560" s="9">
        <v>45362</v>
      </c>
    </row>
    <row r="1561" spans="1:9" x14ac:dyDescent="0.15">
      <c r="A1561" s="6">
        <v>1560</v>
      </c>
      <c r="B1561" s="7" t="s">
        <v>7</v>
      </c>
      <c r="C1561" s="8">
        <v>1890</v>
      </c>
      <c r="D1561" s="9">
        <v>45449</v>
      </c>
      <c r="E1561" s="13">
        <f>+HYPERLINK("http://trademark.i-assist.jp/data/china/image_1890th/77214663.pdf",77214663)</f>
        <v>77214663</v>
      </c>
      <c r="F1561" s="7" t="s">
        <v>4398</v>
      </c>
      <c r="G1561" s="7" t="s">
        <v>4397</v>
      </c>
      <c r="H1561" s="7" t="s">
        <v>4399</v>
      </c>
      <c r="I1561" s="9">
        <v>45362</v>
      </c>
    </row>
    <row r="1562" spans="1:9" x14ac:dyDescent="0.15">
      <c r="A1562" s="6">
        <v>1561</v>
      </c>
      <c r="B1562" s="7" t="s">
        <v>7</v>
      </c>
      <c r="C1562" s="8">
        <v>1890</v>
      </c>
      <c r="D1562" s="9">
        <v>45449</v>
      </c>
      <c r="E1562" s="13">
        <f>+HYPERLINK("http://trademark.i-assist.jp/data/china/image_1890th/77215032.pdf",77215032)</f>
        <v>77215032</v>
      </c>
      <c r="F1562" s="7" t="s">
        <v>4401</v>
      </c>
      <c r="G1562" s="7" t="s">
        <v>4400</v>
      </c>
      <c r="H1562" s="7" t="s">
        <v>4402</v>
      </c>
      <c r="I1562" s="9">
        <v>45362</v>
      </c>
    </row>
    <row r="1563" spans="1:9" x14ac:dyDescent="0.15">
      <c r="A1563" s="6">
        <v>1562</v>
      </c>
      <c r="B1563" s="7" t="s">
        <v>7</v>
      </c>
      <c r="C1563" s="8">
        <v>1890</v>
      </c>
      <c r="D1563" s="9">
        <v>45449</v>
      </c>
      <c r="E1563" s="13">
        <f>+HYPERLINK("http://trademark.i-assist.jp/data/china/image_1890th/77215082.pdf",77215082)</f>
        <v>77215082</v>
      </c>
      <c r="F1563" s="7" t="s">
        <v>4404</v>
      </c>
      <c r="G1563" s="7" t="s">
        <v>4403</v>
      </c>
      <c r="H1563" s="7" t="s">
        <v>4405</v>
      </c>
      <c r="I1563" s="9">
        <v>45362</v>
      </c>
    </row>
    <row r="1564" spans="1:9" x14ac:dyDescent="0.15">
      <c r="A1564" s="6">
        <v>1563</v>
      </c>
      <c r="B1564" s="7" t="s">
        <v>7</v>
      </c>
      <c r="C1564" s="8">
        <v>1890</v>
      </c>
      <c r="D1564" s="9">
        <v>45449</v>
      </c>
      <c r="E1564" s="13">
        <f>+HYPERLINK("http://trademark.i-assist.jp/data/china/image_1890th/77215157.pdf",77215157)</f>
        <v>77215157</v>
      </c>
      <c r="F1564" s="7" t="s">
        <v>4407</v>
      </c>
      <c r="G1564" s="7" t="s">
        <v>4406</v>
      </c>
      <c r="H1564" s="7" t="s">
        <v>4408</v>
      </c>
      <c r="I1564" s="9">
        <v>45362</v>
      </c>
    </row>
    <row r="1565" spans="1:9" x14ac:dyDescent="0.15">
      <c r="A1565" s="6">
        <v>1564</v>
      </c>
      <c r="B1565" s="7" t="s">
        <v>7</v>
      </c>
      <c r="C1565" s="8">
        <v>1890</v>
      </c>
      <c r="D1565" s="9">
        <v>45449</v>
      </c>
      <c r="E1565" s="13">
        <f>+HYPERLINK("http://trademark.i-assist.jp/data/china/image_1890th/77215248.pdf",77215248)</f>
        <v>77215248</v>
      </c>
      <c r="F1565" s="7" t="s">
        <v>4409</v>
      </c>
      <c r="G1565" s="7" t="s">
        <v>934</v>
      </c>
      <c r="H1565" s="7" t="s">
        <v>4410</v>
      </c>
      <c r="I1565" s="9">
        <v>45362</v>
      </c>
    </row>
    <row r="1566" spans="1:9" x14ac:dyDescent="0.15">
      <c r="A1566" s="6">
        <v>1565</v>
      </c>
      <c r="B1566" s="7" t="s">
        <v>7</v>
      </c>
      <c r="C1566" s="8">
        <v>1890</v>
      </c>
      <c r="D1566" s="9">
        <v>45449</v>
      </c>
      <c r="E1566" s="13">
        <f>+HYPERLINK("http://trademark.i-assist.jp/data/china/image_1890th/77215327.pdf",77215327)</f>
        <v>77215327</v>
      </c>
      <c r="F1566" s="7" t="s">
        <v>4412</v>
      </c>
      <c r="G1566" s="7" t="s">
        <v>4411</v>
      </c>
      <c r="H1566" s="7" t="s">
        <v>4413</v>
      </c>
      <c r="I1566" s="9">
        <v>45362</v>
      </c>
    </row>
    <row r="1567" spans="1:9" x14ac:dyDescent="0.15">
      <c r="A1567" s="6">
        <v>1566</v>
      </c>
      <c r="B1567" s="7" t="s">
        <v>7</v>
      </c>
      <c r="C1567" s="8">
        <v>1890</v>
      </c>
      <c r="D1567" s="9">
        <v>45449</v>
      </c>
      <c r="E1567" s="13">
        <f>+HYPERLINK("http://trademark.i-assist.jp/data/china/image_1890th/77215455.pdf",77215455)</f>
        <v>77215455</v>
      </c>
      <c r="F1567" s="7" t="s">
        <v>4414</v>
      </c>
      <c r="G1567" s="7" t="s">
        <v>99</v>
      </c>
      <c r="H1567" s="7" t="s">
        <v>4415</v>
      </c>
      <c r="I1567" s="9">
        <v>45362</v>
      </c>
    </row>
    <row r="1568" spans="1:9" x14ac:dyDescent="0.15">
      <c r="A1568" s="6">
        <v>1567</v>
      </c>
      <c r="B1568" s="7" t="s">
        <v>7</v>
      </c>
      <c r="C1568" s="8">
        <v>1890</v>
      </c>
      <c r="D1568" s="9">
        <v>45449</v>
      </c>
      <c r="E1568" s="13">
        <f>+HYPERLINK("http://trademark.i-assist.jp/data/china/image_1890th/77215500.pdf",77215500)</f>
        <v>77215500</v>
      </c>
      <c r="F1568" s="7" t="s">
        <v>4416</v>
      </c>
      <c r="G1568" s="7" t="s">
        <v>4364</v>
      </c>
      <c r="H1568" s="7" t="s">
        <v>4417</v>
      </c>
      <c r="I1568" s="9">
        <v>45362</v>
      </c>
    </row>
    <row r="1569" spans="1:9" ht="27" x14ac:dyDescent="0.15">
      <c r="A1569" s="6">
        <v>1568</v>
      </c>
      <c r="B1569" s="7" t="s">
        <v>7</v>
      </c>
      <c r="C1569" s="8">
        <v>1890</v>
      </c>
      <c r="D1569" s="9">
        <v>45449</v>
      </c>
      <c r="E1569" s="13">
        <f>+HYPERLINK("http://trademark.i-assist.jp/data/china/image_1890th/77215633.pdf",77215633)</f>
        <v>77215633</v>
      </c>
      <c r="F1569" s="7" t="s">
        <v>4419</v>
      </c>
      <c r="G1569" s="7" t="s">
        <v>4418</v>
      </c>
      <c r="H1569" s="7" t="s">
        <v>4420</v>
      </c>
      <c r="I1569" s="9">
        <v>45362</v>
      </c>
    </row>
    <row r="1570" spans="1:9" x14ac:dyDescent="0.15">
      <c r="A1570" s="6">
        <v>1569</v>
      </c>
      <c r="B1570" s="7" t="s">
        <v>7</v>
      </c>
      <c r="C1570" s="8">
        <v>1890</v>
      </c>
      <c r="D1570" s="9">
        <v>45449</v>
      </c>
      <c r="E1570" s="13">
        <f>+HYPERLINK("http://trademark.i-assist.jp/data/china/image_1890th/77217269.pdf",77217269)</f>
        <v>77217269</v>
      </c>
      <c r="F1570" s="7" t="s">
        <v>183</v>
      </c>
      <c r="G1570" s="7" t="s">
        <v>4421</v>
      </c>
      <c r="H1570" s="7" t="s">
        <v>4422</v>
      </c>
      <c r="I1570" s="9">
        <v>45362</v>
      </c>
    </row>
    <row r="1571" spans="1:9" x14ac:dyDescent="0.15">
      <c r="A1571" s="6">
        <v>1570</v>
      </c>
      <c r="B1571" s="7" t="s">
        <v>7</v>
      </c>
      <c r="C1571" s="8">
        <v>1890</v>
      </c>
      <c r="D1571" s="9">
        <v>45449</v>
      </c>
      <c r="E1571" s="13">
        <f>+HYPERLINK("http://trademark.i-assist.jp/data/china/image_1890th/77217632.pdf",77217632)</f>
        <v>77217632</v>
      </c>
      <c r="F1571" s="7" t="s">
        <v>4424</v>
      </c>
      <c r="G1571" s="7" t="s">
        <v>4423</v>
      </c>
      <c r="H1571" s="7" t="s">
        <v>4425</v>
      </c>
      <c r="I1571" s="9">
        <v>45362</v>
      </c>
    </row>
    <row r="1572" spans="1:9" x14ac:dyDescent="0.15">
      <c r="A1572" s="6">
        <v>1571</v>
      </c>
      <c r="B1572" s="7" t="s">
        <v>7</v>
      </c>
      <c r="C1572" s="8">
        <v>1890</v>
      </c>
      <c r="D1572" s="9">
        <v>45449</v>
      </c>
      <c r="E1572" s="13">
        <f>+HYPERLINK("http://trademark.i-assist.jp/data/china/image_1890th/77218073.pdf",77218073)</f>
        <v>77218073</v>
      </c>
      <c r="F1572" s="7" t="s">
        <v>4427</v>
      </c>
      <c r="G1572" s="7" t="s">
        <v>4426</v>
      </c>
      <c r="H1572" s="7" t="s">
        <v>4428</v>
      </c>
      <c r="I1572" s="9">
        <v>45362</v>
      </c>
    </row>
    <row r="1573" spans="1:9" x14ac:dyDescent="0.15">
      <c r="A1573" s="6">
        <v>1572</v>
      </c>
      <c r="B1573" s="7" t="s">
        <v>7</v>
      </c>
      <c r="C1573" s="8">
        <v>1890</v>
      </c>
      <c r="D1573" s="9">
        <v>45449</v>
      </c>
      <c r="E1573" s="13">
        <f>+HYPERLINK("http://trademark.i-assist.jp/data/china/image_1890th/77218242.pdf",77218242)</f>
        <v>77218242</v>
      </c>
      <c r="F1573" s="7" t="s">
        <v>4430</v>
      </c>
      <c r="G1573" s="7" t="s">
        <v>4429</v>
      </c>
      <c r="H1573" s="7" t="s">
        <v>4431</v>
      </c>
      <c r="I1573" s="9">
        <v>45362</v>
      </c>
    </row>
    <row r="1574" spans="1:9" x14ac:dyDescent="0.15">
      <c r="A1574" s="6">
        <v>1573</v>
      </c>
      <c r="B1574" s="7" t="s">
        <v>7</v>
      </c>
      <c r="C1574" s="8">
        <v>1890</v>
      </c>
      <c r="D1574" s="9">
        <v>45449</v>
      </c>
      <c r="E1574" s="13">
        <f>+HYPERLINK("http://trademark.i-assist.jp/data/china/image_1890th/77218473.pdf",77218473)</f>
        <v>77218473</v>
      </c>
      <c r="F1574" s="7" t="s">
        <v>4432</v>
      </c>
      <c r="G1574" s="7" t="s">
        <v>4364</v>
      </c>
      <c r="H1574" s="7" t="s">
        <v>4433</v>
      </c>
      <c r="I1574" s="9">
        <v>45362</v>
      </c>
    </row>
    <row r="1575" spans="1:9" x14ac:dyDescent="0.15">
      <c r="A1575" s="6">
        <v>1574</v>
      </c>
      <c r="B1575" s="7" t="s">
        <v>7</v>
      </c>
      <c r="C1575" s="8">
        <v>1890</v>
      </c>
      <c r="D1575" s="9">
        <v>45449</v>
      </c>
      <c r="E1575" s="13">
        <f>+HYPERLINK("http://trademark.i-assist.jp/data/china/image_1890th/77218789.pdf",77218789)</f>
        <v>77218789</v>
      </c>
      <c r="F1575" s="7" t="s">
        <v>4435</v>
      </c>
      <c r="G1575" s="7" t="s">
        <v>4434</v>
      </c>
      <c r="H1575" s="7" t="s">
        <v>4436</v>
      </c>
      <c r="I1575" s="9">
        <v>45362</v>
      </c>
    </row>
    <row r="1576" spans="1:9" x14ac:dyDescent="0.15">
      <c r="A1576" s="6">
        <v>1575</v>
      </c>
      <c r="B1576" s="7" t="s">
        <v>7</v>
      </c>
      <c r="C1576" s="8">
        <v>1890</v>
      </c>
      <c r="D1576" s="9">
        <v>45449</v>
      </c>
      <c r="E1576" s="13">
        <f>+HYPERLINK("http://trademark.i-assist.jp/data/china/image_1890th/77218798.pdf",77218798)</f>
        <v>77218798</v>
      </c>
      <c r="F1576" s="7" t="s">
        <v>4438</v>
      </c>
      <c r="G1576" s="7" t="s">
        <v>4437</v>
      </c>
      <c r="H1576" s="7" t="s">
        <v>4439</v>
      </c>
      <c r="I1576" s="9">
        <v>45362</v>
      </c>
    </row>
    <row r="1577" spans="1:9" x14ac:dyDescent="0.15">
      <c r="A1577" s="6">
        <v>1576</v>
      </c>
      <c r="B1577" s="7" t="s">
        <v>7</v>
      </c>
      <c r="C1577" s="8">
        <v>1890</v>
      </c>
      <c r="D1577" s="9">
        <v>45449</v>
      </c>
      <c r="E1577" s="13">
        <f>+HYPERLINK("http://trademark.i-assist.jp/data/china/image_1890th/77218906.pdf",77218906)</f>
        <v>77218906</v>
      </c>
      <c r="F1577" s="7" t="s">
        <v>4441</v>
      </c>
      <c r="G1577" s="7" t="s">
        <v>4440</v>
      </c>
      <c r="H1577" s="7" t="s">
        <v>4442</v>
      </c>
      <c r="I1577" s="9">
        <v>45362</v>
      </c>
    </row>
    <row r="1578" spans="1:9" ht="27" x14ac:dyDescent="0.15">
      <c r="A1578" s="6">
        <v>1577</v>
      </c>
      <c r="B1578" s="7" t="s">
        <v>7</v>
      </c>
      <c r="C1578" s="8">
        <v>1890</v>
      </c>
      <c r="D1578" s="9">
        <v>45449</v>
      </c>
      <c r="E1578" s="13">
        <f>+HYPERLINK("http://trademark.i-assist.jp/data/china/image_1890th/77218942.pdf",77218942)</f>
        <v>77218942</v>
      </c>
      <c r="F1578" s="7" t="s">
        <v>4444</v>
      </c>
      <c r="G1578" s="7" t="s">
        <v>4443</v>
      </c>
      <c r="H1578" s="7" t="s">
        <v>4445</v>
      </c>
      <c r="I1578" s="9">
        <v>45362</v>
      </c>
    </row>
    <row r="1579" spans="1:9" x14ac:dyDescent="0.15">
      <c r="A1579" s="6">
        <v>1578</v>
      </c>
      <c r="B1579" s="7" t="s">
        <v>7</v>
      </c>
      <c r="C1579" s="8">
        <v>1890</v>
      </c>
      <c r="D1579" s="9">
        <v>45449</v>
      </c>
      <c r="E1579" s="13">
        <f>+HYPERLINK("http://trademark.i-assist.jp/data/china/image_1890th/77218981.pdf",77218981)</f>
        <v>77218981</v>
      </c>
      <c r="F1579" s="7" t="s">
        <v>4447</v>
      </c>
      <c r="G1579" s="7" t="s">
        <v>4446</v>
      </c>
      <c r="H1579" s="7" t="s">
        <v>4448</v>
      </c>
      <c r="I1579" s="9">
        <v>45362</v>
      </c>
    </row>
    <row r="1580" spans="1:9" x14ac:dyDescent="0.15">
      <c r="A1580" s="6">
        <v>1579</v>
      </c>
      <c r="B1580" s="7" t="s">
        <v>7</v>
      </c>
      <c r="C1580" s="8">
        <v>1890</v>
      </c>
      <c r="D1580" s="9">
        <v>45449</v>
      </c>
      <c r="E1580" s="13">
        <f>+HYPERLINK("http://trademark.i-assist.jp/data/china/image_1890th/77219061.pdf",77219061)</f>
        <v>77219061</v>
      </c>
      <c r="F1580" s="7" t="s">
        <v>4450</v>
      </c>
      <c r="G1580" s="7" t="s">
        <v>4449</v>
      </c>
      <c r="H1580" s="7" t="s">
        <v>4451</v>
      </c>
      <c r="I1580" s="9">
        <v>45362</v>
      </c>
    </row>
    <row r="1581" spans="1:9" x14ac:dyDescent="0.15">
      <c r="A1581" s="6">
        <v>1580</v>
      </c>
      <c r="B1581" s="7" t="s">
        <v>7</v>
      </c>
      <c r="C1581" s="8">
        <v>1890</v>
      </c>
      <c r="D1581" s="9">
        <v>45449</v>
      </c>
      <c r="E1581" s="13">
        <f>+HYPERLINK("http://trademark.i-assist.jp/data/china/image_1890th/77219171.pdf",77219171)</f>
        <v>77219171</v>
      </c>
      <c r="F1581" s="7" t="s">
        <v>4453</v>
      </c>
      <c r="G1581" s="7" t="s">
        <v>4452</v>
      </c>
      <c r="H1581" s="7" t="s">
        <v>4454</v>
      </c>
      <c r="I1581" s="9">
        <v>45362</v>
      </c>
    </row>
    <row r="1582" spans="1:9" x14ac:dyDescent="0.15">
      <c r="A1582" s="6">
        <v>1581</v>
      </c>
      <c r="B1582" s="7" t="s">
        <v>7</v>
      </c>
      <c r="C1582" s="8">
        <v>1890</v>
      </c>
      <c r="D1582" s="9">
        <v>45449</v>
      </c>
      <c r="E1582" s="13">
        <f>+HYPERLINK("http://trademark.i-assist.jp/data/china/image_1890th/77219413.pdf",77219413)</f>
        <v>77219413</v>
      </c>
      <c r="F1582" s="7" t="s">
        <v>4455</v>
      </c>
      <c r="G1582" s="7" t="s">
        <v>4411</v>
      </c>
      <c r="H1582" s="7" t="s">
        <v>4456</v>
      </c>
      <c r="I1582" s="9">
        <v>45362</v>
      </c>
    </row>
    <row r="1583" spans="1:9" x14ac:dyDescent="0.15">
      <c r="A1583" s="6">
        <v>1582</v>
      </c>
      <c r="B1583" s="7" t="s">
        <v>7</v>
      </c>
      <c r="C1583" s="8">
        <v>1890</v>
      </c>
      <c r="D1583" s="9">
        <v>45449</v>
      </c>
      <c r="E1583" s="13">
        <f>+HYPERLINK("http://trademark.i-assist.jp/data/china/image_1890th/77219440.pdf",77219440)</f>
        <v>77219440</v>
      </c>
      <c r="F1583" s="7" t="s">
        <v>4458</v>
      </c>
      <c r="G1583" s="7" t="s">
        <v>4457</v>
      </c>
      <c r="H1583" s="7" t="s">
        <v>4459</v>
      </c>
      <c r="I1583" s="9">
        <v>45362</v>
      </c>
    </row>
    <row r="1584" spans="1:9" x14ac:dyDescent="0.15">
      <c r="A1584" s="6">
        <v>1583</v>
      </c>
      <c r="B1584" s="7" t="s">
        <v>7</v>
      </c>
      <c r="C1584" s="8">
        <v>1890</v>
      </c>
      <c r="D1584" s="9">
        <v>45449</v>
      </c>
      <c r="E1584" s="13">
        <f>+HYPERLINK("http://trademark.i-assist.jp/data/china/image_1890th/77238020.pdf",77238020)</f>
        <v>77238020</v>
      </c>
      <c r="F1584" s="7" t="s">
        <v>4461</v>
      </c>
      <c r="G1584" s="7" t="s">
        <v>4460</v>
      </c>
      <c r="H1584" s="7" t="s">
        <v>4462</v>
      </c>
      <c r="I1584" s="9">
        <v>45363</v>
      </c>
    </row>
    <row r="1585" spans="1:9" x14ac:dyDescent="0.15">
      <c r="A1585" s="6">
        <v>1584</v>
      </c>
      <c r="B1585" s="7" t="s">
        <v>7</v>
      </c>
      <c r="C1585" s="8">
        <v>1890</v>
      </c>
      <c r="D1585" s="9">
        <v>45449</v>
      </c>
      <c r="E1585" s="13">
        <f>+HYPERLINK("http://trademark.i-assist.jp/data/china/image_1890th/77238426.pdf",77238426)</f>
        <v>77238426</v>
      </c>
      <c r="F1585" s="7" t="s">
        <v>4464</v>
      </c>
      <c r="G1585" s="7" t="s">
        <v>4463</v>
      </c>
      <c r="H1585" s="7" t="s">
        <v>4465</v>
      </c>
      <c r="I1585" s="9">
        <v>45363</v>
      </c>
    </row>
    <row r="1586" spans="1:9" ht="27" x14ac:dyDescent="0.15">
      <c r="A1586" s="6">
        <v>1585</v>
      </c>
      <c r="B1586" s="7" t="s">
        <v>7</v>
      </c>
      <c r="C1586" s="8">
        <v>1890</v>
      </c>
      <c r="D1586" s="9">
        <v>45449</v>
      </c>
      <c r="E1586" s="13">
        <f>+HYPERLINK("http://trademark.i-assist.jp/data/china/image_1890th/77238444.pdf",77238444)</f>
        <v>77238444</v>
      </c>
      <c r="F1586" s="7" t="s">
        <v>4467</v>
      </c>
      <c r="G1586" s="7" t="s">
        <v>4466</v>
      </c>
      <c r="H1586" s="7" t="s">
        <v>4468</v>
      </c>
      <c r="I1586" s="9">
        <v>45363</v>
      </c>
    </row>
    <row r="1587" spans="1:9" x14ac:dyDescent="0.15">
      <c r="A1587" s="6">
        <v>1586</v>
      </c>
      <c r="B1587" s="7" t="s">
        <v>7</v>
      </c>
      <c r="C1587" s="8">
        <v>1890</v>
      </c>
      <c r="D1587" s="9">
        <v>45449</v>
      </c>
      <c r="E1587" s="13">
        <f>+HYPERLINK("http://trademark.i-assist.jp/data/china/image_1890th/77238966.pdf",77238966)</f>
        <v>77238966</v>
      </c>
      <c r="F1587" s="7" t="s">
        <v>4470</v>
      </c>
      <c r="G1587" s="7" t="s">
        <v>4469</v>
      </c>
      <c r="H1587" s="7" t="s">
        <v>4471</v>
      </c>
      <c r="I1587" s="9">
        <v>45363</v>
      </c>
    </row>
    <row r="1588" spans="1:9" x14ac:dyDescent="0.15">
      <c r="A1588" s="6">
        <v>1587</v>
      </c>
      <c r="B1588" s="7" t="s">
        <v>7</v>
      </c>
      <c r="C1588" s="8">
        <v>1890</v>
      </c>
      <c r="D1588" s="9">
        <v>45449</v>
      </c>
      <c r="E1588" s="13">
        <f>+HYPERLINK("http://trademark.i-assist.jp/data/china/image_1890th/77239115.pdf",77239115)</f>
        <v>77239115</v>
      </c>
      <c r="F1588" s="7" t="s">
        <v>4473</v>
      </c>
      <c r="G1588" s="7" t="s">
        <v>4472</v>
      </c>
      <c r="H1588" s="7" t="s">
        <v>4474</v>
      </c>
      <c r="I1588" s="9">
        <v>45363</v>
      </c>
    </row>
    <row r="1589" spans="1:9" x14ac:dyDescent="0.15">
      <c r="A1589" s="6">
        <v>1588</v>
      </c>
      <c r="B1589" s="7" t="s">
        <v>7</v>
      </c>
      <c r="C1589" s="8">
        <v>1890</v>
      </c>
      <c r="D1589" s="9">
        <v>45449</v>
      </c>
      <c r="E1589" s="13">
        <f>+HYPERLINK("http://trademark.i-assist.jp/data/china/image_1890th/77239151.pdf",77239151)</f>
        <v>77239151</v>
      </c>
      <c r="F1589" s="7" t="s">
        <v>4476</v>
      </c>
      <c r="G1589" s="7" t="s">
        <v>4475</v>
      </c>
      <c r="H1589" s="7" t="s">
        <v>4477</v>
      </c>
      <c r="I1589" s="9">
        <v>45363</v>
      </c>
    </row>
    <row r="1590" spans="1:9" x14ac:dyDescent="0.15">
      <c r="A1590" s="6">
        <v>1589</v>
      </c>
      <c r="B1590" s="7" t="s">
        <v>7</v>
      </c>
      <c r="C1590" s="8">
        <v>1890</v>
      </c>
      <c r="D1590" s="9">
        <v>45449</v>
      </c>
      <c r="E1590" s="13">
        <f>+HYPERLINK("http://trademark.i-assist.jp/data/china/image_1890th/77239221.pdf",77239221)</f>
        <v>77239221</v>
      </c>
      <c r="F1590" s="7" t="s">
        <v>4479</v>
      </c>
      <c r="G1590" s="7" t="s">
        <v>4478</v>
      </c>
      <c r="H1590" s="7" t="s">
        <v>4480</v>
      </c>
      <c r="I1590" s="9">
        <v>45363</v>
      </c>
    </row>
    <row r="1591" spans="1:9" x14ac:dyDescent="0.15">
      <c r="A1591" s="6">
        <v>1590</v>
      </c>
      <c r="B1591" s="7" t="s">
        <v>7</v>
      </c>
      <c r="C1591" s="8">
        <v>1890</v>
      </c>
      <c r="D1591" s="9">
        <v>45449</v>
      </c>
      <c r="E1591" s="13">
        <f>+HYPERLINK("http://trademark.i-assist.jp/data/china/image_1890th/77239255.pdf",77239255)</f>
        <v>77239255</v>
      </c>
      <c r="F1591" s="7" t="s">
        <v>4482</v>
      </c>
      <c r="G1591" s="7" t="s">
        <v>4481</v>
      </c>
      <c r="H1591" s="7" t="s">
        <v>4483</v>
      </c>
      <c r="I1591" s="9">
        <v>45363</v>
      </c>
    </row>
    <row r="1592" spans="1:9" ht="27" x14ac:dyDescent="0.15">
      <c r="A1592" s="6">
        <v>1591</v>
      </c>
      <c r="B1592" s="7" t="s">
        <v>7</v>
      </c>
      <c r="C1592" s="8">
        <v>1890</v>
      </c>
      <c r="D1592" s="9">
        <v>45449</v>
      </c>
      <c r="E1592" s="13">
        <f>+HYPERLINK("http://trademark.i-assist.jp/data/china/image_1890th/77239684.pdf",77239684)</f>
        <v>77239684</v>
      </c>
      <c r="F1592" s="7" t="s">
        <v>4485</v>
      </c>
      <c r="G1592" s="7" t="s">
        <v>4484</v>
      </c>
      <c r="H1592" s="7" t="s">
        <v>4486</v>
      </c>
      <c r="I1592" s="9">
        <v>45363</v>
      </c>
    </row>
    <row r="1593" spans="1:9" x14ac:dyDescent="0.15">
      <c r="A1593" s="6">
        <v>1592</v>
      </c>
      <c r="B1593" s="7" t="s">
        <v>7</v>
      </c>
      <c r="C1593" s="8">
        <v>1890</v>
      </c>
      <c r="D1593" s="9">
        <v>45449</v>
      </c>
      <c r="E1593" s="13">
        <f>+HYPERLINK("http://trademark.i-assist.jp/data/china/image_1890th/77239699.pdf",77239699)</f>
        <v>77239699</v>
      </c>
      <c r="F1593" s="7" t="s">
        <v>4488</v>
      </c>
      <c r="G1593" s="7" t="s">
        <v>4487</v>
      </c>
      <c r="H1593" s="7" t="s">
        <v>4489</v>
      </c>
      <c r="I1593" s="9">
        <v>45363</v>
      </c>
    </row>
    <row r="1594" spans="1:9" x14ac:dyDescent="0.15">
      <c r="A1594" s="6">
        <v>1593</v>
      </c>
      <c r="B1594" s="7" t="s">
        <v>7</v>
      </c>
      <c r="C1594" s="8">
        <v>1890</v>
      </c>
      <c r="D1594" s="9">
        <v>45449</v>
      </c>
      <c r="E1594" s="13">
        <f>+HYPERLINK("http://trademark.i-assist.jp/data/china/image_1890th/77240144.pdf",77240144)</f>
        <v>77240144</v>
      </c>
      <c r="F1594" s="7" t="s">
        <v>4491</v>
      </c>
      <c r="G1594" s="7" t="s">
        <v>4490</v>
      </c>
      <c r="H1594" s="7" t="s">
        <v>4492</v>
      </c>
      <c r="I1594" s="9">
        <v>45363</v>
      </c>
    </row>
    <row r="1595" spans="1:9" x14ac:dyDescent="0.15">
      <c r="A1595" s="6">
        <v>1594</v>
      </c>
      <c r="B1595" s="7" t="s">
        <v>7</v>
      </c>
      <c r="C1595" s="8">
        <v>1890</v>
      </c>
      <c r="D1595" s="9">
        <v>45449</v>
      </c>
      <c r="E1595" s="13">
        <f>+HYPERLINK("http://trademark.i-assist.jp/data/china/image_1890th/77240204.pdf",77240204)</f>
        <v>77240204</v>
      </c>
      <c r="F1595" s="7" t="s">
        <v>4494</v>
      </c>
      <c r="G1595" s="7" t="s">
        <v>4493</v>
      </c>
      <c r="H1595" s="7" t="s">
        <v>4495</v>
      </c>
      <c r="I1595" s="9">
        <v>45363</v>
      </c>
    </row>
    <row r="1596" spans="1:9" x14ac:dyDescent="0.15">
      <c r="A1596" s="6">
        <v>1595</v>
      </c>
      <c r="B1596" s="7" t="s">
        <v>7</v>
      </c>
      <c r="C1596" s="8">
        <v>1890</v>
      </c>
      <c r="D1596" s="9">
        <v>45449</v>
      </c>
      <c r="E1596" s="13">
        <f>+HYPERLINK("http://trademark.i-assist.jp/data/china/image_1890th/77240231.pdf",77240231)</f>
        <v>77240231</v>
      </c>
      <c r="F1596" s="7" t="s">
        <v>4497</v>
      </c>
      <c r="G1596" s="7" t="s">
        <v>4496</v>
      </c>
      <c r="H1596" s="7" t="s">
        <v>4498</v>
      </c>
      <c r="I1596" s="9">
        <v>45363</v>
      </c>
    </row>
    <row r="1597" spans="1:9" x14ac:dyDescent="0.15">
      <c r="A1597" s="6">
        <v>1596</v>
      </c>
      <c r="B1597" s="7" t="s">
        <v>7</v>
      </c>
      <c r="C1597" s="8">
        <v>1890</v>
      </c>
      <c r="D1597" s="9">
        <v>45449</v>
      </c>
      <c r="E1597" s="13">
        <f>+HYPERLINK("http://trademark.i-assist.jp/data/china/image_1890th/77240273.pdf",77240273)</f>
        <v>77240273</v>
      </c>
      <c r="F1597" s="7" t="s">
        <v>4500</v>
      </c>
      <c r="G1597" s="7" t="s">
        <v>4499</v>
      </c>
      <c r="H1597" s="7" t="s">
        <v>4501</v>
      </c>
      <c r="I1597" s="9">
        <v>45363</v>
      </c>
    </row>
    <row r="1598" spans="1:9" x14ac:dyDescent="0.15">
      <c r="A1598" s="6">
        <v>1597</v>
      </c>
      <c r="B1598" s="7" t="s">
        <v>7</v>
      </c>
      <c r="C1598" s="8">
        <v>1890</v>
      </c>
      <c r="D1598" s="9">
        <v>45449</v>
      </c>
      <c r="E1598" s="13">
        <f>+HYPERLINK("http://trademark.i-assist.jp/data/china/image_1890th/77240440.pdf",77240440)</f>
        <v>77240440</v>
      </c>
      <c r="F1598" s="7" t="s">
        <v>4502</v>
      </c>
      <c r="G1598" s="7" t="s">
        <v>3903</v>
      </c>
      <c r="H1598" s="7" t="s">
        <v>4503</v>
      </c>
      <c r="I1598" s="9">
        <v>45363</v>
      </c>
    </row>
    <row r="1599" spans="1:9" x14ac:dyDescent="0.15">
      <c r="A1599" s="6">
        <v>1598</v>
      </c>
      <c r="B1599" s="7" t="s">
        <v>7</v>
      </c>
      <c r="C1599" s="8">
        <v>1890</v>
      </c>
      <c r="D1599" s="9">
        <v>45449</v>
      </c>
      <c r="E1599" s="13">
        <f>+HYPERLINK("http://trademark.i-assist.jp/data/china/image_1890th/77240466.pdf",77240466)</f>
        <v>77240466</v>
      </c>
      <c r="F1599" s="7" t="s">
        <v>4505</v>
      </c>
      <c r="G1599" s="7" t="s">
        <v>4504</v>
      </c>
      <c r="H1599" s="7" t="s">
        <v>4506</v>
      </c>
      <c r="I1599" s="9">
        <v>45363</v>
      </c>
    </row>
    <row r="1600" spans="1:9" x14ac:dyDescent="0.15">
      <c r="A1600" s="6">
        <v>1599</v>
      </c>
      <c r="B1600" s="7" t="s">
        <v>7</v>
      </c>
      <c r="C1600" s="8">
        <v>1890</v>
      </c>
      <c r="D1600" s="9">
        <v>45449</v>
      </c>
      <c r="E1600" s="13">
        <f>+HYPERLINK("http://trademark.i-assist.jp/data/china/image_1890th/77240589.pdf",77240589)</f>
        <v>77240589</v>
      </c>
      <c r="F1600" s="7" t="s">
        <v>4508</v>
      </c>
      <c r="G1600" s="7" t="s">
        <v>4507</v>
      </c>
      <c r="H1600" s="7" t="s">
        <v>4509</v>
      </c>
      <c r="I1600" s="9">
        <v>45363</v>
      </c>
    </row>
    <row r="1601" spans="1:9" x14ac:dyDescent="0.15">
      <c r="A1601" s="6">
        <v>1600</v>
      </c>
      <c r="B1601" s="7" t="s">
        <v>7</v>
      </c>
      <c r="C1601" s="8">
        <v>1890</v>
      </c>
      <c r="D1601" s="9">
        <v>45449</v>
      </c>
      <c r="E1601" s="13">
        <f>+HYPERLINK("http://trademark.i-assist.jp/data/china/image_1890th/77282165.pdf",77282165)</f>
        <v>77282165</v>
      </c>
      <c r="F1601" s="7" t="s">
        <v>4511</v>
      </c>
      <c r="G1601" s="7" t="s">
        <v>4510</v>
      </c>
      <c r="H1601" s="7" t="s">
        <v>4512</v>
      </c>
      <c r="I1601" s="9">
        <v>45364</v>
      </c>
    </row>
    <row r="1602" spans="1:9" ht="27" x14ac:dyDescent="0.15">
      <c r="A1602" s="6">
        <v>1601</v>
      </c>
      <c r="B1602" s="7" t="s">
        <v>7</v>
      </c>
      <c r="C1602" s="8">
        <v>1890</v>
      </c>
      <c r="D1602" s="9">
        <v>45449</v>
      </c>
      <c r="E1602" s="13">
        <f>+HYPERLINK("http://trademark.i-assist.jp/data/china/image_1890th/77282323.pdf",77282323)</f>
        <v>77282323</v>
      </c>
      <c r="F1602" s="7" t="s">
        <v>4514</v>
      </c>
      <c r="G1602" s="7" t="s">
        <v>4513</v>
      </c>
      <c r="H1602" s="7" t="s">
        <v>4515</v>
      </c>
      <c r="I1602" s="9">
        <v>45364</v>
      </c>
    </row>
    <row r="1603" spans="1:9" x14ac:dyDescent="0.15">
      <c r="A1603" s="6">
        <v>1602</v>
      </c>
      <c r="B1603" s="7" t="s">
        <v>7</v>
      </c>
      <c r="C1603" s="8">
        <v>1890</v>
      </c>
      <c r="D1603" s="9">
        <v>45449</v>
      </c>
      <c r="E1603" s="13">
        <f>+HYPERLINK("http://trademark.i-assist.jp/data/china/image_1890th/77282557.pdf",77282557)</f>
        <v>77282557</v>
      </c>
      <c r="F1603" s="7" t="s">
        <v>4517</v>
      </c>
      <c r="G1603" s="7" t="s">
        <v>4516</v>
      </c>
      <c r="H1603" s="7" t="s">
        <v>4518</v>
      </c>
      <c r="I1603" s="9">
        <v>45364</v>
      </c>
    </row>
    <row r="1604" spans="1:9" x14ac:dyDescent="0.15">
      <c r="A1604" s="6">
        <v>1603</v>
      </c>
      <c r="B1604" s="7" t="s">
        <v>7</v>
      </c>
      <c r="C1604" s="8">
        <v>1890</v>
      </c>
      <c r="D1604" s="9">
        <v>45449</v>
      </c>
      <c r="E1604" s="13">
        <f>+HYPERLINK("http://trademark.i-assist.jp/data/china/image_1890th/77282770.pdf",77282770)</f>
        <v>77282770</v>
      </c>
      <c r="F1604" s="7" t="s">
        <v>4520</v>
      </c>
      <c r="G1604" s="7" t="s">
        <v>4519</v>
      </c>
      <c r="H1604" s="7" t="s">
        <v>4521</v>
      </c>
      <c r="I1604" s="9">
        <v>45364</v>
      </c>
    </row>
    <row r="1605" spans="1:9" x14ac:dyDescent="0.15">
      <c r="A1605" s="6">
        <v>1604</v>
      </c>
      <c r="B1605" s="7" t="s">
        <v>7</v>
      </c>
      <c r="C1605" s="8">
        <v>1890</v>
      </c>
      <c r="D1605" s="9">
        <v>45449</v>
      </c>
      <c r="E1605" s="13">
        <f>+HYPERLINK("http://trademark.i-assist.jp/data/china/image_1890th/77282811.pdf",77282811)</f>
        <v>77282811</v>
      </c>
      <c r="F1605" s="7" t="s">
        <v>4523</v>
      </c>
      <c r="G1605" s="7" t="s">
        <v>4522</v>
      </c>
      <c r="H1605" s="7" t="s">
        <v>4524</v>
      </c>
      <c r="I1605" s="9">
        <v>45364</v>
      </c>
    </row>
    <row r="1606" spans="1:9" ht="27" x14ac:dyDescent="0.15">
      <c r="A1606" s="6">
        <v>1605</v>
      </c>
      <c r="B1606" s="7" t="s">
        <v>7</v>
      </c>
      <c r="C1606" s="8">
        <v>1890</v>
      </c>
      <c r="D1606" s="9">
        <v>45449</v>
      </c>
      <c r="E1606" s="13">
        <f>+HYPERLINK("http://trademark.i-assist.jp/data/china/image_1890th/77282956.pdf",77282956)</f>
        <v>77282956</v>
      </c>
      <c r="F1606" s="7" t="s">
        <v>4526</v>
      </c>
      <c r="G1606" s="7" t="s">
        <v>4525</v>
      </c>
      <c r="H1606" s="7" t="s">
        <v>4527</v>
      </c>
      <c r="I1606" s="9">
        <v>45364</v>
      </c>
    </row>
    <row r="1607" spans="1:9" x14ac:dyDescent="0.15">
      <c r="A1607" s="6">
        <v>1606</v>
      </c>
      <c r="B1607" s="7" t="s">
        <v>7</v>
      </c>
      <c r="C1607" s="8">
        <v>1890</v>
      </c>
      <c r="D1607" s="9">
        <v>45449</v>
      </c>
      <c r="E1607" s="13">
        <f>+HYPERLINK("http://trademark.i-assist.jp/data/china/image_1890th/77283128.pdf",77283128)</f>
        <v>77283128</v>
      </c>
      <c r="F1607" s="7" t="s">
        <v>4529</v>
      </c>
      <c r="G1607" s="7" t="s">
        <v>4528</v>
      </c>
      <c r="H1607" s="7" t="s">
        <v>4530</v>
      </c>
      <c r="I1607" s="9">
        <v>45364</v>
      </c>
    </row>
    <row r="1608" spans="1:9" ht="27" x14ac:dyDescent="0.15">
      <c r="A1608" s="6">
        <v>1607</v>
      </c>
      <c r="B1608" s="7" t="s">
        <v>7</v>
      </c>
      <c r="C1608" s="8">
        <v>1890</v>
      </c>
      <c r="D1608" s="9">
        <v>45449</v>
      </c>
      <c r="E1608" s="13">
        <f>+HYPERLINK("http://trademark.i-assist.jp/data/china/image_1890th/77283211.pdf",77283211)</f>
        <v>77283211</v>
      </c>
      <c r="F1608" s="7" t="s">
        <v>806</v>
      </c>
      <c r="G1608" s="7" t="s">
        <v>805</v>
      </c>
      <c r="H1608" s="7" t="s">
        <v>4531</v>
      </c>
      <c r="I1608" s="9">
        <v>45364</v>
      </c>
    </row>
    <row r="1609" spans="1:9" ht="27" x14ac:dyDescent="0.15">
      <c r="A1609" s="6">
        <v>1608</v>
      </c>
      <c r="B1609" s="7" t="s">
        <v>7</v>
      </c>
      <c r="C1609" s="8">
        <v>1890</v>
      </c>
      <c r="D1609" s="9">
        <v>45449</v>
      </c>
      <c r="E1609" s="13">
        <f>+HYPERLINK("http://trademark.i-assist.jp/data/china/image_1890th/77283260.pdf",77283260)</f>
        <v>77283260</v>
      </c>
      <c r="F1609" s="7" t="s">
        <v>4036</v>
      </c>
      <c r="G1609" s="7" t="s">
        <v>4035</v>
      </c>
      <c r="H1609" s="7" t="s">
        <v>4532</v>
      </c>
      <c r="I1609" s="9">
        <v>45364</v>
      </c>
    </row>
    <row r="1610" spans="1:9" ht="27" x14ac:dyDescent="0.15">
      <c r="A1610" s="6">
        <v>1609</v>
      </c>
      <c r="B1610" s="7" t="s">
        <v>7</v>
      </c>
      <c r="C1610" s="8">
        <v>1890</v>
      </c>
      <c r="D1610" s="9">
        <v>45449</v>
      </c>
      <c r="E1610" s="13">
        <f>+HYPERLINK("http://trademark.i-assist.jp/data/china/image_1890th/77283320.pdf",77283320)</f>
        <v>77283320</v>
      </c>
      <c r="F1610" s="7" t="s">
        <v>4534</v>
      </c>
      <c r="G1610" s="7" t="s">
        <v>4533</v>
      </c>
      <c r="H1610" s="7" t="s">
        <v>4535</v>
      </c>
      <c r="I1610" s="9">
        <v>45364</v>
      </c>
    </row>
    <row r="1611" spans="1:9" x14ac:dyDescent="0.15">
      <c r="A1611" s="6">
        <v>1610</v>
      </c>
      <c r="B1611" s="7" t="s">
        <v>7</v>
      </c>
      <c r="C1611" s="8">
        <v>1890</v>
      </c>
      <c r="D1611" s="9">
        <v>45449</v>
      </c>
      <c r="E1611" s="13">
        <f>+HYPERLINK("http://trademark.i-assist.jp/data/china/image_1890th/77283324.pdf",77283324)</f>
        <v>77283324</v>
      </c>
      <c r="F1611" s="7" t="s">
        <v>4537</v>
      </c>
      <c r="G1611" s="7" t="s">
        <v>4536</v>
      </c>
      <c r="H1611" s="7" t="s">
        <v>4538</v>
      </c>
      <c r="I1611" s="9">
        <v>45364</v>
      </c>
    </row>
    <row r="1612" spans="1:9" x14ac:dyDescent="0.15">
      <c r="A1612" s="6">
        <v>1611</v>
      </c>
      <c r="B1612" s="7" t="s">
        <v>7</v>
      </c>
      <c r="C1612" s="8">
        <v>1890</v>
      </c>
      <c r="D1612" s="9">
        <v>45449</v>
      </c>
      <c r="E1612" s="13">
        <f>+HYPERLINK("http://trademark.i-assist.jp/data/china/image_1890th/77370533.pdf",77370533)</f>
        <v>77370533</v>
      </c>
      <c r="F1612" s="7" t="s">
        <v>4540</v>
      </c>
      <c r="G1612" s="7" t="s">
        <v>4539</v>
      </c>
      <c r="H1612" s="7" t="s">
        <v>4541</v>
      </c>
      <c r="I1612" s="9">
        <v>45369</v>
      </c>
    </row>
    <row r="1613" spans="1:9" ht="27" x14ac:dyDescent="0.15">
      <c r="A1613" s="6">
        <v>1612</v>
      </c>
      <c r="B1613" s="7" t="s">
        <v>7</v>
      </c>
      <c r="C1613" s="8">
        <v>1890</v>
      </c>
      <c r="D1613" s="9">
        <v>45449</v>
      </c>
      <c r="E1613" s="13">
        <f>+HYPERLINK("http://trademark.i-assist.jp/data/china/image_1890th/77370550.pdf",77370550)</f>
        <v>77370550</v>
      </c>
      <c r="F1613" s="7" t="s">
        <v>4543</v>
      </c>
      <c r="G1613" s="7" t="s">
        <v>4542</v>
      </c>
      <c r="H1613" s="7" t="s">
        <v>4544</v>
      </c>
      <c r="I1613" s="9">
        <v>45369</v>
      </c>
    </row>
    <row r="1614" spans="1:9" ht="27" x14ac:dyDescent="0.15">
      <c r="A1614" s="6">
        <v>1613</v>
      </c>
      <c r="B1614" s="7" t="s">
        <v>7</v>
      </c>
      <c r="C1614" s="8">
        <v>1890</v>
      </c>
      <c r="D1614" s="9">
        <v>45449</v>
      </c>
      <c r="E1614" s="13">
        <f>+HYPERLINK("http://trademark.i-assist.jp/data/china/image_1890th/77370562.pdf",77370562)</f>
        <v>77370562</v>
      </c>
      <c r="F1614" s="7" t="s">
        <v>4545</v>
      </c>
      <c r="G1614" s="7" t="s">
        <v>4542</v>
      </c>
      <c r="H1614" s="7" t="s">
        <v>4546</v>
      </c>
      <c r="I1614" s="9">
        <v>45369</v>
      </c>
    </row>
    <row r="1615" spans="1:9" x14ac:dyDescent="0.15">
      <c r="A1615" s="6">
        <v>1614</v>
      </c>
      <c r="B1615" s="7" t="s">
        <v>7</v>
      </c>
      <c r="C1615" s="8">
        <v>1890</v>
      </c>
      <c r="D1615" s="9">
        <v>45449</v>
      </c>
      <c r="E1615" s="13">
        <f>+HYPERLINK("http://trademark.i-assist.jp/data/china/image_1890th/77370583.pdf",77370583)</f>
        <v>77370583</v>
      </c>
      <c r="F1615" s="7" t="s">
        <v>4548</v>
      </c>
      <c r="G1615" s="7" t="s">
        <v>4547</v>
      </c>
      <c r="H1615" s="7" t="s">
        <v>4549</v>
      </c>
      <c r="I1615" s="9">
        <v>45369</v>
      </c>
    </row>
    <row r="1616" spans="1:9" x14ac:dyDescent="0.15">
      <c r="A1616" s="6">
        <v>1615</v>
      </c>
      <c r="B1616" s="7" t="s">
        <v>7</v>
      </c>
      <c r="C1616" s="8">
        <v>1890</v>
      </c>
      <c r="D1616" s="9">
        <v>45449</v>
      </c>
      <c r="E1616" s="13">
        <f>+HYPERLINK("http://trademark.i-assist.jp/data/china/image_1890th/77370687.pdf",77370687)</f>
        <v>77370687</v>
      </c>
      <c r="F1616" s="7" t="s">
        <v>4551</v>
      </c>
      <c r="G1616" s="7" t="s">
        <v>4550</v>
      </c>
      <c r="H1616" s="7" t="s">
        <v>4552</v>
      </c>
      <c r="I1616" s="9">
        <v>45369</v>
      </c>
    </row>
    <row r="1617" spans="1:9" x14ac:dyDescent="0.15">
      <c r="A1617" s="6">
        <v>1616</v>
      </c>
      <c r="B1617" s="7" t="s">
        <v>7</v>
      </c>
      <c r="C1617" s="8">
        <v>1890</v>
      </c>
      <c r="D1617" s="9">
        <v>45449</v>
      </c>
      <c r="E1617" s="13">
        <f>+HYPERLINK("http://trademark.i-assist.jp/data/china/image_1890th/77370703.pdf",77370703)</f>
        <v>77370703</v>
      </c>
      <c r="F1617" s="7" t="s">
        <v>4554</v>
      </c>
      <c r="G1617" s="7" t="s">
        <v>4553</v>
      </c>
      <c r="H1617" s="7" t="s">
        <v>4555</v>
      </c>
      <c r="I1617" s="9">
        <v>45369</v>
      </c>
    </row>
    <row r="1618" spans="1:9" x14ac:dyDescent="0.15">
      <c r="A1618" s="6">
        <v>1617</v>
      </c>
      <c r="B1618" s="7" t="s">
        <v>7</v>
      </c>
      <c r="C1618" s="8">
        <v>1890</v>
      </c>
      <c r="D1618" s="9">
        <v>45449</v>
      </c>
      <c r="E1618" s="13">
        <f>+HYPERLINK("http://trademark.i-assist.jp/data/china/image_1890th/77370840.pdf",77370840)</f>
        <v>77370840</v>
      </c>
      <c r="F1618" s="7" t="s">
        <v>4557</v>
      </c>
      <c r="G1618" s="7" t="s">
        <v>4556</v>
      </c>
      <c r="H1618" s="7" t="s">
        <v>4558</v>
      </c>
      <c r="I1618" s="9">
        <v>45369</v>
      </c>
    </row>
    <row r="1619" spans="1:9" x14ac:dyDescent="0.15">
      <c r="A1619" s="6">
        <v>1618</v>
      </c>
      <c r="B1619" s="7" t="s">
        <v>7</v>
      </c>
      <c r="C1619" s="8">
        <v>1890</v>
      </c>
      <c r="D1619" s="9">
        <v>45449</v>
      </c>
      <c r="E1619" s="13">
        <f>+HYPERLINK("http://trademark.i-assist.jp/data/china/image_1890th/77370904.pdf",77370904)</f>
        <v>77370904</v>
      </c>
      <c r="F1619" s="7" t="s">
        <v>4560</v>
      </c>
      <c r="G1619" s="7" t="s">
        <v>4559</v>
      </c>
      <c r="H1619" s="7" t="s">
        <v>4561</v>
      </c>
      <c r="I1619" s="9">
        <v>45369</v>
      </c>
    </row>
    <row r="1620" spans="1:9" x14ac:dyDescent="0.15">
      <c r="A1620" s="6">
        <v>1619</v>
      </c>
      <c r="B1620" s="7" t="s">
        <v>7</v>
      </c>
      <c r="C1620" s="8">
        <v>1890</v>
      </c>
      <c r="D1620" s="9">
        <v>45449</v>
      </c>
      <c r="E1620" s="13">
        <f>+HYPERLINK("http://trademark.i-assist.jp/data/china/image_1890th/77370933.pdf",77370933)</f>
        <v>77370933</v>
      </c>
      <c r="F1620" s="7" t="s">
        <v>4563</v>
      </c>
      <c r="G1620" s="7" t="s">
        <v>4562</v>
      </c>
      <c r="H1620" s="7" t="s">
        <v>4564</v>
      </c>
      <c r="I1620" s="9">
        <v>45369</v>
      </c>
    </row>
    <row r="1621" spans="1:9" x14ac:dyDescent="0.15">
      <c r="A1621" s="6">
        <v>1620</v>
      </c>
      <c r="B1621" s="7" t="s">
        <v>7</v>
      </c>
      <c r="C1621" s="8">
        <v>1890</v>
      </c>
      <c r="D1621" s="9">
        <v>45449</v>
      </c>
      <c r="E1621" s="13">
        <f>+HYPERLINK("http://trademark.i-assist.jp/data/china/image_1890th/77370941.pdf",77370941)</f>
        <v>77370941</v>
      </c>
      <c r="F1621" s="7" t="s">
        <v>4566</v>
      </c>
      <c r="G1621" s="7" t="s">
        <v>4565</v>
      </c>
      <c r="H1621" s="7" t="s">
        <v>4567</v>
      </c>
      <c r="I1621" s="9">
        <v>45369</v>
      </c>
    </row>
    <row r="1622" spans="1:9" x14ac:dyDescent="0.15">
      <c r="A1622" s="6">
        <v>1621</v>
      </c>
      <c r="B1622" s="7" t="s">
        <v>7</v>
      </c>
      <c r="C1622" s="8">
        <v>1890</v>
      </c>
      <c r="D1622" s="9">
        <v>45449</v>
      </c>
      <c r="E1622" s="13">
        <f>+HYPERLINK("http://trademark.i-assist.jp/data/china/image_1890th/77370972.pdf",77370972)</f>
        <v>77370972</v>
      </c>
      <c r="F1622" s="7" t="s">
        <v>4569</v>
      </c>
      <c r="G1622" s="7" t="s">
        <v>4568</v>
      </c>
      <c r="H1622" s="7" t="s">
        <v>4570</v>
      </c>
      <c r="I1622" s="9">
        <v>45369</v>
      </c>
    </row>
    <row r="1623" spans="1:9" x14ac:dyDescent="0.15">
      <c r="A1623" s="6">
        <v>1622</v>
      </c>
      <c r="B1623" s="7" t="s">
        <v>7</v>
      </c>
      <c r="C1623" s="8">
        <v>1890</v>
      </c>
      <c r="D1623" s="9">
        <v>45449</v>
      </c>
      <c r="E1623" s="13">
        <f>+HYPERLINK("http://trademark.i-assist.jp/data/china/image_1890th/77370973.pdf",77370973)</f>
        <v>77370973</v>
      </c>
      <c r="F1623" s="7" t="s">
        <v>4572</v>
      </c>
      <c r="G1623" s="7" t="s">
        <v>4571</v>
      </c>
      <c r="H1623" s="7" t="s">
        <v>4573</v>
      </c>
      <c r="I1623" s="9">
        <v>45369</v>
      </c>
    </row>
    <row r="1624" spans="1:9" ht="27" x14ac:dyDescent="0.15">
      <c r="A1624" s="6">
        <v>1623</v>
      </c>
      <c r="B1624" s="7" t="s">
        <v>7</v>
      </c>
      <c r="C1624" s="8">
        <v>1890</v>
      </c>
      <c r="D1624" s="9">
        <v>45449</v>
      </c>
      <c r="E1624" s="13">
        <f>+HYPERLINK("http://trademark.i-assist.jp/data/china/image_1890th/77371056.pdf",77371056)</f>
        <v>77371056</v>
      </c>
      <c r="F1624" s="7" t="s">
        <v>4575</v>
      </c>
      <c r="G1624" s="7" t="s">
        <v>4574</v>
      </c>
      <c r="H1624" s="7" t="s">
        <v>1064</v>
      </c>
      <c r="I1624" s="9">
        <v>45369</v>
      </c>
    </row>
    <row r="1625" spans="1:9" x14ac:dyDescent="0.15">
      <c r="A1625" s="6">
        <v>1624</v>
      </c>
      <c r="B1625" s="7" t="s">
        <v>7</v>
      </c>
      <c r="C1625" s="8">
        <v>1890</v>
      </c>
      <c r="D1625" s="9">
        <v>45449</v>
      </c>
      <c r="E1625" s="13">
        <f>+HYPERLINK("http://trademark.i-assist.jp/data/china/image_1890th/77371322.pdf",77371322)</f>
        <v>77371322</v>
      </c>
      <c r="F1625" s="7" t="s">
        <v>4577</v>
      </c>
      <c r="G1625" s="7" t="s">
        <v>4576</v>
      </c>
      <c r="H1625" s="7" t="s">
        <v>4578</v>
      </c>
      <c r="I1625" s="9">
        <v>45369</v>
      </c>
    </row>
    <row r="1626" spans="1:9" x14ac:dyDescent="0.15">
      <c r="A1626" s="6">
        <v>1625</v>
      </c>
      <c r="B1626" s="7" t="s">
        <v>7</v>
      </c>
      <c r="C1626" s="8">
        <v>1890</v>
      </c>
      <c r="D1626" s="9">
        <v>45449</v>
      </c>
      <c r="E1626" s="13">
        <f>+HYPERLINK("http://trademark.i-assist.jp/data/china/image_1890th/77405775.pdf",77405775)</f>
        <v>77405775</v>
      </c>
      <c r="F1626" s="7" t="s">
        <v>4580</v>
      </c>
      <c r="G1626" s="7" t="s">
        <v>4579</v>
      </c>
      <c r="H1626" s="7" t="s">
        <v>4581</v>
      </c>
      <c r="I1626" s="9">
        <v>45370</v>
      </c>
    </row>
    <row r="1627" spans="1:9" x14ac:dyDescent="0.15">
      <c r="A1627" s="6">
        <v>1626</v>
      </c>
      <c r="B1627" s="7" t="s">
        <v>7</v>
      </c>
      <c r="C1627" s="8">
        <v>1890</v>
      </c>
      <c r="D1627" s="9">
        <v>45449</v>
      </c>
      <c r="E1627" s="13">
        <f>+HYPERLINK("http://trademark.i-assist.jp/data/china/image_1890th/77405788.pdf",77405788)</f>
        <v>77405788</v>
      </c>
      <c r="F1627" s="7" t="s">
        <v>4583</v>
      </c>
      <c r="G1627" s="7" t="s">
        <v>4582</v>
      </c>
      <c r="H1627" s="7" t="s">
        <v>4584</v>
      </c>
      <c r="I1627" s="9">
        <v>45370</v>
      </c>
    </row>
    <row r="1628" spans="1:9" x14ac:dyDescent="0.15">
      <c r="A1628" s="6">
        <v>1627</v>
      </c>
      <c r="B1628" s="7" t="s">
        <v>7</v>
      </c>
      <c r="C1628" s="8">
        <v>1890</v>
      </c>
      <c r="D1628" s="9">
        <v>45449</v>
      </c>
      <c r="E1628" s="13">
        <f>+HYPERLINK("http://trademark.i-assist.jp/data/china/image_1890th/77405954.pdf",77405954)</f>
        <v>77405954</v>
      </c>
      <c r="F1628" s="7" t="s">
        <v>4586</v>
      </c>
      <c r="G1628" s="7" t="s">
        <v>4585</v>
      </c>
      <c r="H1628" s="7" t="s">
        <v>4587</v>
      </c>
      <c r="I1628" s="9">
        <v>45370</v>
      </c>
    </row>
    <row r="1629" spans="1:9" x14ac:dyDescent="0.15">
      <c r="A1629" s="6">
        <v>1628</v>
      </c>
      <c r="B1629" s="7" t="s">
        <v>7</v>
      </c>
      <c r="C1629" s="8">
        <v>1890</v>
      </c>
      <c r="D1629" s="9">
        <v>45449</v>
      </c>
      <c r="E1629" s="13">
        <f>+HYPERLINK("http://trademark.i-assist.jp/data/china/image_1890th/77406213.pdf",77406213)</f>
        <v>77406213</v>
      </c>
      <c r="F1629" s="7" t="s">
        <v>4589</v>
      </c>
      <c r="G1629" s="7" t="s">
        <v>4588</v>
      </c>
      <c r="H1629" s="7" t="s">
        <v>4590</v>
      </c>
      <c r="I1629" s="9">
        <v>45370</v>
      </c>
    </row>
    <row r="1630" spans="1:9" x14ac:dyDescent="0.15">
      <c r="A1630" s="6">
        <v>1629</v>
      </c>
      <c r="B1630" s="7" t="s">
        <v>7</v>
      </c>
      <c r="C1630" s="8">
        <v>1890</v>
      </c>
      <c r="D1630" s="9">
        <v>45449</v>
      </c>
      <c r="E1630" s="13">
        <f>+HYPERLINK("http://trademark.i-assist.jp/data/china/image_1890th/77406246.pdf",77406246)</f>
        <v>77406246</v>
      </c>
      <c r="F1630" s="7" t="s">
        <v>4592</v>
      </c>
      <c r="G1630" s="7" t="s">
        <v>4591</v>
      </c>
      <c r="H1630" s="7" t="s">
        <v>4593</v>
      </c>
      <c r="I1630" s="9">
        <v>45370</v>
      </c>
    </row>
    <row r="1631" spans="1:9" x14ac:dyDescent="0.15">
      <c r="A1631" s="6">
        <v>1630</v>
      </c>
      <c r="B1631" s="7" t="s">
        <v>7</v>
      </c>
      <c r="C1631" s="8">
        <v>1890</v>
      </c>
      <c r="D1631" s="9">
        <v>45449</v>
      </c>
      <c r="E1631" s="13">
        <f>+HYPERLINK("http://trademark.i-assist.jp/data/china/image_1890th/77406253.pdf",77406253)</f>
        <v>77406253</v>
      </c>
      <c r="F1631" s="7" t="s">
        <v>183</v>
      </c>
      <c r="G1631" s="7" t="s">
        <v>4594</v>
      </c>
      <c r="H1631" s="7" t="s">
        <v>4595</v>
      </c>
      <c r="I1631" s="9">
        <v>45370</v>
      </c>
    </row>
    <row r="1632" spans="1:9" x14ac:dyDescent="0.15">
      <c r="A1632" s="6">
        <v>1631</v>
      </c>
      <c r="B1632" s="7" t="s">
        <v>7</v>
      </c>
      <c r="C1632" s="8">
        <v>1890</v>
      </c>
      <c r="D1632" s="9">
        <v>45449</v>
      </c>
      <c r="E1632" s="13">
        <f>+HYPERLINK("http://trademark.i-assist.jp/data/china/image_1890th/77406273.pdf",77406273)</f>
        <v>77406273</v>
      </c>
      <c r="F1632" s="7" t="s">
        <v>4597</v>
      </c>
      <c r="G1632" s="7" t="s">
        <v>4596</v>
      </c>
      <c r="H1632" s="7" t="s">
        <v>4598</v>
      </c>
      <c r="I1632" s="9">
        <v>45370</v>
      </c>
    </row>
    <row r="1633" spans="1:9" x14ac:dyDescent="0.15">
      <c r="A1633" s="6">
        <v>1632</v>
      </c>
      <c r="B1633" s="7" t="s">
        <v>7</v>
      </c>
      <c r="C1633" s="8">
        <v>1890</v>
      </c>
      <c r="D1633" s="9">
        <v>45449</v>
      </c>
      <c r="E1633" s="13">
        <f>+HYPERLINK("http://trademark.i-assist.jp/data/china/image_1890th/77406277.pdf",77406277)</f>
        <v>77406277</v>
      </c>
      <c r="F1633" s="7" t="s">
        <v>4600</v>
      </c>
      <c r="G1633" s="7" t="s">
        <v>4599</v>
      </c>
      <c r="H1633" s="7" t="s">
        <v>4601</v>
      </c>
      <c r="I1633" s="9">
        <v>45370</v>
      </c>
    </row>
    <row r="1634" spans="1:9" x14ac:dyDescent="0.15">
      <c r="A1634" s="6">
        <v>1633</v>
      </c>
      <c r="B1634" s="7" t="s">
        <v>7</v>
      </c>
      <c r="C1634" s="8">
        <v>1890</v>
      </c>
      <c r="D1634" s="9">
        <v>45449</v>
      </c>
      <c r="E1634" s="13">
        <f>+HYPERLINK("http://trademark.i-assist.jp/data/china/image_1890th/77406339.pdf",77406339)</f>
        <v>77406339</v>
      </c>
      <c r="F1634" s="7" t="s">
        <v>4602</v>
      </c>
      <c r="G1634" s="7" t="s">
        <v>260</v>
      </c>
      <c r="H1634" s="7" t="s">
        <v>4603</v>
      </c>
      <c r="I1634" s="9">
        <v>45370</v>
      </c>
    </row>
    <row r="1635" spans="1:9" x14ac:dyDescent="0.15">
      <c r="A1635" s="6">
        <v>1634</v>
      </c>
      <c r="B1635" s="7" t="s">
        <v>7</v>
      </c>
      <c r="C1635" s="8">
        <v>1890</v>
      </c>
      <c r="D1635" s="9">
        <v>45449</v>
      </c>
      <c r="E1635" s="13">
        <f>+HYPERLINK("http://trademark.i-assist.jp/data/china/image_1890th/77406420.pdf",77406420)</f>
        <v>77406420</v>
      </c>
      <c r="F1635" s="7" t="s">
        <v>4605</v>
      </c>
      <c r="G1635" s="7" t="s">
        <v>4604</v>
      </c>
      <c r="H1635" s="7" t="s">
        <v>4606</v>
      </c>
      <c r="I1635" s="9">
        <v>45370</v>
      </c>
    </row>
    <row r="1636" spans="1:9" x14ac:dyDescent="0.15">
      <c r="A1636" s="6">
        <v>1635</v>
      </c>
      <c r="B1636" s="7" t="s">
        <v>7</v>
      </c>
      <c r="C1636" s="8">
        <v>1890</v>
      </c>
      <c r="D1636" s="9">
        <v>45449</v>
      </c>
      <c r="E1636" s="13">
        <f>+HYPERLINK("http://trademark.i-assist.jp/data/china/image_1890th/77406455.pdf",77406455)</f>
        <v>77406455</v>
      </c>
      <c r="F1636" s="7" t="s">
        <v>183</v>
      </c>
      <c r="G1636" s="7" t="s">
        <v>4607</v>
      </c>
      <c r="H1636" s="7" t="s">
        <v>4608</v>
      </c>
      <c r="I1636" s="9">
        <v>45370</v>
      </c>
    </row>
    <row r="1637" spans="1:9" x14ac:dyDescent="0.15">
      <c r="A1637" s="6">
        <v>1636</v>
      </c>
      <c r="B1637" s="7" t="s">
        <v>7</v>
      </c>
      <c r="C1637" s="8">
        <v>1890</v>
      </c>
      <c r="D1637" s="9">
        <v>45449</v>
      </c>
      <c r="E1637" s="13">
        <f>+HYPERLINK("http://trademark.i-assist.jp/data/china/image_1890th/77406707.pdf",77406707)</f>
        <v>77406707</v>
      </c>
      <c r="F1637" s="7" t="s">
        <v>4609</v>
      </c>
      <c r="G1637" s="7" t="s">
        <v>39</v>
      </c>
      <c r="H1637" s="7" t="s">
        <v>4610</v>
      </c>
      <c r="I1637" s="9">
        <v>45370</v>
      </c>
    </row>
    <row r="1638" spans="1:9" x14ac:dyDescent="0.15">
      <c r="A1638" s="6">
        <v>1637</v>
      </c>
      <c r="B1638" s="7" t="s">
        <v>7</v>
      </c>
      <c r="C1638" s="8">
        <v>1890</v>
      </c>
      <c r="D1638" s="9">
        <v>45449</v>
      </c>
      <c r="E1638" s="13">
        <f>+HYPERLINK("http://trademark.i-assist.jp/data/china/image_1890th/77406869.pdf",77406869)</f>
        <v>77406869</v>
      </c>
      <c r="F1638" s="7" t="s">
        <v>4612</v>
      </c>
      <c r="G1638" s="7" t="s">
        <v>4611</v>
      </c>
      <c r="H1638" s="7" t="s">
        <v>4613</v>
      </c>
      <c r="I1638" s="9">
        <v>45370</v>
      </c>
    </row>
    <row r="1639" spans="1:9" x14ac:dyDescent="0.15">
      <c r="A1639" s="6">
        <v>1638</v>
      </c>
      <c r="B1639" s="7" t="s">
        <v>7</v>
      </c>
      <c r="C1639" s="8">
        <v>1890</v>
      </c>
      <c r="D1639" s="9">
        <v>45449</v>
      </c>
      <c r="E1639" s="13">
        <f>+HYPERLINK("http://trademark.i-assist.jp/data/china/image_1890th/77407058.pdf",77407058)</f>
        <v>77407058</v>
      </c>
      <c r="F1639" s="7" t="s">
        <v>4615</v>
      </c>
      <c r="G1639" s="7" t="s">
        <v>4614</v>
      </c>
      <c r="H1639" s="7" t="s">
        <v>4616</v>
      </c>
      <c r="I1639" s="9">
        <v>45370</v>
      </c>
    </row>
    <row r="1640" spans="1:9" x14ac:dyDescent="0.15">
      <c r="A1640" s="6">
        <v>1639</v>
      </c>
      <c r="B1640" s="7" t="s">
        <v>7</v>
      </c>
      <c r="C1640" s="8">
        <v>1890</v>
      </c>
      <c r="D1640" s="9">
        <v>45449</v>
      </c>
      <c r="E1640" s="13">
        <f>+HYPERLINK("http://trademark.i-assist.jp/data/china/image_1890th/77407280.pdf",77407280)</f>
        <v>77407280</v>
      </c>
      <c r="F1640" s="7" t="s">
        <v>4617</v>
      </c>
      <c r="G1640" s="7" t="s">
        <v>268</v>
      </c>
      <c r="H1640" s="7" t="s">
        <v>4618</v>
      </c>
      <c r="I1640" s="9">
        <v>45370</v>
      </c>
    </row>
    <row r="1641" spans="1:9" x14ac:dyDescent="0.15">
      <c r="A1641" s="6">
        <v>1640</v>
      </c>
      <c r="B1641" s="7" t="s">
        <v>7</v>
      </c>
      <c r="C1641" s="8">
        <v>1890</v>
      </c>
      <c r="D1641" s="9">
        <v>45449</v>
      </c>
      <c r="E1641" s="13">
        <f>+HYPERLINK("http://trademark.i-assist.jp/data/china/image_1890th/77454447.pdf",77454447)</f>
        <v>77454447</v>
      </c>
      <c r="F1641" s="7" t="s">
        <v>4620</v>
      </c>
      <c r="G1641" s="7" t="s">
        <v>4619</v>
      </c>
      <c r="H1641" s="7" t="s">
        <v>4621</v>
      </c>
      <c r="I1641" s="9">
        <v>45372</v>
      </c>
    </row>
    <row r="1642" spans="1:9" x14ac:dyDescent="0.15">
      <c r="A1642" s="6">
        <v>1641</v>
      </c>
      <c r="B1642" s="7" t="s">
        <v>7</v>
      </c>
      <c r="C1642" s="8">
        <v>1890</v>
      </c>
      <c r="D1642" s="9">
        <v>45449</v>
      </c>
      <c r="E1642" s="13">
        <f>+HYPERLINK("http://trademark.i-assist.jp/data/china/image_1890th/77454825.pdf",77454825)</f>
        <v>77454825</v>
      </c>
      <c r="F1642" s="7" t="s">
        <v>4623</v>
      </c>
      <c r="G1642" s="7" t="s">
        <v>4622</v>
      </c>
      <c r="H1642" s="7" t="s">
        <v>4624</v>
      </c>
      <c r="I1642" s="9">
        <v>45372</v>
      </c>
    </row>
    <row r="1643" spans="1:9" x14ac:dyDescent="0.15">
      <c r="A1643" s="6">
        <v>1642</v>
      </c>
      <c r="B1643" s="7" t="s">
        <v>7</v>
      </c>
      <c r="C1643" s="8">
        <v>1890</v>
      </c>
      <c r="D1643" s="9">
        <v>45449</v>
      </c>
      <c r="E1643" s="13">
        <f>+HYPERLINK("http://trademark.i-assist.jp/data/china/image_1890th/77454941.pdf",77454941)</f>
        <v>77454941</v>
      </c>
      <c r="F1643" s="7" t="s">
        <v>4626</v>
      </c>
      <c r="G1643" s="7" t="s">
        <v>4625</v>
      </c>
      <c r="H1643" s="7" t="s">
        <v>4627</v>
      </c>
      <c r="I1643" s="9">
        <v>45372</v>
      </c>
    </row>
    <row r="1644" spans="1:9" x14ac:dyDescent="0.15">
      <c r="A1644" s="6">
        <v>1643</v>
      </c>
      <c r="B1644" s="7" t="s">
        <v>7</v>
      </c>
      <c r="C1644" s="8">
        <v>1890</v>
      </c>
      <c r="D1644" s="9">
        <v>45449</v>
      </c>
      <c r="E1644" s="13">
        <f>+HYPERLINK("http://trademark.i-assist.jp/data/china/image_1890th/77455006.pdf",77455006)</f>
        <v>77455006</v>
      </c>
      <c r="F1644" s="7" t="s">
        <v>4629</v>
      </c>
      <c r="G1644" s="7" t="s">
        <v>4628</v>
      </c>
      <c r="H1644" s="7" t="s">
        <v>4630</v>
      </c>
      <c r="I1644" s="9">
        <v>45372</v>
      </c>
    </row>
    <row r="1645" spans="1:9" x14ac:dyDescent="0.15">
      <c r="A1645" s="6">
        <v>1644</v>
      </c>
      <c r="B1645" s="7" t="s">
        <v>7</v>
      </c>
      <c r="C1645" s="8">
        <v>1890</v>
      </c>
      <c r="D1645" s="9">
        <v>45449</v>
      </c>
      <c r="E1645" s="13">
        <f>+HYPERLINK("http://trademark.i-assist.jp/data/china/image_1890th/77455135.pdf",77455135)</f>
        <v>77455135</v>
      </c>
      <c r="F1645" s="7" t="s">
        <v>4632</v>
      </c>
      <c r="G1645" s="7" t="s">
        <v>4631</v>
      </c>
      <c r="H1645" s="7" t="s">
        <v>4633</v>
      </c>
      <c r="I1645" s="9">
        <v>45372</v>
      </c>
    </row>
    <row r="1646" spans="1:9" x14ac:dyDescent="0.15">
      <c r="A1646" s="6">
        <v>1645</v>
      </c>
      <c r="B1646" s="7" t="s">
        <v>7</v>
      </c>
      <c r="C1646" s="8">
        <v>1890</v>
      </c>
      <c r="D1646" s="9">
        <v>45449</v>
      </c>
      <c r="E1646" s="13">
        <f>+HYPERLINK("http://trademark.i-assist.jp/data/china/image_1890th/77455190.pdf",77455190)</f>
        <v>77455190</v>
      </c>
      <c r="F1646" s="7" t="s">
        <v>4635</v>
      </c>
      <c r="G1646" s="7" t="s">
        <v>4634</v>
      </c>
      <c r="H1646" s="7" t="s">
        <v>4636</v>
      </c>
      <c r="I1646" s="9">
        <v>45372</v>
      </c>
    </row>
    <row r="1647" spans="1:9" x14ac:dyDescent="0.15">
      <c r="A1647" s="6">
        <v>1646</v>
      </c>
      <c r="B1647" s="7" t="s">
        <v>7</v>
      </c>
      <c r="C1647" s="8">
        <v>1890</v>
      </c>
      <c r="D1647" s="9">
        <v>45449</v>
      </c>
      <c r="E1647" s="13">
        <f>+HYPERLINK("http://trademark.i-assist.jp/data/china/image_1890th/77455330.pdf",77455330)</f>
        <v>77455330</v>
      </c>
      <c r="F1647" s="7" t="s">
        <v>4638</v>
      </c>
      <c r="G1647" s="7" t="s">
        <v>4637</v>
      </c>
      <c r="H1647" s="7" t="s">
        <v>4639</v>
      </c>
      <c r="I1647" s="9">
        <v>45372</v>
      </c>
    </row>
    <row r="1648" spans="1:9" x14ac:dyDescent="0.15">
      <c r="A1648" s="6">
        <v>1647</v>
      </c>
      <c r="B1648" s="7" t="s">
        <v>7</v>
      </c>
      <c r="C1648" s="8">
        <v>1890</v>
      </c>
      <c r="D1648" s="9">
        <v>45449</v>
      </c>
      <c r="E1648" s="13">
        <f>+HYPERLINK("http://trademark.i-assist.jp/data/china/image_1890th/77455416.pdf",77455416)</f>
        <v>77455416</v>
      </c>
      <c r="F1648" s="7" t="s">
        <v>4641</v>
      </c>
      <c r="G1648" s="7" t="s">
        <v>4640</v>
      </c>
      <c r="H1648" s="7" t="s">
        <v>4642</v>
      </c>
      <c r="I1648" s="9">
        <v>45372</v>
      </c>
    </row>
    <row r="1649" spans="1:9" x14ac:dyDescent="0.15">
      <c r="A1649" s="6">
        <v>1648</v>
      </c>
      <c r="B1649" s="7" t="s">
        <v>7</v>
      </c>
      <c r="C1649" s="8">
        <v>1890</v>
      </c>
      <c r="D1649" s="9">
        <v>45449</v>
      </c>
      <c r="E1649" s="13">
        <f>+HYPERLINK("http://trademark.i-assist.jp/data/china/image_1890th/77455475.pdf",77455475)</f>
        <v>77455475</v>
      </c>
      <c r="F1649" s="7" t="s">
        <v>4644</v>
      </c>
      <c r="G1649" s="7" t="s">
        <v>4643</v>
      </c>
      <c r="H1649" s="7" t="s">
        <v>4645</v>
      </c>
      <c r="I1649" s="9">
        <v>45372</v>
      </c>
    </row>
    <row r="1650" spans="1:9" x14ac:dyDescent="0.15">
      <c r="A1650" s="6">
        <v>1649</v>
      </c>
      <c r="B1650" s="7" t="s">
        <v>7</v>
      </c>
      <c r="C1650" s="8">
        <v>1890</v>
      </c>
      <c r="D1650" s="9">
        <v>45449</v>
      </c>
      <c r="E1650" s="13">
        <f>+HYPERLINK("http://trademark.i-assist.jp/data/china/image_1890th/77455626.pdf",77455626)</f>
        <v>77455626</v>
      </c>
      <c r="F1650" s="7" t="s">
        <v>4647</v>
      </c>
      <c r="G1650" s="7" t="s">
        <v>4646</v>
      </c>
      <c r="H1650" s="7" t="s">
        <v>4648</v>
      </c>
      <c r="I1650" s="9">
        <v>45372</v>
      </c>
    </row>
    <row r="1651" spans="1:9" x14ac:dyDescent="0.15">
      <c r="A1651" s="6">
        <v>1650</v>
      </c>
      <c r="B1651" s="7" t="s">
        <v>7</v>
      </c>
      <c r="C1651" s="8">
        <v>1890</v>
      </c>
      <c r="D1651" s="9">
        <v>45449</v>
      </c>
      <c r="E1651" s="13">
        <f>+HYPERLINK("http://trademark.i-assist.jp/data/china/image_1890th/77455628.pdf",77455628)</f>
        <v>77455628</v>
      </c>
      <c r="F1651" s="7" t="s">
        <v>4649</v>
      </c>
      <c r="G1651" s="7" t="s">
        <v>34</v>
      </c>
      <c r="H1651" s="7" t="s">
        <v>4650</v>
      </c>
      <c r="I1651" s="9">
        <v>45372</v>
      </c>
    </row>
    <row r="1652" spans="1:9" x14ac:dyDescent="0.15">
      <c r="A1652" s="6">
        <v>1651</v>
      </c>
      <c r="B1652" s="7" t="s">
        <v>7</v>
      </c>
      <c r="C1652" s="8">
        <v>1890</v>
      </c>
      <c r="D1652" s="9">
        <v>45449</v>
      </c>
      <c r="E1652" s="13">
        <f>+HYPERLINK("http://trademark.i-assist.jp/data/china/image_1890th/77455802.pdf",77455802)</f>
        <v>77455802</v>
      </c>
      <c r="F1652" s="7" t="s">
        <v>4652</v>
      </c>
      <c r="G1652" s="7" t="s">
        <v>4651</v>
      </c>
      <c r="H1652" s="7" t="s">
        <v>4653</v>
      </c>
      <c r="I1652" s="9">
        <v>45372</v>
      </c>
    </row>
    <row r="1653" spans="1:9" x14ac:dyDescent="0.15">
      <c r="A1653" s="6">
        <v>1652</v>
      </c>
      <c r="B1653" s="7" t="s">
        <v>7</v>
      </c>
      <c r="C1653" s="8">
        <v>1890</v>
      </c>
      <c r="D1653" s="9">
        <v>45449</v>
      </c>
      <c r="E1653" s="13">
        <f>+HYPERLINK("http://trademark.i-assist.jp/data/china/image_1890th/77455908.pdf",77455908)</f>
        <v>77455908</v>
      </c>
      <c r="F1653" s="7" t="s">
        <v>4655</v>
      </c>
      <c r="G1653" s="7" t="s">
        <v>4654</v>
      </c>
      <c r="H1653" s="7" t="s">
        <v>4656</v>
      </c>
      <c r="I1653" s="9">
        <v>45372</v>
      </c>
    </row>
    <row r="1654" spans="1:9" x14ac:dyDescent="0.15">
      <c r="A1654" s="6">
        <v>1653</v>
      </c>
      <c r="B1654" s="7" t="s">
        <v>7</v>
      </c>
      <c r="C1654" s="8">
        <v>1890</v>
      </c>
      <c r="D1654" s="9">
        <v>45449</v>
      </c>
      <c r="E1654" s="13">
        <f>+HYPERLINK("http://trademark.i-assist.jp/data/china/image_1890th/77455956.pdf",77455956)</f>
        <v>77455956</v>
      </c>
      <c r="F1654" s="7" t="s">
        <v>4658</v>
      </c>
      <c r="G1654" s="7" t="s">
        <v>4657</v>
      </c>
      <c r="H1654" s="7" t="s">
        <v>4659</v>
      </c>
      <c r="I1654" s="9">
        <v>45372</v>
      </c>
    </row>
    <row r="1655" spans="1:9" x14ac:dyDescent="0.15">
      <c r="A1655" s="6">
        <v>1654</v>
      </c>
      <c r="B1655" s="7" t="s">
        <v>7</v>
      </c>
      <c r="C1655" s="8">
        <v>1890</v>
      </c>
      <c r="D1655" s="9">
        <v>45449</v>
      </c>
      <c r="E1655" s="13">
        <f>+HYPERLINK("http://trademark.i-assist.jp/data/china/image_1890th/77456042.pdf",77456042)</f>
        <v>77456042</v>
      </c>
      <c r="F1655" s="7" t="s">
        <v>4661</v>
      </c>
      <c r="G1655" s="7" t="s">
        <v>4660</v>
      </c>
      <c r="H1655" s="7" t="s">
        <v>4662</v>
      </c>
      <c r="I1655" s="9">
        <v>45372</v>
      </c>
    </row>
    <row r="1656" spans="1:9" x14ac:dyDescent="0.15">
      <c r="A1656" s="6">
        <v>1655</v>
      </c>
      <c r="B1656" s="7" t="s">
        <v>7</v>
      </c>
      <c r="C1656" s="8">
        <v>1890</v>
      </c>
      <c r="D1656" s="9">
        <v>45449</v>
      </c>
      <c r="E1656" s="13">
        <f>+HYPERLINK("http://trademark.i-assist.jp/data/china/image_1890th/77456067.pdf",77456067)</f>
        <v>77456067</v>
      </c>
      <c r="F1656" s="7" t="s">
        <v>4664</v>
      </c>
      <c r="G1656" s="7" t="s">
        <v>4663</v>
      </c>
      <c r="H1656" s="7" t="s">
        <v>4665</v>
      </c>
      <c r="I1656" s="9">
        <v>45372</v>
      </c>
    </row>
    <row r="1657" spans="1:9" x14ac:dyDescent="0.15">
      <c r="A1657" s="6">
        <v>1656</v>
      </c>
      <c r="B1657" s="7" t="s">
        <v>7</v>
      </c>
      <c r="C1657" s="8">
        <v>1890</v>
      </c>
      <c r="D1657" s="9">
        <v>45449</v>
      </c>
      <c r="E1657" s="13">
        <f>+HYPERLINK("http://trademark.i-assist.jp/data/china/image_1890th/77456242.pdf",77456242)</f>
        <v>77456242</v>
      </c>
      <c r="F1657" s="7" t="s">
        <v>4667</v>
      </c>
      <c r="G1657" s="7" t="s">
        <v>4666</v>
      </c>
      <c r="H1657" s="7" t="s">
        <v>4668</v>
      </c>
      <c r="I1657" s="9">
        <v>45372</v>
      </c>
    </row>
    <row r="1658" spans="1:9" x14ac:dyDescent="0.15">
      <c r="A1658" s="6">
        <v>1657</v>
      </c>
      <c r="B1658" s="7" t="s">
        <v>7</v>
      </c>
      <c r="C1658" s="8">
        <v>1890</v>
      </c>
      <c r="D1658" s="9">
        <v>45449</v>
      </c>
      <c r="E1658" s="13">
        <f>+HYPERLINK("http://trademark.i-assist.jp/data/china/image_1890th/77456389.pdf",77456389)</f>
        <v>77456389</v>
      </c>
      <c r="F1658" s="7" t="s">
        <v>4670</v>
      </c>
      <c r="G1658" s="7" t="s">
        <v>4669</v>
      </c>
      <c r="H1658" s="7" t="s">
        <v>4671</v>
      </c>
      <c r="I1658" s="9">
        <v>45372</v>
      </c>
    </row>
    <row r="1659" spans="1:9" x14ac:dyDescent="0.15">
      <c r="A1659" s="6">
        <v>1658</v>
      </c>
      <c r="B1659" s="7" t="s">
        <v>7</v>
      </c>
      <c r="C1659" s="8">
        <v>1890</v>
      </c>
      <c r="D1659" s="9">
        <v>45449</v>
      </c>
      <c r="E1659" s="13">
        <f>+HYPERLINK("http://trademark.i-assist.jp/data/china/image_1890th/77456426.pdf",77456426)</f>
        <v>77456426</v>
      </c>
      <c r="F1659" s="7" t="s">
        <v>4673</v>
      </c>
      <c r="G1659" s="7" t="s">
        <v>4672</v>
      </c>
      <c r="H1659" s="7" t="s">
        <v>4674</v>
      </c>
      <c r="I1659" s="9">
        <v>45372</v>
      </c>
    </row>
    <row r="1660" spans="1:9" x14ac:dyDescent="0.15">
      <c r="A1660" s="6">
        <v>1659</v>
      </c>
      <c r="B1660" s="7" t="s">
        <v>7</v>
      </c>
      <c r="C1660" s="8">
        <v>1890</v>
      </c>
      <c r="D1660" s="9">
        <v>45449</v>
      </c>
      <c r="E1660" s="13">
        <f>+HYPERLINK("http://trademark.i-assist.jp/data/china/image_1890th/77456501.pdf",77456501)</f>
        <v>77456501</v>
      </c>
      <c r="F1660" s="7" t="s">
        <v>4676</v>
      </c>
      <c r="G1660" s="7" t="s">
        <v>4675</v>
      </c>
      <c r="H1660" s="7" t="s">
        <v>4677</v>
      </c>
      <c r="I1660" s="9">
        <v>45372</v>
      </c>
    </row>
    <row r="1661" spans="1:9" x14ac:dyDescent="0.15">
      <c r="A1661" s="6">
        <v>1660</v>
      </c>
      <c r="B1661" s="7" t="s">
        <v>7</v>
      </c>
      <c r="C1661" s="8">
        <v>1890</v>
      </c>
      <c r="D1661" s="9">
        <v>45449</v>
      </c>
      <c r="E1661" s="13">
        <f>+HYPERLINK("http://trademark.i-assist.jp/data/china/image_1890th/77456594.pdf",77456594)</f>
        <v>77456594</v>
      </c>
      <c r="F1661" s="7" t="s">
        <v>4679</v>
      </c>
      <c r="G1661" s="7" t="s">
        <v>4678</v>
      </c>
      <c r="H1661" s="7" t="s">
        <v>4680</v>
      </c>
      <c r="I1661" s="9">
        <v>45372</v>
      </c>
    </row>
    <row r="1662" spans="1:9" x14ac:dyDescent="0.15">
      <c r="A1662" s="6">
        <v>1661</v>
      </c>
      <c r="B1662" s="7" t="s">
        <v>7</v>
      </c>
      <c r="C1662" s="8">
        <v>1890</v>
      </c>
      <c r="D1662" s="9">
        <v>45449</v>
      </c>
      <c r="E1662" s="13">
        <f>+HYPERLINK("http://trademark.i-assist.jp/data/china/image_1890th/77456728.pdf",77456728)</f>
        <v>77456728</v>
      </c>
      <c r="F1662" s="7" t="s">
        <v>4682</v>
      </c>
      <c r="G1662" s="7" t="s">
        <v>4681</v>
      </c>
      <c r="H1662" s="7" t="s">
        <v>4683</v>
      </c>
      <c r="I1662" s="9">
        <v>45372</v>
      </c>
    </row>
    <row r="1663" spans="1:9" x14ac:dyDescent="0.15">
      <c r="A1663" s="6">
        <v>1662</v>
      </c>
      <c r="B1663" s="7" t="s">
        <v>7</v>
      </c>
      <c r="C1663" s="8">
        <v>1890</v>
      </c>
      <c r="D1663" s="9">
        <v>45449</v>
      </c>
      <c r="E1663" s="13">
        <f>+HYPERLINK("http://trademark.i-assist.jp/data/china/image_1890th/77456895.pdf",77456895)</f>
        <v>77456895</v>
      </c>
      <c r="F1663" s="7" t="s">
        <v>4685</v>
      </c>
      <c r="G1663" s="7" t="s">
        <v>4684</v>
      </c>
      <c r="H1663" s="7" t="s">
        <v>4686</v>
      </c>
      <c r="I1663" s="9">
        <v>45372</v>
      </c>
    </row>
    <row r="1664" spans="1:9" x14ac:dyDescent="0.15">
      <c r="A1664" s="6">
        <v>1663</v>
      </c>
      <c r="B1664" s="7" t="s">
        <v>7</v>
      </c>
      <c r="C1664" s="8">
        <v>1890</v>
      </c>
      <c r="D1664" s="9">
        <v>45449</v>
      </c>
      <c r="E1664" s="13">
        <f>+HYPERLINK("http://trademark.i-assist.jp/data/china/image_1890th/77456948.pdf",77456948)</f>
        <v>77456948</v>
      </c>
      <c r="F1664" s="7" t="s">
        <v>4688</v>
      </c>
      <c r="G1664" s="7" t="s">
        <v>4687</v>
      </c>
      <c r="H1664" s="7" t="s">
        <v>4689</v>
      </c>
      <c r="I1664" s="9">
        <v>45372</v>
      </c>
    </row>
    <row r="1665" spans="1:9" x14ac:dyDescent="0.15">
      <c r="A1665" s="6">
        <v>1664</v>
      </c>
      <c r="B1665" s="7" t="s">
        <v>7</v>
      </c>
      <c r="C1665" s="8">
        <v>1890</v>
      </c>
      <c r="D1665" s="9">
        <v>45449</v>
      </c>
      <c r="E1665" s="13">
        <f>+HYPERLINK("http://trademark.i-assist.jp/data/china/image_1890th/77456994.pdf",77456994)</f>
        <v>77456994</v>
      </c>
      <c r="F1665" s="7" t="s">
        <v>4691</v>
      </c>
      <c r="G1665" s="7" t="s">
        <v>4690</v>
      </c>
      <c r="H1665" s="7" t="s">
        <v>4692</v>
      </c>
      <c r="I1665" s="9">
        <v>45372</v>
      </c>
    </row>
    <row r="1666" spans="1:9" x14ac:dyDescent="0.15">
      <c r="A1666" s="6">
        <v>1665</v>
      </c>
      <c r="B1666" s="7" t="s">
        <v>7</v>
      </c>
      <c r="C1666" s="8">
        <v>1890</v>
      </c>
      <c r="D1666" s="9">
        <v>45449</v>
      </c>
      <c r="E1666" s="13">
        <f>+HYPERLINK("http://trademark.i-assist.jp/data/china/image_1890th/77457145.pdf",77457145)</f>
        <v>77457145</v>
      </c>
      <c r="F1666" s="7" t="s">
        <v>4694</v>
      </c>
      <c r="G1666" s="7" t="s">
        <v>4693</v>
      </c>
      <c r="H1666" s="7" t="s">
        <v>4695</v>
      </c>
      <c r="I1666" s="9">
        <v>45372</v>
      </c>
    </row>
    <row r="1667" spans="1:9" x14ac:dyDescent="0.15">
      <c r="A1667" s="6">
        <v>1666</v>
      </c>
      <c r="B1667" s="7" t="s">
        <v>7</v>
      </c>
      <c r="C1667" s="8">
        <v>1890</v>
      </c>
      <c r="D1667" s="9">
        <v>45449</v>
      </c>
      <c r="E1667" s="13">
        <f>+HYPERLINK("http://trademark.i-assist.jp/data/china/image_1890th/77457169.pdf",77457169)</f>
        <v>77457169</v>
      </c>
      <c r="F1667" s="7" t="s">
        <v>4696</v>
      </c>
      <c r="G1667" s="7" t="s">
        <v>2387</v>
      </c>
      <c r="H1667" s="7" t="s">
        <v>4697</v>
      </c>
      <c r="I1667" s="9">
        <v>45372</v>
      </c>
    </row>
    <row r="1668" spans="1:9" x14ac:dyDescent="0.15">
      <c r="A1668" s="6">
        <v>1667</v>
      </c>
      <c r="B1668" s="7" t="s">
        <v>7</v>
      </c>
      <c r="C1668" s="8">
        <v>1890</v>
      </c>
      <c r="D1668" s="9">
        <v>45449</v>
      </c>
      <c r="E1668" s="13">
        <f>+HYPERLINK("http://trademark.i-assist.jp/data/china/image_1890th/77457256.pdf",77457256)</f>
        <v>77457256</v>
      </c>
      <c r="F1668" s="7" t="s">
        <v>4699</v>
      </c>
      <c r="G1668" s="7" t="s">
        <v>4698</v>
      </c>
      <c r="H1668" s="7" t="s">
        <v>4700</v>
      </c>
      <c r="I1668" s="9">
        <v>45372</v>
      </c>
    </row>
    <row r="1669" spans="1:9" x14ac:dyDescent="0.15">
      <c r="A1669" s="6">
        <v>1668</v>
      </c>
      <c r="B1669" s="7" t="s">
        <v>7</v>
      </c>
      <c r="C1669" s="8">
        <v>1890</v>
      </c>
      <c r="D1669" s="9">
        <v>45449</v>
      </c>
      <c r="E1669" s="13">
        <f>+HYPERLINK("http://trademark.i-assist.jp/data/china/image_1890th/77219444.pdf",77219444)</f>
        <v>77219444</v>
      </c>
      <c r="F1669" s="7" t="s">
        <v>4702</v>
      </c>
      <c r="G1669" s="7" t="s">
        <v>4701</v>
      </c>
      <c r="H1669" s="7" t="s">
        <v>4703</v>
      </c>
      <c r="I1669" s="9">
        <v>45362</v>
      </c>
    </row>
    <row r="1670" spans="1:9" x14ac:dyDescent="0.15">
      <c r="A1670" s="6">
        <v>1669</v>
      </c>
      <c r="B1670" s="7" t="s">
        <v>7</v>
      </c>
      <c r="C1670" s="8">
        <v>1890</v>
      </c>
      <c r="D1670" s="9">
        <v>45449</v>
      </c>
      <c r="E1670" s="13">
        <f>+HYPERLINK("http://trademark.i-assist.jp/data/china/image_1890th/77219457.pdf",77219457)</f>
        <v>77219457</v>
      </c>
      <c r="F1670" s="7" t="s">
        <v>4705</v>
      </c>
      <c r="G1670" s="7" t="s">
        <v>4704</v>
      </c>
      <c r="H1670" s="7" t="s">
        <v>4706</v>
      </c>
      <c r="I1670" s="9">
        <v>45362</v>
      </c>
    </row>
    <row r="1671" spans="1:9" x14ac:dyDescent="0.15">
      <c r="A1671" s="6">
        <v>1670</v>
      </c>
      <c r="B1671" s="7" t="s">
        <v>7</v>
      </c>
      <c r="C1671" s="8">
        <v>1890</v>
      </c>
      <c r="D1671" s="9">
        <v>45449</v>
      </c>
      <c r="E1671" s="13">
        <f>+HYPERLINK("http://trademark.i-assist.jp/data/china/image_1890th/77219496.pdf",77219496)</f>
        <v>77219496</v>
      </c>
      <c r="F1671" s="7" t="s">
        <v>4707</v>
      </c>
      <c r="G1671" s="7" t="s">
        <v>4364</v>
      </c>
      <c r="H1671" s="7" t="s">
        <v>4708</v>
      </c>
      <c r="I1671" s="9">
        <v>45362</v>
      </c>
    </row>
    <row r="1672" spans="1:9" ht="27" x14ac:dyDescent="0.15">
      <c r="A1672" s="6">
        <v>1671</v>
      </c>
      <c r="B1672" s="7" t="s">
        <v>7</v>
      </c>
      <c r="C1672" s="8">
        <v>1890</v>
      </c>
      <c r="D1672" s="9">
        <v>45449</v>
      </c>
      <c r="E1672" s="13">
        <f>+HYPERLINK("http://trademark.i-assist.jp/data/china/image_1890th/77219519.pdf",77219519)</f>
        <v>77219519</v>
      </c>
      <c r="F1672" s="7" t="s">
        <v>4710</v>
      </c>
      <c r="G1672" s="7" t="s">
        <v>4709</v>
      </c>
      <c r="H1672" s="7" t="s">
        <v>4711</v>
      </c>
      <c r="I1672" s="9">
        <v>45362</v>
      </c>
    </row>
    <row r="1673" spans="1:9" x14ac:dyDescent="0.15">
      <c r="A1673" s="6">
        <v>1672</v>
      </c>
      <c r="B1673" s="7" t="s">
        <v>7</v>
      </c>
      <c r="C1673" s="8">
        <v>1890</v>
      </c>
      <c r="D1673" s="9">
        <v>45449</v>
      </c>
      <c r="E1673" s="13">
        <f>+HYPERLINK("http://trademark.i-assist.jp/data/china/image_1890th/77219551.pdf",77219551)</f>
        <v>77219551</v>
      </c>
      <c r="F1673" s="7" t="s">
        <v>4713</v>
      </c>
      <c r="G1673" s="7" t="s">
        <v>4712</v>
      </c>
      <c r="H1673" s="7" t="s">
        <v>4714</v>
      </c>
      <c r="I1673" s="9">
        <v>45362</v>
      </c>
    </row>
    <row r="1674" spans="1:9" x14ac:dyDescent="0.15">
      <c r="A1674" s="6">
        <v>1673</v>
      </c>
      <c r="B1674" s="7" t="s">
        <v>7</v>
      </c>
      <c r="C1674" s="8">
        <v>1890</v>
      </c>
      <c r="D1674" s="9">
        <v>45449</v>
      </c>
      <c r="E1674" s="13">
        <f>+HYPERLINK("http://trademark.i-assist.jp/data/china/image_1890th/77219634.pdf",77219634)</f>
        <v>77219634</v>
      </c>
      <c r="F1674" s="7" t="s">
        <v>4715</v>
      </c>
      <c r="G1674" s="7" t="s">
        <v>1314</v>
      </c>
      <c r="H1674" s="7" t="s">
        <v>4716</v>
      </c>
      <c r="I1674" s="9">
        <v>45362</v>
      </c>
    </row>
    <row r="1675" spans="1:9" x14ac:dyDescent="0.15">
      <c r="A1675" s="6">
        <v>1674</v>
      </c>
      <c r="B1675" s="7" t="s">
        <v>7</v>
      </c>
      <c r="C1675" s="8">
        <v>1890</v>
      </c>
      <c r="D1675" s="9">
        <v>45449</v>
      </c>
      <c r="E1675" s="13">
        <f>+HYPERLINK("http://trademark.i-assist.jp/data/china/image_1890th/77219878.pdf",77219878)</f>
        <v>77219878</v>
      </c>
      <c r="F1675" s="7" t="s">
        <v>4718</v>
      </c>
      <c r="G1675" s="7" t="s">
        <v>4717</v>
      </c>
      <c r="H1675" s="7" t="s">
        <v>4719</v>
      </c>
      <c r="I1675" s="9">
        <v>45362</v>
      </c>
    </row>
    <row r="1676" spans="1:9" x14ac:dyDescent="0.15">
      <c r="A1676" s="6">
        <v>1675</v>
      </c>
      <c r="B1676" s="7" t="s">
        <v>7</v>
      </c>
      <c r="C1676" s="8">
        <v>1890</v>
      </c>
      <c r="D1676" s="9">
        <v>45449</v>
      </c>
      <c r="E1676" s="13">
        <f>+HYPERLINK("http://trademark.i-assist.jp/data/china/image_1890th/77219943.pdf",77219943)</f>
        <v>77219943</v>
      </c>
      <c r="F1676" s="7" t="s">
        <v>4721</v>
      </c>
      <c r="G1676" s="7" t="s">
        <v>4720</v>
      </c>
      <c r="H1676" s="7" t="s">
        <v>4722</v>
      </c>
      <c r="I1676" s="9">
        <v>45362</v>
      </c>
    </row>
    <row r="1677" spans="1:9" x14ac:dyDescent="0.15">
      <c r="A1677" s="6">
        <v>1676</v>
      </c>
      <c r="B1677" s="7" t="s">
        <v>7</v>
      </c>
      <c r="C1677" s="8">
        <v>1890</v>
      </c>
      <c r="D1677" s="9">
        <v>45449</v>
      </c>
      <c r="E1677" s="13">
        <f>+HYPERLINK("http://trademark.i-assist.jp/data/china/image_1890th/77220105.pdf",77220105)</f>
        <v>77220105</v>
      </c>
      <c r="F1677" s="7" t="s">
        <v>4724</v>
      </c>
      <c r="G1677" s="7" t="s">
        <v>4723</v>
      </c>
      <c r="H1677" s="7" t="s">
        <v>4725</v>
      </c>
      <c r="I1677" s="9">
        <v>45362</v>
      </c>
    </row>
    <row r="1678" spans="1:9" x14ac:dyDescent="0.15">
      <c r="A1678" s="6">
        <v>1677</v>
      </c>
      <c r="B1678" s="7" t="s">
        <v>7</v>
      </c>
      <c r="C1678" s="8">
        <v>1890</v>
      </c>
      <c r="D1678" s="9">
        <v>45449</v>
      </c>
      <c r="E1678" s="13">
        <f>+HYPERLINK("http://trademark.i-assist.jp/data/china/image_1890th/77220362.pdf",77220362)</f>
        <v>77220362</v>
      </c>
      <c r="F1678" s="7" t="s">
        <v>4727</v>
      </c>
      <c r="G1678" s="7" t="s">
        <v>4726</v>
      </c>
      <c r="H1678" s="7" t="s">
        <v>4728</v>
      </c>
      <c r="I1678" s="9">
        <v>45362</v>
      </c>
    </row>
    <row r="1679" spans="1:9" x14ac:dyDescent="0.15">
      <c r="A1679" s="6">
        <v>1678</v>
      </c>
      <c r="B1679" s="7" t="s">
        <v>7</v>
      </c>
      <c r="C1679" s="8">
        <v>1890</v>
      </c>
      <c r="D1679" s="9">
        <v>45449</v>
      </c>
      <c r="E1679" s="13">
        <f>+HYPERLINK("http://trademark.i-assist.jp/data/china/image_1890th/77220440.pdf",77220440)</f>
        <v>77220440</v>
      </c>
      <c r="F1679" s="7" t="s">
        <v>4730</v>
      </c>
      <c r="G1679" s="7" t="s">
        <v>4729</v>
      </c>
      <c r="H1679" s="7" t="s">
        <v>4731</v>
      </c>
      <c r="I1679" s="9">
        <v>45362</v>
      </c>
    </row>
    <row r="1680" spans="1:9" x14ac:dyDescent="0.15">
      <c r="A1680" s="6">
        <v>1679</v>
      </c>
      <c r="B1680" s="7" t="s">
        <v>7</v>
      </c>
      <c r="C1680" s="8">
        <v>1890</v>
      </c>
      <c r="D1680" s="9">
        <v>45449</v>
      </c>
      <c r="E1680" s="13">
        <f>+HYPERLINK("http://trademark.i-assist.jp/data/china/image_1890th/77220495.pdf",77220495)</f>
        <v>77220495</v>
      </c>
      <c r="F1680" s="7" t="s">
        <v>4733</v>
      </c>
      <c r="G1680" s="7" t="s">
        <v>4732</v>
      </c>
      <c r="H1680" s="7" t="s">
        <v>4734</v>
      </c>
      <c r="I1680" s="9">
        <v>45362</v>
      </c>
    </row>
    <row r="1681" spans="1:9" ht="27" x14ac:dyDescent="0.15">
      <c r="A1681" s="6">
        <v>1680</v>
      </c>
      <c r="B1681" s="7" t="s">
        <v>7</v>
      </c>
      <c r="C1681" s="8">
        <v>1890</v>
      </c>
      <c r="D1681" s="9">
        <v>45449</v>
      </c>
      <c r="E1681" s="13">
        <f>+HYPERLINK("http://trademark.i-assist.jp/data/china/image_1890th/77220660.pdf",77220660)</f>
        <v>77220660</v>
      </c>
      <c r="F1681" s="7" t="s">
        <v>4735</v>
      </c>
      <c r="G1681" s="7" t="s">
        <v>1343</v>
      </c>
      <c r="H1681" s="7" t="s">
        <v>4736</v>
      </c>
      <c r="I1681" s="9">
        <v>45362</v>
      </c>
    </row>
    <row r="1682" spans="1:9" ht="27" x14ac:dyDescent="0.15">
      <c r="A1682" s="6">
        <v>1681</v>
      </c>
      <c r="B1682" s="7" t="s">
        <v>7</v>
      </c>
      <c r="C1682" s="8">
        <v>1890</v>
      </c>
      <c r="D1682" s="9">
        <v>45449</v>
      </c>
      <c r="E1682" s="13">
        <f>+HYPERLINK("http://trademark.i-assist.jp/data/china/image_1890th/77220887.pdf",77220887)</f>
        <v>77220887</v>
      </c>
      <c r="F1682" s="7" t="s">
        <v>4738</v>
      </c>
      <c r="G1682" s="7" t="s">
        <v>4737</v>
      </c>
      <c r="H1682" s="7" t="s">
        <v>4739</v>
      </c>
      <c r="I1682" s="9">
        <v>45362</v>
      </c>
    </row>
    <row r="1683" spans="1:9" x14ac:dyDescent="0.15">
      <c r="A1683" s="6">
        <v>1682</v>
      </c>
      <c r="B1683" s="7" t="s">
        <v>7</v>
      </c>
      <c r="C1683" s="8">
        <v>1890</v>
      </c>
      <c r="D1683" s="9">
        <v>45449</v>
      </c>
      <c r="E1683" s="13">
        <f>+HYPERLINK("http://trademark.i-assist.jp/data/china/image_1890th/77220895.pdf",77220895)</f>
        <v>77220895</v>
      </c>
      <c r="F1683" s="7" t="s">
        <v>4740</v>
      </c>
      <c r="G1683" s="7" t="s">
        <v>1400</v>
      </c>
      <c r="H1683" s="7" t="s">
        <v>4741</v>
      </c>
      <c r="I1683" s="9">
        <v>45362</v>
      </c>
    </row>
    <row r="1684" spans="1:9" x14ac:dyDescent="0.15">
      <c r="A1684" s="6">
        <v>1683</v>
      </c>
      <c r="B1684" s="7" t="s">
        <v>7</v>
      </c>
      <c r="C1684" s="8">
        <v>1890</v>
      </c>
      <c r="D1684" s="9">
        <v>45449</v>
      </c>
      <c r="E1684" s="13">
        <f>+HYPERLINK("http://trademark.i-assist.jp/data/china/image_1890th/77221072.pdf",77221072)</f>
        <v>77221072</v>
      </c>
      <c r="F1684" s="7" t="s">
        <v>4743</v>
      </c>
      <c r="G1684" s="7" t="s">
        <v>4742</v>
      </c>
      <c r="H1684" s="7" t="s">
        <v>4744</v>
      </c>
      <c r="I1684" s="9">
        <v>45362</v>
      </c>
    </row>
    <row r="1685" spans="1:9" x14ac:dyDescent="0.15">
      <c r="A1685" s="6">
        <v>1684</v>
      </c>
      <c r="B1685" s="7" t="s">
        <v>7</v>
      </c>
      <c r="C1685" s="8">
        <v>1890</v>
      </c>
      <c r="D1685" s="9">
        <v>45449</v>
      </c>
      <c r="E1685" s="13">
        <f>+HYPERLINK("http://trademark.i-assist.jp/data/china/image_1890th/77221232.pdf",77221232)</f>
        <v>77221232</v>
      </c>
      <c r="F1685" s="7" t="s">
        <v>4746</v>
      </c>
      <c r="G1685" s="7" t="s">
        <v>4745</v>
      </c>
      <c r="H1685" s="7" t="s">
        <v>4747</v>
      </c>
      <c r="I1685" s="9">
        <v>45362</v>
      </c>
    </row>
    <row r="1686" spans="1:9" x14ac:dyDescent="0.15">
      <c r="A1686" s="6">
        <v>1685</v>
      </c>
      <c r="B1686" s="7" t="s">
        <v>7</v>
      </c>
      <c r="C1686" s="8">
        <v>1890</v>
      </c>
      <c r="D1686" s="9">
        <v>45449</v>
      </c>
      <c r="E1686" s="13">
        <f>+HYPERLINK("http://trademark.i-assist.jp/data/china/image_1890th/77221515.pdf",77221515)</f>
        <v>77221515</v>
      </c>
      <c r="F1686" s="7" t="s">
        <v>4749</v>
      </c>
      <c r="G1686" s="7" t="s">
        <v>4748</v>
      </c>
      <c r="H1686" s="7" t="s">
        <v>4750</v>
      </c>
      <c r="I1686" s="9">
        <v>45362</v>
      </c>
    </row>
    <row r="1687" spans="1:9" x14ac:dyDescent="0.15">
      <c r="A1687" s="6">
        <v>1686</v>
      </c>
      <c r="B1687" s="7" t="s">
        <v>7</v>
      </c>
      <c r="C1687" s="8">
        <v>1890</v>
      </c>
      <c r="D1687" s="9">
        <v>45449</v>
      </c>
      <c r="E1687" s="13">
        <f>+HYPERLINK("http://trademark.i-assist.jp/data/china/image_1890th/77221764.pdf",77221764)</f>
        <v>77221764</v>
      </c>
      <c r="F1687" s="7" t="s">
        <v>4752</v>
      </c>
      <c r="G1687" s="7" t="s">
        <v>4751</v>
      </c>
      <c r="H1687" s="7" t="s">
        <v>4753</v>
      </c>
      <c r="I1687" s="9">
        <v>45362</v>
      </c>
    </row>
    <row r="1688" spans="1:9" x14ac:dyDescent="0.15">
      <c r="A1688" s="6">
        <v>1687</v>
      </c>
      <c r="B1688" s="7" t="s">
        <v>7</v>
      </c>
      <c r="C1688" s="8">
        <v>1890</v>
      </c>
      <c r="D1688" s="9">
        <v>45449</v>
      </c>
      <c r="E1688" s="13">
        <f>+HYPERLINK("http://trademark.i-assist.jp/data/china/image_1890th/77222230.pdf",77222230)</f>
        <v>77222230</v>
      </c>
      <c r="F1688" s="7" t="s">
        <v>4755</v>
      </c>
      <c r="G1688" s="7" t="s">
        <v>4754</v>
      </c>
      <c r="H1688" s="7" t="s">
        <v>4756</v>
      </c>
      <c r="I1688" s="9">
        <v>45362</v>
      </c>
    </row>
    <row r="1689" spans="1:9" x14ac:dyDescent="0.15">
      <c r="A1689" s="6">
        <v>1688</v>
      </c>
      <c r="B1689" s="7" t="s">
        <v>7</v>
      </c>
      <c r="C1689" s="8">
        <v>1890</v>
      </c>
      <c r="D1689" s="9">
        <v>45449</v>
      </c>
      <c r="E1689" s="13">
        <f>+HYPERLINK("http://trademark.i-assist.jp/data/china/image_1890th/77222256.pdf",77222256)</f>
        <v>77222256</v>
      </c>
      <c r="F1689" s="7" t="s">
        <v>4758</v>
      </c>
      <c r="G1689" s="7" t="s">
        <v>4757</v>
      </c>
      <c r="H1689" s="7" t="s">
        <v>4759</v>
      </c>
      <c r="I1689" s="9">
        <v>45362</v>
      </c>
    </row>
    <row r="1690" spans="1:9" ht="27" x14ac:dyDescent="0.15">
      <c r="A1690" s="6">
        <v>1689</v>
      </c>
      <c r="B1690" s="7" t="s">
        <v>7</v>
      </c>
      <c r="C1690" s="8">
        <v>1890</v>
      </c>
      <c r="D1690" s="9">
        <v>45449</v>
      </c>
      <c r="E1690" s="13">
        <f>+HYPERLINK("http://trademark.i-assist.jp/data/china/image_1890th/77222268.pdf",77222268)</f>
        <v>77222268</v>
      </c>
      <c r="F1690" s="7" t="s">
        <v>4760</v>
      </c>
      <c r="G1690" s="7" t="s">
        <v>1343</v>
      </c>
      <c r="H1690" s="7" t="s">
        <v>4761</v>
      </c>
      <c r="I1690" s="9">
        <v>45362</v>
      </c>
    </row>
    <row r="1691" spans="1:9" x14ac:dyDescent="0.15">
      <c r="A1691" s="6">
        <v>1690</v>
      </c>
      <c r="B1691" s="7" t="s">
        <v>7</v>
      </c>
      <c r="C1691" s="8">
        <v>1890</v>
      </c>
      <c r="D1691" s="9">
        <v>45449</v>
      </c>
      <c r="E1691" s="13">
        <f>+HYPERLINK("http://trademark.i-assist.jp/data/china/image_1890th/77222395.pdf",77222395)</f>
        <v>77222395</v>
      </c>
      <c r="F1691" s="7" t="s">
        <v>4763</v>
      </c>
      <c r="G1691" s="7" t="s">
        <v>4762</v>
      </c>
      <c r="H1691" s="7" t="s">
        <v>4764</v>
      </c>
      <c r="I1691" s="9">
        <v>45362</v>
      </c>
    </row>
    <row r="1692" spans="1:9" x14ac:dyDescent="0.15">
      <c r="A1692" s="6">
        <v>1691</v>
      </c>
      <c r="B1692" s="7" t="s">
        <v>7</v>
      </c>
      <c r="C1692" s="8">
        <v>1890</v>
      </c>
      <c r="D1692" s="9">
        <v>45449</v>
      </c>
      <c r="E1692" s="13">
        <f>+HYPERLINK("http://trademark.i-assist.jp/data/china/image_1890th/77222416.pdf",77222416)</f>
        <v>77222416</v>
      </c>
      <c r="F1692" s="7" t="s">
        <v>4766</v>
      </c>
      <c r="G1692" s="7" t="s">
        <v>4765</v>
      </c>
      <c r="H1692" s="7" t="s">
        <v>4767</v>
      </c>
      <c r="I1692" s="9">
        <v>45362</v>
      </c>
    </row>
    <row r="1693" spans="1:9" x14ac:dyDescent="0.15">
      <c r="A1693" s="6">
        <v>1692</v>
      </c>
      <c r="B1693" s="7" t="s">
        <v>7</v>
      </c>
      <c r="C1693" s="8">
        <v>1890</v>
      </c>
      <c r="D1693" s="9">
        <v>45449</v>
      </c>
      <c r="E1693" s="13">
        <f>+HYPERLINK("http://trademark.i-assist.jp/data/china/image_1890th/77222540.pdf",77222540)</f>
        <v>77222540</v>
      </c>
      <c r="F1693" s="7" t="s">
        <v>4769</v>
      </c>
      <c r="G1693" s="7" t="s">
        <v>4768</v>
      </c>
      <c r="H1693" s="7" t="s">
        <v>4770</v>
      </c>
      <c r="I1693" s="9">
        <v>45362</v>
      </c>
    </row>
    <row r="1694" spans="1:9" x14ac:dyDescent="0.15">
      <c r="A1694" s="6">
        <v>1693</v>
      </c>
      <c r="B1694" s="7" t="s">
        <v>7</v>
      </c>
      <c r="C1694" s="8">
        <v>1890</v>
      </c>
      <c r="D1694" s="9">
        <v>45449</v>
      </c>
      <c r="E1694" s="13">
        <f>+HYPERLINK("http://trademark.i-assist.jp/data/china/image_1890th/77222637.pdf",77222637)</f>
        <v>77222637</v>
      </c>
      <c r="F1694" s="7" t="s">
        <v>183</v>
      </c>
      <c r="G1694" s="7" t="s">
        <v>4771</v>
      </c>
      <c r="H1694" s="7" t="s">
        <v>4772</v>
      </c>
      <c r="I1694" s="9">
        <v>45362</v>
      </c>
    </row>
    <row r="1695" spans="1:9" x14ac:dyDescent="0.15">
      <c r="A1695" s="6">
        <v>1694</v>
      </c>
      <c r="B1695" s="7" t="s">
        <v>7</v>
      </c>
      <c r="C1695" s="8">
        <v>1890</v>
      </c>
      <c r="D1695" s="9">
        <v>45449</v>
      </c>
      <c r="E1695" s="13">
        <f>+HYPERLINK("http://trademark.i-assist.jp/data/china/image_1890th/77222773.pdf",77222773)</f>
        <v>77222773</v>
      </c>
      <c r="F1695" s="7" t="s">
        <v>4774</v>
      </c>
      <c r="G1695" s="7" t="s">
        <v>4773</v>
      </c>
      <c r="H1695" s="7" t="s">
        <v>4775</v>
      </c>
      <c r="I1695" s="9">
        <v>45362</v>
      </c>
    </row>
    <row r="1696" spans="1:9" x14ac:dyDescent="0.15">
      <c r="A1696" s="6">
        <v>1695</v>
      </c>
      <c r="B1696" s="7" t="s">
        <v>7</v>
      </c>
      <c r="C1696" s="8">
        <v>1890</v>
      </c>
      <c r="D1696" s="9">
        <v>45449</v>
      </c>
      <c r="E1696" s="13">
        <f>+HYPERLINK("http://trademark.i-assist.jp/data/china/image_1890th/77222801.pdf",77222801)</f>
        <v>77222801</v>
      </c>
      <c r="F1696" s="7" t="s">
        <v>4776</v>
      </c>
      <c r="G1696" s="7" t="s">
        <v>4773</v>
      </c>
      <c r="H1696" s="7" t="s">
        <v>4777</v>
      </c>
      <c r="I1696" s="9">
        <v>45362</v>
      </c>
    </row>
    <row r="1697" spans="1:9" x14ac:dyDescent="0.15">
      <c r="A1697" s="6">
        <v>1696</v>
      </c>
      <c r="B1697" s="7" t="s">
        <v>7</v>
      </c>
      <c r="C1697" s="8">
        <v>1890</v>
      </c>
      <c r="D1697" s="9">
        <v>45449</v>
      </c>
      <c r="E1697" s="13">
        <f>+HYPERLINK("http://trademark.i-assist.jp/data/china/image_1890th/77222873.pdf",77222873)</f>
        <v>77222873</v>
      </c>
      <c r="F1697" s="7" t="s">
        <v>4779</v>
      </c>
      <c r="G1697" s="7" t="s">
        <v>4778</v>
      </c>
      <c r="H1697" s="7" t="s">
        <v>4780</v>
      </c>
      <c r="I1697" s="9">
        <v>45362</v>
      </c>
    </row>
    <row r="1698" spans="1:9" x14ac:dyDescent="0.15">
      <c r="A1698" s="6">
        <v>1697</v>
      </c>
      <c r="B1698" s="7" t="s">
        <v>7</v>
      </c>
      <c r="C1698" s="8">
        <v>1890</v>
      </c>
      <c r="D1698" s="9">
        <v>45449</v>
      </c>
      <c r="E1698" s="13">
        <f>+HYPERLINK("http://trademark.i-assist.jp/data/china/image_1890th/77222889.pdf",77222889)</f>
        <v>77222889</v>
      </c>
      <c r="F1698" s="7" t="s">
        <v>4782</v>
      </c>
      <c r="G1698" s="7" t="s">
        <v>4781</v>
      </c>
      <c r="H1698" s="7" t="s">
        <v>4783</v>
      </c>
      <c r="I1698" s="9">
        <v>45362</v>
      </c>
    </row>
    <row r="1699" spans="1:9" x14ac:dyDescent="0.15">
      <c r="A1699" s="6">
        <v>1698</v>
      </c>
      <c r="B1699" s="7" t="s">
        <v>7</v>
      </c>
      <c r="C1699" s="8">
        <v>1890</v>
      </c>
      <c r="D1699" s="9">
        <v>45449</v>
      </c>
      <c r="E1699" s="13">
        <f>+HYPERLINK("http://trademark.i-assist.jp/data/china/image_1890th/77223168.pdf",77223168)</f>
        <v>77223168</v>
      </c>
      <c r="F1699" s="7" t="s">
        <v>4785</v>
      </c>
      <c r="G1699" s="7" t="s">
        <v>4784</v>
      </c>
      <c r="H1699" s="7" t="s">
        <v>4786</v>
      </c>
      <c r="I1699" s="9">
        <v>45362</v>
      </c>
    </row>
    <row r="1700" spans="1:9" x14ac:dyDescent="0.15">
      <c r="A1700" s="6">
        <v>1699</v>
      </c>
      <c r="B1700" s="7" t="s">
        <v>7</v>
      </c>
      <c r="C1700" s="8">
        <v>1890</v>
      </c>
      <c r="D1700" s="9">
        <v>45449</v>
      </c>
      <c r="E1700" s="13">
        <f>+HYPERLINK("http://trademark.i-assist.jp/data/china/image_1890th/77223317.pdf",77223317)</f>
        <v>77223317</v>
      </c>
      <c r="F1700" s="7" t="s">
        <v>4788</v>
      </c>
      <c r="G1700" s="7" t="s">
        <v>4787</v>
      </c>
      <c r="H1700" s="7" t="s">
        <v>4789</v>
      </c>
      <c r="I1700" s="9">
        <v>45362</v>
      </c>
    </row>
    <row r="1701" spans="1:9" x14ac:dyDescent="0.15">
      <c r="A1701" s="6">
        <v>1700</v>
      </c>
      <c r="B1701" s="7" t="s">
        <v>7</v>
      </c>
      <c r="C1701" s="8">
        <v>1890</v>
      </c>
      <c r="D1701" s="9">
        <v>45449</v>
      </c>
      <c r="E1701" s="13">
        <f>+HYPERLINK("http://trademark.i-assist.jp/data/china/image_1890th/77223332.pdf",77223332)</f>
        <v>77223332</v>
      </c>
      <c r="F1701" s="7" t="s">
        <v>4791</v>
      </c>
      <c r="G1701" s="7" t="s">
        <v>4790</v>
      </c>
      <c r="H1701" s="7" t="s">
        <v>4792</v>
      </c>
      <c r="I1701" s="9">
        <v>45362</v>
      </c>
    </row>
    <row r="1702" spans="1:9" x14ac:dyDescent="0.15">
      <c r="A1702" s="6">
        <v>1701</v>
      </c>
      <c r="B1702" s="7" t="s">
        <v>7</v>
      </c>
      <c r="C1702" s="8">
        <v>1890</v>
      </c>
      <c r="D1702" s="9">
        <v>45449</v>
      </c>
      <c r="E1702" s="13">
        <f>+HYPERLINK("http://trademark.i-assist.jp/data/china/image_1890th/77223377.pdf",77223377)</f>
        <v>77223377</v>
      </c>
      <c r="F1702" s="7" t="s">
        <v>4793</v>
      </c>
      <c r="G1702" s="7" t="s">
        <v>4364</v>
      </c>
      <c r="H1702" s="7" t="s">
        <v>4794</v>
      </c>
      <c r="I1702" s="9">
        <v>45362</v>
      </c>
    </row>
    <row r="1703" spans="1:9" ht="27" x14ac:dyDescent="0.15">
      <c r="A1703" s="6">
        <v>1702</v>
      </c>
      <c r="B1703" s="7" t="s">
        <v>7</v>
      </c>
      <c r="C1703" s="8">
        <v>1890</v>
      </c>
      <c r="D1703" s="9">
        <v>45449</v>
      </c>
      <c r="E1703" s="13">
        <f>+HYPERLINK("http://trademark.i-assist.jp/data/china/image_1890th/77223440.pdf",77223440)</f>
        <v>77223440</v>
      </c>
      <c r="F1703" s="7" t="s">
        <v>4796</v>
      </c>
      <c r="G1703" s="7" t="s">
        <v>4795</v>
      </c>
      <c r="H1703" s="7" t="s">
        <v>4797</v>
      </c>
      <c r="I1703" s="9">
        <v>45362</v>
      </c>
    </row>
    <row r="1704" spans="1:9" ht="27" x14ac:dyDescent="0.15">
      <c r="A1704" s="6">
        <v>1703</v>
      </c>
      <c r="B1704" s="7" t="s">
        <v>7</v>
      </c>
      <c r="C1704" s="8">
        <v>1890</v>
      </c>
      <c r="D1704" s="9">
        <v>45449</v>
      </c>
      <c r="E1704" s="13">
        <f>+HYPERLINK("http://trademark.i-assist.jp/data/china/image_1890th/77223541.pdf",77223541)</f>
        <v>77223541</v>
      </c>
      <c r="F1704" s="7" t="s">
        <v>4799</v>
      </c>
      <c r="G1704" s="7" t="s">
        <v>4798</v>
      </c>
      <c r="H1704" s="7" t="s">
        <v>4800</v>
      </c>
      <c r="I1704" s="9">
        <v>45362</v>
      </c>
    </row>
    <row r="1705" spans="1:9" x14ac:dyDescent="0.15">
      <c r="A1705" s="6">
        <v>1704</v>
      </c>
      <c r="B1705" s="7" t="s">
        <v>7</v>
      </c>
      <c r="C1705" s="8">
        <v>1890</v>
      </c>
      <c r="D1705" s="9">
        <v>45449</v>
      </c>
      <c r="E1705" s="13">
        <f>+HYPERLINK("http://trademark.i-assist.jp/data/china/image_1890th/77223555.pdf",77223555)</f>
        <v>77223555</v>
      </c>
      <c r="F1705" s="7" t="s">
        <v>4801</v>
      </c>
      <c r="G1705" s="7" t="s">
        <v>4773</v>
      </c>
      <c r="H1705" s="7" t="s">
        <v>4802</v>
      </c>
      <c r="I1705" s="9">
        <v>45362</v>
      </c>
    </row>
    <row r="1706" spans="1:9" x14ac:dyDescent="0.15">
      <c r="A1706" s="6">
        <v>1705</v>
      </c>
      <c r="B1706" s="7" t="s">
        <v>7</v>
      </c>
      <c r="C1706" s="8">
        <v>1890</v>
      </c>
      <c r="D1706" s="9">
        <v>45449</v>
      </c>
      <c r="E1706" s="13">
        <f>+HYPERLINK("http://trademark.i-assist.jp/data/china/image_1890th/77223575.pdf",77223575)</f>
        <v>77223575</v>
      </c>
      <c r="F1706" s="7" t="s">
        <v>4804</v>
      </c>
      <c r="G1706" s="7" t="s">
        <v>4803</v>
      </c>
      <c r="H1706" s="7" t="s">
        <v>4805</v>
      </c>
      <c r="I1706" s="9">
        <v>45362</v>
      </c>
    </row>
    <row r="1707" spans="1:9" x14ac:dyDescent="0.15">
      <c r="A1707" s="6">
        <v>1706</v>
      </c>
      <c r="B1707" s="7" t="s">
        <v>7</v>
      </c>
      <c r="C1707" s="8">
        <v>1890</v>
      </c>
      <c r="D1707" s="9">
        <v>45449</v>
      </c>
      <c r="E1707" s="13">
        <f>+HYPERLINK("http://trademark.i-assist.jp/data/china/image_1890th/77223710.pdf",77223710)</f>
        <v>77223710</v>
      </c>
      <c r="F1707" s="7" t="s">
        <v>4806</v>
      </c>
      <c r="G1707" s="7" t="s">
        <v>36</v>
      </c>
      <c r="H1707" s="7" t="s">
        <v>4807</v>
      </c>
      <c r="I1707" s="9">
        <v>45362</v>
      </c>
    </row>
    <row r="1708" spans="1:9" x14ac:dyDescent="0.15">
      <c r="A1708" s="6">
        <v>1707</v>
      </c>
      <c r="B1708" s="7" t="s">
        <v>7</v>
      </c>
      <c r="C1708" s="8">
        <v>1890</v>
      </c>
      <c r="D1708" s="9">
        <v>45449</v>
      </c>
      <c r="E1708" s="13">
        <f>+HYPERLINK("http://trademark.i-assist.jp/data/china/image_1890th/77224164.pdf",77224164)</f>
        <v>77224164</v>
      </c>
      <c r="F1708" s="7" t="s">
        <v>183</v>
      </c>
      <c r="G1708" s="7" t="s">
        <v>4808</v>
      </c>
      <c r="H1708" s="7" t="s">
        <v>4809</v>
      </c>
      <c r="I1708" s="9">
        <v>45362</v>
      </c>
    </row>
    <row r="1709" spans="1:9" ht="27" x14ac:dyDescent="0.15">
      <c r="A1709" s="6">
        <v>1708</v>
      </c>
      <c r="B1709" s="7" t="s">
        <v>7</v>
      </c>
      <c r="C1709" s="8">
        <v>1890</v>
      </c>
      <c r="D1709" s="9">
        <v>45449</v>
      </c>
      <c r="E1709" s="13">
        <f>+HYPERLINK("http://trademark.i-assist.jp/data/china/image_1890th/77224243.pdf",77224243)</f>
        <v>77224243</v>
      </c>
      <c r="F1709" s="7" t="s">
        <v>4811</v>
      </c>
      <c r="G1709" s="7" t="s">
        <v>4810</v>
      </c>
      <c r="H1709" s="7" t="s">
        <v>4812</v>
      </c>
      <c r="I1709" s="9">
        <v>45362</v>
      </c>
    </row>
    <row r="1710" spans="1:9" x14ac:dyDescent="0.15">
      <c r="A1710" s="6">
        <v>1709</v>
      </c>
      <c r="B1710" s="7" t="s">
        <v>7</v>
      </c>
      <c r="C1710" s="8">
        <v>1890</v>
      </c>
      <c r="D1710" s="9">
        <v>45449</v>
      </c>
      <c r="E1710" s="13">
        <f>+HYPERLINK("http://trademark.i-assist.jp/data/china/image_1890th/77224627.pdf",77224627)</f>
        <v>77224627</v>
      </c>
      <c r="F1710" s="7" t="s">
        <v>4814</v>
      </c>
      <c r="G1710" s="7" t="s">
        <v>4813</v>
      </c>
      <c r="H1710" s="7" t="s">
        <v>4815</v>
      </c>
      <c r="I1710" s="9">
        <v>45362</v>
      </c>
    </row>
    <row r="1711" spans="1:9" x14ac:dyDescent="0.15">
      <c r="A1711" s="6">
        <v>1710</v>
      </c>
      <c r="B1711" s="7" t="s">
        <v>7</v>
      </c>
      <c r="C1711" s="8">
        <v>1890</v>
      </c>
      <c r="D1711" s="9">
        <v>45449</v>
      </c>
      <c r="E1711" s="13">
        <f>+HYPERLINK("http://trademark.i-assist.jp/data/china/image_1890th/77224794.pdf",77224794)</f>
        <v>77224794</v>
      </c>
      <c r="F1711" s="7" t="s">
        <v>4816</v>
      </c>
      <c r="G1711" s="7" t="s">
        <v>4778</v>
      </c>
      <c r="H1711" s="7" t="s">
        <v>4817</v>
      </c>
      <c r="I1711" s="9">
        <v>45362</v>
      </c>
    </row>
    <row r="1712" spans="1:9" x14ac:dyDescent="0.15">
      <c r="A1712" s="6">
        <v>1711</v>
      </c>
      <c r="B1712" s="7" t="s">
        <v>7</v>
      </c>
      <c r="C1712" s="8">
        <v>1890</v>
      </c>
      <c r="D1712" s="9">
        <v>45449</v>
      </c>
      <c r="E1712" s="13">
        <f>+HYPERLINK("http://trademark.i-assist.jp/data/china/image_1890th/77224874.pdf",77224874)</f>
        <v>77224874</v>
      </c>
      <c r="F1712" s="7" t="s">
        <v>4819</v>
      </c>
      <c r="G1712" s="7" t="s">
        <v>4818</v>
      </c>
      <c r="H1712" s="7" t="s">
        <v>4820</v>
      </c>
      <c r="I1712" s="9">
        <v>45362</v>
      </c>
    </row>
    <row r="1713" spans="1:9" x14ac:dyDescent="0.15">
      <c r="A1713" s="6">
        <v>1712</v>
      </c>
      <c r="B1713" s="7" t="s">
        <v>7</v>
      </c>
      <c r="C1713" s="8">
        <v>1890</v>
      </c>
      <c r="D1713" s="9">
        <v>45449</v>
      </c>
      <c r="E1713" s="13">
        <f>+HYPERLINK("http://trademark.i-assist.jp/data/china/image_1890th/77224881.pdf",77224881)</f>
        <v>77224881</v>
      </c>
      <c r="F1713" s="7" t="s">
        <v>4822</v>
      </c>
      <c r="G1713" s="7" t="s">
        <v>4821</v>
      </c>
      <c r="H1713" s="7" t="s">
        <v>4823</v>
      </c>
      <c r="I1713" s="9">
        <v>45362</v>
      </c>
    </row>
    <row r="1714" spans="1:9" x14ac:dyDescent="0.15">
      <c r="A1714" s="6">
        <v>1713</v>
      </c>
      <c r="B1714" s="7" t="s">
        <v>7</v>
      </c>
      <c r="C1714" s="8">
        <v>1890</v>
      </c>
      <c r="D1714" s="9">
        <v>45449</v>
      </c>
      <c r="E1714" s="13">
        <f>+HYPERLINK("http://trademark.i-assist.jp/data/china/image_1890th/77225127.pdf",77225127)</f>
        <v>77225127</v>
      </c>
      <c r="F1714" s="7" t="s">
        <v>4825</v>
      </c>
      <c r="G1714" s="7" t="s">
        <v>4824</v>
      </c>
      <c r="H1714" s="7" t="s">
        <v>4826</v>
      </c>
      <c r="I1714" s="9">
        <v>45362</v>
      </c>
    </row>
    <row r="1715" spans="1:9" x14ac:dyDescent="0.15">
      <c r="A1715" s="6">
        <v>1714</v>
      </c>
      <c r="B1715" s="7" t="s">
        <v>7</v>
      </c>
      <c r="C1715" s="8">
        <v>1890</v>
      </c>
      <c r="D1715" s="9">
        <v>45449</v>
      </c>
      <c r="E1715" s="13">
        <f>+HYPERLINK("http://trademark.i-assist.jp/data/china/image_1890th/77225254.pdf",77225254)</f>
        <v>77225254</v>
      </c>
      <c r="F1715" s="7" t="s">
        <v>4828</v>
      </c>
      <c r="G1715" s="7" t="s">
        <v>4827</v>
      </c>
      <c r="H1715" s="7" t="s">
        <v>4829</v>
      </c>
      <c r="I1715" s="9">
        <v>45362</v>
      </c>
    </row>
    <row r="1716" spans="1:9" x14ac:dyDescent="0.15">
      <c r="A1716" s="6">
        <v>1715</v>
      </c>
      <c r="B1716" s="7" t="s">
        <v>7</v>
      </c>
      <c r="C1716" s="8">
        <v>1890</v>
      </c>
      <c r="D1716" s="9">
        <v>45449</v>
      </c>
      <c r="E1716" s="13">
        <f>+HYPERLINK("http://trademark.i-assist.jp/data/china/image_1890th/77225633.pdf",77225633)</f>
        <v>77225633</v>
      </c>
      <c r="F1716" s="7" t="s">
        <v>4831</v>
      </c>
      <c r="G1716" s="7" t="s">
        <v>4830</v>
      </c>
      <c r="H1716" s="7" t="s">
        <v>4832</v>
      </c>
      <c r="I1716" s="9">
        <v>45362</v>
      </c>
    </row>
    <row r="1717" spans="1:9" x14ac:dyDescent="0.15">
      <c r="A1717" s="6">
        <v>1716</v>
      </c>
      <c r="B1717" s="7" t="s">
        <v>7</v>
      </c>
      <c r="C1717" s="8">
        <v>1890</v>
      </c>
      <c r="D1717" s="9">
        <v>45449</v>
      </c>
      <c r="E1717" s="13">
        <f>+HYPERLINK("http://trademark.i-assist.jp/data/china/image_1890th/77225751.pdf",77225751)</f>
        <v>77225751</v>
      </c>
      <c r="F1717" s="7" t="s">
        <v>4833</v>
      </c>
      <c r="G1717" s="7" t="s">
        <v>4364</v>
      </c>
      <c r="H1717" s="7" t="s">
        <v>4834</v>
      </c>
      <c r="I1717" s="9">
        <v>45362</v>
      </c>
    </row>
    <row r="1718" spans="1:9" ht="27" x14ac:dyDescent="0.15">
      <c r="A1718" s="6">
        <v>1717</v>
      </c>
      <c r="B1718" s="7" t="s">
        <v>7</v>
      </c>
      <c r="C1718" s="8">
        <v>1890</v>
      </c>
      <c r="D1718" s="9">
        <v>45449</v>
      </c>
      <c r="E1718" s="13">
        <f>+HYPERLINK("http://trademark.i-assist.jp/data/china/image_1890th/77225807.pdf",77225807)</f>
        <v>77225807</v>
      </c>
      <c r="F1718" s="7" t="s">
        <v>4836</v>
      </c>
      <c r="G1718" s="7" t="s">
        <v>4835</v>
      </c>
      <c r="H1718" s="7" t="s">
        <v>4837</v>
      </c>
      <c r="I1718" s="9">
        <v>45362</v>
      </c>
    </row>
    <row r="1719" spans="1:9" x14ac:dyDescent="0.15">
      <c r="A1719" s="6">
        <v>1718</v>
      </c>
      <c r="B1719" s="7" t="s">
        <v>7</v>
      </c>
      <c r="C1719" s="8">
        <v>1890</v>
      </c>
      <c r="D1719" s="9">
        <v>45449</v>
      </c>
      <c r="E1719" s="13">
        <f>+HYPERLINK("http://trademark.i-assist.jp/data/china/image_1890th/77225822.pdf",77225822)</f>
        <v>77225822</v>
      </c>
      <c r="F1719" s="7" t="s">
        <v>4839</v>
      </c>
      <c r="G1719" s="7" t="s">
        <v>4838</v>
      </c>
      <c r="H1719" s="7" t="s">
        <v>4840</v>
      </c>
      <c r="I1719" s="9">
        <v>45362</v>
      </c>
    </row>
    <row r="1720" spans="1:9" x14ac:dyDescent="0.15">
      <c r="A1720" s="6">
        <v>1719</v>
      </c>
      <c r="B1720" s="7" t="s">
        <v>7</v>
      </c>
      <c r="C1720" s="8">
        <v>1890</v>
      </c>
      <c r="D1720" s="9">
        <v>45449</v>
      </c>
      <c r="E1720" s="13">
        <f>+HYPERLINK("http://trademark.i-assist.jp/data/china/image_1890th/77225826.pdf",77225826)</f>
        <v>77225826</v>
      </c>
      <c r="F1720" s="7" t="s">
        <v>4842</v>
      </c>
      <c r="G1720" s="7" t="s">
        <v>4841</v>
      </c>
      <c r="H1720" s="7" t="s">
        <v>4843</v>
      </c>
      <c r="I1720" s="9">
        <v>45362</v>
      </c>
    </row>
    <row r="1721" spans="1:9" x14ac:dyDescent="0.15">
      <c r="A1721" s="6">
        <v>1720</v>
      </c>
      <c r="B1721" s="7" t="s">
        <v>7</v>
      </c>
      <c r="C1721" s="8">
        <v>1890</v>
      </c>
      <c r="D1721" s="9">
        <v>45449</v>
      </c>
      <c r="E1721" s="13">
        <f>+HYPERLINK("http://trademark.i-assist.jp/data/china/image_1890th/77225877.pdf",77225877)</f>
        <v>77225877</v>
      </c>
      <c r="F1721" s="7" t="s">
        <v>4845</v>
      </c>
      <c r="G1721" s="7" t="s">
        <v>4844</v>
      </c>
      <c r="H1721" s="7" t="s">
        <v>4846</v>
      </c>
      <c r="I1721" s="9">
        <v>45362</v>
      </c>
    </row>
    <row r="1722" spans="1:9" x14ac:dyDescent="0.15">
      <c r="A1722" s="6">
        <v>1721</v>
      </c>
      <c r="B1722" s="7" t="s">
        <v>7</v>
      </c>
      <c r="C1722" s="8">
        <v>1890</v>
      </c>
      <c r="D1722" s="9">
        <v>45449</v>
      </c>
      <c r="E1722" s="13">
        <f>+HYPERLINK("http://trademark.i-assist.jp/data/china/image_1890th/77225943.pdf",77225943)</f>
        <v>77225943</v>
      </c>
      <c r="F1722" s="7" t="s">
        <v>4847</v>
      </c>
      <c r="G1722" s="7" t="s">
        <v>4443</v>
      </c>
      <c r="H1722" s="7" t="s">
        <v>4848</v>
      </c>
      <c r="I1722" s="9">
        <v>45362</v>
      </c>
    </row>
    <row r="1723" spans="1:9" ht="27" x14ac:dyDescent="0.15">
      <c r="A1723" s="6">
        <v>1722</v>
      </c>
      <c r="B1723" s="7" t="s">
        <v>7</v>
      </c>
      <c r="C1723" s="8">
        <v>1890</v>
      </c>
      <c r="D1723" s="9">
        <v>45449</v>
      </c>
      <c r="E1723" s="13">
        <f>+HYPERLINK("http://trademark.i-assist.jp/data/china/image_1890th/77226125.pdf",77226125)</f>
        <v>77226125</v>
      </c>
      <c r="F1723" s="7" t="s">
        <v>4850</v>
      </c>
      <c r="G1723" s="7" t="s">
        <v>4849</v>
      </c>
      <c r="H1723" s="7" t="s">
        <v>4851</v>
      </c>
      <c r="I1723" s="9">
        <v>45362</v>
      </c>
    </row>
    <row r="1724" spans="1:9" x14ac:dyDescent="0.15">
      <c r="A1724" s="6">
        <v>1723</v>
      </c>
      <c r="B1724" s="7" t="s">
        <v>7</v>
      </c>
      <c r="C1724" s="8">
        <v>1890</v>
      </c>
      <c r="D1724" s="9">
        <v>45449</v>
      </c>
      <c r="E1724" s="13">
        <f>+HYPERLINK("http://trademark.i-assist.jp/data/china/image_1890th/77226209.pdf",77226209)</f>
        <v>77226209</v>
      </c>
      <c r="F1724" s="7" t="s">
        <v>4852</v>
      </c>
      <c r="G1724" s="7" t="s">
        <v>4852</v>
      </c>
      <c r="H1724" s="7" t="s">
        <v>4853</v>
      </c>
      <c r="I1724" s="9">
        <v>45362</v>
      </c>
    </row>
    <row r="1725" spans="1:9" ht="27" x14ac:dyDescent="0.15">
      <c r="A1725" s="6">
        <v>1724</v>
      </c>
      <c r="B1725" s="7" t="s">
        <v>7</v>
      </c>
      <c r="C1725" s="8">
        <v>1890</v>
      </c>
      <c r="D1725" s="9">
        <v>45449</v>
      </c>
      <c r="E1725" s="13">
        <f>+HYPERLINK("http://trademark.i-assist.jp/data/china/image_1890th/77226643.pdf",77226643)</f>
        <v>77226643</v>
      </c>
      <c r="F1725" s="7" t="s">
        <v>4855</v>
      </c>
      <c r="G1725" s="7" t="s">
        <v>4854</v>
      </c>
      <c r="H1725" s="7" t="s">
        <v>4856</v>
      </c>
      <c r="I1725" s="9">
        <v>45362</v>
      </c>
    </row>
    <row r="1726" spans="1:9" x14ac:dyDescent="0.15">
      <c r="A1726" s="6">
        <v>1725</v>
      </c>
      <c r="B1726" s="7" t="s">
        <v>7</v>
      </c>
      <c r="C1726" s="8">
        <v>1890</v>
      </c>
      <c r="D1726" s="9">
        <v>45449</v>
      </c>
      <c r="E1726" s="13">
        <f>+HYPERLINK("http://trademark.i-assist.jp/data/china/image_1890th/77226671.pdf",77226671)</f>
        <v>77226671</v>
      </c>
      <c r="F1726" s="7" t="s">
        <v>4858</v>
      </c>
      <c r="G1726" s="7" t="s">
        <v>4857</v>
      </c>
      <c r="H1726" s="7" t="s">
        <v>4859</v>
      </c>
      <c r="I1726" s="9">
        <v>45362</v>
      </c>
    </row>
    <row r="1727" spans="1:9" x14ac:dyDescent="0.15">
      <c r="A1727" s="6">
        <v>1726</v>
      </c>
      <c r="B1727" s="7" t="s">
        <v>7</v>
      </c>
      <c r="C1727" s="8">
        <v>1890</v>
      </c>
      <c r="D1727" s="9">
        <v>45449</v>
      </c>
      <c r="E1727" s="13">
        <f>+HYPERLINK("http://trademark.i-assist.jp/data/china/image_1890th/77226721.pdf",77226721)</f>
        <v>77226721</v>
      </c>
      <c r="F1727" s="7" t="s">
        <v>4861</v>
      </c>
      <c r="G1727" s="7" t="s">
        <v>4860</v>
      </c>
      <c r="H1727" s="7" t="s">
        <v>4862</v>
      </c>
      <c r="I1727" s="9">
        <v>45362</v>
      </c>
    </row>
    <row r="1728" spans="1:9" x14ac:dyDescent="0.15">
      <c r="A1728" s="6">
        <v>1727</v>
      </c>
      <c r="B1728" s="7" t="s">
        <v>7</v>
      </c>
      <c r="C1728" s="8">
        <v>1890</v>
      </c>
      <c r="D1728" s="9">
        <v>45449</v>
      </c>
      <c r="E1728" s="13">
        <f>+HYPERLINK("http://trademark.i-assist.jp/data/china/image_1890th/77226773.pdf",77226773)</f>
        <v>77226773</v>
      </c>
      <c r="F1728" s="7" t="s">
        <v>4864</v>
      </c>
      <c r="G1728" s="7" t="s">
        <v>4863</v>
      </c>
      <c r="H1728" s="7" t="s">
        <v>4865</v>
      </c>
      <c r="I1728" s="9">
        <v>45362</v>
      </c>
    </row>
    <row r="1729" spans="1:9" ht="27" x14ac:dyDescent="0.15">
      <c r="A1729" s="6">
        <v>1728</v>
      </c>
      <c r="B1729" s="7" t="s">
        <v>7</v>
      </c>
      <c r="C1729" s="8">
        <v>1890</v>
      </c>
      <c r="D1729" s="9">
        <v>45449</v>
      </c>
      <c r="E1729" s="13">
        <f>+HYPERLINK("http://trademark.i-assist.jp/data/china/image_1890th/77226883.pdf",77226883)</f>
        <v>77226883</v>
      </c>
      <c r="F1729" s="7" t="s">
        <v>4867</v>
      </c>
      <c r="G1729" s="7" t="s">
        <v>4866</v>
      </c>
      <c r="H1729" s="7" t="s">
        <v>4868</v>
      </c>
      <c r="I1729" s="9">
        <v>45362</v>
      </c>
    </row>
    <row r="1730" spans="1:9" x14ac:dyDescent="0.15">
      <c r="A1730" s="6">
        <v>1729</v>
      </c>
      <c r="B1730" s="7" t="s">
        <v>7</v>
      </c>
      <c r="C1730" s="8">
        <v>1890</v>
      </c>
      <c r="D1730" s="9">
        <v>45449</v>
      </c>
      <c r="E1730" s="13">
        <f>+HYPERLINK("http://trademark.i-assist.jp/data/china/image_1890th/77226970.pdf",77226970)</f>
        <v>77226970</v>
      </c>
      <c r="F1730" s="7" t="s">
        <v>183</v>
      </c>
      <c r="G1730" s="7" t="s">
        <v>4869</v>
      </c>
      <c r="H1730" s="7" t="s">
        <v>4870</v>
      </c>
      <c r="I1730" s="9">
        <v>45362</v>
      </c>
    </row>
    <row r="1731" spans="1:9" x14ac:dyDescent="0.15">
      <c r="A1731" s="6">
        <v>1730</v>
      </c>
      <c r="B1731" s="7" t="s">
        <v>7</v>
      </c>
      <c r="C1731" s="8">
        <v>1890</v>
      </c>
      <c r="D1731" s="9">
        <v>45449</v>
      </c>
      <c r="E1731" s="13">
        <f>+HYPERLINK("http://trademark.i-assist.jp/data/china/image_1890th/77227087.pdf",77227087)</f>
        <v>77227087</v>
      </c>
      <c r="F1731" s="7" t="s">
        <v>4872</v>
      </c>
      <c r="G1731" s="7" t="s">
        <v>4871</v>
      </c>
      <c r="H1731" s="7" t="s">
        <v>4873</v>
      </c>
      <c r="I1731" s="9">
        <v>45362</v>
      </c>
    </row>
    <row r="1732" spans="1:9" x14ac:dyDescent="0.15">
      <c r="A1732" s="6">
        <v>1731</v>
      </c>
      <c r="B1732" s="7" t="s">
        <v>7</v>
      </c>
      <c r="C1732" s="8">
        <v>1890</v>
      </c>
      <c r="D1732" s="9">
        <v>45449</v>
      </c>
      <c r="E1732" s="13">
        <f>+HYPERLINK("http://trademark.i-assist.jp/data/china/image_1890th/77227213.pdf",77227213)</f>
        <v>77227213</v>
      </c>
      <c r="F1732" s="7" t="s">
        <v>4875</v>
      </c>
      <c r="G1732" s="7" t="s">
        <v>4874</v>
      </c>
      <c r="H1732" s="7" t="s">
        <v>4876</v>
      </c>
      <c r="I1732" s="9">
        <v>45362</v>
      </c>
    </row>
    <row r="1733" spans="1:9" x14ac:dyDescent="0.15">
      <c r="A1733" s="6">
        <v>1732</v>
      </c>
      <c r="B1733" s="7" t="s">
        <v>7</v>
      </c>
      <c r="C1733" s="8">
        <v>1890</v>
      </c>
      <c r="D1733" s="9">
        <v>45449</v>
      </c>
      <c r="E1733" s="13">
        <f>+HYPERLINK("http://trademark.i-assist.jp/data/china/image_1890th/77227264.pdf",77227264)</f>
        <v>77227264</v>
      </c>
      <c r="F1733" s="7" t="s">
        <v>4877</v>
      </c>
      <c r="G1733" s="7" t="s">
        <v>3642</v>
      </c>
      <c r="H1733" s="7" t="s">
        <v>4878</v>
      </c>
      <c r="I1733" s="9">
        <v>45362</v>
      </c>
    </row>
    <row r="1734" spans="1:9" x14ac:dyDescent="0.15">
      <c r="A1734" s="6">
        <v>1733</v>
      </c>
      <c r="B1734" s="7" t="s">
        <v>7</v>
      </c>
      <c r="C1734" s="8">
        <v>1890</v>
      </c>
      <c r="D1734" s="9">
        <v>45449</v>
      </c>
      <c r="E1734" s="13">
        <f>+HYPERLINK("http://trademark.i-assist.jp/data/china/image_1890th/77227272.pdf",77227272)</f>
        <v>77227272</v>
      </c>
      <c r="F1734" s="7" t="s">
        <v>4879</v>
      </c>
      <c r="G1734" s="7" t="s">
        <v>3642</v>
      </c>
      <c r="H1734" s="7" t="s">
        <v>4880</v>
      </c>
      <c r="I1734" s="9">
        <v>45362</v>
      </c>
    </row>
    <row r="1735" spans="1:9" x14ac:dyDescent="0.15">
      <c r="A1735" s="6">
        <v>1734</v>
      </c>
      <c r="B1735" s="7" t="s">
        <v>7</v>
      </c>
      <c r="C1735" s="8">
        <v>1890</v>
      </c>
      <c r="D1735" s="9">
        <v>45449</v>
      </c>
      <c r="E1735" s="13">
        <f>+HYPERLINK("http://trademark.i-assist.jp/data/china/image_1890th/77227281.pdf",77227281)</f>
        <v>77227281</v>
      </c>
      <c r="F1735" s="7" t="s">
        <v>4881</v>
      </c>
      <c r="G1735" s="7" t="s">
        <v>3642</v>
      </c>
      <c r="H1735" s="7" t="s">
        <v>4882</v>
      </c>
      <c r="I1735" s="9">
        <v>45362</v>
      </c>
    </row>
    <row r="1736" spans="1:9" x14ac:dyDescent="0.15">
      <c r="A1736" s="6">
        <v>1735</v>
      </c>
      <c r="B1736" s="7" t="s">
        <v>7</v>
      </c>
      <c r="C1736" s="8">
        <v>1890</v>
      </c>
      <c r="D1736" s="9">
        <v>45449</v>
      </c>
      <c r="E1736" s="13">
        <f>+HYPERLINK("http://trademark.i-assist.jp/data/china/image_1890th/77227371.pdf",77227371)</f>
        <v>77227371</v>
      </c>
      <c r="F1736" s="7" t="s">
        <v>4884</v>
      </c>
      <c r="G1736" s="7" t="s">
        <v>4883</v>
      </c>
      <c r="H1736" s="7" t="s">
        <v>4885</v>
      </c>
      <c r="I1736" s="9">
        <v>45362</v>
      </c>
    </row>
    <row r="1737" spans="1:9" x14ac:dyDescent="0.15">
      <c r="A1737" s="6">
        <v>1736</v>
      </c>
      <c r="B1737" s="7" t="s">
        <v>7</v>
      </c>
      <c r="C1737" s="8">
        <v>1890</v>
      </c>
      <c r="D1737" s="9">
        <v>45449</v>
      </c>
      <c r="E1737" s="13">
        <f>+HYPERLINK("http://trademark.i-assist.jp/data/china/image_1890th/77227378.pdf",77227378)</f>
        <v>77227378</v>
      </c>
      <c r="F1737" s="7" t="s">
        <v>183</v>
      </c>
      <c r="G1737" s="7" t="s">
        <v>1314</v>
      </c>
      <c r="H1737" s="7" t="s">
        <v>4886</v>
      </c>
      <c r="I1737" s="9">
        <v>45362</v>
      </c>
    </row>
    <row r="1738" spans="1:9" x14ac:dyDescent="0.15">
      <c r="A1738" s="6">
        <v>1737</v>
      </c>
      <c r="B1738" s="7" t="s">
        <v>7</v>
      </c>
      <c r="C1738" s="8">
        <v>1890</v>
      </c>
      <c r="D1738" s="9">
        <v>45449</v>
      </c>
      <c r="E1738" s="13">
        <f>+HYPERLINK("http://trademark.i-assist.jp/data/china/image_1890th/77227435.pdf",77227435)</f>
        <v>77227435</v>
      </c>
      <c r="F1738" s="7" t="s">
        <v>4888</v>
      </c>
      <c r="G1738" s="7" t="s">
        <v>4887</v>
      </c>
      <c r="H1738" s="7" t="s">
        <v>4889</v>
      </c>
      <c r="I1738" s="9">
        <v>45362</v>
      </c>
    </row>
    <row r="1739" spans="1:9" x14ac:dyDescent="0.15">
      <c r="A1739" s="6">
        <v>1738</v>
      </c>
      <c r="B1739" s="7" t="s">
        <v>7</v>
      </c>
      <c r="C1739" s="8">
        <v>1890</v>
      </c>
      <c r="D1739" s="9">
        <v>45449</v>
      </c>
      <c r="E1739" s="13">
        <f>+HYPERLINK("http://trademark.i-assist.jp/data/china/image_1890th/77227530.pdf",77227530)</f>
        <v>77227530</v>
      </c>
      <c r="F1739" s="7" t="s">
        <v>4891</v>
      </c>
      <c r="G1739" s="7" t="s">
        <v>4890</v>
      </c>
      <c r="H1739" s="7" t="s">
        <v>4892</v>
      </c>
      <c r="I1739" s="9">
        <v>45362</v>
      </c>
    </row>
    <row r="1740" spans="1:9" x14ac:dyDescent="0.15">
      <c r="A1740" s="6">
        <v>1739</v>
      </c>
      <c r="B1740" s="7" t="s">
        <v>7</v>
      </c>
      <c r="C1740" s="8">
        <v>1890</v>
      </c>
      <c r="D1740" s="9">
        <v>45449</v>
      </c>
      <c r="E1740" s="13">
        <f>+HYPERLINK("http://trademark.i-assist.jp/data/china/image_1890th/77227627.pdf",77227627)</f>
        <v>77227627</v>
      </c>
      <c r="F1740" s="7" t="s">
        <v>4893</v>
      </c>
      <c r="G1740" s="7" t="s">
        <v>36</v>
      </c>
      <c r="H1740" s="7" t="s">
        <v>4894</v>
      </c>
      <c r="I1740" s="9">
        <v>45362</v>
      </c>
    </row>
    <row r="1741" spans="1:9" x14ac:dyDescent="0.15">
      <c r="A1741" s="6">
        <v>1740</v>
      </c>
      <c r="B1741" s="7" t="s">
        <v>7</v>
      </c>
      <c r="C1741" s="8">
        <v>1890</v>
      </c>
      <c r="D1741" s="9">
        <v>45449</v>
      </c>
      <c r="E1741" s="13">
        <f>+HYPERLINK("http://trademark.i-assist.jp/data/china/image_1890th/77227751.pdf",77227751)</f>
        <v>77227751</v>
      </c>
      <c r="F1741" s="7" t="s">
        <v>4895</v>
      </c>
      <c r="G1741" s="7" t="s">
        <v>36</v>
      </c>
      <c r="H1741" s="7" t="s">
        <v>4896</v>
      </c>
      <c r="I1741" s="9">
        <v>45362</v>
      </c>
    </row>
    <row r="1742" spans="1:9" ht="27" x14ac:dyDescent="0.15">
      <c r="A1742" s="6">
        <v>1741</v>
      </c>
      <c r="B1742" s="7" t="s">
        <v>7</v>
      </c>
      <c r="C1742" s="8">
        <v>1890</v>
      </c>
      <c r="D1742" s="9">
        <v>45449</v>
      </c>
      <c r="E1742" s="13">
        <f>+HYPERLINK("http://trademark.i-assist.jp/data/china/image_1890th/77227861.pdf",77227861)</f>
        <v>77227861</v>
      </c>
      <c r="F1742" s="7" t="s">
        <v>4897</v>
      </c>
      <c r="G1742" s="7" t="s">
        <v>1328</v>
      </c>
      <c r="H1742" s="7" t="s">
        <v>4898</v>
      </c>
      <c r="I1742" s="9">
        <v>45362</v>
      </c>
    </row>
    <row r="1743" spans="1:9" x14ac:dyDescent="0.15">
      <c r="A1743" s="6">
        <v>1742</v>
      </c>
      <c r="B1743" s="7" t="s">
        <v>7</v>
      </c>
      <c r="C1743" s="8">
        <v>1890</v>
      </c>
      <c r="D1743" s="9">
        <v>45449</v>
      </c>
      <c r="E1743" s="13">
        <f>+HYPERLINK("http://trademark.i-assist.jp/data/china/image_1890th/77228043.pdf",77228043)</f>
        <v>77228043</v>
      </c>
      <c r="F1743" s="7" t="s">
        <v>4900</v>
      </c>
      <c r="G1743" s="7" t="s">
        <v>4899</v>
      </c>
      <c r="H1743" s="7" t="s">
        <v>4901</v>
      </c>
      <c r="I1743" s="9">
        <v>45362</v>
      </c>
    </row>
    <row r="1744" spans="1:9" x14ac:dyDescent="0.15">
      <c r="A1744" s="6">
        <v>1743</v>
      </c>
      <c r="B1744" s="7" t="s">
        <v>7</v>
      </c>
      <c r="C1744" s="8">
        <v>1890</v>
      </c>
      <c r="D1744" s="9">
        <v>45449</v>
      </c>
      <c r="E1744" s="13">
        <f>+HYPERLINK("http://trademark.i-assist.jp/data/china/image_1890th/77228100.pdf",77228100)</f>
        <v>77228100</v>
      </c>
      <c r="F1744" s="7" t="s">
        <v>4903</v>
      </c>
      <c r="G1744" s="7" t="s">
        <v>4902</v>
      </c>
      <c r="H1744" s="7" t="s">
        <v>4904</v>
      </c>
      <c r="I1744" s="9">
        <v>45362</v>
      </c>
    </row>
    <row r="1745" spans="1:9" x14ac:dyDescent="0.15">
      <c r="A1745" s="6">
        <v>1744</v>
      </c>
      <c r="B1745" s="7" t="s">
        <v>7</v>
      </c>
      <c r="C1745" s="8">
        <v>1890</v>
      </c>
      <c r="D1745" s="9">
        <v>45449</v>
      </c>
      <c r="E1745" s="13">
        <f>+HYPERLINK("http://trademark.i-assist.jp/data/china/image_1890th/77228347.pdf",77228347)</f>
        <v>77228347</v>
      </c>
      <c r="F1745" s="7" t="s">
        <v>4906</v>
      </c>
      <c r="G1745" s="7" t="s">
        <v>4905</v>
      </c>
      <c r="H1745" s="7" t="s">
        <v>4907</v>
      </c>
      <c r="I1745" s="9">
        <v>45362</v>
      </c>
    </row>
    <row r="1746" spans="1:9" x14ac:dyDescent="0.15">
      <c r="A1746" s="6">
        <v>1745</v>
      </c>
      <c r="B1746" s="7" t="s">
        <v>7</v>
      </c>
      <c r="C1746" s="8">
        <v>1890</v>
      </c>
      <c r="D1746" s="9">
        <v>45449</v>
      </c>
      <c r="E1746" s="13">
        <f>+HYPERLINK("http://trademark.i-assist.jp/data/china/image_1890th/77228390.pdf",77228390)</f>
        <v>77228390</v>
      </c>
      <c r="F1746" s="7" t="s">
        <v>4909</v>
      </c>
      <c r="G1746" s="7" t="s">
        <v>4908</v>
      </c>
      <c r="H1746" s="7" t="s">
        <v>4910</v>
      </c>
      <c r="I1746" s="9">
        <v>45362</v>
      </c>
    </row>
    <row r="1747" spans="1:9" x14ac:dyDescent="0.15">
      <c r="A1747" s="6">
        <v>1746</v>
      </c>
      <c r="B1747" s="7" t="s">
        <v>7</v>
      </c>
      <c r="C1747" s="8">
        <v>1890</v>
      </c>
      <c r="D1747" s="9">
        <v>45449</v>
      </c>
      <c r="E1747" s="13">
        <f>+HYPERLINK("http://trademark.i-assist.jp/data/china/image_1890th/77228482.pdf",77228482)</f>
        <v>77228482</v>
      </c>
      <c r="F1747" s="7" t="s">
        <v>4912</v>
      </c>
      <c r="G1747" s="7" t="s">
        <v>4911</v>
      </c>
      <c r="H1747" s="7" t="s">
        <v>4913</v>
      </c>
      <c r="I1747" s="9">
        <v>45362</v>
      </c>
    </row>
    <row r="1748" spans="1:9" x14ac:dyDescent="0.15">
      <c r="A1748" s="6">
        <v>1747</v>
      </c>
      <c r="B1748" s="7" t="s">
        <v>7</v>
      </c>
      <c r="C1748" s="8">
        <v>1890</v>
      </c>
      <c r="D1748" s="9">
        <v>45449</v>
      </c>
      <c r="E1748" s="13">
        <f>+HYPERLINK("http://trademark.i-assist.jp/data/china/image_1890th/77228845.pdf",77228845)</f>
        <v>77228845</v>
      </c>
      <c r="F1748" s="7" t="s">
        <v>4915</v>
      </c>
      <c r="G1748" s="7" t="s">
        <v>4914</v>
      </c>
      <c r="H1748" s="7" t="s">
        <v>4916</v>
      </c>
      <c r="I1748" s="9">
        <v>45362</v>
      </c>
    </row>
    <row r="1749" spans="1:9" ht="27" x14ac:dyDescent="0.15">
      <c r="A1749" s="6">
        <v>1748</v>
      </c>
      <c r="B1749" s="7" t="s">
        <v>7</v>
      </c>
      <c r="C1749" s="8">
        <v>1890</v>
      </c>
      <c r="D1749" s="9">
        <v>45449</v>
      </c>
      <c r="E1749" s="13">
        <f>+HYPERLINK("http://trademark.i-assist.jp/data/china/image_1890th/77228847.pdf",77228847)</f>
        <v>77228847</v>
      </c>
      <c r="F1749" s="7" t="s">
        <v>4917</v>
      </c>
      <c r="G1749" s="7" t="s">
        <v>4810</v>
      </c>
      <c r="H1749" s="7" t="s">
        <v>4918</v>
      </c>
      <c r="I1749" s="9">
        <v>45362</v>
      </c>
    </row>
    <row r="1750" spans="1:9" ht="121.5" x14ac:dyDescent="0.15">
      <c r="A1750" s="6">
        <v>1749</v>
      </c>
      <c r="B1750" s="7" t="s">
        <v>7</v>
      </c>
      <c r="C1750" s="8">
        <v>1890</v>
      </c>
      <c r="D1750" s="9">
        <v>45449</v>
      </c>
      <c r="E1750" s="13" t="s">
        <v>11362</v>
      </c>
      <c r="F1750" s="7" t="s">
        <v>4920</v>
      </c>
      <c r="G1750" s="7" t="s">
        <v>4919</v>
      </c>
      <c r="H1750" s="7" t="s">
        <v>4921</v>
      </c>
      <c r="I1750" s="9">
        <v>45362</v>
      </c>
    </row>
    <row r="1751" spans="1:9" x14ac:dyDescent="0.15">
      <c r="A1751" s="6">
        <v>1750</v>
      </c>
      <c r="B1751" s="7" t="s">
        <v>7</v>
      </c>
      <c r="C1751" s="8">
        <v>1890</v>
      </c>
      <c r="D1751" s="9">
        <v>45449</v>
      </c>
      <c r="E1751" s="13">
        <f>+HYPERLINK("http://trademark.i-assist.jp/data/china/image_1890th/77228869.pdf",77228869)</f>
        <v>77228869</v>
      </c>
      <c r="F1751" s="7" t="s">
        <v>4922</v>
      </c>
      <c r="G1751" s="7" t="s">
        <v>99</v>
      </c>
      <c r="H1751" s="7" t="s">
        <v>4923</v>
      </c>
      <c r="I1751" s="9">
        <v>45362</v>
      </c>
    </row>
    <row r="1752" spans="1:9" x14ac:dyDescent="0.15">
      <c r="A1752" s="6">
        <v>1751</v>
      </c>
      <c r="B1752" s="7" t="s">
        <v>7</v>
      </c>
      <c r="C1752" s="8">
        <v>1890</v>
      </c>
      <c r="D1752" s="9">
        <v>45449</v>
      </c>
      <c r="E1752" s="13">
        <f>+HYPERLINK("http://trademark.i-assist.jp/data/china/image_1890th/77229204.pdf",77229204)</f>
        <v>77229204</v>
      </c>
      <c r="F1752" s="7" t="s">
        <v>4925</v>
      </c>
      <c r="G1752" s="7" t="s">
        <v>4924</v>
      </c>
      <c r="H1752" s="7" t="s">
        <v>4926</v>
      </c>
      <c r="I1752" s="9">
        <v>45362</v>
      </c>
    </row>
    <row r="1753" spans="1:9" x14ac:dyDescent="0.15">
      <c r="A1753" s="6">
        <v>1752</v>
      </c>
      <c r="B1753" s="7" t="s">
        <v>7</v>
      </c>
      <c r="C1753" s="8">
        <v>1890</v>
      </c>
      <c r="D1753" s="9">
        <v>45449</v>
      </c>
      <c r="E1753" s="13">
        <f>+HYPERLINK("http://trademark.i-assist.jp/data/china/image_1890th/77229289.pdf",77229289)</f>
        <v>77229289</v>
      </c>
      <c r="F1753" s="7" t="s">
        <v>4927</v>
      </c>
      <c r="G1753" s="7" t="s">
        <v>4421</v>
      </c>
      <c r="H1753" s="7" t="s">
        <v>4928</v>
      </c>
      <c r="I1753" s="9">
        <v>45362</v>
      </c>
    </row>
    <row r="1754" spans="1:9" x14ac:dyDescent="0.15">
      <c r="A1754" s="6">
        <v>1753</v>
      </c>
      <c r="B1754" s="7" t="s">
        <v>7</v>
      </c>
      <c r="C1754" s="8">
        <v>1890</v>
      </c>
      <c r="D1754" s="9">
        <v>45449</v>
      </c>
      <c r="E1754" s="13">
        <f>+HYPERLINK("http://trademark.i-assist.jp/data/china/image_1890th/77229334.pdf",77229334)</f>
        <v>77229334</v>
      </c>
      <c r="F1754" s="7" t="s">
        <v>4930</v>
      </c>
      <c r="G1754" s="7" t="s">
        <v>4929</v>
      </c>
      <c r="H1754" s="7" t="s">
        <v>4931</v>
      </c>
      <c r="I1754" s="9">
        <v>45362</v>
      </c>
    </row>
    <row r="1755" spans="1:9" x14ac:dyDescent="0.15">
      <c r="A1755" s="6">
        <v>1754</v>
      </c>
      <c r="B1755" s="7" t="s">
        <v>7</v>
      </c>
      <c r="C1755" s="8">
        <v>1890</v>
      </c>
      <c r="D1755" s="9">
        <v>45449</v>
      </c>
      <c r="E1755" s="13">
        <f>+HYPERLINK("http://trademark.i-assist.jp/data/china/image_1890th/77230040.pdf",77230040)</f>
        <v>77230040</v>
      </c>
      <c r="F1755" s="7" t="s">
        <v>4933</v>
      </c>
      <c r="G1755" s="7" t="s">
        <v>4932</v>
      </c>
      <c r="H1755" s="7" t="s">
        <v>4934</v>
      </c>
      <c r="I1755" s="9">
        <v>45362</v>
      </c>
    </row>
    <row r="1756" spans="1:9" x14ac:dyDescent="0.15">
      <c r="A1756" s="6">
        <v>1755</v>
      </c>
      <c r="B1756" s="7" t="s">
        <v>7</v>
      </c>
      <c r="C1756" s="8">
        <v>1890</v>
      </c>
      <c r="D1756" s="9">
        <v>45449</v>
      </c>
      <c r="E1756" s="13">
        <f>+HYPERLINK("http://trademark.i-assist.jp/data/china/image_1890th/77230069.pdf",77230069)</f>
        <v>77230069</v>
      </c>
      <c r="F1756" s="7" t="s">
        <v>4935</v>
      </c>
      <c r="G1756" s="7" t="s">
        <v>4887</v>
      </c>
      <c r="H1756" s="7" t="s">
        <v>4936</v>
      </c>
      <c r="I1756" s="9">
        <v>45362</v>
      </c>
    </row>
    <row r="1757" spans="1:9" x14ac:dyDescent="0.15">
      <c r="A1757" s="6">
        <v>1756</v>
      </c>
      <c r="B1757" s="7" t="s">
        <v>7</v>
      </c>
      <c r="C1757" s="8">
        <v>1890</v>
      </c>
      <c r="D1757" s="9">
        <v>45449</v>
      </c>
      <c r="E1757" s="13">
        <f>+HYPERLINK("http://trademark.i-assist.jp/data/china/image_1890th/77230076.pdf",77230076)</f>
        <v>77230076</v>
      </c>
      <c r="F1757" s="7" t="s">
        <v>4938</v>
      </c>
      <c r="G1757" s="7" t="s">
        <v>4937</v>
      </c>
      <c r="H1757" s="7" t="s">
        <v>4939</v>
      </c>
      <c r="I1757" s="9">
        <v>45362</v>
      </c>
    </row>
    <row r="1758" spans="1:9" x14ac:dyDescent="0.15">
      <c r="A1758" s="6">
        <v>1757</v>
      </c>
      <c r="B1758" s="7" t="s">
        <v>7</v>
      </c>
      <c r="C1758" s="8">
        <v>1890</v>
      </c>
      <c r="D1758" s="9">
        <v>45449</v>
      </c>
      <c r="E1758" s="13">
        <f>+HYPERLINK("http://trademark.i-assist.jp/data/china/image_1890th/77230158.pdf",77230158)</f>
        <v>77230158</v>
      </c>
      <c r="F1758" s="7" t="s">
        <v>4941</v>
      </c>
      <c r="G1758" s="7" t="s">
        <v>4940</v>
      </c>
      <c r="H1758" s="7" t="s">
        <v>4942</v>
      </c>
      <c r="I1758" s="9">
        <v>45362</v>
      </c>
    </row>
    <row r="1759" spans="1:9" x14ac:dyDescent="0.15">
      <c r="A1759" s="6">
        <v>1758</v>
      </c>
      <c r="B1759" s="7" t="s">
        <v>7</v>
      </c>
      <c r="C1759" s="8">
        <v>1890</v>
      </c>
      <c r="D1759" s="9">
        <v>45449</v>
      </c>
      <c r="E1759" s="13">
        <f>+HYPERLINK("http://trademark.i-assist.jp/data/china/image_1890th/77230257.pdf",77230257)</f>
        <v>77230257</v>
      </c>
      <c r="F1759" s="7" t="s">
        <v>4944</v>
      </c>
      <c r="G1759" s="7" t="s">
        <v>4943</v>
      </c>
      <c r="H1759" s="7" t="s">
        <v>4945</v>
      </c>
      <c r="I1759" s="9">
        <v>45362</v>
      </c>
    </row>
    <row r="1760" spans="1:9" x14ac:dyDescent="0.15">
      <c r="A1760" s="6">
        <v>1759</v>
      </c>
      <c r="B1760" s="7" t="s">
        <v>7</v>
      </c>
      <c r="C1760" s="8">
        <v>1890</v>
      </c>
      <c r="D1760" s="9">
        <v>45449</v>
      </c>
      <c r="E1760" s="13">
        <f>+HYPERLINK("http://trademark.i-assist.jp/data/china/image_1890th/77230263.pdf",77230263)</f>
        <v>77230263</v>
      </c>
      <c r="F1760" s="7" t="s">
        <v>4947</v>
      </c>
      <c r="G1760" s="7" t="s">
        <v>4946</v>
      </c>
      <c r="H1760" s="7" t="s">
        <v>4948</v>
      </c>
      <c r="I1760" s="9">
        <v>45362</v>
      </c>
    </row>
    <row r="1761" spans="1:9" x14ac:dyDescent="0.15">
      <c r="A1761" s="6">
        <v>1760</v>
      </c>
      <c r="B1761" s="7" t="s">
        <v>7</v>
      </c>
      <c r="C1761" s="8">
        <v>1890</v>
      </c>
      <c r="D1761" s="9">
        <v>45449</v>
      </c>
      <c r="E1761" s="13">
        <f>+HYPERLINK("http://trademark.i-assist.jp/data/china/image_1890th/77230298.pdf",77230298)</f>
        <v>77230298</v>
      </c>
      <c r="F1761" s="7" t="s">
        <v>4950</v>
      </c>
      <c r="G1761" s="7" t="s">
        <v>4949</v>
      </c>
      <c r="H1761" s="7" t="s">
        <v>4951</v>
      </c>
      <c r="I1761" s="9">
        <v>45362</v>
      </c>
    </row>
    <row r="1762" spans="1:9" ht="27" x14ac:dyDescent="0.15">
      <c r="A1762" s="6">
        <v>1761</v>
      </c>
      <c r="B1762" s="7" t="s">
        <v>7</v>
      </c>
      <c r="C1762" s="8">
        <v>1890</v>
      </c>
      <c r="D1762" s="9">
        <v>45449</v>
      </c>
      <c r="E1762" s="13">
        <f>+HYPERLINK("http://trademark.i-assist.jp/data/china/image_1890th/77230368.pdf",77230368)</f>
        <v>77230368</v>
      </c>
      <c r="F1762" s="7" t="s">
        <v>4953</v>
      </c>
      <c r="G1762" s="7" t="s">
        <v>4952</v>
      </c>
      <c r="H1762" s="7" t="s">
        <v>4954</v>
      </c>
      <c r="I1762" s="9">
        <v>45362</v>
      </c>
    </row>
    <row r="1763" spans="1:9" x14ac:dyDescent="0.15">
      <c r="A1763" s="6">
        <v>1762</v>
      </c>
      <c r="B1763" s="7" t="s">
        <v>7</v>
      </c>
      <c r="C1763" s="8">
        <v>1890</v>
      </c>
      <c r="D1763" s="9">
        <v>45449</v>
      </c>
      <c r="E1763" s="13">
        <f>+HYPERLINK("http://trademark.i-assist.jp/data/china/image_1890th/77230400.pdf",77230400)</f>
        <v>77230400</v>
      </c>
      <c r="F1763" s="7" t="s">
        <v>4956</v>
      </c>
      <c r="G1763" s="7" t="s">
        <v>4955</v>
      </c>
      <c r="H1763" s="7" t="s">
        <v>4957</v>
      </c>
      <c r="I1763" s="9">
        <v>45362</v>
      </c>
    </row>
    <row r="1764" spans="1:9" x14ac:dyDescent="0.15">
      <c r="A1764" s="6">
        <v>1763</v>
      </c>
      <c r="B1764" s="7" t="s">
        <v>7</v>
      </c>
      <c r="C1764" s="8">
        <v>1890</v>
      </c>
      <c r="D1764" s="9">
        <v>45449</v>
      </c>
      <c r="E1764" s="13">
        <f>+HYPERLINK("http://trademark.i-assist.jp/data/china/image_1890th/77230534.pdf",77230534)</f>
        <v>77230534</v>
      </c>
      <c r="F1764" s="7" t="s">
        <v>4959</v>
      </c>
      <c r="G1764" s="7" t="s">
        <v>4958</v>
      </c>
      <c r="H1764" s="7" t="s">
        <v>4960</v>
      </c>
      <c r="I1764" s="9">
        <v>45362</v>
      </c>
    </row>
    <row r="1765" spans="1:9" x14ac:dyDescent="0.15">
      <c r="A1765" s="6">
        <v>1764</v>
      </c>
      <c r="B1765" s="7" t="s">
        <v>7</v>
      </c>
      <c r="C1765" s="8">
        <v>1890</v>
      </c>
      <c r="D1765" s="9">
        <v>45449</v>
      </c>
      <c r="E1765" s="13">
        <f>+HYPERLINK("http://trademark.i-assist.jp/data/china/image_1890th/77230772.pdf",77230772)</f>
        <v>77230772</v>
      </c>
      <c r="F1765" s="7" t="s">
        <v>4962</v>
      </c>
      <c r="G1765" s="7" t="s">
        <v>4961</v>
      </c>
      <c r="H1765" s="7" t="s">
        <v>4963</v>
      </c>
      <c r="I1765" s="9">
        <v>45362</v>
      </c>
    </row>
    <row r="1766" spans="1:9" ht="27" x14ac:dyDescent="0.15">
      <c r="A1766" s="6">
        <v>1765</v>
      </c>
      <c r="B1766" s="7" t="s">
        <v>7</v>
      </c>
      <c r="C1766" s="8">
        <v>1890</v>
      </c>
      <c r="D1766" s="9">
        <v>45449</v>
      </c>
      <c r="E1766" s="13">
        <f>+HYPERLINK("http://trademark.i-assist.jp/data/china/image_1890th/77231108.pdf",77231108)</f>
        <v>77231108</v>
      </c>
      <c r="F1766" s="7" t="s">
        <v>4964</v>
      </c>
      <c r="G1766" s="7" t="s">
        <v>4849</v>
      </c>
      <c r="H1766" s="7" t="s">
        <v>4965</v>
      </c>
      <c r="I1766" s="9">
        <v>45362</v>
      </c>
    </row>
    <row r="1767" spans="1:9" x14ac:dyDescent="0.15">
      <c r="A1767" s="6">
        <v>1766</v>
      </c>
      <c r="B1767" s="7" t="s">
        <v>7</v>
      </c>
      <c r="C1767" s="8">
        <v>1890</v>
      </c>
      <c r="D1767" s="9">
        <v>45449</v>
      </c>
      <c r="E1767" s="13">
        <f>+HYPERLINK("http://trademark.i-assist.jp/data/china/image_1890th/77231187.pdf",77231187)</f>
        <v>77231187</v>
      </c>
      <c r="F1767" s="7" t="s">
        <v>4966</v>
      </c>
      <c r="G1767" s="7" t="s">
        <v>36</v>
      </c>
      <c r="H1767" s="7" t="s">
        <v>4967</v>
      </c>
      <c r="I1767" s="9">
        <v>45362</v>
      </c>
    </row>
    <row r="1768" spans="1:9" x14ac:dyDescent="0.15">
      <c r="A1768" s="6">
        <v>1767</v>
      </c>
      <c r="B1768" s="7" t="s">
        <v>7</v>
      </c>
      <c r="C1768" s="8">
        <v>1890</v>
      </c>
      <c r="D1768" s="9">
        <v>45449</v>
      </c>
      <c r="E1768" s="13">
        <f>+HYPERLINK("http://trademark.i-assist.jp/data/china/image_1890th/77231229.pdf",77231229)</f>
        <v>77231229</v>
      </c>
      <c r="F1768" s="7" t="s">
        <v>4968</v>
      </c>
      <c r="G1768" s="7" t="s">
        <v>4397</v>
      </c>
      <c r="H1768" s="7" t="s">
        <v>4969</v>
      </c>
      <c r="I1768" s="9">
        <v>45362</v>
      </c>
    </row>
    <row r="1769" spans="1:9" x14ac:dyDescent="0.15">
      <c r="A1769" s="6">
        <v>1768</v>
      </c>
      <c r="B1769" s="7" t="s">
        <v>7</v>
      </c>
      <c r="C1769" s="8">
        <v>1890</v>
      </c>
      <c r="D1769" s="9">
        <v>45449</v>
      </c>
      <c r="E1769" s="13">
        <f>+HYPERLINK("http://trademark.i-assist.jp/data/china/image_1890th/77231386.pdf",77231386)</f>
        <v>77231386</v>
      </c>
      <c r="F1769" s="7" t="s">
        <v>4971</v>
      </c>
      <c r="G1769" s="7" t="s">
        <v>4970</v>
      </c>
      <c r="H1769" s="7" t="s">
        <v>4972</v>
      </c>
      <c r="I1769" s="9">
        <v>45362</v>
      </c>
    </row>
    <row r="1770" spans="1:9" ht="27" x14ac:dyDescent="0.15">
      <c r="A1770" s="6">
        <v>1769</v>
      </c>
      <c r="B1770" s="7" t="s">
        <v>7</v>
      </c>
      <c r="C1770" s="8">
        <v>1890</v>
      </c>
      <c r="D1770" s="9">
        <v>45449</v>
      </c>
      <c r="E1770" s="13">
        <f>+HYPERLINK("http://trademark.i-assist.jp/data/china/image_1890th/77231627.pdf",77231627)</f>
        <v>77231627</v>
      </c>
      <c r="F1770" s="7" t="s">
        <v>4973</v>
      </c>
      <c r="G1770" s="7" t="s">
        <v>1343</v>
      </c>
      <c r="H1770" s="7" t="s">
        <v>4974</v>
      </c>
      <c r="I1770" s="9">
        <v>45362</v>
      </c>
    </row>
    <row r="1771" spans="1:9" x14ac:dyDescent="0.15">
      <c r="A1771" s="6">
        <v>1770</v>
      </c>
      <c r="B1771" s="7" t="s">
        <v>7</v>
      </c>
      <c r="C1771" s="8">
        <v>1890</v>
      </c>
      <c r="D1771" s="9">
        <v>45449</v>
      </c>
      <c r="E1771" s="13">
        <f>+HYPERLINK("http://trademark.i-assist.jp/data/china/image_1890th/77232026.pdf",77232026)</f>
        <v>77232026</v>
      </c>
      <c r="F1771" s="7" t="s">
        <v>4976</v>
      </c>
      <c r="G1771" s="7" t="s">
        <v>4975</v>
      </c>
      <c r="H1771" s="7" t="s">
        <v>4977</v>
      </c>
      <c r="I1771" s="9">
        <v>45362</v>
      </c>
    </row>
    <row r="1772" spans="1:9" x14ac:dyDescent="0.15">
      <c r="A1772" s="6">
        <v>1771</v>
      </c>
      <c r="B1772" s="7" t="s">
        <v>7</v>
      </c>
      <c r="C1772" s="8">
        <v>1890</v>
      </c>
      <c r="D1772" s="9">
        <v>45449</v>
      </c>
      <c r="E1772" s="13">
        <f>+HYPERLINK("http://trademark.i-assist.jp/data/china/image_1890th/77232291.pdf",77232291)</f>
        <v>77232291</v>
      </c>
      <c r="F1772" s="7" t="s">
        <v>4979</v>
      </c>
      <c r="G1772" s="7" t="s">
        <v>4978</v>
      </c>
      <c r="H1772" s="7" t="s">
        <v>4980</v>
      </c>
      <c r="I1772" s="9">
        <v>45362</v>
      </c>
    </row>
    <row r="1773" spans="1:9" x14ac:dyDescent="0.15">
      <c r="A1773" s="6">
        <v>1772</v>
      </c>
      <c r="B1773" s="7" t="s">
        <v>7</v>
      </c>
      <c r="C1773" s="8">
        <v>1890</v>
      </c>
      <c r="D1773" s="9">
        <v>45449</v>
      </c>
      <c r="E1773" s="13">
        <f>+HYPERLINK("http://trademark.i-assist.jp/data/china/image_1890th/77232395.pdf",77232395)</f>
        <v>77232395</v>
      </c>
      <c r="F1773" s="7" t="s">
        <v>4982</v>
      </c>
      <c r="G1773" s="7" t="s">
        <v>4981</v>
      </c>
      <c r="H1773" s="7" t="s">
        <v>4983</v>
      </c>
      <c r="I1773" s="9">
        <v>45362</v>
      </c>
    </row>
    <row r="1774" spans="1:9" x14ac:dyDescent="0.15">
      <c r="A1774" s="6">
        <v>1773</v>
      </c>
      <c r="B1774" s="7" t="s">
        <v>7</v>
      </c>
      <c r="C1774" s="8">
        <v>1890</v>
      </c>
      <c r="D1774" s="9">
        <v>45449</v>
      </c>
      <c r="E1774" s="13">
        <f>+HYPERLINK("http://trademark.i-assist.jp/data/china/image_1890th/77232663.pdf",77232663)</f>
        <v>77232663</v>
      </c>
      <c r="F1774" s="7" t="s">
        <v>4985</v>
      </c>
      <c r="G1774" s="7" t="s">
        <v>4984</v>
      </c>
      <c r="H1774" s="7" t="s">
        <v>4986</v>
      </c>
      <c r="I1774" s="9">
        <v>45362</v>
      </c>
    </row>
    <row r="1775" spans="1:9" x14ac:dyDescent="0.15">
      <c r="A1775" s="6">
        <v>1774</v>
      </c>
      <c r="B1775" s="7" t="s">
        <v>7</v>
      </c>
      <c r="C1775" s="8">
        <v>1890</v>
      </c>
      <c r="D1775" s="9">
        <v>45449</v>
      </c>
      <c r="E1775" s="13">
        <f>+HYPERLINK("http://trademark.i-assist.jp/data/china/image_1890th/77232772.pdf",77232772)</f>
        <v>77232772</v>
      </c>
      <c r="F1775" s="7" t="s">
        <v>4988</v>
      </c>
      <c r="G1775" s="7" t="s">
        <v>4987</v>
      </c>
      <c r="H1775" s="7" t="s">
        <v>4989</v>
      </c>
      <c r="I1775" s="9">
        <v>45362</v>
      </c>
    </row>
    <row r="1776" spans="1:9" x14ac:dyDescent="0.15">
      <c r="A1776" s="6">
        <v>1775</v>
      </c>
      <c r="B1776" s="7" t="s">
        <v>7</v>
      </c>
      <c r="C1776" s="8">
        <v>1890</v>
      </c>
      <c r="D1776" s="9">
        <v>45449</v>
      </c>
      <c r="E1776" s="13">
        <f>+HYPERLINK("http://trademark.i-assist.jp/data/china/image_1890th/77232831.pdf",77232831)</f>
        <v>77232831</v>
      </c>
      <c r="F1776" s="7" t="s">
        <v>4991</v>
      </c>
      <c r="G1776" s="7" t="s">
        <v>4990</v>
      </c>
      <c r="H1776" s="7" t="s">
        <v>4992</v>
      </c>
      <c r="I1776" s="9">
        <v>45362</v>
      </c>
    </row>
    <row r="1777" spans="1:9" x14ac:dyDescent="0.15">
      <c r="A1777" s="6">
        <v>1776</v>
      </c>
      <c r="B1777" s="7" t="s">
        <v>7</v>
      </c>
      <c r="C1777" s="8">
        <v>1890</v>
      </c>
      <c r="D1777" s="9">
        <v>45449</v>
      </c>
      <c r="E1777" s="13">
        <f>+HYPERLINK("http://trademark.i-assist.jp/data/china/image_1890th/77232876.pdf",77232876)</f>
        <v>77232876</v>
      </c>
      <c r="F1777" s="7" t="s">
        <v>4994</v>
      </c>
      <c r="G1777" s="7" t="s">
        <v>4993</v>
      </c>
      <c r="H1777" s="7" t="s">
        <v>4995</v>
      </c>
      <c r="I1777" s="9">
        <v>45362</v>
      </c>
    </row>
    <row r="1778" spans="1:9" x14ac:dyDescent="0.15">
      <c r="A1778" s="6">
        <v>1777</v>
      </c>
      <c r="B1778" s="7" t="s">
        <v>7</v>
      </c>
      <c r="C1778" s="8">
        <v>1890</v>
      </c>
      <c r="D1778" s="9">
        <v>45449</v>
      </c>
      <c r="E1778" s="13">
        <f>+HYPERLINK("http://trademark.i-assist.jp/data/china/image_1890th/77233106.pdf",77233106)</f>
        <v>77233106</v>
      </c>
      <c r="F1778" s="7" t="s">
        <v>4997</v>
      </c>
      <c r="G1778" s="7" t="s">
        <v>4996</v>
      </c>
      <c r="H1778" s="7" t="s">
        <v>4998</v>
      </c>
      <c r="I1778" s="9">
        <v>45362</v>
      </c>
    </row>
    <row r="1779" spans="1:9" x14ac:dyDescent="0.15">
      <c r="A1779" s="6">
        <v>1778</v>
      </c>
      <c r="B1779" s="7" t="s">
        <v>7</v>
      </c>
      <c r="C1779" s="8">
        <v>1890</v>
      </c>
      <c r="D1779" s="9">
        <v>45449</v>
      </c>
      <c r="E1779" s="13">
        <f>+HYPERLINK("http://trademark.i-assist.jp/data/china/image_1890th/77233228.pdf",77233228)</f>
        <v>77233228</v>
      </c>
      <c r="F1779" s="7" t="s">
        <v>5000</v>
      </c>
      <c r="G1779" s="7" t="s">
        <v>4999</v>
      </c>
      <c r="H1779" s="7" t="s">
        <v>5001</v>
      </c>
      <c r="I1779" s="9">
        <v>45362</v>
      </c>
    </row>
    <row r="1780" spans="1:9" x14ac:dyDescent="0.15">
      <c r="A1780" s="6">
        <v>1779</v>
      </c>
      <c r="B1780" s="7" t="s">
        <v>7</v>
      </c>
      <c r="C1780" s="8">
        <v>1890</v>
      </c>
      <c r="D1780" s="9">
        <v>45449</v>
      </c>
      <c r="E1780" s="13">
        <f>+HYPERLINK("http://trademark.i-assist.jp/data/china/image_1890th/77233343.pdf",77233343)</f>
        <v>77233343</v>
      </c>
      <c r="F1780" s="7" t="s">
        <v>183</v>
      </c>
      <c r="G1780" s="7" t="s">
        <v>5002</v>
      </c>
      <c r="H1780" s="7" t="s">
        <v>5003</v>
      </c>
      <c r="I1780" s="9">
        <v>45362</v>
      </c>
    </row>
    <row r="1781" spans="1:9" x14ac:dyDescent="0.15">
      <c r="A1781" s="6">
        <v>1780</v>
      </c>
      <c r="B1781" s="7" t="s">
        <v>7</v>
      </c>
      <c r="C1781" s="8">
        <v>1890</v>
      </c>
      <c r="D1781" s="9">
        <v>45449</v>
      </c>
      <c r="E1781" s="13">
        <f>+HYPERLINK("http://trademark.i-assist.jp/data/china/image_1890th/77233564.pdf",77233564)</f>
        <v>77233564</v>
      </c>
      <c r="F1781" s="7" t="s">
        <v>5005</v>
      </c>
      <c r="G1781" s="7" t="s">
        <v>5004</v>
      </c>
      <c r="H1781" s="7" t="s">
        <v>5006</v>
      </c>
      <c r="I1781" s="9">
        <v>45362</v>
      </c>
    </row>
    <row r="1782" spans="1:9" x14ac:dyDescent="0.15">
      <c r="A1782" s="6">
        <v>1781</v>
      </c>
      <c r="B1782" s="7" t="s">
        <v>7</v>
      </c>
      <c r="C1782" s="8">
        <v>1890</v>
      </c>
      <c r="D1782" s="9">
        <v>45449</v>
      </c>
      <c r="E1782" s="13">
        <f>+HYPERLINK("http://trademark.i-assist.jp/data/china/image_1890th/77233690.pdf",77233690)</f>
        <v>77233690</v>
      </c>
      <c r="F1782" s="7" t="s">
        <v>5008</v>
      </c>
      <c r="G1782" s="7" t="s">
        <v>5007</v>
      </c>
      <c r="H1782" s="7" t="s">
        <v>5009</v>
      </c>
      <c r="I1782" s="9">
        <v>45362</v>
      </c>
    </row>
    <row r="1783" spans="1:9" x14ac:dyDescent="0.15">
      <c r="A1783" s="6">
        <v>1782</v>
      </c>
      <c r="B1783" s="7" t="s">
        <v>7</v>
      </c>
      <c r="C1783" s="8">
        <v>1890</v>
      </c>
      <c r="D1783" s="9">
        <v>45449</v>
      </c>
      <c r="E1783" s="13">
        <f>+HYPERLINK("http://trademark.i-assist.jp/data/china/image_1890th/77233708.pdf",77233708)</f>
        <v>77233708</v>
      </c>
      <c r="F1783" s="7" t="s">
        <v>5010</v>
      </c>
      <c r="G1783" s="7" t="s">
        <v>4364</v>
      </c>
      <c r="H1783" s="7" t="s">
        <v>5011</v>
      </c>
      <c r="I1783" s="9">
        <v>45362</v>
      </c>
    </row>
    <row r="1784" spans="1:9" x14ac:dyDescent="0.15">
      <c r="A1784" s="6">
        <v>1783</v>
      </c>
      <c r="B1784" s="7" t="s">
        <v>7</v>
      </c>
      <c r="C1784" s="8">
        <v>1890</v>
      </c>
      <c r="D1784" s="9">
        <v>45449</v>
      </c>
      <c r="E1784" s="13">
        <f>+HYPERLINK("http://trademark.i-assist.jp/data/china/image_1890th/77233844.pdf",77233844)</f>
        <v>77233844</v>
      </c>
      <c r="F1784" s="7" t="s">
        <v>5013</v>
      </c>
      <c r="G1784" s="7" t="s">
        <v>5012</v>
      </c>
      <c r="H1784" s="7" t="s">
        <v>5014</v>
      </c>
      <c r="I1784" s="9">
        <v>45362</v>
      </c>
    </row>
    <row r="1785" spans="1:9" x14ac:dyDescent="0.15">
      <c r="A1785" s="6">
        <v>1784</v>
      </c>
      <c r="B1785" s="7" t="s">
        <v>7</v>
      </c>
      <c r="C1785" s="8">
        <v>1890</v>
      </c>
      <c r="D1785" s="9">
        <v>45449</v>
      </c>
      <c r="E1785" s="13">
        <f>+HYPERLINK("http://trademark.i-assist.jp/data/china/image_1890th/77233955.pdf",77233955)</f>
        <v>77233955</v>
      </c>
      <c r="F1785" s="7" t="s">
        <v>5016</v>
      </c>
      <c r="G1785" s="7" t="s">
        <v>5015</v>
      </c>
      <c r="H1785" s="7" t="s">
        <v>5017</v>
      </c>
      <c r="I1785" s="9">
        <v>45362</v>
      </c>
    </row>
    <row r="1786" spans="1:9" x14ac:dyDescent="0.15">
      <c r="A1786" s="6">
        <v>1785</v>
      </c>
      <c r="B1786" s="7" t="s">
        <v>7</v>
      </c>
      <c r="C1786" s="8">
        <v>1890</v>
      </c>
      <c r="D1786" s="9">
        <v>45449</v>
      </c>
      <c r="E1786" s="13">
        <f>+HYPERLINK("http://trademark.i-assist.jp/data/china/image_1890th/77233969.pdf",77233969)</f>
        <v>77233969</v>
      </c>
      <c r="F1786" s="7" t="s">
        <v>5019</v>
      </c>
      <c r="G1786" s="7" t="s">
        <v>5018</v>
      </c>
      <c r="H1786" s="7" t="s">
        <v>5020</v>
      </c>
      <c r="I1786" s="9">
        <v>45362</v>
      </c>
    </row>
    <row r="1787" spans="1:9" x14ac:dyDescent="0.15">
      <c r="A1787" s="6">
        <v>1786</v>
      </c>
      <c r="B1787" s="7" t="s">
        <v>7</v>
      </c>
      <c r="C1787" s="8">
        <v>1890</v>
      </c>
      <c r="D1787" s="9">
        <v>45449</v>
      </c>
      <c r="E1787" s="13">
        <f>+HYPERLINK("http://trademark.i-assist.jp/data/china/image_1890th/77233982.pdf",77233982)</f>
        <v>77233982</v>
      </c>
      <c r="F1787" s="7" t="s">
        <v>5021</v>
      </c>
      <c r="G1787" s="7" t="s">
        <v>4397</v>
      </c>
      <c r="H1787" s="7" t="s">
        <v>5022</v>
      </c>
      <c r="I1787" s="9">
        <v>45362</v>
      </c>
    </row>
    <row r="1788" spans="1:9" x14ac:dyDescent="0.15">
      <c r="A1788" s="6">
        <v>1787</v>
      </c>
      <c r="B1788" s="7" t="s">
        <v>7</v>
      </c>
      <c r="C1788" s="8">
        <v>1890</v>
      </c>
      <c r="D1788" s="9">
        <v>45449</v>
      </c>
      <c r="E1788" s="13">
        <f>+HYPERLINK("http://trademark.i-assist.jp/data/china/image_1890th/77234103.pdf",77234103)</f>
        <v>77234103</v>
      </c>
      <c r="F1788" s="7" t="s">
        <v>5024</v>
      </c>
      <c r="G1788" s="7" t="s">
        <v>5023</v>
      </c>
      <c r="H1788" s="7" t="s">
        <v>5025</v>
      </c>
      <c r="I1788" s="9">
        <v>45362</v>
      </c>
    </row>
    <row r="1789" spans="1:9" x14ac:dyDescent="0.15">
      <c r="A1789" s="6">
        <v>1788</v>
      </c>
      <c r="B1789" s="7" t="s">
        <v>7</v>
      </c>
      <c r="C1789" s="8">
        <v>1890</v>
      </c>
      <c r="D1789" s="9">
        <v>45449</v>
      </c>
      <c r="E1789" s="13">
        <f>+HYPERLINK("http://trademark.i-assist.jp/data/china/image_1890th/77234302.pdf",77234302)</f>
        <v>77234302</v>
      </c>
      <c r="F1789" s="7" t="s">
        <v>5027</v>
      </c>
      <c r="G1789" s="7" t="s">
        <v>5026</v>
      </c>
      <c r="H1789" s="7" t="s">
        <v>5028</v>
      </c>
      <c r="I1789" s="9">
        <v>45362</v>
      </c>
    </row>
    <row r="1790" spans="1:9" x14ac:dyDescent="0.15">
      <c r="A1790" s="6">
        <v>1789</v>
      </c>
      <c r="B1790" s="7" t="s">
        <v>7</v>
      </c>
      <c r="C1790" s="8">
        <v>1890</v>
      </c>
      <c r="D1790" s="9">
        <v>45449</v>
      </c>
      <c r="E1790" s="13">
        <f>+HYPERLINK("http://trademark.i-assist.jp/data/china/image_1890th/77234351.pdf",77234351)</f>
        <v>77234351</v>
      </c>
      <c r="F1790" s="7" t="s">
        <v>5030</v>
      </c>
      <c r="G1790" s="7" t="s">
        <v>5029</v>
      </c>
      <c r="H1790" s="7" t="s">
        <v>5031</v>
      </c>
      <c r="I1790" s="9">
        <v>45362</v>
      </c>
    </row>
    <row r="1791" spans="1:9" x14ac:dyDescent="0.15">
      <c r="A1791" s="6">
        <v>1790</v>
      </c>
      <c r="B1791" s="7" t="s">
        <v>7</v>
      </c>
      <c r="C1791" s="8">
        <v>1890</v>
      </c>
      <c r="D1791" s="9">
        <v>45449</v>
      </c>
      <c r="E1791" s="13">
        <f>+HYPERLINK("http://trademark.i-assist.jp/data/china/image_1890th/77234446.pdf",77234446)</f>
        <v>77234446</v>
      </c>
      <c r="F1791" s="7" t="s">
        <v>5033</v>
      </c>
      <c r="G1791" s="7" t="s">
        <v>5032</v>
      </c>
      <c r="H1791" s="7" t="s">
        <v>5034</v>
      </c>
      <c r="I1791" s="9">
        <v>45362</v>
      </c>
    </row>
    <row r="1792" spans="1:9" x14ac:dyDescent="0.15">
      <c r="A1792" s="6">
        <v>1791</v>
      </c>
      <c r="B1792" s="7" t="s">
        <v>7</v>
      </c>
      <c r="C1792" s="8">
        <v>1890</v>
      </c>
      <c r="D1792" s="9">
        <v>45449</v>
      </c>
      <c r="E1792" s="13">
        <f>+HYPERLINK("http://trademark.i-assist.jp/data/china/image_1890th/77234545.pdf",77234545)</f>
        <v>77234545</v>
      </c>
      <c r="F1792" s="7" t="s">
        <v>5036</v>
      </c>
      <c r="G1792" s="7" t="s">
        <v>5035</v>
      </c>
      <c r="H1792" s="7" t="s">
        <v>5037</v>
      </c>
      <c r="I1792" s="9">
        <v>45362</v>
      </c>
    </row>
    <row r="1793" spans="1:9" x14ac:dyDescent="0.15">
      <c r="A1793" s="6">
        <v>1792</v>
      </c>
      <c r="B1793" s="7" t="s">
        <v>7</v>
      </c>
      <c r="C1793" s="8">
        <v>1890</v>
      </c>
      <c r="D1793" s="9">
        <v>45449</v>
      </c>
      <c r="E1793" s="13">
        <f>+HYPERLINK("http://trademark.i-assist.jp/data/china/image_1890th/77234643.pdf",77234643)</f>
        <v>77234643</v>
      </c>
      <c r="F1793" s="7" t="s">
        <v>5038</v>
      </c>
      <c r="G1793" s="7" t="s">
        <v>4429</v>
      </c>
      <c r="H1793" s="7" t="s">
        <v>5039</v>
      </c>
      <c r="I1793" s="9">
        <v>45362</v>
      </c>
    </row>
    <row r="1794" spans="1:9" x14ac:dyDescent="0.15">
      <c r="A1794" s="6">
        <v>1793</v>
      </c>
      <c r="B1794" s="7" t="s">
        <v>7</v>
      </c>
      <c r="C1794" s="8">
        <v>1890</v>
      </c>
      <c r="D1794" s="9">
        <v>45449</v>
      </c>
      <c r="E1794" s="13">
        <f>+HYPERLINK("http://trademark.i-assist.jp/data/china/image_1890th/77234658.pdf",77234658)</f>
        <v>77234658</v>
      </c>
      <c r="F1794" s="7" t="s">
        <v>5041</v>
      </c>
      <c r="G1794" s="7" t="s">
        <v>5040</v>
      </c>
      <c r="H1794" s="7" t="s">
        <v>5042</v>
      </c>
      <c r="I1794" s="9">
        <v>45362</v>
      </c>
    </row>
    <row r="1795" spans="1:9" x14ac:dyDescent="0.15">
      <c r="A1795" s="6">
        <v>1794</v>
      </c>
      <c r="B1795" s="7" t="s">
        <v>7</v>
      </c>
      <c r="C1795" s="8">
        <v>1890</v>
      </c>
      <c r="D1795" s="9">
        <v>45449</v>
      </c>
      <c r="E1795" s="13">
        <f>+HYPERLINK("http://trademark.i-assist.jp/data/china/image_1890th/77234733.pdf",77234733)</f>
        <v>77234733</v>
      </c>
      <c r="F1795" s="7" t="s">
        <v>5044</v>
      </c>
      <c r="G1795" s="7" t="s">
        <v>5043</v>
      </c>
      <c r="H1795" s="7" t="s">
        <v>5045</v>
      </c>
      <c r="I1795" s="9">
        <v>45363</v>
      </c>
    </row>
    <row r="1796" spans="1:9" x14ac:dyDescent="0.15">
      <c r="A1796" s="6">
        <v>1795</v>
      </c>
      <c r="B1796" s="7" t="s">
        <v>7</v>
      </c>
      <c r="C1796" s="8">
        <v>1890</v>
      </c>
      <c r="D1796" s="9">
        <v>45449</v>
      </c>
      <c r="E1796" s="13">
        <f>+HYPERLINK("http://trademark.i-assist.jp/data/china/image_1890th/77235027.pdf",77235027)</f>
        <v>77235027</v>
      </c>
      <c r="F1796" s="7" t="s">
        <v>5047</v>
      </c>
      <c r="G1796" s="7" t="s">
        <v>5046</v>
      </c>
      <c r="H1796" s="7" t="s">
        <v>5048</v>
      </c>
      <c r="I1796" s="9">
        <v>45363</v>
      </c>
    </row>
    <row r="1797" spans="1:9" x14ac:dyDescent="0.15">
      <c r="A1797" s="6">
        <v>1796</v>
      </c>
      <c r="B1797" s="7" t="s">
        <v>7</v>
      </c>
      <c r="C1797" s="8">
        <v>1890</v>
      </c>
      <c r="D1797" s="9">
        <v>45449</v>
      </c>
      <c r="E1797" s="13">
        <f>+HYPERLINK("http://trademark.i-assist.jp/data/china/image_1890th/77235050.pdf",77235050)</f>
        <v>77235050</v>
      </c>
      <c r="F1797" s="7" t="s">
        <v>5050</v>
      </c>
      <c r="G1797" s="7" t="s">
        <v>5049</v>
      </c>
      <c r="H1797" s="7" t="s">
        <v>5051</v>
      </c>
      <c r="I1797" s="9">
        <v>45363</v>
      </c>
    </row>
    <row r="1798" spans="1:9" x14ac:dyDescent="0.15">
      <c r="A1798" s="6">
        <v>1797</v>
      </c>
      <c r="B1798" s="7" t="s">
        <v>7</v>
      </c>
      <c r="C1798" s="8">
        <v>1890</v>
      </c>
      <c r="D1798" s="9">
        <v>45449</v>
      </c>
      <c r="E1798" s="13">
        <f>+HYPERLINK("http://trademark.i-assist.jp/data/china/image_1890th/77235148.pdf",77235148)</f>
        <v>77235148</v>
      </c>
      <c r="F1798" s="7" t="s">
        <v>5053</v>
      </c>
      <c r="G1798" s="7" t="s">
        <v>5052</v>
      </c>
      <c r="H1798" s="7" t="s">
        <v>5054</v>
      </c>
      <c r="I1798" s="9">
        <v>45363</v>
      </c>
    </row>
    <row r="1799" spans="1:9" x14ac:dyDescent="0.15">
      <c r="A1799" s="6">
        <v>1798</v>
      </c>
      <c r="B1799" s="7" t="s">
        <v>7</v>
      </c>
      <c r="C1799" s="8">
        <v>1890</v>
      </c>
      <c r="D1799" s="9">
        <v>45449</v>
      </c>
      <c r="E1799" s="13">
        <f>+HYPERLINK("http://trademark.i-assist.jp/data/china/image_1890th/77235423.pdf",77235423)</f>
        <v>77235423</v>
      </c>
      <c r="F1799" s="7" t="s">
        <v>5056</v>
      </c>
      <c r="G1799" s="7" t="s">
        <v>5055</v>
      </c>
      <c r="H1799" s="7" t="s">
        <v>5057</v>
      </c>
      <c r="I1799" s="9">
        <v>45363</v>
      </c>
    </row>
    <row r="1800" spans="1:9" x14ac:dyDescent="0.15">
      <c r="A1800" s="6">
        <v>1799</v>
      </c>
      <c r="B1800" s="7" t="s">
        <v>7</v>
      </c>
      <c r="C1800" s="8">
        <v>1890</v>
      </c>
      <c r="D1800" s="9">
        <v>45449</v>
      </c>
      <c r="E1800" s="13">
        <f>+HYPERLINK("http://trademark.i-assist.jp/data/china/image_1890th/77235533.pdf",77235533)</f>
        <v>77235533</v>
      </c>
      <c r="F1800" s="7" t="s">
        <v>5059</v>
      </c>
      <c r="G1800" s="7" t="s">
        <v>5058</v>
      </c>
      <c r="H1800" s="7" t="s">
        <v>5060</v>
      </c>
      <c r="I1800" s="9">
        <v>45363</v>
      </c>
    </row>
    <row r="1801" spans="1:9" x14ac:dyDescent="0.15">
      <c r="A1801" s="6">
        <v>1800</v>
      </c>
      <c r="B1801" s="7" t="s">
        <v>7</v>
      </c>
      <c r="C1801" s="8">
        <v>1890</v>
      </c>
      <c r="D1801" s="9">
        <v>45449</v>
      </c>
      <c r="E1801" s="13">
        <f>+HYPERLINK("http://trademark.i-assist.jp/data/china/image_1890th/77235580.pdf",77235580)</f>
        <v>77235580</v>
      </c>
      <c r="F1801" s="7" t="s">
        <v>5062</v>
      </c>
      <c r="G1801" s="7" t="s">
        <v>5061</v>
      </c>
      <c r="H1801" s="7" t="s">
        <v>5063</v>
      </c>
      <c r="I1801" s="9">
        <v>45363</v>
      </c>
    </row>
    <row r="1802" spans="1:9" x14ac:dyDescent="0.15">
      <c r="A1802" s="6">
        <v>1801</v>
      </c>
      <c r="B1802" s="7" t="s">
        <v>7</v>
      </c>
      <c r="C1802" s="8">
        <v>1890</v>
      </c>
      <c r="D1802" s="9">
        <v>45449</v>
      </c>
      <c r="E1802" s="13">
        <f>+HYPERLINK("http://trademark.i-assist.jp/data/china/image_1890th/77235790.pdf",77235790)</f>
        <v>77235790</v>
      </c>
      <c r="F1802" s="7" t="s">
        <v>5065</v>
      </c>
      <c r="G1802" s="7" t="s">
        <v>5064</v>
      </c>
      <c r="H1802" s="7" t="s">
        <v>5066</v>
      </c>
      <c r="I1802" s="9">
        <v>45363</v>
      </c>
    </row>
    <row r="1803" spans="1:9" x14ac:dyDescent="0.15">
      <c r="A1803" s="6">
        <v>1802</v>
      </c>
      <c r="B1803" s="7" t="s">
        <v>7</v>
      </c>
      <c r="C1803" s="8">
        <v>1890</v>
      </c>
      <c r="D1803" s="9">
        <v>45449</v>
      </c>
      <c r="E1803" s="13">
        <f>+HYPERLINK("http://trademark.i-assist.jp/data/china/image_1890th/77235828.pdf",77235828)</f>
        <v>77235828</v>
      </c>
      <c r="F1803" s="7" t="s">
        <v>5068</v>
      </c>
      <c r="G1803" s="7" t="s">
        <v>5067</v>
      </c>
      <c r="H1803" s="7" t="s">
        <v>5069</v>
      </c>
      <c r="I1803" s="9">
        <v>45363</v>
      </c>
    </row>
    <row r="1804" spans="1:9" x14ac:dyDescent="0.15">
      <c r="A1804" s="6">
        <v>1803</v>
      </c>
      <c r="B1804" s="7" t="s">
        <v>7</v>
      </c>
      <c r="C1804" s="8">
        <v>1890</v>
      </c>
      <c r="D1804" s="9">
        <v>45449</v>
      </c>
      <c r="E1804" s="13">
        <f>+HYPERLINK("http://trademark.i-assist.jp/data/china/image_1890th/77236328.pdf",77236328)</f>
        <v>77236328</v>
      </c>
      <c r="F1804" s="7" t="s">
        <v>5071</v>
      </c>
      <c r="G1804" s="7" t="s">
        <v>5070</v>
      </c>
      <c r="H1804" s="7" t="s">
        <v>5072</v>
      </c>
      <c r="I1804" s="9">
        <v>45363</v>
      </c>
    </row>
    <row r="1805" spans="1:9" x14ac:dyDescent="0.15">
      <c r="A1805" s="6">
        <v>1804</v>
      </c>
      <c r="B1805" s="7" t="s">
        <v>7</v>
      </c>
      <c r="C1805" s="8">
        <v>1890</v>
      </c>
      <c r="D1805" s="9">
        <v>45449</v>
      </c>
      <c r="E1805" s="13">
        <f>+HYPERLINK("http://trademark.i-assist.jp/data/china/image_1890th/77237436.pdf",77237436)</f>
        <v>77237436</v>
      </c>
      <c r="F1805" s="7" t="s">
        <v>5074</v>
      </c>
      <c r="G1805" s="7" t="s">
        <v>5073</v>
      </c>
      <c r="H1805" s="7" t="s">
        <v>5075</v>
      </c>
      <c r="I1805" s="9">
        <v>45363</v>
      </c>
    </row>
    <row r="1806" spans="1:9" x14ac:dyDescent="0.15">
      <c r="A1806" s="6">
        <v>1805</v>
      </c>
      <c r="B1806" s="7" t="s">
        <v>7</v>
      </c>
      <c r="C1806" s="8">
        <v>1890</v>
      </c>
      <c r="D1806" s="9">
        <v>45449</v>
      </c>
      <c r="E1806" s="13">
        <f>+HYPERLINK("http://trademark.i-assist.jp/data/china/image_1890th/77237523.pdf",77237523)</f>
        <v>77237523</v>
      </c>
      <c r="F1806" s="7" t="s">
        <v>5076</v>
      </c>
      <c r="G1806" s="7" t="s">
        <v>4499</v>
      </c>
      <c r="H1806" s="7" t="s">
        <v>5077</v>
      </c>
      <c r="I1806" s="9">
        <v>45363</v>
      </c>
    </row>
    <row r="1807" spans="1:9" x14ac:dyDescent="0.15">
      <c r="A1807" s="6">
        <v>1806</v>
      </c>
      <c r="B1807" s="7" t="s">
        <v>7</v>
      </c>
      <c r="C1807" s="8">
        <v>1890</v>
      </c>
      <c r="D1807" s="9">
        <v>45449</v>
      </c>
      <c r="E1807" s="13">
        <f>+HYPERLINK("http://trademark.i-assist.jp/data/china/image_1890th/77237571.pdf",77237571)</f>
        <v>77237571</v>
      </c>
      <c r="F1807" s="7" t="s">
        <v>5079</v>
      </c>
      <c r="G1807" s="7" t="s">
        <v>5078</v>
      </c>
      <c r="H1807" s="7" t="s">
        <v>5080</v>
      </c>
      <c r="I1807" s="9">
        <v>45363</v>
      </c>
    </row>
    <row r="1808" spans="1:9" x14ac:dyDescent="0.15">
      <c r="A1808" s="6">
        <v>1807</v>
      </c>
      <c r="B1808" s="7" t="s">
        <v>7</v>
      </c>
      <c r="C1808" s="8">
        <v>1890</v>
      </c>
      <c r="D1808" s="9">
        <v>45449</v>
      </c>
      <c r="E1808" s="13">
        <f>+HYPERLINK("http://trademark.i-assist.jp/data/china/image_1890th/77237619.pdf",77237619)</f>
        <v>77237619</v>
      </c>
      <c r="F1808" s="7" t="s">
        <v>5082</v>
      </c>
      <c r="G1808" s="7" t="s">
        <v>5081</v>
      </c>
      <c r="H1808" s="7" t="s">
        <v>5083</v>
      </c>
      <c r="I1808" s="9">
        <v>45363</v>
      </c>
    </row>
    <row r="1809" spans="1:9" x14ac:dyDescent="0.15">
      <c r="A1809" s="6">
        <v>1808</v>
      </c>
      <c r="B1809" s="7" t="s">
        <v>7</v>
      </c>
      <c r="C1809" s="8">
        <v>1890</v>
      </c>
      <c r="D1809" s="9">
        <v>45449</v>
      </c>
      <c r="E1809" s="13">
        <f>+HYPERLINK("http://trademark.i-assist.jp/data/china/image_1890th/77261178.pdf",77261178)</f>
        <v>77261178</v>
      </c>
      <c r="F1809" s="7" t="s">
        <v>5085</v>
      </c>
      <c r="G1809" s="7" t="s">
        <v>5084</v>
      </c>
      <c r="H1809" s="7" t="s">
        <v>5086</v>
      </c>
      <c r="I1809" s="9">
        <v>45363</v>
      </c>
    </row>
    <row r="1810" spans="1:9" x14ac:dyDescent="0.15">
      <c r="A1810" s="6">
        <v>1809</v>
      </c>
      <c r="B1810" s="7" t="s">
        <v>7</v>
      </c>
      <c r="C1810" s="8">
        <v>1890</v>
      </c>
      <c r="D1810" s="9">
        <v>45449</v>
      </c>
      <c r="E1810" s="13">
        <f>+HYPERLINK("http://trademark.i-assist.jp/data/china/image_1890th/77261193.pdf",77261193)</f>
        <v>77261193</v>
      </c>
      <c r="F1810" s="7" t="s">
        <v>5088</v>
      </c>
      <c r="G1810" s="7" t="s">
        <v>5087</v>
      </c>
      <c r="H1810" s="7" t="s">
        <v>5089</v>
      </c>
      <c r="I1810" s="9">
        <v>45363</v>
      </c>
    </row>
    <row r="1811" spans="1:9" x14ac:dyDescent="0.15">
      <c r="A1811" s="6">
        <v>1810</v>
      </c>
      <c r="B1811" s="7" t="s">
        <v>7</v>
      </c>
      <c r="C1811" s="8">
        <v>1890</v>
      </c>
      <c r="D1811" s="9">
        <v>45449</v>
      </c>
      <c r="E1811" s="13">
        <f>+HYPERLINK("http://trademark.i-assist.jp/data/china/image_1890th/77261245.pdf",77261245)</f>
        <v>77261245</v>
      </c>
      <c r="F1811" s="7" t="s">
        <v>5090</v>
      </c>
      <c r="G1811" s="7" t="s">
        <v>4469</v>
      </c>
      <c r="H1811" s="7" t="s">
        <v>5091</v>
      </c>
      <c r="I1811" s="9">
        <v>45363</v>
      </c>
    </row>
    <row r="1812" spans="1:9" ht="27" x14ac:dyDescent="0.15">
      <c r="A1812" s="6">
        <v>1811</v>
      </c>
      <c r="B1812" s="7" t="s">
        <v>7</v>
      </c>
      <c r="C1812" s="8">
        <v>1890</v>
      </c>
      <c r="D1812" s="9">
        <v>45449</v>
      </c>
      <c r="E1812" s="13">
        <f>+HYPERLINK("http://trademark.i-assist.jp/data/china/image_1890th/77261266.pdf",77261266)</f>
        <v>77261266</v>
      </c>
      <c r="F1812" s="7" t="s">
        <v>5093</v>
      </c>
      <c r="G1812" s="7" t="s">
        <v>5092</v>
      </c>
      <c r="H1812" s="7" t="s">
        <v>5094</v>
      </c>
      <c r="I1812" s="9">
        <v>45363</v>
      </c>
    </row>
    <row r="1813" spans="1:9" x14ac:dyDescent="0.15">
      <c r="A1813" s="6">
        <v>1812</v>
      </c>
      <c r="B1813" s="7" t="s">
        <v>7</v>
      </c>
      <c r="C1813" s="8">
        <v>1890</v>
      </c>
      <c r="D1813" s="9">
        <v>45449</v>
      </c>
      <c r="E1813" s="13">
        <f>+HYPERLINK("http://trademark.i-assist.jp/data/china/image_1890th/77261300.pdf",77261300)</f>
        <v>77261300</v>
      </c>
      <c r="F1813" s="7" t="s">
        <v>5096</v>
      </c>
      <c r="G1813" s="7" t="s">
        <v>5095</v>
      </c>
      <c r="H1813" s="7" t="s">
        <v>5097</v>
      </c>
      <c r="I1813" s="9">
        <v>45363</v>
      </c>
    </row>
    <row r="1814" spans="1:9" x14ac:dyDescent="0.15">
      <c r="A1814" s="6">
        <v>1813</v>
      </c>
      <c r="B1814" s="7" t="s">
        <v>7</v>
      </c>
      <c r="C1814" s="8">
        <v>1890</v>
      </c>
      <c r="D1814" s="9">
        <v>45449</v>
      </c>
      <c r="E1814" s="13">
        <f>+HYPERLINK("http://trademark.i-assist.jp/data/china/image_1890th/77261977.pdf",77261977)</f>
        <v>77261977</v>
      </c>
      <c r="F1814" s="7" t="s">
        <v>183</v>
      </c>
      <c r="G1814" s="7" t="s">
        <v>5098</v>
      </c>
      <c r="H1814" s="7" t="s">
        <v>5099</v>
      </c>
      <c r="I1814" s="9">
        <v>45363</v>
      </c>
    </row>
    <row r="1815" spans="1:9" x14ac:dyDescent="0.15">
      <c r="A1815" s="6">
        <v>1814</v>
      </c>
      <c r="B1815" s="7" t="s">
        <v>7</v>
      </c>
      <c r="C1815" s="8">
        <v>1890</v>
      </c>
      <c r="D1815" s="9">
        <v>45449</v>
      </c>
      <c r="E1815" s="13">
        <f>+HYPERLINK("http://trademark.i-assist.jp/data/china/image_1890th/77262064.pdf",77262064)</f>
        <v>77262064</v>
      </c>
      <c r="F1815" s="7" t="s">
        <v>5101</v>
      </c>
      <c r="G1815" s="7" t="s">
        <v>5100</v>
      </c>
      <c r="H1815" s="7" t="s">
        <v>5102</v>
      </c>
      <c r="I1815" s="9">
        <v>45363</v>
      </c>
    </row>
    <row r="1816" spans="1:9" x14ac:dyDescent="0.15">
      <c r="A1816" s="6">
        <v>1815</v>
      </c>
      <c r="B1816" s="7" t="s">
        <v>7</v>
      </c>
      <c r="C1816" s="8">
        <v>1890</v>
      </c>
      <c r="D1816" s="9">
        <v>45449</v>
      </c>
      <c r="E1816" s="13">
        <f>+HYPERLINK("http://trademark.i-assist.jp/data/china/image_1890th/77262471.pdf",77262471)</f>
        <v>77262471</v>
      </c>
      <c r="F1816" s="7" t="s">
        <v>5103</v>
      </c>
      <c r="G1816" s="7" t="s">
        <v>4519</v>
      </c>
      <c r="H1816" s="7" t="s">
        <v>5104</v>
      </c>
      <c r="I1816" s="9">
        <v>45364</v>
      </c>
    </row>
    <row r="1817" spans="1:9" x14ac:dyDescent="0.15">
      <c r="A1817" s="6">
        <v>1816</v>
      </c>
      <c r="B1817" s="7" t="s">
        <v>7</v>
      </c>
      <c r="C1817" s="8">
        <v>1890</v>
      </c>
      <c r="D1817" s="9">
        <v>45449</v>
      </c>
      <c r="E1817" s="13">
        <f>+HYPERLINK("http://trademark.i-assist.jp/data/china/image_1890th/77262810.pdf",77262810)</f>
        <v>77262810</v>
      </c>
      <c r="F1817" s="7" t="s">
        <v>5105</v>
      </c>
      <c r="G1817" s="7" t="s">
        <v>1890</v>
      </c>
      <c r="H1817" s="7" t="s">
        <v>5106</v>
      </c>
      <c r="I1817" s="9">
        <v>45364</v>
      </c>
    </row>
    <row r="1818" spans="1:9" x14ac:dyDescent="0.15">
      <c r="A1818" s="6">
        <v>1817</v>
      </c>
      <c r="B1818" s="7" t="s">
        <v>7</v>
      </c>
      <c r="C1818" s="8">
        <v>1890</v>
      </c>
      <c r="D1818" s="9">
        <v>45449</v>
      </c>
      <c r="E1818" s="13">
        <f>+HYPERLINK("http://trademark.i-assist.jp/data/china/image_1890th/77263008.pdf",77263008)</f>
        <v>77263008</v>
      </c>
      <c r="F1818" s="7" t="s">
        <v>5108</v>
      </c>
      <c r="G1818" s="7" t="s">
        <v>5107</v>
      </c>
      <c r="H1818" s="7" t="s">
        <v>5109</v>
      </c>
      <c r="I1818" s="9">
        <v>45364</v>
      </c>
    </row>
    <row r="1819" spans="1:9" x14ac:dyDescent="0.15">
      <c r="A1819" s="6">
        <v>1818</v>
      </c>
      <c r="B1819" s="7" t="s">
        <v>7</v>
      </c>
      <c r="C1819" s="8">
        <v>1890</v>
      </c>
      <c r="D1819" s="9">
        <v>45449</v>
      </c>
      <c r="E1819" s="13">
        <f>+HYPERLINK("http://trademark.i-assist.jp/data/china/image_1890th/77263137.pdf",77263137)</f>
        <v>77263137</v>
      </c>
      <c r="F1819" s="7" t="s">
        <v>5111</v>
      </c>
      <c r="G1819" s="7" t="s">
        <v>5110</v>
      </c>
      <c r="H1819" s="7" t="s">
        <v>5112</v>
      </c>
      <c r="I1819" s="9">
        <v>45364</v>
      </c>
    </row>
    <row r="1820" spans="1:9" x14ac:dyDescent="0.15">
      <c r="A1820" s="6">
        <v>1819</v>
      </c>
      <c r="B1820" s="7" t="s">
        <v>7</v>
      </c>
      <c r="C1820" s="8">
        <v>1890</v>
      </c>
      <c r="D1820" s="9">
        <v>45449</v>
      </c>
      <c r="E1820" s="13">
        <f>+HYPERLINK("http://trademark.i-assist.jp/data/china/image_1890th/77263170.pdf",77263170)</f>
        <v>77263170</v>
      </c>
      <c r="F1820" s="7" t="s">
        <v>5113</v>
      </c>
      <c r="G1820" s="7" t="s">
        <v>4050</v>
      </c>
      <c r="H1820" s="7" t="s">
        <v>5114</v>
      </c>
      <c r="I1820" s="9">
        <v>45364</v>
      </c>
    </row>
    <row r="1821" spans="1:9" x14ac:dyDescent="0.15">
      <c r="A1821" s="6">
        <v>1820</v>
      </c>
      <c r="B1821" s="7" t="s">
        <v>7</v>
      </c>
      <c r="C1821" s="8">
        <v>1890</v>
      </c>
      <c r="D1821" s="9">
        <v>45449</v>
      </c>
      <c r="E1821" s="13">
        <f>+HYPERLINK("http://trademark.i-assist.jp/data/china/image_1890th/77263361.pdf",77263361)</f>
        <v>77263361</v>
      </c>
      <c r="F1821" s="7" t="s">
        <v>5116</v>
      </c>
      <c r="G1821" s="7" t="s">
        <v>5115</v>
      </c>
      <c r="H1821" s="7" t="s">
        <v>5117</v>
      </c>
      <c r="I1821" s="9">
        <v>45364</v>
      </c>
    </row>
    <row r="1822" spans="1:9" ht="27" x14ac:dyDescent="0.15">
      <c r="A1822" s="6">
        <v>1821</v>
      </c>
      <c r="B1822" s="7" t="s">
        <v>7</v>
      </c>
      <c r="C1822" s="8">
        <v>1890</v>
      </c>
      <c r="D1822" s="9">
        <v>45449</v>
      </c>
      <c r="E1822" s="13">
        <f>+HYPERLINK("http://trademark.i-assist.jp/data/china/image_1890th/77263617.pdf",77263617)</f>
        <v>77263617</v>
      </c>
      <c r="F1822" s="7" t="s">
        <v>5119</v>
      </c>
      <c r="G1822" s="7" t="s">
        <v>5118</v>
      </c>
      <c r="H1822" s="7" t="s">
        <v>5120</v>
      </c>
      <c r="I1822" s="9">
        <v>45364</v>
      </c>
    </row>
    <row r="1823" spans="1:9" x14ac:dyDescent="0.15">
      <c r="A1823" s="6">
        <v>1822</v>
      </c>
      <c r="B1823" s="7" t="s">
        <v>7</v>
      </c>
      <c r="C1823" s="8">
        <v>1890</v>
      </c>
      <c r="D1823" s="9">
        <v>45449</v>
      </c>
      <c r="E1823" s="13">
        <f>+HYPERLINK("http://trademark.i-assist.jp/data/china/image_1890th/77263719.pdf",77263719)</f>
        <v>77263719</v>
      </c>
      <c r="F1823" s="7" t="s">
        <v>5122</v>
      </c>
      <c r="G1823" s="7" t="s">
        <v>5121</v>
      </c>
      <c r="H1823" s="7" t="s">
        <v>5123</v>
      </c>
      <c r="I1823" s="9">
        <v>45364</v>
      </c>
    </row>
    <row r="1824" spans="1:9" x14ac:dyDescent="0.15">
      <c r="A1824" s="6">
        <v>1823</v>
      </c>
      <c r="B1824" s="7" t="s">
        <v>7</v>
      </c>
      <c r="C1824" s="8">
        <v>1890</v>
      </c>
      <c r="D1824" s="9">
        <v>45449</v>
      </c>
      <c r="E1824" s="13">
        <f>+HYPERLINK("http://trademark.i-assist.jp/data/china/image_1890th/77327706.pdf",77327706)</f>
        <v>77327706</v>
      </c>
      <c r="F1824" s="7" t="s">
        <v>5125</v>
      </c>
      <c r="G1824" s="7" t="s">
        <v>5124</v>
      </c>
      <c r="H1824" s="7" t="s">
        <v>5126</v>
      </c>
      <c r="I1824" s="9">
        <v>45366</v>
      </c>
    </row>
    <row r="1825" spans="1:9" x14ac:dyDescent="0.15">
      <c r="A1825" s="6">
        <v>1824</v>
      </c>
      <c r="B1825" s="7" t="s">
        <v>7</v>
      </c>
      <c r="C1825" s="8">
        <v>1890</v>
      </c>
      <c r="D1825" s="9">
        <v>45449</v>
      </c>
      <c r="E1825" s="13">
        <f>+HYPERLINK("http://trademark.i-assist.jp/data/china/image_1890th/77327756.pdf",77327756)</f>
        <v>77327756</v>
      </c>
      <c r="F1825" s="7" t="s">
        <v>5128</v>
      </c>
      <c r="G1825" s="7" t="s">
        <v>5127</v>
      </c>
      <c r="H1825" s="7" t="s">
        <v>5129</v>
      </c>
      <c r="I1825" s="9">
        <v>45366</v>
      </c>
    </row>
    <row r="1826" spans="1:9" x14ac:dyDescent="0.15">
      <c r="A1826" s="6">
        <v>1825</v>
      </c>
      <c r="B1826" s="7" t="s">
        <v>7</v>
      </c>
      <c r="C1826" s="8">
        <v>1890</v>
      </c>
      <c r="D1826" s="9">
        <v>45449</v>
      </c>
      <c r="E1826" s="13">
        <f>+HYPERLINK("http://trademark.i-assist.jp/data/china/image_1890th/77327803.pdf",77327803)</f>
        <v>77327803</v>
      </c>
      <c r="F1826" s="7" t="s">
        <v>5131</v>
      </c>
      <c r="G1826" s="7" t="s">
        <v>5130</v>
      </c>
      <c r="H1826" s="7" t="s">
        <v>5132</v>
      </c>
      <c r="I1826" s="9">
        <v>45366</v>
      </c>
    </row>
    <row r="1827" spans="1:9" x14ac:dyDescent="0.15">
      <c r="A1827" s="6">
        <v>1826</v>
      </c>
      <c r="B1827" s="7" t="s">
        <v>7</v>
      </c>
      <c r="C1827" s="8">
        <v>1890</v>
      </c>
      <c r="D1827" s="9">
        <v>45449</v>
      </c>
      <c r="E1827" s="13">
        <f>+HYPERLINK("http://trademark.i-assist.jp/data/china/image_1890th/77328005.pdf",77328005)</f>
        <v>77328005</v>
      </c>
      <c r="F1827" s="7" t="s">
        <v>5134</v>
      </c>
      <c r="G1827" s="7" t="s">
        <v>5133</v>
      </c>
      <c r="H1827" s="7" t="s">
        <v>5135</v>
      </c>
      <c r="I1827" s="9">
        <v>45366</v>
      </c>
    </row>
    <row r="1828" spans="1:9" ht="27" x14ac:dyDescent="0.15">
      <c r="A1828" s="6">
        <v>1827</v>
      </c>
      <c r="B1828" s="7" t="s">
        <v>7</v>
      </c>
      <c r="C1828" s="8">
        <v>1890</v>
      </c>
      <c r="D1828" s="9">
        <v>45449</v>
      </c>
      <c r="E1828" s="13">
        <f>+HYPERLINK("http://trademark.i-assist.jp/data/china/image_1890th/77328316.pdf",77328316)</f>
        <v>77328316</v>
      </c>
      <c r="F1828" s="7" t="s">
        <v>5137</v>
      </c>
      <c r="G1828" s="7" t="s">
        <v>5136</v>
      </c>
      <c r="H1828" s="7" t="s">
        <v>5138</v>
      </c>
      <c r="I1828" s="9">
        <v>45366</v>
      </c>
    </row>
    <row r="1829" spans="1:9" x14ac:dyDescent="0.15">
      <c r="A1829" s="6">
        <v>1828</v>
      </c>
      <c r="B1829" s="7" t="s">
        <v>7</v>
      </c>
      <c r="C1829" s="8">
        <v>1890</v>
      </c>
      <c r="D1829" s="9">
        <v>45449</v>
      </c>
      <c r="E1829" s="13">
        <f>+HYPERLINK("http://trademark.i-assist.jp/data/china/image_1890th/77328772.pdf",77328772)</f>
        <v>77328772</v>
      </c>
      <c r="F1829" s="7" t="s">
        <v>5140</v>
      </c>
      <c r="G1829" s="7" t="s">
        <v>5139</v>
      </c>
      <c r="H1829" s="7" t="s">
        <v>5141</v>
      </c>
      <c r="I1829" s="9">
        <v>45366</v>
      </c>
    </row>
    <row r="1830" spans="1:9" x14ac:dyDescent="0.15">
      <c r="A1830" s="6">
        <v>1829</v>
      </c>
      <c r="B1830" s="7" t="s">
        <v>7</v>
      </c>
      <c r="C1830" s="8">
        <v>1890</v>
      </c>
      <c r="D1830" s="9">
        <v>45449</v>
      </c>
      <c r="E1830" s="13">
        <f>+HYPERLINK("http://trademark.i-assist.jp/data/china/image_1890th/77328972.pdf",77328972)</f>
        <v>77328972</v>
      </c>
      <c r="F1830" s="7" t="s">
        <v>5142</v>
      </c>
      <c r="G1830" s="7" t="s">
        <v>4139</v>
      </c>
      <c r="H1830" s="7" t="s">
        <v>5143</v>
      </c>
      <c r="I1830" s="9">
        <v>45366</v>
      </c>
    </row>
    <row r="1831" spans="1:9" x14ac:dyDescent="0.15">
      <c r="A1831" s="6">
        <v>1830</v>
      </c>
      <c r="B1831" s="7" t="s">
        <v>7</v>
      </c>
      <c r="C1831" s="8">
        <v>1890</v>
      </c>
      <c r="D1831" s="9">
        <v>45449</v>
      </c>
      <c r="E1831" s="13">
        <f>+HYPERLINK("http://trademark.i-assist.jp/data/china/image_1890th/77329440.pdf",77329440)</f>
        <v>77329440</v>
      </c>
      <c r="F1831" s="7" t="s">
        <v>5145</v>
      </c>
      <c r="G1831" s="7" t="s">
        <v>5144</v>
      </c>
      <c r="H1831" s="7" t="s">
        <v>5146</v>
      </c>
      <c r="I1831" s="9">
        <v>45366</v>
      </c>
    </row>
    <row r="1832" spans="1:9" x14ac:dyDescent="0.15">
      <c r="A1832" s="6">
        <v>1831</v>
      </c>
      <c r="B1832" s="7" t="s">
        <v>7</v>
      </c>
      <c r="C1832" s="8">
        <v>1890</v>
      </c>
      <c r="D1832" s="9">
        <v>45449</v>
      </c>
      <c r="E1832" s="13">
        <f>+HYPERLINK("http://trademark.i-assist.jp/data/china/image_1890th/77329561.pdf",77329561)</f>
        <v>77329561</v>
      </c>
      <c r="F1832" s="7" t="s">
        <v>5148</v>
      </c>
      <c r="G1832" s="7" t="s">
        <v>5147</v>
      </c>
      <c r="H1832" s="7" t="s">
        <v>5149</v>
      </c>
      <c r="I1832" s="9">
        <v>45366</v>
      </c>
    </row>
    <row r="1833" spans="1:9" x14ac:dyDescent="0.15">
      <c r="A1833" s="6">
        <v>1832</v>
      </c>
      <c r="B1833" s="7" t="s">
        <v>7</v>
      </c>
      <c r="C1833" s="8">
        <v>1890</v>
      </c>
      <c r="D1833" s="9">
        <v>45449</v>
      </c>
      <c r="E1833" s="13">
        <f>+HYPERLINK("http://trademark.i-assist.jp/data/china/image_1890th/77329564.pdf",77329564)</f>
        <v>77329564</v>
      </c>
      <c r="F1833" s="7" t="s">
        <v>5151</v>
      </c>
      <c r="G1833" s="7" t="s">
        <v>5150</v>
      </c>
      <c r="H1833" s="7" t="s">
        <v>5152</v>
      </c>
      <c r="I1833" s="9">
        <v>45366</v>
      </c>
    </row>
    <row r="1834" spans="1:9" x14ac:dyDescent="0.15">
      <c r="A1834" s="6">
        <v>1833</v>
      </c>
      <c r="B1834" s="7" t="s">
        <v>7</v>
      </c>
      <c r="C1834" s="8">
        <v>1890</v>
      </c>
      <c r="D1834" s="9">
        <v>45449</v>
      </c>
      <c r="E1834" s="13">
        <f>+HYPERLINK("http://trademark.i-assist.jp/data/china/image_1890th/77329780.pdf",77329780)</f>
        <v>77329780</v>
      </c>
      <c r="F1834" s="7" t="s">
        <v>5154</v>
      </c>
      <c r="G1834" s="7" t="s">
        <v>5153</v>
      </c>
      <c r="H1834" s="7" t="s">
        <v>5155</v>
      </c>
      <c r="I1834" s="9">
        <v>45366</v>
      </c>
    </row>
    <row r="1835" spans="1:9" x14ac:dyDescent="0.15">
      <c r="A1835" s="6">
        <v>1834</v>
      </c>
      <c r="B1835" s="7" t="s">
        <v>7</v>
      </c>
      <c r="C1835" s="8">
        <v>1890</v>
      </c>
      <c r="D1835" s="9">
        <v>45449</v>
      </c>
      <c r="E1835" s="13">
        <f>+HYPERLINK("http://trademark.i-assist.jp/data/china/image_1890th/77329898.pdf",77329898)</f>
        <v>77329898</v>
      </c>
      <c r="F1835" s="7" t="s">
        <v>5157</v>
      </c>
      <c r="G1835" s="7" t="s">
        <v>5156</v>
      </c>
      <c r="H1835" s="7" t="s">
        <v>5158</v>
      </c>
      <c r="I1835" s="9">
        <v>45366</v>
      </c>
    </row>
    <row r="1836" spans="1:9" x14ac:dyDescent="0.15">
      <c r="A1836" s="6">
        <v>1835</v>
      </c>
      <c r="B1836" s="7" t="s">
        <v>7</v>
      </c>
      <c r="C1836" s="8">
        <v>1890</v>
      </c>
      <c r="D1836" s="9">
        <v>45449</v>
      </c>
      <c r="E1836" s="13">
        <f>+HYPERLINK("http://trademark.i-assist.jp/data/china/image_1890th/77330007.pdf",77330007)</f>
        <v>77330007</v>
      </c>
      <c r="F1836" s="7" t="s">
        <v>5159</v>
      </c>
      <c r="G1836" s="7" t="s">
        <v>5150</v>
      </c>
      <c r="H1836" s="7" t="s">
        <v>5160</v>
      </c>
      <c r="I1836" s="9">
        <v>45366</v>
      </c>
    </row>
    <row r="1837" spans="1:9" x14ac:dyDescent="0.15">
      <c r="A1837" s="6">
        <v>1836</v>
      </c>
      <c r="B1837" s="7" t="s">
        <v>7</v>
      </c>
      <c r="C1837" s="8">
        <v>1890</v>
      </c>
      <c r="D1837" s="9">
        <v>45449</v>
      </c>
      <c r="E1837" s="13">
        <f>+HYPERLINK("http://trademark.i-assist.jp/data/china/image_1890th/77330039.pdf",77330039)</f>
        <v>77330039</v>
      </c>
      <c r="F1837" s="7" t="s">
        <v>5162</v>
      </c>
      <c r="G1837" s="7" t="s">
        <v>5161</v>
      </c>
      <c r="H1837" s="7" t="s">
        <v>5163</v>
      </c>
      <c r="I1837" s="9">
        <v>45366</v>
      </c>
    </row>
    <row r="1838" spans="1:9" x14ac:dyDescent="0.15">
      <c r="A1838" s="6">
        <v>1837</v>
      </c>
      <c r="B1838" s="7" t="s">
        <v>7</v>
      </c>
      <c r="C1838" s="8">
        <v>1890</v>
      </c>
      <c r="D1838" s="9">
        <v>45449</v>
      </c>
      <c r="E1838" s="13">
        <f>+HYPERLINK("http://trademark.i-assist.jp/data/china/image_1890th/77388689.pdf",77388689)</f>
        <v>77388689</v>
      </c>
      <c r="F1838" s="7" t="s">
        <v>5165</v>
      </c>
      <c r="G1838" s="7" t="s">
        <v>5164</v>
      </c>
      <c r="H1838" s="7" t="s">
        <v>5166</v>
      </c>
      <c r="I1838" s="9">
        <v>45370</v>
      </c>
    </row>
    <row r="1839" spans="1:9" x14ac:dyDescent="0.15">
      <c r="A1839" s="6">
        <v>1838</v>
      </c>
      <c r="B1839" s="7" t="s">
        <v>7</v>
      </c>
      <c r="C1839" s="8">
        <v>1890</v>
      </c>
      <c r="D1839" s="9">
        <v>45449</v>
      </c>
      <c r="E1839" s="13">
        <f>+HYPERLINK("http://trademark.i-assist.jp/data/china/image_1890th/77388846.pdf",77388846)</f>
        <v>77388846</v>
      </c>
      <c r="F1839" s="7" t="s">
        <v>5168</v>
      </c>
      <c r="G1839" s="7" t="s">
        <v>5167</v>
      </c>
      <c r="H1839" s="7" t="s">
        <v>5169</v>
      </c>
      <c r="I1839" s="9">
        <v>45370</v>
      </c>
    </row>
    <row r="1840" spans="1:9" x14ac:dyDescent="0.15">
      <c r="A1840" s="6">
        <v>1839</v>
      </c>
      <c r="B1840" s="7" t="s">
        <v>7</v>
      </c>
      <c r="C1840" s="8">
        <v>1890</v>
      </c>
      <c r="D1840" s="9">
        <v>45449</v>
      </c>
      <c r="E1840" s="13">
        <f>+HYPERLINK("http://trademark.i-assist.jp/data/china/image_1890th/77388943.pdf",77388943)</f>
        <v>77388943</v>
      </c>
      <c r="F1840" s="7" t="s">
        <v>5171</v>
      </c>
      <c r="G1840" s="7" t="s">
        <v>5170</v>
      </c>
      <c r="H1840" s="7" t="s">
        <v>5172</v>
      </c>
      <c r="I1840" s="9">
        <v>45370</v>
      </c>
    </row>
    <row r="1841" spans="1:9" x14ac:dyDescent="0.15">
      <c r="A1841" s="6">
        <v>1840</v>
      </c>
      <c r="B1841" s="7" t="s">
        <v>7</v>
      </c>
      <c r="C1841" s="8">
        <v>1890</v>
      </c>
      <c r="D1841" s="9">
        <v>45449</v>
      </c>
      <c r="E1841" s="13">
        <f>+HYPERLINK("http://trademark.i-assist.jp/data/china/image_1890th/77388955.pdf",77388955)</f>
        <v>77388955</v>
      </c>
      <c r="F1841" s="7" t="s">
        <v>5174</v>
      </c>
      <c r="G1841" s="7" t="s">
        <v>5173</v>
      </c>
      <c r="H1841" s="7" t="s">
        <v>5175</v>
      </c>
      <c r="I1841" s="9">
        <v>45370</v>
      </c>
    </row>
    <row r="1842" spans="1:9" x14ac:dyDescent="0.15">
      <c r="A1842" s="6">
        <v>1841</v>
      </c>
      <c r="B1842" s="7" t="s">
        <v>7</v>
      </c>
      <c r="C1842" s="8">
        <v>1890</v>
      </c>
      <c r="D1842" s="9">
        <v>45449</v>
      </c>
      <c r="E1842" s="13">
        <f>+HYPERLINK("http://trademark.i-assist.jp/data/china/image_1890th/77389195.pdf",77389195)</f>
        <v>77389195</v>
      </c>
      <c r="F1842" s="7" t="s">
        <v>5177</v>
      </c>
      <c r="G1842" s="7" t="s">
        <v>5176</v>
      </c>
      <c r="H1842" s="7" t="s">
        <v>5178</v>
      </c>
      <c r="I1842" s="9">
        <v>45370</v>
      </c>
    </row>
    <row r="1843" spans="1:9" x14ac:dyDescent="0.15">
      <c r="A1843" s="6">
        <v>1842</v>
      </c>
      <c r="B1843" s="7" t="s">
        <v>7</v>
      </c>
      <c r="C1843" s="8">
        <v>1890</v>
      </c>
      <c r="D1843" s="9">
        <v>45449</v>
      </c>
      <c r="E1843" s="13">
        <f>+HYPERLINK("http://trademark.i-assist.jp/data/china/image_1890th/77389268.pdf",77389268)</f>
        <v>77389268</v>
      </c>
      <c r="F1843" s="7" t="s">
        <v>5179</v>
      </c>
      <c r="G1843" s="7" t="s">
        <v>34</v>
      </c>
      <c r="H1843" s="7" t="s">
        <v>5180</v>
      </c>
      <c r="I1843" s="9">
        <v>45370</v>
      </c>
    </row>
    <row r="1844" spans="1:9" x14ac:dyDescent="0.15">
      <c r="A1844" s="6">
        <v>1843</v>
      </c>
      <c r="B1844" s="7" t="s">
        <v>7</v>
      </c>
      <c r="C1844" s="8">
        <v>1890</v>
      </c>
      <c r="D1844" s="9">
        <v>45449</v>
      </c>
      <c r="E1844" s="13">
        <f>+HYPERLINK("http://trademark.i-assist.jp/data/china/image_1890th/77389307.pdf",77389307)</f>
        <v>77389307</v>
      </c>
      <c r="F1844" s="7" t="s">
        <v>5181</v>
      </c>
      <c r="G1844" s="7" t="s">
        <v>34</v>
      </c>
      <c r="H1844" s="7" t="s">
        <v>5182</v>
      </c>
      <c r="I1844" s="9">
        <v>45370</v>
      </c>
    </row>
    <row r="1845" spans="1:9" x14ac:dyDescent="0.15">
      <c r="A1845" s="6">
        <v>1844</v>
      </c>
      <c r="B1845" s="7" t="s">
        <v>7</v>
      </c>
      <c r="C1845" s="8">
        <v>1890</v>
      </c>
      <c r="D1845" s="9">
        <v>45449</v>
      </c>
      <c r="E1845" s="13">
        <f>+HYPERLINK("http://trademark.i-assist.jp/data/china/image_1890th/77389504.pdf",77389504)</f>
        <v>77389504</v>
      </c>
      <c r="F1845" s="7" t="s">
        <v>5184</v>
      </c>
      <c r="G1845" s="7" t="s">
        <v>5183</v>
      </c>
      <c r="H1845" s="7" t="s">
        <v>5185</v>
      </c>
      <c r="I1845" s="9">
        <v>45370</v>
      </c>
    </row>
    <row r="1846" spans="1:9" x14ac:dyDescent="0.15">
      <c r="A1846" s="6">
        <v>1845</v>
      </c>
      <c r="B1846" s="7" t="s">
        <v>7</v>
      </c>
      <c r="C1846" s="8">
        <v>1890</v>
      </c>
      <c r="D1846" s="9">
        <v>45449</v>
      </c>
      <c r="E1846" s="13">
        <f>+HYPERLINK("http://trademark.i-assist.jp/data/china/image_1890th/77389525.pdf",77389525)</f>
        <v>77389525</v>
      </c>
      <c r="F1846" s="7" t="s">
        <v>5187</v>
      </c>
      <c r="G1846" s="7" t="s">
        <v>5186</v>
      </c>
      <c r="H1846" s="7" t="s">
        <v>5188</v>
      </c>
      <c r="I1846" s="9">
        <v>45370</v>
      </c>
    </row>
    <row r="1847" spans="1:9" x14ac:dyDescent="0.15">
      <c r="A1847" s="6">
        <v>1846</v>
      </c>
      <c r="B1847" s="7" t="s">
        <v>7</v>
      </c>
      <c r="C1847" s="8">
        <v>1890</v>
      </c>
      <c r="D1847" s="9">
        <v>45449</v>
      </c>
      <c r="E1847" s="13">
        <f>+HYPERLINK("http://trademark.i-assist.jp/data/china/image_1890th/77389531.pdf",77389531)</f>
        <v>77389531</v>
      </c>
      <c r="F1847" s="7" t="s">
        <v>5189</v>
      </c>
      <c r="G1847" s="7" t="s">
        <v>5186</v>
      </c>
      <c r="H1847" s="7" t="s">
        <v>5190</v>
      </c>
      <c r="I1847" s="9">
        <v>45370</v>
      </c>
    </row>
    <row r="1848" spans="1:9" x14ac:dyDescent="0.15">
      <c r="A1848" s="6">
        <v>1847</v>
      </c>
      <c r="B1848" s="7" t="s">
        <v>7</v>
      </c>
      <c r="C1848" s="8">
        <v>1890</v>
      </c>
      <c r="D1848" s="9">
        <v>45449</v>
      </c>
      <c r="E1848" s="13">
        <f>+HYPERLINK("http://trademark.i-assist.jp/data/china/image_1890th/77389611.pdf",77389611)</f>
        <v>77389611</v>
      </c>
      <c r="F1848" s="7" t="s">
        <v>5192</v>
      </c>
      <c r="G1848" s="7" t="s">
        <v>5191</v>
      </c>
      <c r="H1848" s="7" t="s">
        <v>5193</v>
      </c>
      <c r="I1848" s="9">
        <v>45370</v>
      </c>
    </row>
    <row r="1849" spans="1:9" x14ac:dyDescent="0.15">
      <c r="A1849" s="6">
        <v>1848</v>
      </c>
      <c r="B1849" s="7" t="s">
        <v>7</v>
      </c>
      <c r="C1849" s="8">
        <v>1890</v>
      </c>
      <c r="D1849" s="9">
        <v>45449</v>
      </c>
      <c r="E1849" s="13">
        <f>+HYPERLINK("http://trademark.i-assist.jp/data/china/image_1890th/77389644.pdf",77389644)</f>
        <v>77389644</v>
      </c>
      <c r="F1849" s="7" t="s">
        <v>5194</v>
      </c>
      <c r="G1849" s="7" t="s">
        <v>5026</v>
      </c>
      <c r="H1849" s="7" t="s">
        <v>5195</v>
      </c>
      <c r="I1849" s="9">
        <v>45370</v>
      </c>
    </row>
    <row r="1850" spans="1:9" x14ac:dyDescent="0.15">
      <c r="A1850" s="6">
        <v>1849</v>
      </c>
      <c r="B1850" s="7" t="s">
        <v>7</v>
      </c>
      <c r="C1850" s="8">
        <v>1890</v>
      </c>
      <c r="D1850" s="9">
        <v>45449</v>
      </c>
      <c r="E1850" s="13">
        <f>+HYPERLINK("http://trademark.i-assist.jp/data/china/image_1890th/77389694.pdf",77389694)</f>
        <v>77389694</v>
      </c>
      <c r="F1850" s="7" t="s">
        <v>5197</v>
      </c>
      <c r="G1850" s="7" t="s">
        <v>5196</v>
      </c>
      <c r="H1850" s="7" t="s">
        <v>5198</v>
      </c>
      <c r="I1850" s="9">
        <v>45370</v>
      </c>
    </row>
    <row r="1851" spans="1:9" ht="27" x14ac:dyDescent="0.15">
      <c r="A1851" s="6">
        <v>1850</v>
      </c>
      <c r="B1851" s="7" t="s">
        <v>7</v>
      </c>
      <c r="C1851" s="8">
        <v>1890</v>
      </c>
      <c r="D1851" s="9">
        <v>45449</v>
      </c>
      <c r="E1851" s="13">
        <f>+HYPERLINK("http://trademark.i-assist.jp/data/china/image_1890th/77389816.pdf",77389816)</f>
        <v>77389816</v>
      </c>
      <c r="F1851" s="7" t="s">
        <v>1954</v>
      </c>
      <c r="G1851" s="7" t="s">
        <v>1328</v>
      </c>
      <c r="H1851" s="7" t="s">
        <v>5199</v>
      </c>
      <c r="I1851" s="9">
        <v>45370</v>
      </c>
    </row>
    <row r="1852" spans="1:9" ht="27" x14ac:dyDescent="0.15">
      <c r="A1852" s="6">
        <v>1851</v>
      </c>
      <c r="B1852" s="7" t="s">
        <v>7</v>
      </c>
      <c r="C1852" s="8">
        <v>1890</v>
      </c>
      <c r="D1852" s="9">
        <v>45449</v>
      </c>
      <c r="E1852" s="13">
        <f>+HYPERLINK("http://trademark.i-assist.jp/data/china/image_1890th/77427421.pdf",77427421)</f>
        <v>77427421</v>
      </c>
      <c r="F1852" s="7" t="s">
        <v>5201</v>
      </c>
      <c r="G1852" s="7" t="s">
        <v>5200</v>
      </c>
      <c r="H1852" s="7" t="s">
        <v>5202</v>
      </c>
      <c r="I1852" s="9">
        <v>45371</v>
      </c>
    </row>
    <row r="1853" spans="1:9" x14ac:dyDescent="0.15">
      <c r="A1853" s="6">
        <v>1852</v>
      </c>
      <c r="B1853" s="7" t="s">
        <v>7</v>
      </c>
      <c r="C1853" s="8">
        <v>1890</v>
      </c>
      <c r="D1853" s="9">
        <v>45449</v>
      </c>
      <c r="E1853" s="13">
        <f>+HYPERLINK("http://trademark.i-assist.jp/data/china/image_1890th/77427428.pdf",77427428)</f>
        <v>77427428</v>
      </c>
      <c r="F1853" s="7" t="s">
        <v>5204</v>
      </c>
      <c r="G1853" s="7" t="s">
        <v>5203</v>
      </c>
      <c r="H1853" s="7" t="s">
        <v>5205</v>
      </c>
      <c r="I1853" s="9">
        <v>45371</v>
      </c>
    </row>
    <row r="1854" spans="1:9" x14ac:dyDescent="0.15">
      <c r="A1854" s="6">
        <v>1853</v>
      </c>
      <c r="B1854" s="7" t="s">
        <v>7</v>
      </c>
      <c r="C1854" s="8">
        <v>1890</v>
      </c>
      <c r="D1854" s="9">
        <v>45449</v>
      </c>
      <c r="E1854" s="13">
        <f>+HYPERLINK("http://trademark.i-assist.jp/data/china/image_1890th/77427597.pdf",77427597)</f>
        <v>77427597</v>
      </c>
      <c r="F1854" s="7" t="s">
        <v>5207</v>
      </c>
      <c r="G1854" s="7" t="s">
        <v>5206</v>
      </c>
      <c r="H1854" s="7" t="s">
        <v>5208</v>
      </c>
      <c r="I1854" s="9">
        <v>45371</v>
      </c>
    </row>
    <row r="1855" spans="1:9" x14ac:dyDescent="0.15">
      <c r="A1855" s="6">
        <v>1854</v>
      </c>
      <c r="B1855" s="7" t="s">
        <v>7</v>
      </c>
      <c r="C1855" s="8">
        <v>1890</v>
      </c>
      <c r="D1855" s="9">
        <v>45449</v>
      </c>
      <c r="E1855" s="13">
        <f>+HYPERLINK("http://trademark.i-assist.jp/data/china/image_1890th/77427648.pdf",77427648)</f>
        <v>77427648</v>
      </c>
      <c r="F1855" s="7" t="s">
        <v>5210</v>
      </c>
      <c r="G1855" s="7" t="s">
        <v>5209</v>
      </c>
      <c r="H1855" s="7" t="s">
        <v>5211</v>
      </c>
      <c r="I1855" s="9">
        <v>45371</v>
      </c>
    </row>
    <row r="1856" spans="1:9" ht="27" x14ac:dyDescent="0.15">
      <c r="A1856" s="6">
        <v>1855</v>
      </c>
      <c r="B1856" s="7" t="s">
        <v>7</v>
      </c>
      <c r="C1856" s="8">
        <v>1890</v>
      </c>
      <c r="D1856" s="9">
        <v>45449</v>
      </c>
      <c r="E1856" s="13">
        <f>+HYPERLINK("http://trademark.i-assist.jp/data/china/image_1890th/77427801.pdf",77427801)</f>
        <v>77427801</v>
      </c>
      <c r="F1856" s="7" t="s">
        <v>5212</v>
      </c>
      <c r="G1856" s="7" t="s">
        <v>4709</v>
      </c>
      <c r="H1856" s="7" t="s">
        <v>5213</v>
      </c>
      <c r="I1856" s="9">
        <v>45371</v>
      </c>
    </row>
    <row r="1857" spans="1:9" x14ac:dyDescent="0.15">
      <c r="A1857" s="6">
        <v>1856</v>
      </c>
      <c r="B1857" s="7" t="s">
        <v>7</v>
      </c>
      <c r="C1857" s="8">
        <v>1890</v>
      </c>
      <c r="D1857" s="9">
        <v>45449</v>
      </c>
      <c r="E1857" s="13">
        <f>+HYPERLINK("http://trademark.i-assist.jp/data/china/image_1890th/77427916.pdf",77427916)</f>
        <v>77427916</v>
      </c>
      <c r="F1857" s="7" t="s">
        <v>5215</v>
      </c>
      <c r="G1857" s="7" t="s">
        <v>5214</v>
      </c>
      <c r="H1857" s="7" t="s">
        <v>5216</v>
      </c>
      <c r="I1857" s="9">
        <v>45371</v>
      </c>
    </row>
    <row r="1858" spans="1:9" x14ac:dyDescent="0.15">
      <c r="A1858" s="6">
        <v>1857</v>
      </c>
      <c r="B1858" s="7" t="s">
        <v>7</v>
      </c>
      <c r="C1858" s="8">
        <v>1890</v>
      </c>
      <c r="D1858" s="9">
        <v>45449</v>
      </c>
      <c r="E1858" s="13">
        <f>+HYPERLINK("http://trademark.i-assist.jp/data/china/image_1890th/77427949.pdf",77427949)</f>
        <v>77427949</v>
      </c>
      <c r="F1858" s="7" t="s">
        <v>5218</v>
      </c>
      <c r="G1858" s="7" t="s">
        <v>5217</v>
      </c>
      <c r="H1858" s="7" t="s">
        <v>5219</v>
      </c>
      <c r="I1858" s="9">
        <v>45371</v>
      </c>
    </row>
    <row r="1859" spans="1:9" x14ac:dyDescent="0.15">
      <c r="A1859" s="6">
        <v>1858</v>
      </c>
      <c r="B1859" s="7" t="s">
        <v>7</v>
      </c>
      <c r="C1859" s="8">
        <v>1890</v>
      </c>
      <c r="D1859" s="9">
        <v>45449</v>
      </c>
      <c r="E1859" s="13">
        <f>+HYPERLINK("http://trademark.i-assist.jp/data/china/image_1890th/77428217.pdf",77428217)</f>
        <v>77428217</v>
      </c>
      <c r="F1859" s="7" t="s">
        <v>5221</v>
      </c>
      <c r="G1859" s="7" t="s">
        <v>5220</v>
      </c>
      <c r="H1859" s="7" t="s">
        <v>5222</v>
      </c>
      <c r="I1859" s="9">
        <v>45371</v>
      </c>
    </row>
    <row r="1860" spans="1:9" x14ac:dyDescent="0.15">
      <c r="A1860" s="6">
        <v>1859</v>
      </c>
      <c r="B1860" s="7" t="s">
        <v>7</v>
      </c>
      <c r="C1860" s="8">
        <v>1890</v>
      </c>
      <c r="D1860" s="9">
        <v>45449</v>
      </c>
      <c r="E1860" s="13">
        <f>+HYPERLINK("http://trademark.i-assist.jp/data/china/image_1890th/77428263.pdf",77428263)</f>
        <v>77428263</v>
      </c>
      <c r="F1860" s="7" t="s">
        <v>5224</v>
      </c>
      <c r="G1860" s="7" t="s">
        <v>5223</v>
      </c>
      <c r="H1860" s="7" t="s">
        <v>5225</v>
      </c>
      <c r="I1860" s="9">
        <v>45371</v>
      </c>
    </row>
    <row r="1861" spans="1:9" x14ac:dyDescent="0.15">
      <c r="A1861" s="6">
        <v>1860</v>
      </c>
      <c r="B1861" s="7" t="s">
        <v>7</v>
      </c>
      <c r="C1861" s="8">
        <v>1890</v>
      </c>
      <c r="D1861" s="9">
        <v>45449</v>
      </c>
      <c r="E1861" s="13">
        <f>+HYPERLINK("http://trademark.i-assist.jp/data/china/image_1890th/77428346.pdf",77428346)</f>
        <v>77428346</v>
      </c>
      <c r="F1861" s="7" t="s">
        <v>5227</v>
      </c>
      <c r="G1861" s="7" t="s">
        <v>5226</v>
      </c>
      <c r="H1861" s="7" t="s">
        <v>5228</v>
      </c>
      <c r="I1861" s="9">
        <v>45371</v>
      </c>
    </row>
    <row r="1862" spans="1:9" x14ac:dyDescent="0.15">
      <c r="A1862" s="6">
        <v>1861</v>
      </c>
      <c r="B1862" s="7" t="s">
        <v>7</v>
      </c>
      <c r="C1862" s="8">
        <v>1890</v>
      </c>
      <c r="D1862" s="9">
        <v>45449</v>
      </c>
      <c r="E1862" s="13">
        <f>+HYPERLINK("http://trademark.i-assist.jp/data/china/image_1890th/77428559.pdf",77428559)</f>
        <v>77428559</v>
      </c>
      <c r="F1862" s="7" t="s">
        <v>5230</v>
      </c>
      <c r="G1862" s="7" t="s">
        <v>5229</v>
      </c>
      <c r="H1862" s="7" t="s">
        <v>5231</v>
      </c>
      <c r="I1862" s="9">
        <v>45371</v>
      </c>
    </row>
    <row r="1863" spans="1:9" x14ac:dyDescent="0.15">
      <c r="A1863" s="6">
        <v>1862</v>
      </c>
      <c r="B1863" s="7" t="s">
        <v>7</v>
      </c>
      <c r="C1863" s="8">
        <v>1890</v>
      </c>
      <c r="D1863" s="9">
        <v>45449</v>
      </c>
      <c r="E1863" s="13">
        <f>+HYPERLINK("http://trademark.i-assist.jp/data/china/image_1890th/77428707.pdf",77428707)</f>
        <v>77428707</v>
      </c>
      <c r="F1863" s="7" t="s">
        <v>5233</v>
      </c>
      <c r="G1863" s="7" t="s">
        <v>5232</v>
      </c>
      <c r="H1863" s="7" t="s">
        <v>5234</v>
      </c>
      <c r="I1863" s="9">
        <v>45371</v>
      </c>
    </row>
    <row r="1864" spans="1:9" x14ac:dyDescent="0.15">
      <c r="A1864" s="6">
        <v>1863</v>
      </c>
      <c r="B1864" s="7" t="s">
        <v>7</v>
      </c>
      <c r="C1864" s="8">
        <v>1890</v>
      </c>
      <c r="D1864" s="9">
        <v>45449</v>
      </c>
      <c r="E1864" s="13">
        <f>+HYPERLINK("http://trademark.i-assist.jp/data/china/image_1890th/77428761.pdf",77428761)</f>
        <v>77428761</v>
      </c>
      <c r="F1864" s="7" t="s">
        <v>5235</v>
      </c>
      <c r="G1864" s="7" t="s">
        <v>1470</v>
      </c>
      <c r="H1864" s="7" t="s">
        <v>5236</v>
      </c>
      <c r="I1864" s="9">
        <v>45371</v>
      </c>
    </row>
    <row r="1865" spans="1:9" ht="27" x14ac:dyDescent="0.15">
      <c r="A1865" s="6">
        <v>1864</v>
      </c>
      <c r="B1865" s="7" t="s">
        <v>7</v>
      </c>
      <c r="C1865" s="8">
        <v>1890</v>
      </c>
      <c r="D1865" s="9">
        <v>45449</v>
      </c>
      <c r="E1865" s="13">
        <f>+HYPERLINK("http://trademark.i-assist.jp/data/china/image_1890th/77428946.pdf",77428946)</f>
        <v>77428946</v>
      </c>
      <c r="F1865" s="7" t="s">
        <v>5238</v>
      </c>
      <c r="G1865" s="7" t="s">
        <v>5237</v>
      </c>
      <c r="H1865" s="7" t="s">
        <v>5239</v>
      </c>
      <c r="I1865" s="9">
        <v>45371</v>
      </c>
    </row>
    <row r="1866" spans="1:9" x14ac:dyDescent="0.15">
      <c r="A1866" s="6">
        <v>1865</v>
      </c>
      <c r="B1866" s="7" t="s">
        <v>7</v>
      </c>
      <c r="C1866" s="8">
        <v>1890</v>
      </c>
      <c r="D1866" s="9">
        <v>45449</v>
      </c>
      <c r="E1866" s="13">
        <f>+HYPERLINK("http://trademark.i-assist.jp/data/china/image_1890th/77469957.pdf",77469957)</f>
        <v>77469957</v>
      </c>
      <c r="F1866" s="7" t="s">
        <v>5240</v>
      </c>
      <c r="G1866" s="7" t="s">
        <v>1489</v>
      </c>
      <c r="H1866" s="7" t="s">
        <v>5241</v>
      </c>
      <c r="I1866" s="9">
        <v>45372</v>
      </c>
    </row>
    <row r="1867" spans="1:9" x14ac:dyDescent="0.15">
      <c r="A1867" s="6">
        <v>1866</v>
      </c>
      <c r="B1867" s="7" t="s">
        <v>7</v>
      </c>
      <c r="C1867" s="8">
        <v>1890</v>
      </c>
      <c r="D1867" s="9">
        <v>45449</v>
      </c>
      <c r="E1867" s="13">
        <f>+HYPERLINK("http://trademark.i-assist.jp/data/china/image_1890th/77470066.pdf",77470066)</f>
        <v>77470066</v>
      </c>
      <c r="F1867" s="7" t="s">
        <v>5243</v>
      </c>
      <c r="G1867" s="7" t="s">
        <v>5242</v>
      </c>
      <c r="H1867" s="7" t="s">
        <v>5244</v>
      </c>
      <c r="I1867" s="9">
        <v>45372</v>
      </c>
    </row>
    <row r="1868" spans="1:9" x14ac:dyDescent="0.15">
      <c r="A1868" s="6">
        <v>1867</v>
      </c>
      <c r="B1868" s="7" t="s">
        <v>7</v>
      </c>
      <c r="C1868" s="8">
        <v>1890</v>
      </c>
      <c r="D1868" s="9">
        <v>45449</v>
      </c>
      <c r="E1868" s="13">
        <f>+HYPERLINK("http://trademark.i-assist.jp/data/china/image_1890th/77470181.pdf",77470181)</f>
        <v>77470181</v>
      </c>
      <c r="F1868" s="7" t="s">
        <v>5245</v>
      </c>
      <c r="G1868" s="7" t="s">
        <v>4101</v>
      </c>
      <c r="H1868" s="7" t="s">
        <v>5246</v>
      </c>
      <c r="I1868" s="9">
        <v>45372</v>
      </c>
    </row>
    <row r="1869" spans="1:9" x14ac:dyDescent="0.15">
      <c r="A1869" s="6">
        <v>1868</v>
      </c>
      <c r="B1869" s="7" t="s">
        <v>7</v>
      </c>
      <c r="C1869" s="8">
        <v>1890</v>
      </c>
      <c r="D1869" s="9">
        <v>45449</v>
      </c>
      <c r="E1869" s="13">
        <f>+HYPERLINK("http://trademark.i-assist.jp/data/china/image_1890th/77470473.pdf",77470473)</f>
        <v>77470473</v>
      </c>
      <c r="F1869" s="7" t="s">
        <v>5248</v>
      </c>
      <c r="G1869" s="7" t="s">
        <v>5247</v>
      </c>
      <c r="H1869" s="7" t="s">
        <v>5249</v>
      </c>
      <c r="I1869" s="9">
        <v>45372</v>
      </c>
    </row>
    <row r="1870" spans="1:9" x14ac:dyDescent="0.15">
      <c r="A1870" s="6">
        <v>1869</v>
      </c>
      <c r="B1870" s="7" t="s">
        <v>7</v>
      </c>
      <c r="C1870" s="8">
        <v>1890</v>
      </c>
      <c r="D1870" s="9">
        <v>45449</v>
      </c>
      <c r="E1870" s="13">
        <f>+HYPERLINK("http://trademark.i-assist.jp/data/china/image_1890th/77470476.pdf",77470476)</f>
        <v>77470476</v>
      </c>
      <c r="F1870" s="7" t="s">
        <v>5251</v>
      </c>
      <c r="G1870" s="7" t="s">
        <v>5250</v>
      </c>
      <c r="H1870" s="7" t="s">
        <v>5252</v>
      </c>
      <c r="I1870" s="9">
        <v>45372</v>
      </c>
    </row>
    <row r="1871" spans="1:9" x14ac:dyDescent="0.15">
      <c r="A1871" s="6">
        <v>1870</v>
      </c>
      <c r="B1871" s="7" t="s">
        <v>7</v>
      </c>
      <c r="C1871" s="8">
        <v>1890</v>
      </c>
      <c r="D1871" s="9">
        <v>45449</v>
      </c>
      <c r="E1871" s="13">
        <f>+HYPERLINK("http://trademark.i-assist.jp/data/china/image_1890th/77470498.pdf",77470498)</f>
        <v>77470498</v>
      </c>
      <c r="F1871" s="7" t="s">
        <v>5254</v>
      </c>
      <c r="G1871" s="7" t="s">
        <v>5253</v>
      </c>
      <c r="H1871" s="7" t="s">
        <v>5255</v>
      </c>
      <c r="I1871" s="9">
        <v>45372</v>
      </c>
    </row>
    <row r="1872" spans="1:9" x14ac:dyDescent="0.15">
      <c r="A1872" s="6">
        <v>1871</v>
      </c>
      <c r="B1872" s="7" t="s">
        <v>7</v>
      </c>
      <c r="C1872" s="8">
        <v>1890</v>
      </c>
      <c r="D1872" s="9">
        <v>45449</v>
      </c>
      <c r="E1872" s="13">
        <f>+HYPERLINK("http://trademark.i-assist.jp/data/china/image_1890th/77470610.pdf",77470610)</f>
        <v>77470610</v>
      </c>
      <c r="F1872" s="7" t="s">
        <v>5257</v>
      </c>
      <c r="G1872" s="7" t="s">
        <v>5256</v>
      </c>
      <c r="H1872" s="7" t="s">
        <v>3989</v>
      </c>
      <c r="I1872" s="9">
        <v>45372</v>
      </c>
    </row>
    <row r="1873" spans="1:9" x14ac:dyDescent="0.15">
      <c r="A1873" s="6">
        <v>1872</v>
      </c>
      <c r="B1873" s="7" t="s">
        <v>7</v>
      </c>
      <c r="C1873" s="8">
        <v>1890</v>
      </c>
      <c r="D1873" s="9">
        <v>45449</v>
      </c>
      <c r="E1873" s="13">
        <f>+HYPERLINK("http://trademark.i-assist.jp/data/china/image_1890th/77470670.pdf",77470670)</f>
        <v>77470670</v>
      </c>
      <c r="F1873" s="7" t="s">
        <v>5258</v>
      </c>
      <c r="G1873" s="7" t="s">
        <v>34</v>
      </c>
      <c r="H1873" s="7" t="s">
        <v>5259</v>
      </c>
      <c r="I1873" s="9">
        <v>45372</v>
      </c>
    </row>
    <row r="1874" spans="1:9" x14ac:dyDescent="0.15">
      <c r="A1874" s="6">
        <v>1873</v>
      </c>
      <c r="B1874" s="7" t="s">
        <v>7</v>
      </c>
      <c r="C1874" s="8">
        <v>1890</v>
      </c>
      <c r="D1874" s="9">
        <v>45449</v>
      </c>
      <c r="E1874" s="13">
        <f>+HYPERLINK("http://trademark.i-assist.jp/data/china/image_1890th/77470857.pdf",77470857)</f>
        <v>77470857</v>
      </c>
      <c r="F1874" s="7" t="s">
        <v>5260</v>
      </c>
      <c r="G1874" s="7" t="s">
        <v>4646</v>
      </c>
      <c r="H1874" s="7" t="s">
        <v>5261</v>
      </c>
      <c r="I1874" s="9">
        <v>45372</v>
      </c>
    </row>
    <row r="1875" spans="1:9" ht="27" x14ac:dyDescent="0.15">
      <c r="A1875" s="6">
        <v>1874</v>
      </c>
      <c r="B1875" s="7" t="s">
        <v>7</v>
      </c>
      <c r="C1875" s="8">
        <v>1890</v>
      </c>
      <c r="D1875" s="9">
        <v>45449</v>
      </c>
      <c r="E1875" s="13">
        <f>+HYPERLINK("http://trademark.i-assist.jp/data/china/image_1890th/77470897.pdf",77470897)</f>
        <v>77470897</v>
      </c>
      <c r="F1875" s="7" t="s">
        <v>5263</v>
      </c>
      <c r="G1875" s="7" t="s">
        <v>5262</v>
      </c>
      <c r="H1875" s="7" t="s">
        <v>5264</v>
      </c>
      <c r="I1875" s="9">
        <v>45372</v>
      </c>
    </row>
    <row r="1876" spans="1:9" ht="27" x14ac:dyDescent="0.15">
      <c r="A1876" s="6">
        <v>1875</v>
      </c>
      <c r="B1876" s="7" t="s">
        <v>7</v>
      </c>
      <c r="C1876" s="8">
        <v>1890</v>
      </c>
      <c r="D1876" s="9">
        <v>45449</v>
      </c>
      <c r="E1876" s="13">
        <f>+HYPERLINK("http://trademark.i-assist.jp/data/china/image_1890th/77470998.pdf",77470998)</f>
        <v>77470998</v>
      </c>
      <c r="F1876" s="7" t="s">
        <v>183</v>
      </c>
      <c r="G1876" s="7" t="s">
        <v>5265</v>
      </c>
      <c r="H1876" s="7" t="s">
        <v>5266</v>
      </c>
      <c r="I1876" s="9">
        <v>45372</v>
      </c>
    </row>
    <row r="1877" spans="1:9" x14ac:dyDescent="0.15">
      <c r="A1877" s="6">
        <v>1876</v>
      </c>
      <c r="B1877" s="7" t="s">
        <v>7</v>
      </c>
      <c r="C1877" s="8">
        <v>1890</v>
      </c>
      <c r="D1877" s="9">
        <v>45449</v>
      </c>
      <c r="E1877" s="13">
        <f>+HYPERLINK("http://trademark.i-assist.jp/data/china/image_1890th/77471368.pdf",77471368)</f>
        <v>77471368</v>
      </c>
      <c r="F1877" s="7" t="s">
        <v>5268</v>
      </c>
      <c r="G1877" s="7" t="s">
        <v>5267</v>
      </c>
      <c r="H1877" s="7" t="s">
        <v>5269</v>
      </c>
      <c r="I1877" s="9">
        <v>45372</v>
      </c>
    </row>
    <row r="1878" spans="1:9" x14ac:dyDescent="0.15">
      <c r="A1878" s="6">
        <v>1877</v>
      </c>
      <c r="B1878" s="7" t="s">
        <v>7</v>
      </c>
      <c r="C1878" s="8">
        <v>1890</v>
      </c>
      <c r="D1878" s="9">
        <v>45449</v>
      </c>
      <c r="E1878" s="13">
        <f>+HYPERLINK("http://trademark.i-assist.jp/data/china/image_1890th/77471615.pdf",77471615)</f>
        <v>77471615</v>
      </c>
      <c r="F1878" s="7" t="s">
        <v>5271</v>
      </c>
      <c r="G1878" s="7" t="s">
        <v>5270</v>
      </c>
      <c r="H1878" s="7" t="s">
        <v>5272</v>
      </c>
      <c r="I1878" s="9">
        <v>45373</v>
      </c>
    </row>
    <row r="1879" spans="1:9" x14ac:dyDescent="0.15">
      <c r="A1879" s="6">
        <v>1878</v>
      </c>
      <c r="B1879" s="7" t="s">
        <v>7</v>
      </c>
      <c r="C1879" s="8">
        <v>1890</v>
      </c>
      <c r="D1879" s="9">
        <v>45449</v>
      </c>
      <c r="E1879" s="13">
        <f>+HYPERLINK("http://trademark.i-assist.jp/data/china/image_1890th/77471801.pdf",77471801)</f>
        <v>77471801</v>
      </c>
      <c r="F1879" s="7" t="s">
        <v>5274</v>
      </c>
      <c r="G1879" s="7" t="s">
        <v>5273</v>
      </c>
      <c r="H1879" s="7" t="s">
        <v>5275</v>
      </c>
      <c r="I1879" s="9">
        <v>45373</v>
      </c>
    </row>
    <row r="1880" spans="1:9" x14ac:dyDescent="0.15">
      <c r="A1880" s="6">
        <v>1879</v>
      </c>
      <c r="B1880" s="7" t="s">
        <v>7</v>
      </c>
      <c r="C1880" s="8">
        <v>1890</v>
      </c>
      <c r="D1880" s="9">
        <v>45449</v>
      </c>
      <c r="E1880" s="13">
        <f>+HYPERLINK("http://trademark.i-assist.jp/data/china/image_1890th/77471905.pdf",77471905)</f>
        <v>77471905</v>
      </c>
      <c r="F1880" s="7" t="s">
        <v>5277</v>
      </c>
      <c r="G1880" s="7" t="s">
        <v>5276</v>
      </c>
      <c r="H1880" s="7" t="s">
        <v>5278</v>
      </c>
      <c r="I1880" s="9">
        <v>45373</v>
      </c>
    </row>
    <row r="1881" spans="1:9" x14ac:dyDescent="0.15">
      <c r="A1881" s="6">
        <v>1880</v>
      </c>
      <c r="B1881" s="7" t="s">
        <v>7</v>
      </c>
      <c r="C1881" s="8">
        <v>1890</v>
      </c>
      <c r="D1881" s="9">
        <v>45449</v>
      </c>
      <c r="E1881" s="13">
        <f>+HYPERLINK("http://trademark.i-assist.jp/data/china/image_1890th/77472137.pdf",77472137)</f>
        <v>77472137</v>
      </c>
      <c r="F1881" s="7" t="s">
        <v>5279</v>
      </c>
      <c r="G1881" s="7" t="s">
        <v>4536</v>
      </c>
      <c r="H1881" s="7" t="s">
        <v>5280</v>
      </c>
      <c r="I1881" s="9">
        <v>45373</v>
      </c>
    </row>
    <row r="1882" spans="1:9" x14ac:dyDescent="0.15">
      <c r="A1882" s="6">
        <v>1881</v>
      </c>
      <c r="B1882" s="7" t="s">
        <v>7</v>
      </c>
      <c r="C1882" s="8">
        <v>1890</v>
      </c>
      <c r="D1882" s="9">
        <v>45449</v>
      </c>
      <c r="E1882" s="13">
        <f>+HYPERLINK("http://trademark.i-assist.jp/data/china/image_1890th/77472335.pdf",77472335)</f>
        <v>77472335</v>
      </c>
      <c r="F1882" s="7" t="s">
        <v>5282</v>
      </c>
      <c r="G1882" s="7" t="s">
        <v>5281</v>
      </c>
      <c r="H1882" s="7" t="s">
        <v>5283</v>
      </c>
      <c r="I1882" s="9">
        <v>45373</v>
      </c>
    </row>
    <row r="1883" spans="1:9" x14ac:dyDescent="0.15">
      <c r="A1883" s="6">
        <v>1882</v>
      </c>
      <c r="B1883" s="7" t="s">
        <v>7</v>
      </c>
      <c r="C1883" s="8">
        <v>1890</v>
      </c>
      <c r="D1883" s="9">
        <v>45449</v>
      </c>
      <c r="E1883" s="13">
        <f>+HYPERLINK("http://trademark.i-assist.jp/data/china/image_1890th/77472463.pdf",77472463)</f>
        <v>77472463</v>
      </c>
      <c r="F1883" s="7" t="s">
        <v>5284</v>
      </c>
      <c r="G1883" s="7" t="s">
        <v>3809</v>
      </c>
      <c r="H1883" s="7" t="s">
        <v>5285</v>
      </c>
      <c r="I1883" s="9">
        <v>45373</v>
      </c>
    </row>
    <row r="1884" spans="1:9" x14ac:dyDescent="0.15">
      <c r="A1884" s="6">
        <v>1883</v>
      </c>
      <c r="B1884" s="7" t="s">
        <v>7</v>
      </c>
      <c r="C1884" s="8">
        <v>1890</v>
      </c>
      <c r="D1884" s="9">
        <v>45449</v>
      </c>
      <c r="E1884" s="13">
        <f>+HYPERLINK("http://trademark.i-assist.jp/data/china/image_1890th/77472608.pdf",77472608)</f>
        <v>77472608</v>
      </c>
      <c r="F1884" s="7" t="s">
        <v>5287</v>
      </c>
      <c r="G1884" s="7" t="s">
        <v>5286</v>
      </c>
      <c r="H1884" s="7" t="s">
        <v>5288</v>
      </c>
      <c r="I1884" s="9">
        <v>45373</v>
      </c>
    </row>
    <row r="1885" spans="1:9" x14ac:dyDescent="0.15">
      <c r="A1885" s="6">
        <v>1884</v>
      </c>
      <c r="B1885" s="7" t="s">
        <v>7</v>
      </c>
      <c r="C1885" s="8">
        <v>1890</v>
      </c>
      <c r="D1885" s="9">
        <v>45449</v>
      </c>
      <c r="E1885" s="13">
        <f>+HYPERLINK("http://trademark.i-assist.jp/data/china/image_1890th/77472648.pdf",77472648)</f>
        <v>77472648</v>
      </c>
      <c r="F1885" s="7" t="s">
        <v>5290</v>
      </c>
      <c r="G1885" s="7" t="s">
        <v>5289</v>
      </c>
      <c r="H1885" s="7" t="s">
        <v>5291</v>
      </c>
      <c r="I1885" s="9">
        <v>45373</v>
      </c>
    </row>
    <row r="1886" spans="1:9" x14ac:dyDescent="0.15">
      <c r="A1886" s="6">
        <v>1885</v>
      </c>
      <c r="B1886" s="7" t="s">
        <v>7</v>
      </c>
      <c r="C1886" s="8">
        <v>1890</v>
      </c>
      <c r="D1886" s="9">
        <v>45449</v>
      </c>
      <c r="E1886" s="13">
        <f>+HYPERLINK("http://trademark.i-assist.jp/data/china/image_1890th/77473031.pdf",77473031)</f>
        <v>77473031</v>
      </c>
      <c r="F1886" s="7" t="s">
        <v>5292</v>
      </c>
      <c r="G1886" s="7" t="s">
        <v>2677</v>
      </c>
      <c r="H1886" s="7" t="s">
        <v>5293</v>
      </c>
      <c r="I1886" s="9">
        <v>45373</v>
      </c>
    </row>
    <row r="1887" spans="1:9" x14ac:dyDescent="0.15">
      <c r="A1887" s="6">
        <v>1886</v>
      </c>
      <c r="B1887" s="7" t="s">
        <v>7</v>
      </c>
      <c r="C1887" s="8">
        <v>1890</v>
      </c>
      <c r="D1887" s="9">
        <v>45449</v>
      </c>
      <c r="E1887" s="13">
        <f>+HYPERLINK("http://trademark.i-assist.jp/data/china/image_1890th/77473809.pdf",77473809)</f>
        <v>77473809</v>
      </c>
      <c r="F1887" s="7" t="s">
        <v>5295</v>
      </c>
      <c r="G1887" s="7" t="s">
        <v>5294</v>
      </c>
      <c r="H1887" s="7" t="s">
        <v>5296</v>
      </c>
      <c r="I1887" s="9">
        <v>45373</v>
      </c>
    </row>
    <row r="1888" spans="1:9" x14ac:dyDescent="0.15">
      <c r="A1888" s="6">
        <v>1887</v>
      </c>
      <c r="B1888" s="7" t="s">
        <v>7</v>
      </c>
      <c r="C1888" s="8">
        <v>1890</v>
      </c>
      <c r="D1888" s="9">
        <v>45449</v>
      </c>
      <c r="E1888" s="13">
        <f>+HYPERLINK("http://trademark.i-assist.jp/data/china/image_1890th/77474038.pdf",77474038)</f>
        <v>77474038</v>
      </c>
      <c r="F1888" s="7" t="s">
        <v>5297</v>
      </c>
      <c r="G1888" s="7" t="s">
        <v>3809</v>
      </c>
      <c r="H1888" s="7" t="s">
        <v>5298</v>
      </c>
      <c r="I1888" s="9">
        <v>45373</v>
      </c>
    </row>
    <row r="1889" spans="1:9" x14ac:dyDescent="0.15">
      <c r="A1889" s="6">
        <v>1888</v>
      </c>
      <c r="B1889" s="7" t="s">
        <v>7</v>
      </c>
      <c r="C1889" s="8">
        <v>1890</v>
      </c>
      <c r="D1889" s="9">
        <v>45449</v>
      </c>
      <c r="E1889" s="13">
        <f>+HYPERLINK("http://trademark.i-assist.jp/data/china/image_1890th/77474049.pdf",77474049)</f>
        <v>77474049</v>
      </c>
      <c r="F1889" s="7" t="s">
        <v>5299</v>
      </c>
      <c r="G1889" s="7" t="s">
        <v>3809</v>
      </c>
      <c r="H1889" s="7" t="s">
        <v>5300</v>
      </c>
      <c r="I1889" s="9">
        <v>45373</v>
      </c>
    </row>
    <row r="1890" spans="1:9" x14ac:dyDescent="0.15">
      <c r="A1890" s="6">
        <v>1889</v>
      </c>
      <c r="B1890" s="7" t="s">
        <v>7</v>
      </c>
      <c r="C1890" s="8">
        <v>1890</v>
      </c>
      <c r="D1890" s="9">
        <v>45449</v>
      </c>
      <c r="E1890" s="13">
        <f>+HYPERLINK("http://trademark.i-assist.jp/data/china/image_1890th/77474208.pdf",77474208)</f>
        <v>77474208</v>
      </c>
      <c r="F1890" s="7" t="s">
        <v>5302</v>
      </c>
      <c r="G1890" s="7" t="s">
        <v>5301</v>
      </c>
      <c r="H1890" s="7" t="s">
        <v>5303</v>
      </c>
      <c r="I1890" s="9">
        <v>45373</v>
      </c>
    </row>
    <row r="1891" spans="1:9" x14ac:dyDescent="0.15">
      <c r="A1891" s="6">
        <v>1890</v>
      </c>
      <c r="B1891" s="7" t="s">
        <v>7</v>
      </c>
      <c r="C1891" s="8">
        <v>1890</v>
      </c>
      <c r="D1891" s="9">
        <v>45449</v>
      </c>
      <c r="E1891" s="13">
        <f>+HYPERLINK("http://trademark.i-assist.jp/data/china/image_1890th/77474455.pdf",77474455)</f>
        <v>77474455</v>
      </c>
      <c r="F1891" s="7" t="s">
        <v>183</v>
      </c>
      <c r="G1891" s="7" t="s">
        <v>5304</v>
      </c>
      <c r="H1891" s="7" t="s">
        <v>5305</v>
      </c>
      <c r="I1891" s="9">
        <v>45373</v>
      </c>
    </row>
    <row r="1892" spans="1:9" x14ac:dyDescent="0.15">
      <c r="A1892" s="6">
        <v>1891</v>
      </c>
      <c r="B1892" s="7" t="s">
        <v>7</v>
      </c>
      <c r="C1892" s="8">
        <v>1890</v>
      </c>
      <c r="D1892" s="9">
        <v>45449</v>
      </c>
      <c r="E1892" s="13">
        <f>+HYPERLINK("http://trademark.i-assist.jp/data/china/image_1890th/77474565.pdf",77474565)</f>
        <v>77474565</v>
      </c>
      <c r="F1892" s="7" t="s">
        <v>5307</v>
      </c>
      <c r="G1892" s="7" t="s">
        <v>5306</v>
      </c>
      <c r="H1892" s="7" t="s">
        <v>5308</v>
      </c>
      <c r="I1892" s="9">
        <v>45373</v>
      </c>
    </row>
    <row r="1893" spans="1:9" x14ac:dyDescent="0.15">
      <c r="A1893" s="6">
        <v>1892</v>
      </c>
      <c r="B1893" s="7" t="s">
        <v>7</v>
      </c>
      <c r="C1893" s="8">
        <v>1890</v>
      </c>
      <c r="D1893" s="9">
        <v>45449</v>
      </c>
      <c r="E1893" s="13">
        <f>+HYPERLINK("http://trademark.i-assist.jp/data/china/image_1890th/77474612.pdf",77474612)</f>
        <v>77474612</v>
      </c>
      <c r="F1893" s="7" t="s">
        <v>5309</v>
      </c>
      <c r="G1893" s="7" t="s">
        <v>5301</v>
      </c>
      <c r="H1893" s="7" t="s">
        <v>5310</v>
      </c>
      <c r="I1893" s="9">
        <v>45373</v>
      </c>
    </row>
    <row r="1894" spans="1:9" ht="27" x14ac:dyDescent="0.15">
      <c r="A1894" s="6">
        <v>1893</v>
      </c>
      <c r="B1894" s="7" t="s">
        <v>7</v>
      </c>
      <c r="C1894" s="8">
        <v>1890</v>
      </c>
      <c r="D1894" s="9">
        <v>45449</v>
      </c>
      <c r="E1894" s="13">
        <f>+HYPERLINK("http://trademark.i-assist.jp/data/china/image_1890th/77283394.pdf",77283394)</f>
        <v>77283394</v>
      </c>
      <c r="F1894" s="7" t="s">
        <v>5312</v>
      </c>
      <c r="G1894" s="7" t="s">
        <v>5311</v>
      </c>
      <c r="H1894" s="7" t="s">
        <v>5313</v>
      </c>
      <c r="I1894" s="9">
        <v>45364</v>
      </c>
    </row>
    <row r="1895" spans="1:9" ht="27" x14ac:dyDescent="0.15">
      <c r="A1895" s="6">
        <v>1894</v>
      </c>
      <c r="B1895" s="7" t="s">
        <v>7</v>
      </c>
      <c r="C1895" s="8">
        <v>1890</v>
      </c>
      <c r="D1895" s="9">
        <v>45449</v>
      </c>
      <c r="E1895" s="13">
        <f>+HYPERLINK("http://trademark.i-assist.jp/data/china/image_1890th/77283605.pdf",77283605)</f>
        <v>77283605</v>
      </c>
      <c r="F1895" s="7" t="s">
        <v>5315</v>
      </c>
      <c r="G1895" s="7" t="s">
        <v>5314</v>
      </c>
      <c r="H1895" s="7" t="s">
        <v>5316</v>
      </c>
      <c r="I1895" s="9">
        <v>45364</v>
      </c>
    </row>
    <row r="1896" spans="1:9" ht="27" x14ac:dyDescent="0.15">
      <c r="A1896" s="6">
        <v>1895</v>
      </c>
      <c r="B1896" s="7" t="s">
        <v>7</v>
      </c>
      <c r="C1896" s="8">
        <v>1890</v>
      </c>
      <c r="D1896" s="9">
        <v>45449</v>
      </c>
      <c r="E1896" s="13">
        <f>+HYPERLINK("http://trademark.i-assist.jp/data/china/image_1890th/77283624.pdf",77283624)</f>
        <v>77283624</v>
      </c>
      <c r="F1896" s="7" t="s">
        <v>5317</v>
      </c>
      <c r="G1896" s="7" t="s">
        <v>914</v>
      </c>
      <c r="H1896" s="7" t="s">
        <v>5318</v>
      </c>
      <c r="I1896" s="9">
        <v>45364</v>
      </c>
    </row>
    <row r="1897" spans="1:9" x14ac:dyDescent="0.15">
      <c r="A1897" s="6">
        <v>1896</v>
      </c>
      <c r="B1897" s="7" t="s">
        <v>7</v>
      </c>
      <c r="C1897" s="8">
        <v>1890</v>
      </c>
      <c r="D1897" s="9">
        <v>45449</v>
      </c>
      <c r="E1897" s="13">
        <f>+HYPERLINK("http://trademark.i-assist.jp/data/china/image_1890th/77283850.pdf",77283850)</f>
        <v>77283850</v>
      </c>
      <c r="F1897" s="7" t="s">
        <v>5320</v>
      </c>
      <c r="G1897" s="7" t="s">
        <v>5319</v>
      </c>
      <c r="H1897" s="7" t="s">
        <v>5321</v>
      </c>
      <c r="I1897" s="9">
        <v>45364</v>
      </c>
    </row>
    <row r="1898" spans="1:9" x14ac:dyDescent="0.15">
      <c r="A1898" s="6">
        <v>1897</v>
      </c>
      <c r="B1898" s="7" t="s">
        <v>7</v>
      </c>
      <c r="C1898" s="8">
        <v>1890</v>
      </c>
      <c r="D1898" s="9">
        <v>45449</v>
      </c>
      <c r="E1898" s="13">
        <f>+HYPERLINK("http://trademark.i-assist.jp/data/china/image_1890th/77397127.pdf",77397127)</f>
        <v>77397127</v>
      </c>
      <c r="F1898" s="7" t="s">
        <v>5323</v>
      </c>
      <c r="G1898" s="7" t="s">
        <v>5322</v>
      </c>
      <c r="H1898" s="7" t="s">
        <v>5324</v>
      </c>
      <c r="I1898" s="9">
        <v>45370</v>
      </c>
    </row>
    <row r="1899" spans="1:9" x14ac:dyDescent="0.15">
      <c r="A1899" s="6">
        <v>1898</v>
      </c>
      <c r="B1899" s="7" t="s">
        <v>7</v>
      </c>
      <c r="C1899" s="8">
        <v>1890</v>
      </c>
      <c r="D1899" s="9">
        <v>45449</v>
      </c>
      <c r="E1899" s="13">
        <f>+HYPERLINK("http://trademark.i-assist.jp/data/china/image_1890th/77397158.pdf",77397158)</f>
        <v>77397158</v>
      </c>
      <c r="F1899" s="7" t="s">
        <v>5326</v>
      </c>
      <c r="G1899" s="7" t="s">
        <v>5325</v>
      </c>
      <c r="H1899" s="7" t="s">
        <v>5327</v>
      </c>
      <c r="I1899" s="9">
        <v>45370</v>
      </c>
    </row>
    <row r="1900" spans="1:9" x14ac:dyDescent="0.15">
      <c r="A1900" s="6">
        <v>1899</v>
      </c>
      <c r="B1900" s="7" t="s">
        <v>7</v>
      </c>
      <c r="C1900" s="8">
        <v>1890</v>
      </c>
      <c r="D1900" s="9">
        <v>45449</v>
      </c>
      <c r="E1900" s="13">
        <f>+HYPERLINK("http://trademark.i-assist.jp/data/china/image_1890th/77397163.pdf",77397163)</f>
        <v>77397163</v>
      </c>
      <c r="F1900" s="7" t="s">
        <v>5329</v>
      </c>
      <c r="G1900" s="7" t="s">
        <v>5328</v>
      </c>
      <c r="H1900" s="7" t="s">
        <v>5330</v>
      </c>
      <c r="I1900" s="9">
        <v>45370</v>
      </c>
    </row>
    <row r="1901" spans="1:9" x14ac:dyDescent="0.15">
      <c r="A1901" s="6">
        <v>1900</v>
      </c>
      <c r="B1901" s="7" t="s">
        <v>7</v>
      </c>
      <c r="C1901" s="8">
        <v>1890</v>
      </c>
      <c r="D1901" s="9">
        <v>45449</v>
      </c>
      <c r="E1901" s="13">
        <f>+HYPERLINK("http://trademark.i-assist.jp/data/china/image_1890th/77397170.pdf",77397170)</f>
        <v>77397170</v>
      </c>
      <c r="F1901" s="7" t="s">
        <v>183</v>
      </c>
      <c r="G1901" s="7" t="s">
        <v>5331</v>
      </c>
      <c r="H1901" s="7" t="s">
        <v>5332</v>
      </c>
      <c r="I1901" s="9">
        <v>45370</v>
      </c>
    </row>
    <row r="1902" spans="1:9" x14ac:dyDescent="0.15">
      <c r="A1902" s="6">
        <v>1901</v>
      </c>
      <c r="B1902" s="7" t="s">
        <v>7</v>
      </c>
      <c r="C1902" s="8">
        <v>1890</v>
      </c>
      <c r="D1902" s="9">
        <v>45449</v>
      </c>
      <c r="E1902" s="13">
        <f>+HYPERLINK("http://trademark.i-assist.jp/data/china/image_1890th/77397292.pdf",77397292)</f>
        <v>77397292</v>
      </c>
      <c r="F1902" s="7" t="s">
        <v>5334</v>
      </c>
      <c r="G1902" s="7" t="s">
        <v>5333</v>
      </c>
      <c r="H1902" s="7" t="s">
        <v>5335</v>
      </c>
      <c r="I1902" s="9">
        <v>45370</v>
      </c>
    </row>
    <row r="1903" spans="1:9" x14ac:dyDescent="0.15">
      <c r="A1903" s="6">
        <v>1902</v>
      </c>
      <c r="B1903" s="7" t="s">
        <v>7</v>
      </c>
      <c r="C1903" s="8">
        <v>1890</v>
      </c>
      <c r="D1903" s="9">
        <v>45449</v>
      </c>
      <c r="E1903" s="13">
        <f>+HYPERLINK("http://trademark.i-assist.jp/data/china/image_1890th/77397344.pdf",77397344)</f>
        <v>77397344</v>
      </c>
      <c r="F1903" s="7" t="s">
        <v>5336</v>
      </c>
      <c r="G1903" s="7" t="s">
        <v>1253</v>
      </c>
      <c r="H1903" s="7" t="s">
        <v>5337</v>
      </c>
      <c r="I1903" s="9">
        <v>45370</v>
      </c>
    </row>
    <row r="1904" spans="1:9" ht="27" x14ac:dyDescent="0.15">
      <c r="A1904" s="6">
        <v>1903</v>
      </c>
      <c r="B1904" s="7" t="s">
        <v>7</v>
      </c>
      <c r="C1904" s="8">
        <v>1890</v>
      </c>
      <c r="D1904" s="9">
        <v>45449</v>
      </c>
      <c r="E1904" s="13">
        <f>+HYPERLINK("http://trademark.i-assist.jp/data/china/image_1890th/77397353.pdf",77397353)</f>
        <v>77397353</v>
      </c>
      <c r="F1904" s="7" t="s">
        <v>5338</v>
      </c>
      <c r="G1904" s="7" t="s">
        <v>4104</v>
      </c>
      <c r="H1904" s="7" t="s">
        <v>5339</v>
      </c>
      <c r="I1904" s="9">
        <v>45370</v>
      </c>
    </row>
    <row r="1905" spans="1:9" x14ac:dyDescent="0.15">
      <c r="A1905" s="6">
        <v>1904</v>
      </c>
      <c r="B1905" s="7" t="s">
        <v>7</v>
      </c>
      <c r="C1905" s="8">
        <v>1890</v>
      </c>
      <c r="D1905" s="9">
        <v>45449</v>
      </c>
      <c r="E1905" s="13">
        <f>+HYPERLINK("http://trademark.i-assist.jp/data/china/image_1890th/77397405.pdf",77397405)</f>
        <v>77397405</v>
      </c>
      <c r="F1905" s="7" t="s">
        <v>5340</v>
      </c>
      <c r="G1905" s="7" t="s">
        <v>4614</v>
      </c>
      <c r="H1905" s="7" t="s">
        <v>5341</v>
      </c>
      <c r="I1905" s="9">
        <v>45370</v>
      </c>
    </row>
    <row r="1906" spans="1:9" x14ac:dyDescent="0.15">
      <c r="A1906" s="6">
        <v>1905</v>
      </c>
      <c r="B1906" s="7" t="s">
        <v>7</v>
      </c>
      <c r="C1906" s="8">
        <v>1890</v>
      </c>
      <c r="D1906" s="9">
        <v>45449</v>
      </c>
      <c r="E1906" s="13">
        <f>+HYPERLINK("http://trademark.i-assist.jp/data/china/image_1890th/77397567.pdf",77397567)</f>
        <v>77397567</v>
      </c>
      <c r="F1906" s="7" t="s">
        <v>5343</v>
      </c>
      <c r="G1906" s="7" t="s">
        <v>5342</v>
      </c>
      <c r="H1906" s="7" t="s">
        <v>5344</v>
      </c>
      <c r="I1906" s="9">
        <v>45370</v>
      </c>
    </row>
    <row r="1907" spans="1:9" x14ac:dyDescent="0.15">
      <c r="A1907" s="6">
        <v>1906</v>
      </c>
      <c r="B1907" s="7" t="s">
        <v>7</v>
      </c>
      <c r="C1907" s="8">
        <v>1890</v>
      </c>
      <c r="D1907" s="9">
        <v>45449</v>
      </c>
      <c r="E1907" s="13">
        <f>+HYPERLINK("http://trademark.i-assist.jp/data/china/image_1890th/77397690.pdf",77397690)</f>
        <v>77397690</v>
      </c>
      <c r="F1907" s="7" t="s">
        <v>5346</v>
      </c>
      <c r="G1907" s="7" t="s">
        <v>5345</v>
      </c>
      <c r="H1907" s="7" t="s">
        <v>5347</v>
      </c>
      <c r="I1907" s="9">
        <v>45370</v>
      </c>
    </row>
    <row r="1908" spans="1:9" x14ac:dyDescent="0.15">
      <c r="A1908" s="6">
        <v>1907</v>
      </c>
      <c r="B1908" s="7" t="s">
        <v>7</v>
      </c>
      <c r="C1908" s="8">
        <v>1890</v>
      </c>
      <c r="D1908" s="9">
        <v>45449</v>
      </c>
      <c r="E1908" s="13">
        <f>+HYPERLINK("http://trademark.i-assist.jp/data/china/image_1890th/77397775.pdf",77397775)</f>
        <v>77397775</v>
      </c>
      <c r="F1908" s="7" t="s">
        <v>5349</v>
      </c>
      <c r="G1908" s="7" t="s">
        <v>5348</v>
      </c>
      <c r="H1908" s="7" t="s">
        <v>5350</v>
      </c>
      <c r="I1908" s="9">
        <v>45370</v>
      </c>
    </row>
    <row r="1909" spans="1:9" ht="27" x14ac:dyDescent="0.15">
      <c r="A1909" s="6">
        <v>1908</v>
      </c>
      <c r="B1909" s="7" t="s">
        <v>7</v>
      </c>
      <c r="C1909" s="8">
        <v>1890</v>
      </c>
      <c r="D1909" s="9">
        <v>45449</v>
      </c>
      <c r="E1909" s="13">
        <f>+HYPERLINK("http://trademark.i-assist.jp/data/china/image_1890th/77397783.pdf",77397783)</f>
        <v>77397783</v>
      </c>
      <c r="F1909" s="7" t="s">
        <v>5352</v>
      </c>
      <c r="G1909" s="7" t="s">
        <v>5351</v>
      </c>
      <c r="H1909" s="7" t="s">
        <v>5353</v>
      </c>
      <c r="I1909" s="9">
        <v>45370</v>
      </c>
    </row>
    <row r="1910" spans="1:9" x14ac:dyDescent="0.15">
      <c r="A1910" s="6">
        <v>1909</v>
      </c>
      <c r="B1910" s="7" t="s">
        <v>7</v>
      </c>
      <c r="C1910" s="8">
        <v>1890</v>
      </c>
      <c r="D1910" s="9">
        <v>45449</v>
      </c>
      <c r="E1910" s="13">
        <f>+HYPERLINK("http://trademark.i-assist.jp/data/china/image_1890th/77397848.pdf",77397848)</f>
        <v>77397848</v>
      </c>
      <c r="F1910" s="7" t="s">
        <v>5355</v>
      </c>
      <c r="G1910" s="7" t="s">
        <v>5354</v>
      </c>
      <c r="H1910" s="7" t="s">
        <v>5356</v>
      </c>
      <c r="I1910" s="9">
        <v>45370</v>
      </c>
    </row>
    <row r="1911" spans="1:9" x14ac:dyDescent="0.15">
      <c r="A1911" s="6">
        <v>1910</v>
      </c>
      <c r="B1911" s="7" t="s">
        <v>7</v>
      </c>
      <c r="C1911" s="8">
        <v>1890</v>
      </c>
      <c r="D1911" s="9">
        <v>45449</v>
      </c>
      <c r="E1911" s="13">
        <f>+HYPERLINK("http://trademark.i-assist.jp/data/china/image_1890th/77397944.pdf",77397944)</f>
        <v>77397944</v>
      </c>
      <c r="F1911" s="7" t="s">
        <v>5358</v>
      </c>
      <c r="G1911" s="7" t="s">
        <v>5357</v>
      </c>
      <c r="H1911" s="7" t="s">
        <v>5359</v>
      </c>
      <c r="I1911" s="9">
        <v>45370</v>
      </c>
    </row>
    <row r="1912" spans="1:9" x14ac:dyDescent="0.15">
      <c r="A1912" s="6">
        <v>1911</v>
      </c>
      <c r="B1912" s="7" t="s">
        <v>7</v>
      </c>
      <c r="C1912" s="8">
        <v>1890</v>
      </c>
      <c r="D1912" s="9">
        <v>45449</v>
      </c>
      <c r="E1912" s="13">
        <f>+HYPERLINK("http://trademark.i-assist.jp/data/china/image_1890th/77398113.pdf",77398113)</f>
        <v>77398113</v>
      </c>
      <c r="F1912" s="7" t="s">
        <v>5360</v>
      </c>
      <c r="G1912" s="7" t="s">
        <v>260</v>
      </c>
      <c r="H1912" s="7" t="s">
        <v>5361</v>
      </c>
      <c r="I1912" s="9">
        <v>45370</v>
      </c>
    </row>
    <row r="1913" spans="1:9" x14ac:dyDescent="0.15">
      <c r="A1913" s="6">
        <v>1912</v>
      </c>
      <c r="B1913" s="7" t="s">
        <v>7</v>
      </c>
      <c r="C1913" s="8">
        <v>1890</v>
      </c>
      <c r="D1913" s="9">
        <v>45449</v>
      </c>
      <c r="E1913" s="13">
        <f>+HYPERLINK("http://trademark.i-assist.jp/data/china/image_1890th/77432489.pdf",77432489)</f>
        <v>77432489</v>
      </c>
      <c r="F1913" s="7" t="s">
        <v>5363</v>
      </c>
      <c r="G1913" s="7" t="s">
        <v>5362</v>
      </c>
      <c r="H1913" s="7" t="s">
        <v>5364</v>
      </c>
      <c r="I1913" s="9">
        <v>45371</v>
      </c>
    </row>
    <row r="1914" spans="1:9" x14ac:dyDescent="0.15">
      <c r="A1914" s="6">
        <v>1913</v>
      </c>
      <c r="B1914" s="7" t="s">
        <v>7</v>
      </c>
      <c r="C1914" s="8">
        <v>1890</v>
      </c>
      <c r="D1914" s="9">
        <v>45449</v>
      </c>
      <c r="E1914" s="13">
        <f>+HYPERLINK("http://trademark.i-assist.jp/data/china/image_1890th/77432732.pdf",77432732)</f>
        <v>77432732</v>
      </c>
      <c r="F1914" s="7" t="s">
        <v>5366</v>
      </c>
      <c r="G1914" s="7" t="s">
        <v>5365</v>
      </c>
      <c r="H1914" s="7" t="s">
        <v>5367</v>
      </c>
      <c r="I1914" s="9">
        <v>45371</v>
      </c>
    </row>
    <row r="1915" spans="1:9" x14ac:dyDescent="0.15">
      <c r="A1915" s="6">
        <v>1914</v>
      </c>
      <c r="B1915" s="7" t="s">
        <v>7</v>
      </c>
      <c r="C1915" s="8">
        <v>1890</v>
      </c>
      <c r="D1915" s="9">
        <v>45449</v>
      </c>
      <c r="E1915" s="13">
        <f>+HYPERLINK("http://trademark.i-assist.jp/data/china/image_1890th/77432736.pdf",77432736)</f>
        <v>77432736</v>
      </c>
      <c r="F1915" s="7" t="s">
        <v>5369</v>
      </c>
      <c r="G1915" s="7" t="s">
        <v>5368</v>
      </c>
      <c r="H1915" s="7" t="s">
        <v>5370</v>
      </c>
      <c r="I1915" s="9">
        <v>45371</v>
      </c>
    </row>
    <row r="1916" spans="1:9" ht="27" x14ac:dyDescent="0.15">
      <c r="A1916" s="6">
        <v>1915</v>
      </c>
      <c r="B1916" s="7" t="s">
        <v>7</v>
      </c>
      <c r="C1916" s="8">
        <v>1890</v>
      </c>
      <c r="D1916" s="9">
        <v>45449</v>
      </c>
      <c r="E1916" s="13">
        <f>+HYPERLINK("http://trademark.i-assist.jp/data/china/image_1890th/77432804.pdf",77432804)</f>
        <v>77432804</v>
      </c>
      <c r="F1916" s="7" t="s">
        <v>5372</v>
      </c>
      <c r="G1916" s="7" t="s">
        <v>5371</v>
      </c>
      <c r="H1916" s="7" t="s">
        <v>5373</v>
      </c>
      <c r="I1916" s="9">
        <v>45371</v>
      </c>
    </row>
    <row r="1917" spans="1:9" x14ac:dyDescent="0.15">
      <c r="A1917" s="6">
        <v>1916</v>
      </c>
      <c r="B1917" s="7" t="s">
        <v>7</v>
      </c>
      <c r="C1917" s="8">
        <v>1890</v>
      </c>
      <c r="D1917" s="9">
        <v>45449</v>
      </c>
      <c r="E1917" s="13">
        <f>+HYPERLINK("http://trademark.i-assist.jp/data/china/image_1890th/77433087.pdf",77433087)</f>
        <v>77433087</v>
      </c>
      <c r="F1917" s="7" t="s">
        <v>5375</v>
      </c>
      <c r="G1917" s="7" t="s">
        <v>5374</v>
      </c>
      <c r="H1917" s="7" t="s">
        <v>5376</v>
      </c>
      <c r="I1917" s="9">
        <v>45371</v>
      </c>
    </row>
    <row r="1918" spans="1:9" x14ac:dyDescent="0.15">
      <c r="A1918" s="6">
        <v>1917</v>
      </c>
      <c r="B1918" s="7" t="s">
        <v>7</v>
      </c>
      <c r="C1918" s="8">
        <v>1890</v>
      </c>
      <c r="D1918" s="9">
        <v>45449</v>
      </c>
      <c r="E1918" s="13">
        <f>+HYPERLINK("http://trademark.i-assist.jp/data/china/image_1890th/77433331.pdf",77433331)</f>
        <v>77433331</v>
      </c>
      <c r="F1918" s="7" t="s">
        <v>5378</v>
      </c>
      <c r="G1918" s="7" t="s">
        <v>5377</v>
      </c>
      <c r="H1918" s="7" t="s">
        <v>5379</v>
      </c>
      <c r="I1918" s="9">
        <v>45371</v>
      </c>
    </row>
    <row r="1919" spans="1:9" x14ac:dyDescent="0.15">
      <c r="A1919" s="6">
        <v>1918</v>
      </c>
      <c r="B1919" s="7" t="s">
        <v>7</v>
      </c>
      <c r="C1919" s="8">
        <v>1890</v>
      </c>
      <c r="D1919" s="9">
        <v>45449</v>
      </c>
      <c r="E1919" s="13">
        <f>+HYPERLINK("http://trademark.i-assist.jp/data/china/image_1890th/77433413.pdf",77433413)</f>
        <v>77433413</v>
      </c>
      <c r="F1919" s="7" t="s">
        <v>5381</v>
      </c>
      <c r="G1919" s="7" t="s">
        <v>5380</v>
      </c>
      <c r="H1919" s="7" t="s">
        <v>5382</v>
      </c>
      <c r="I1919" s="9">
        <v>45371</v>
      </c>
    </row>
    <row r="1920" spans="1:9" x14ac:dyDescent="0.15">
      <c r="A1920" s="6">
        <v>1919</v>
      </c>
      <c r="B1920" s="7" t="s">
        <v>7</v>
      </c>
      <c r="C1920" s="8">
        <v>1890</v>
      </c>
      <c r="D1920" s="9">
        <v>45449</v>
      </c>
      <c r="E1920" s="13">
        <f>+HYPERLINK("http://trademark.i-assist.jp/data/china/image_1890th/77433473.pdf",77433473)</f>
        <v>77433473</v>
      </c>
      <c r="F1920" s="7" t="s">
        <v>5384</v>
      </c>
      <c r="G1920" s="7" t="s">
        <v>5383</v>
      </c>
      <c r="H1920" s="7" t="s">
        <v>5385</v>
      </c>
      <c r="I1920" s="9">
        <v>45371</v>
      </c>
    </row>
    <row r="1921" spans="1:9" x14ac:dyDescent="0.15">
      <c r="A1921" s="6">
        <v>1920</v>
      </c>
      <c r="B1921" s="7" t="s">
        <v>7</v>
      </c>
      <c r="C1921" s="8">
        <v>1890</v>
      </c>
      <c r="D1921" s="9">
        <v>45449</v>
      </c>
      <c r="E1921" s="13">
        <f>+HYPERLINK("http://trademark.i-assist.jp/data/china/image_1890th/77433565.pdf",77433565)</f>
        <v>77433565</v>
      </c>
      <c r="F1921" s="7" t="s">
        <v>5387</v>
      </c>
      <c r="G1921" s="7" t="s">
        <v>5386</v>
      </c>
      <c r="H1921" s="7" t="s">
        <v>5388</v>
      </c>
      <c r="I1921" s="9">
        <v>45371</v>
      </c>
    </row>
    <row r="1922" spans="1:9" x14ac:dyDescent="0.15">
      <c r="A1922" s="6">
        <v>1921</v>
      </c>
      <c r="B1922" s="7" t="s">
        <v>7</v>
      </c>
      <c r="C1922" s="8">
        <v>1890</v>
      </c>
      <c r="D1922" s="9">
        <v>45449</v>
      </c>
      <c r="E1922" s="13">
        <f>+HYPERLINK("http://trademark.i-assist.jp/data/china/image_1890th/77433732.pdf",77433732)</f>
        <v>77433732</v>
      </c>
      <c r="F1922" s="7" t="s">
        <v>5390</v>
      </c>
      <c r="G1922" s="7" t="s">
        <v>5389</v>
      </c>
      <c r="H1922" s="7" t="s">
        <v>5391</v>
      </c>
      <c r="I1922" s="9">
        <v>45371</v>
      </c>
    </row>
    <row r="1923" spans="1:9" x14ac:dyDescent="0.15">
      <c r="A1923" s="6">
        <v>1922</v>
      </c>
      <c r="B1923" s="7" t="s">
        <v>7</v>
      </c>
      <c r="C1923" s="8">
        <v>1890</v>
      </c>
      <c r="D1923" s="9">
        <v>45449</v>
      </c>
      <c r="E1923" s="13">
        <f>+HYPERLINK("http://trademark.i-assist.jp/data/china/image_1890th/77433739.pdf",77433739)</f>
        <v>77433739</v>
      </c>
      <c r="F1923" s="7" t="s">
        <v>5393</v>
      </c>
      <c r="G1923" s="7" t="s">
        <v>5392</v>
      </c>
      <c r="H1923" s="7" t="s">
        <v>5394</v>
      </c>
      <c r="I1923" s="9">
        <v>45371</v>
      </c>
    </row>
    <row r="1924" spans="1:9" x14ac:dyDescent="0.15">
      <c r="A1924" s="6">
        <v>1923</v>
      </c>
      <c r="B1924" s="7" t="s">
        <v>7</v>
      </c>
      <c r="C1924" s="8">
        <v>1890</v>
      </c>
      <c r="D1924" s="9">
        <v>45449</v>
      </c>
      <c r="E1924" s="13">
        <f>+HYPERLINK("http://trademark.i-assist.jp/data/china/image_1890th/77433773.pdf",77433773)</f>
        <v>77433773</v>
      </c>
      <c r="F1924" s="7" t="s">
        <v>183</v>
      </c>
      <c r="G1924" s="7" t="s">
        <v>5395</v>
      </c>
      <c r="H1924" s="7" t="s">
        <v>5396</v>
      </c>
      <c r="I1924" s="9">
        <v>45371</v>
      </c>
    </row>
    <row r="1925" spans="1:9" x14ac:dyDescent="0.15">
      <c r="A1925" s="6">
        <v>1924</v>
      </c>
      <c r="B1925" s="7" t="s">
        <v>7</v>
      </c>
      <c r="C1925" s="8">
        <v>1890</v>
      </c>
      <c r="D1925" s="9">
        <v>45449</v>
      </c>
      <c r="E1925" s="13">
        <f>+HYPERLINK("http://trademark.i-assist.jp/data/china/image_1890th/77433788.pdf",77433788)</f>
        <v>77433788</v>
      </c>
      <c r="F1925" s="7" t="s">
        <v>5398</v>
      </c>
      <c r="G1925" s="7" t="s">
        <v>5397</v>
      </c>
      <c r="H1925" s="7" t="s">
        <v>5399</v>
      </c>
      <c r="I1925" s="9">
        <v>45371</v>
      </c>
    </row>
    <row r="1926" spans="1:9" x14ac:dyDescent="0.15">
      <c r="A1926" s="6">
        <v>1925</v>
      </c>
      <c r="B1926" s="7" t="s">
        <v>7</v>
      </c>
      <c r="C1926" s="8">
        <v>1890</v>
      </c>
      <c r="D1926" s="9">
        <v>45449</v>
      </c>
      <c r="E1926" s="13">
        <f>+HYPERLINK("http://trademark.i-assist.jp/data/china/image_1890th/77433869.pdf",77433869)</f>
        <v>77433869</v>
      </c>
      <c r="F1926" s="7" t="s">
        <v>5400</v>
      </c>
      <c r="G1926" s="7" t="s">
        <v>866</v>
      </c>
      <c r="H1926" s="7" t="s">
        <v>5401</v>
      </c>
      <c r="I1926" s="9">
        <v>45371</v>
      </c>
    </row>
    <row r="1927" spans="1:9" x14ac:dyDescent="0.15">
      <c r="A1927" s="6">
        <v>1926</v>
      </c>
      <c r="B1927" s="7" t="s">
        <v>7</v>
      </c>
      <c r="C1927" s="8">
        <v>1890</v>
      </c>
      <c r="D1927" s="9">
        <v>45449</v>
      </c>
      <c r="E1927" s="13">
        <f>+HYPERLINK("http://trademark.i-assist.jp/data/china/image_1890th/77434019.pdf",77434019)</f>
        <v>77434019</v>
      </c>
      <c r="F1927" s="7" t="s">
        <v>5403</v>
      </c>
      <c r="G1927" s="7" t="s">
        <v>5402</v>
      </c>
      <c r="H1927" s="7" t="s">
        <v>5404</v>
      </c>
      <c r="I1927" s="9">
        <v>45371</v>
      </c>
    </row>
    <row r="1928" spans="1:9" x14ac:dyDescent="0.15">
      <c r="A1928" s="6">
        <v>1927</v>
      </c>
      <c r="B1928" s="7" t="s">
        <v>7</v>
      </c>
      <c r="C1928" s="8">
        <v>1890</v>
      </c>
      <c r="D1928" s="9">
        <v>45449</v>
      </c>
      <c r="E1928" s="13">
        <f>+HYPERLINK("http://trademark.i-assist.jp/data/china/image_1890th/77434170.pdf",77434170)</f>
        <v>77434170</v>
      </c>
      <c r="F1928" s="7" t="s">
        <v>5406</v>
      </c>
      <c r="G1928" s="7" t="s">
        <v>5405</v>
      </c>
      <c r="H1928" s="7" t="s">
        <v>5407</v>
      </c>
      <c r="I1928" s="9">
        <v>45371</v>
      </c>
    </row>
    <row r="1929" spans="1:9" ht="27" x14ac:dyDescent="0.15">
      <c r="A1929" s="6">
        <v>1928</v>
      </c>
      <c r="B1929" s="7" t="s">
        <v>7</v>
      </c>
      <c r="C1929" s="8">
        <v>1890</v>
      </c>
      <c r="D1929" s="9">
        <v>45449</v>
      </c>
      <c r="E1929" s="13">
        <f>+HYPERLINK("http://trademark.i-assist.jp/data/china/image_1890th/77434191.pdf",77434191)</f>
        <v>77434191</v>
      </c>
      <c r="F1929" s="7" t="s">
        <v>5409</v>
      </c>
      <c r="G1929" s="7" t="s">
        <v>5408</v>
      </c>
      <c r="H1929" s="7" t="s">
        <v>5410</v>
      </c>
      <c r="I1929" s="9">
        <v>45371</v>
      </c>
    </row>
    <row r="1930" spans="1:9" ht="27" x14ac:dyDescent="0.15">
      <c r="A1930" s="6">
        <v>1929</v>
      </c>
      <c r="B1930" s="7" t="s">
        <v>7</v>
      </c>
      <c r="C1930" s="8">
        <v>1890</v>
      </c>
      <c r="D1930" s="9">
        <v>45449</v>
      </c>
      <c r="E1930" s="13">
        <f>+HYPERLINK("http://trademark.i-assist.jp/data/china/image_1890th/77434196.pdf",77434196)</f>
        <v>77434196</v>
      </c>
      <c r="F1930" s="7" t="s">
        <v>5412</v>
      </c>
      <c r="G1930" s="7" t="s">
        <v>5411</v>
      </c>
      <c r="H1930" s="7" t="s">
        <v>5413</v>
      </c>
      <c r="I1930" s="9">
        <v>45371</v>
      </c>
    </row>
    <row r="1931" spans="1:9" x14ac:dyDescent="0.15">
      <c r="A1931" s="6">
        <v>1930</v>
      </c>
      <c r="B1931" s="7" t="s">
        <v>7</v>
      </c>
      <c r="C1931" s="8">
        <v>1890</v>
      </c>
      <c r="D1931" s="9">
        <v>45449</v>
      </c>
      <c r="E1931" s="13">
        <f>+HYPERLINK("http://trademark.i-assist.jp/data/china/image_1890th/77434303.pdf",77434303)</f>
        <v>77434303</v>
      </c>
      <c r="F1931" s="7" t="s">
        <v>5415</v>
      </c>
      <c r="G1931" s="7" t="s">
        <v>5414</v>
      </c>
      <c r="H1931" s="7" t="s">
        <v>5416</v>
      </c>
      <c r="I1931" s="9">
        <v>45371</v>
      </c>
    </row>
    <row r="1932" spans="1:9" x14ac:dyDescent="0.15">
      <c r="A1932" s="6">
        <v>1931</v>
      </c>
      <c r="B1932" s="7" t="s">
        <v>7</v>
      </c>
      <c r="C1932" s="8">
        <v>1890</v>
      </c>
      <c r="D1932" s="9">
        <v>45449</v>
      </c>
      <c r="E1932" s="13">
        <f>+HYPERLINK("http://trademark.i-assist.jp/data/china/image_1890th/77434354.pdf",77434354)</f>
        <v>77434354</v>
      </c>
      <c r="F1932" s="7" t="s">
        <v>5418</v>
      </c>
      <c r="G1932" s="7" t="s">
        <v>5417</v>
      </c>
      <c r="H1932" s="7" t="s">
        <v>5419</v>
      </c>
      <c r="I1932" s="9">
        <v>45371</v>
      </c>
    </row>
    <row r="1933" spans="1:9" ht="27" x14ac:dyDescent="0.15">
      <c r="A1933" s="6">
        <v>1932</v>
      </c>
      <c r="B1933" s="7" t="s">
        <v>7</v>
      </c>
      <c r="C1933" s="8">
        <v>1890</v>
      </c>
      <c r="D1933" s="9">
        <v>45449</v>
      </c>
      <c r="E1933" s="13">
        <f>+HYPERLINK("http://trademark.i-assist.jp/data/china/image_1890th/77434386.pdf",77434386)</f>
        <v>77434386</v>
      </c>
      <c r="F1933" s="7" t="s">
        <v>5421</v>
      </c>
      <c r="G1933" s="7" t="s">
        <v>5420</v>
      </c>
      <c r="H1933" s="7" t="s">
        <v>5422</v>
      </c>
      <c r="I1933" s="9">
        <v>45371</v>
      </c>
    </row>
    <row r="1934" spans="1:9" x14ac:dyDescent="0.15">
      <c r="A1934" s="6">
        <v>1933</v>
      </c>
      <c r="B1934" s="7" t="s">
        <v>7</v>
      </c>
      <c r="C1934" s="8">
        <v>1890</v>
      </c>
      <c r="D1934" s="9">
        <v>45449</v>
      </c>
      <c r="E1934" s="13">
        <f>+HYPERLINK("http://trademark.i-assist.jp/data/china/image_1890th/77434404.pdf",77434404)</f>
        <v>77434404</v>
      </c>
      <c r="F1934" s="7" t="s">
        <v>5424</v>
      </c>
      <c r="G1934" s="7" t="s">
        <v>5423</v>
      </c>
      <c r="H1934" s="7" t="s">
        <v>5425</v>
      </c>
      <c r="I1934" s="9">
        <v>45371</v>
      </c>
    </row>
    <row r="1935" spans="1:9" x14ac:dyDescent="0.15">
      <c r="A1935" s="6">
        <v>1934</v>
      </c>
      <c r="B1935" s="7" t="s">
        <v>7</v>
      </c>
      <c r="C1935" s="8">
        <v>1890</v>
      </c>
      <c r="D1935" s="9">
        <v>45449</v>
      </c>
      <c r="E1935" s="13">
        <f>+HYPERLINK("http://trademark.i-assist.jp/data/china/image_1890th/77434740.pdf",77434740)</f>
        <v>77434740</v>
      </c>
      <c r="F1935" s="7" t="s">
        <v>183</v>
      </c>
      <c r="G1935" s="7" t="s">
        <v>5426</v>
      </c>
      <c r="H1935" s="7" t="s">
        <v>5427</v>
      </c>
      <c r="I1935" s="9">
        <v>45371</v>
      </c>
    </row>
    <row r="1936" spans="1:9" x14ac:dyDescent="0.15">
      <c r="A1936" s="6">
        <v>1935</v>
      </c>
      <c r="B1936" s="7" t="s">
        <v>7</v>
      </c>
      <c r="C1936" s="8">
        <v>1890</v>
      </c>
      <c r="D1936" s="9">
        <v>45449</v>
      </c>
      <c r="E1936" s="13">
        <f>+HYPERLINK("http://trademark.i-assist.jp/data/china/image_1890th/77436641.pdf",77436641)</f>
        <v>77436641</v>
      </c>
      <c r="F1936" s="7" t="s">
        <v>5429</v>
      </c>
      <c r="G1936" s="7" t="s">
        <v>5428</v>
      </c>
      <c r="H1936" s="7" t="s">
        <v>5430</v>
      </c>
      <c r="I1936" s="9">
        <v>45371</v>
      </c>
    </row>
    <row r="1937" spans="1:9" ht="27" x14ac:dyDescent="0.15">
      <c r="A1937" s="6">
        <v>1936</v>
      </c>
      <c r="B1937" s="7" t="s">
        <v>7</v>
      </c>
      <c r="C1937" s="8">
        <v>1890</v>
      </c>
      <c r="D1937" s="9">
        <v>45449</v>
      </c>
      <c r="E1937" s="13">
        <f>+HYPERLINK("http://trademark.i-assist.jp/data/china/image_1890th/77436726.pdf",77436726)</f>
        <v>77436726</v>
      </c>
      <c r="F1937" s="7" t="s">
        <v>5431</v>
      </c>
      <c r="G1937" s="7" t="s">
        <v>3444</v>
      </c>
      <c r="H1937" s="7" t="s">
        <v>5432</v>
      </c>
      <c r="I1937" s="9">
        <v>45371</v>
      </c>
    </row>
    <row r="1938" spans="1:9" x14ac:dyDescent="0.15">
      <c r="A1938" s="6">
        <v>1937</v>
      </c>
      <c r="B1938" s="7" t="s">
        <v>7</v>
      </c>
      <c r="C1938" s="8">
        <v>1890</v>
      </c>
      <c r="D1938" s="9">
        <v>45449</v>
      </c>
      <c r="E1938" s="13">
        <f>+HYPERLINK("http://trademark.i-assist.jp/data/china/image_1890th/77436743.pdf",77436743)</f>
        <v>77436743</v>
      </c>
      <c r="F1938" s="7" t="s">
        <v>5434</v>
      </c>
      <c r="G1938" s="7" t="s">
        <v>5433</v>
      </c>
      <c r="H1938" s="7" t="s">
        <v>5435</v>
      </c>
      <c r="I1938" s="9">
        <v>45371</v>
      </c>
    </row>
    <row r="1939" spans="1:9" x14ac:dyDescent="0.15">
      <c r="A1939" s="6">
        <v>1938</v>
      </c>
      <c r="B1939" s="7" t="s">
        <v>7</v>
      </c>
      <c r="C1939" s="8">
        <v>1890</v>
      </c>
      <c r="D1939" s="9">
        <v>45449</v>
      </c>
      <c r="E1939" s="13">
        <f>+HYPERLINK("http://trademark.i-assist.jp/data/china/image_1890th/77436762.pdf",77436762)</f>
        <v>77436762</v>
      </c>
      <c r="F1939" s="7" t="s">
        <v>5437</v>
      </c>
      <c r="G1939" s="7" t="s">
        <v>5436</v>
      </c>
      <c r="H1939" s="7" t="s">
        <v>5438</v>
      </c>
      <c r="I1939" s="9">
        <v>45371</v>
      </c>
    </row>
    <row r="1940" spans="1:9" x14ac:dyDescent="0.15">
      <c r="A1940" s="6">
        <v>1939</v>
      </c>
      <c r="B1940" s="7" t="s">
        <v>7</v>
      </c>
      <c r="C1940" s="8">
        <v>1890</v>
      </c>
      <c r="D1940" s="9">
        <v>45449</v>
      </c>
      <c r="E1940" s="13">
        <f>+HYPERLINK("http://trademark.i-assist.jp/data/china/image_1890th/77436800.pdf",77436800)</f>
        <v>77436800</v>
      </c>
      <c r="F1940" s="7" t="s">
        <v>5440</v>
      </c>
      <c r="G1940" s="7" t="s">
        <v>5439</v>
      </c>
      <c r="H1940" s="7" t="s">
        <v>5441</v>
      </c>
      <c r="I1940" s="9">
        <v>45371</v>
      </c>
    </row>
    <row r="1941" spans="1:9" x14ac:dyDescent="0.15">
      <c r="A1941" s="6">
        <v>1940</v>
      </c>
      <c r="B1941" s="7" t="s">
        <v>7</v>
      </c>
      <c r="C1941" s="8">
        <v>1890</v>
      </c>
      <c r="D1941" s="9">
        <v>45449</v>
      </c>
      <c r="E1941" s="13">
        <f>+HYPERLINK("http://trademark.i-assist.jp/data/china/image_1890th/77436810.pdf",77436810)</f>
        <v>77436810</v>
      </c>
      <c r="F1941" s="7" t="s">
        <v>5443</v>
      </c>
      <c r="G1941" s="7" t="s">
        <v>5442</v>
      </c>
      <c r="H1941" s="7" t="s">
        <v>5444</v>
      </c>
      <c r="I1941" s="9">
        <v>45371</v>
      </c>
    </row>
    <row r="1942" spans="1:9" x14ac:dyDescent="0.15">
      <c r="A1942" s="6">
        <v>1941</v>
      </c>
      <c r="B1942" s="7" t="s">
        <v>7</v>
      </c>
      <c r="C1942" s="8">
        <v>1890</v>
      </c>
      <c r="D1942" s="9">
        <v>45449</v>
      </c>
      <c r="E1942" s="13">
        <f>+HYPERLINK("http://trademark.i-assist.jp/data/china/image_1890th/77436869.pdf",77436869)</f>
        <v>77436869</v>
      </c>
      <c r="F1942" s="7" t="s">
        <v>5445</v>
      </c>
      <c r="G1942" s="7" t="s">
        <v>5389</v>
      </c>
      <c r="H1942" s="7" t="s">
        <v>5446</v>
      </c>
      <c r="I1942" s="9">
        <v>45371</v>
      </c>
    </row>
    <row r="1943" spans="1:9" x14ac:dyDescent="0.15">
      <c r="A1943" s="6">
        <v>1942</v>
      </c>
      <c r="B1943" s="7" t="s">
        <v>7</v>
      </c>
      <c r="C1943" s="8">
        <v>1890</v>
      </c>
      <c r="D1943" s="9">
        <v>45449</v>
      </c>
      <c r="E1943" s="13">
        <f>+HYPERLINK("http://trademark.i-assist.jp/data/china/image_1890th/77437064.pdf",77437064)</f>
        <v>77437064</v>
      </c>
      <c r="F1943" s="7" t="s">
        <v>5448</v>
      </c>
      <c r="G1943" s="7" t="s">
        <v>5447</v>
      </c>
      <c r="H1943" s="7" t="s">
        <v>5449</v>
      </c>
      <c r="I1943" s="9">
        <v>45371</v>
      </c>
    </row>
    <row r="1944" spans="1:9" x14ac:dyDescent="0.15">
      <c r="A1944" s="6">
        <v>1943</v>
      </c>
      <c r="B1944" s="7" t="s">
        <v>7</v>
      </c>
      <c r="C1944" s="8">
        <v>1890</v>
      </c>
      <c r="D1944" s="9">
        <v>45449</v>
      </c>
      <c r="E1944" s="13">
        <f>+HYPERLINK("http://trademark.i-assist.jp/data/china/image_1890th/77477144.pdf",77477144)</f>
        <v>77477144</v>
      </c>
      <c r="F1944" s="7" t="s">
        <v>5451</v>
      </c>
      <c r="G1944" s="7" t="s">
        <v>5450</v>
      </c>
      <c r="H1944" s="7" t="s">
        <v>5452</v>
      </c>
      <c r="I1944" s="9">
        <v>45375</v>
      </c>
    </row>
    <row r="1945" spans="1:9" x14ac:dyDescent="0.15">
      <c r="A1945" s="6">
        <v>1944</v>
      </c>
      <c r="B1945" s="7" t="s">
        <v>7</v>
      </c>
      <c r="C1945" s="8">
        <v>1890</v>
      </c>
      <c r="D1945" s="9">
        <v>45449</v>
      </c>
      <c r="E1945" s="13">
        <f>+HYPERLINK("http://trademark.i-assist.jp/data/china/image_1890th/77477159.pdf",77477159)</f>
        <v>77477159</v>
      </c>
      <c r="F1945" s="7" t="s">
        <v>5454</v>
      </c>
      <c r="G1945" s="7" t="s">
        <v>5453</v>
      </c>
      <c r="H1945" s="7" t="s">
        <v>5455</v>
      </c>
      <c r="I1945" s="9">
        <v>45375</v>
      </c>
    </row>
    <row r="1946" spans="1:9" x14ac:dyDescent="0.15">
      <c r="A1946" s="6">
        <v>1945</v>
      </c>
      <c r="B1946" s="7" t="s">
        <v>7</v>
      </c>
      <c r="C1946" s="8">
        <v>1890</v>
      </c>
      <c r="D1946" s="9">
        <v>45449</v>
      </c>
      <c r="E1946" s="13">
        <f>+HYPERLINK("http://trademark.i-assist.jp/data/china/image_1890th/77477369.pdf",77477369)</f>
        <v>77477369</v>
      </c>
      <c r="F1946" s="7" t="s">
        <v>5457</v>
      </c>
      <c r="G1946" s="7" t="s">
        <v>5456</v>
      </c>
      <c r="H1946" s="7" t="s">
        <v>5458</v>
      </c>
      <c r="I1946" s="9">
        <v>45375</v>
      </c>
    </row>
    <row r="1947" spans="1:9" x14ac:dyDescent="0.15">
      <c r="A1947" s="6">
        <v>1946</v>
      </c>
      <c r="B1947" s="7" t="s">
        <v>7</v>
      </c>
      <c r="C1947" s="8">
        <v>1890</v>
      </c>
      <c r="D1947" s="9">
        <v>45449</v>
      </c>
      <c r="E1947" s="13">
        <f>+HYPERLINK("http://trademark.i-assist.jp/data/china/image_1890th/77477402.pdf",77477402)</f>
        <v>77477402</v>
      </c>
      <c r="F1947" s="7" t="s">
        <v>5460</v>
      </c>
      <c r="G1947" s="7" t="s">
        <v>5459</v>
      </c>
      <c r="H1947" s="7" t="s">
        <v>5461</v>
      </c>
      <c r="I1947" s="9">
        <v>45375</v>
      </c>
    </row>
    <row r="1948" spans="1:9" ht="27" x14ac:dyDescent="0.15">
      <c r="A1948" s="6">
        <v>1947</v>
      </c>
      <c r="B1948" s="7" t="s">
        <v>7</v>
      </c>
      <c r="C1948" s="8">
        <v>1890</v>
      </c>
      <c r="D1948" s="9">
        <v>45449</v>
      </c>
      <c r="E1948" s="13">
        <f>+HYPERLINK("http://trademark.i-assist.jp/data/china/image_1890th/77477437.pdf",77477437)</f>
        <v>77477437</v>
      </c>
      <c r="F1948" s="7" t="s">
        <v>5463</v>
      </c>
      <c r="G1948" s="7" t="s">
        <v>5462</v>
      </c>
      <c r="H1948" s="7" t="s">
        <v>5464</v>
      </c>
      <c r="I1948" s="9">
        <v>45375</v>
      </c>
    </row>
    <row r="1949" spans="1:9" x14ac:dyDescent="0.15">
      <c r="A1949" s="6">
        <v>1948</v>
      </c>
      <c r="B1949" s="7" t="s">
        <v>7</v>
      </c>
      <c r="C1949" s="8">
        <v>1890</v>
      </c>
      <c r="D1949" s="9">
        <v>45449</v>
      </c>
      <c r="E1949" s="13">
        <f>+HYPERLINK("http://trademark.i-assist.jp/data/china/image_1890th/77477508.pdf",77477508)</f>
        <v>77477508</v>
      </c>
      <c r="F1949" s="7" t="s">
        <v>5466</v>
      </c>
      <c r="G1949" s="7" t="s">
        <v>5465</v>
      </c>
      <c r="H1949" s="7" t="s">
        <v>5467</v>
      </c>
      <c r="I1949" s="9">
        <v>45375</v>
      </c>
    </row>
    <row r="1950" spans="1:9" x14ac:dyDescent="0.15">
      <c r="A1950" s="6">
        <v>1949</v>
      </c>
      <c r="B1950" s="7" t="s">
        <v>7</v>
      </c>
      <c r="C1950" s="8">
        <v>1890</v>
      </c>
      <c r="D1950" s="9">
        <v>45449</v>
      </c>
      <c r="E1950" s="13">
        <f>+HYPERLINK("http://trademark.i-assist.jp/data/china/image_1890th/77477696.pdf",77477696)</f>
        <v>77477696</v>
      </c>
      <c r="F1950" s="7" t="s">
        <v>5469</v>
      </c>
      <c r="G1950" s="7" t="s">
        <v>5468</v>
      </c>
      <c r="H1950" s="7" t="s">
        <v>5470</v>
      </c>
      <c r="I1950" s="9">
        <v>45375</v>
      </c>
    </row>
    <row r="1951" spans="1:9" x14ac:dyDescent="0.15">
      <c r="A1951" s="6">
        <v>1950</v>
      </c>
      <c r="B1951" s="7" t="s">
        <v>7</v>
      </c>
      <c r="C1951" s="8">
        <v>1890</v>
      </c>
      <c r="D1951" s="9">
        <v>45449</v>
      </c>
      <c r="E1951" s="13">
        <f>+HYPERLINK("http://trademark.i-assist.jp/data/china/image_1890th/77477733.pdf",77477733)</f>
        <v>77477733</v>
      </c>
      <c r="F1951" s="7" t="s">
        <v>5472</v>
      </c>
      <c r="G1951" s="7" t="s">
        <v>5471</v>
      </c>
      <c r="H1951" s="7" t="s">
        <v>5473</v>
      </c>
      <c r="I1951" s="9">
        <v>45375</v>
      </c>
    </row>
    <row r="1952" spans="1:9" x14ac:dyDescent="0.15">
      <c r="A1952" s="6">
        <v>1951</v>
      </c>
      <c r="B1952" s="7" t="s">
        <v>7</v>
      </c>
      <c r="C1952" s="8">
        <v>1890</v>
      </c>
      <c r="D1952" s="9">
        <v>45449</v>
      </c>
      <c r="E1952" s="13">
        <f>+HYPERLINK("http://trademark.i-assist.jp/data/china/image_1890th/77477770.pdf",77477770)</f>
        <v>77477770</v>
      </c>
      <c r="F1952" s="7" t="s">
        <v>5474</v>
      </c>
      <c r="G1952" s="7" t="s">
        <v>5456</v>
      </c>
      <c r="H1952" s="7" t="s">
        <v>5475</v>
      </c>
      <c r="I1952" s="9">
        <v>45375</v>
      </c>
    </row>
    <row r="1953" spans="1:9" ht="27" x14ac:dyDescent="0.15">
      <c r="A1953" s="6">
        <v>1952</v>
      </c>
      <c r="B1953" s="7" t="s">
        <v>7</v>
      </c>
      <c r="C1953" s="8">
        <v>1890</v>
      </c>
      <c r="D1953" s="9">
        <v>45449</v>
      </c>
      <c r="E1953" s="13">
        <f>+HYPERLINK("http://trademark.i-assist.jp/data/china/image_1890th/77477911.pdf",77477911)</f>
        <v>77477911</v>
      </c>
      <c r="F1953" s="7" t="s">
        <v>5477</v>
      </c>
      <c r="G1953" s="7" t="s">
        <v>5476</v>
      </c>
      <c r="H1953" s="7" t="s">
        <v>5478</v>
      </c>
      <c r="I1953" s="9">
        <v>45375</v>
      </c>
    </row>
    <row r="1954" spans="1:9" x14ac:dyDescent="0.15">
      <c r="A1954" s="6">
        <v>1953</v>
      </c>
      <c r="B1954" s="7" t="s">
        <v>7</v>
      </c>
      <c r="C1954" s="8">
        <v>1890</v>
      </c>
      <c r="D1954" s="9">
        <v>45449</v>
      </c>
      <c r="E1954" s="13">
        <f>+HYPERLINK("http://trademark.i-assist.jp/data/china/image_1890th/77478011.pdf",77478011)</f>
        <v>77478011</v>
      </c>
      <c r="F1954" s="7" t="s">
        <v>5480</v>
      </c>
      <c r="G1954" s="7" t="s">
        <v>5479</v>
      </c>
      <c r="H1954" s="7" t="s">
        <v>5481</v>
      </c>
      <c r="I1954" s="9">
        <v>45375</v>
      </c>
    </row>
    <row r="1955" spans="1:9" x14ac:dyDescent="0.15">
      <c r="A1955" s="6">
        <v>1954</v>
      </c>
      <c r="B1955" s="7" t="s">
        <v>7</v>
      </c>
      <c r="C1955" s="8">
        <v>1890</v>
      </c>
      <c r="D1955" s="9">
        <v>45449</v>
      </c>
      <c r="E1955" s="13">
        <f>+HYPERLINK("http://trademark.i-assist.jp/data/china/image_1890th/77478164.pdf",77478164)</f>
        <v>77478164</v>
      </c>
      <c r="F1955" s="7" t="s">
        <v>5483</v>
      </c>
      <c r="G1955" s="7" t="s">
        <v>5482</v>
      </c>
      <c r="H1955" s="7" t="s">
        <v>5484</v>
      </c>
      <c r="I1955" s="9">
        <v>45375</v>
      </c>
    </row>
    <row r="1956" spans="1:9" x14ac:dyDescent="0.15">
      <c r="A1956" s="6">
        <v>1955</v>
      </c>
      <c r="B1956" s="7" t="s">
        <v>7</v>
      </c>
      <c r="C1956" s="8">
        <v>1890</v>
      </c>
      <c r="D1956" s="9">
        <v>45449</v>
      </c>
      <c r="E1956" s="13">
        <f>+HYPERLINK("http://trademark.i-assist.jp/data/china/image_1890th/77478211.pdf",77478211)</f>
        <v>77478211</v>
      </c>
      <c r="F1956" s="7" t="s">
        <v>5486</v>
      </c>
      <c r="G1956" s="7" t="s">
        <v>5485</v>
      </c>
      <c r="H1956" s="7" t="s">
        <v>5487</v>
      </c>
      <c r="I1956" s="9">
        <v>45375</v>
      </c>
    </row>
    <row r="1957" spans="1:9" x14ac:dyDescent="0.15">
      <c r="A1957" s="6">
        <v>1956</v>
      </c>
      <c r="B1957" s="7" t="s">
        <v>7</v>
      </c>
      <c r="C1957" s="8">
        <v>1890</v>
      </c>
      <c r="D1957" s="9">
        <v>45449</v>
      </c>
      <c r="E1957" s="13">
        <f>+HYPERLINK("http://trademark.i-assist.jp/data/china/image_1890th/77478270.pdf",77478270)</f>
        <v>77478270</v>
      </c>
      <c r="F1957" s="7" t="s">
        <v>5489</v>
      </c>
      <c r="G1957" s="7" t="s">
        <v>5488</v>
      </c>
      <c r="H1957" s="7" t="s">
        <v>5490</v>
      </c>
      <c r="I1957" s="9">
        <v>45375</v>
      </c>
    </row>
    <row r="1958" spans="1:9" x14ac:dyDescent="0.15">
      <c r="A1958" s="6">
        <v>1957</v>
      </c>
      <c r="B1958" s="7" t="s">
        <v>7</v>
      </c>
      <c r="C1958" s="8">
        <v>1890</v>
      </c>
      <c r="D1958" s="9">
        <v>45449</v>
      </c>
      <c r="E1958" s="13">
        <f>+HYPERLINK("http://trademark.i-assist.jp/data/china/image_1890th/77478412.pdf",77478412)</f>
        <v>77478412</v>
      </c>
      <c r="F1958" s="7" t="s">
        <v>5492</v>
      </c>
      <c r="G1958" s="7" t="s">
        <v>5491</v>
      </c>
      <c r="H1958" s="7" t="s">
        <v>5493</v>
      </c>
      <c r="I1958" s="9">
        <v>45375</v>
      </c>
    </row>
    <row r="1959" spans="1:9" ht="27" x14ac:dyDescent="0.15">
      <c r="A1959" s="6">
        <v>1958</v>
      </c>
      <c r="B1959" s="7" t="s">
        <v>7</v>
      </c>
      <c r="C1959" s="8">
        <v>1890</v>
      </c>
      <c r="D1959" s="9">
        <v>45449</v>
      </c>
      <c r="E1959" s="13">
        <f>+HYPERLINK("http://trademark.i-assist.jp/data/china/image_1890th/77241599.pdf",77241599)</f>
        <v>77241599</v>
      </c>
      <c r="F1959" s="7" t="s">
        <v>5495</v>
      </c>
      <c r="G1959" s="7" t="s">
        <v>5494</v>
      </c>
      <c r="H1959" s="7" t="s">
        <v>5496</v>
      </c>
      <c r="I1959" s="9">
        <v>45363</v>
      </c>
    </row>
    <row r="1960" spans="1:9" x14ac:dyDescent="0.15">
      <c r="A1960" s="6">
        <v>1959</v>
      </c>
      <c r="B1960" s="7" t="s">
        <v>7</v>
      </c>
      <c r="C1960" s="8">
        <v>1890</v>
      </c>
      <c r="D1960" s="9">
        <v>45449</v>
      </c>
      <c r="E1960" s="13">
        <f>+HYPERLINK("http://trademark.i-assist.jp/data/china/image_1890th/77241650.pdf",77241650)</f>
        <v>77241650</v>
      </c>
      <c r="F1960" s="7" t="s">
        <v>5498</v>
      </c>
      <c r="G1960" s="7" t="s">
        <v>5497</v>
      </c>
      <c r="H1960" s="7" t="s">
        <v>5499</v>
      </c>
      <c r="I1960" s="9">
        <v>45363</v>
      </c>
    </row>
    <row r="1961" spans="1:9" x14ac:dyDescent="0.15">
      <c r="A1961" s="6">
        <v>1960</v>
      </c>
      <c r="B1961" s="7" t="s">
        <v>7</v>
      </c>
      <c r="C1961" s="8">
        <v>1890</v>
      </c>
      <c r="D1961" s="9">
        <v>45449</v>
      </c>
      <c r="E1961" s="13">
        <f>+HYPERLINK("http://trademark.i-assist.jp/data/china/image_1890th/77242008.pdf",77242008)</f>
        <v>77242008</v>
      </c>
      <c r="F1961" s="7" t="s">
        <v>5501</v>
      </c>
      <c r="G1961" s="7" t="s">
        <v>5500</v>
      </c>
      <c r="H1961" s="7" t="s">
        <v>5502</v>
      </c>
      <c r="I1961" s="9">
        <v>45363</v>
      </c>
    </row>
    <row r="1962" spans="1:9" x14ac:dyDescent="0.15">
      <c r="A1962" s="6">
        <v>1961</v>
      </c>
      <c r="B1962" s="7" t="s">
        <v>7</v>
      </c>
      <c r="C1962" s="8">
        <v>1890</v>
      </c>
      <c r="D1962" s="9">
        <v>45449</v>
      </c>
      <c r="E1962" s="13">
        <f>+HYPERLINK("http://trademark.i-assist.jp/data/china/image_1890th/77242197.pdf",77242197)</f>
        <v>77242197</v>
      </c>
      <c r="F1962" s="7" t="s">
        <v>5504</v>
      </c>
      <c r="G1962" s="7" t="s">
        <v>5503</v>
      </c>
      <c r="H1962" s="7" t="s">
        <v>5505</v>
      </c>
      <c r="I1962" s="9">
        <v>45363</v>
      </c>
    </row>
    <row r="1963" spans="1:9" x14ac:dyDescent="0.15">
      <c r="A1963" s="6">
        <v>1962</v>
      </c>
      <c r="B1963" s="7" t="s">
        <v>7</v>
      </c>
      <c r="C1963" s="8">
        <v>1890</v>
      </c>
      <c r="D1963" s="9">
        <v>45449</v>
      </c>
      <c r="E1963" s="13">
        <f>+HYPERLINK("http://trademark.i-assist.jp/data/china/image_1890th/77242251.pdf",77242251)</f>
        <v>77242251</v>
      </c>
      <c r="F1963" s="7" t="s">
        <v>5506</v>
      </c>
      <c r="G1963" s="7" t="s">
        <v>41</v>
      </c>
      <c r="H1963" s="7" t="s">
        <v>5507</v>
      </c>
      <c r="I1963" s="9">
        <v>45363</v>
      </c>
    </row>
    <row r="1964" spans="1:9" x14ac:dyDescent="0.15">
      <c r="A1964" s="6">
        <v>1963</v>
      </c>
      <c r="B1964" s="7" t="s">
        <v>7</v>
      </c>
      <c r="C1964" s="8">
        <v>1890</v>
      </c>
      <c r="D1964" s="9">
        <v>45449</v>
      </c>
      <c r="E1964" s="13">
        <f>+HYPERLINK("http://trademark.i-assist.jp/data/china/image_1890th/77242383.pdf",77242383)</f>
        <v>77242383</v>
      </c>
      <c r="F1964" s="7" t="s">
        <v>5509</v>
      </c>
      <c r="G1964" s="7" t="s">
        <v>5508</v>
      </c>
      <c r="H1964" s="7" t="s">
        <v>5510</v>
      </c>
      <c r="I1964" s="9">
        <v>45363</v>
      </c>
    </row>
    <row r="1965" spans="1:9" x14ac:dyDescent="0.15">
      <c r="A1965" s="6">
        <v>1964</v>
      </c>
      <c r="B1965" s="7" t="s">
        <v>7</v>
      </c>
      <c r="C1965" s="8">
        <v>1890</v>
      </c>
      <c r="D1965" s="9">
        <v>45449</v>
      </c>
      <c r="E1965" s="13">
        <f>+HYPERLINK("http://trademark.i-assist.jp/data/china/image_1890th/77242558.pdf",77242558)</f>
        <v>77242558</v>
      </c>
      <c r="F1965" s="7" t="s">
        <v>5512</v>
      </c>
      <c r="G1965" s="7" t="s">
        <v>5511</v>
      </c>
      <c r="H1965" s="7" t="s">
        <v>5513</v>
      </c>
      <c r="I1965" s="9">
        <v>45363</v>
      </c>
    </row>
    <row r="1966" spans="1:9" x14ac:dyDescent="0.15">
      <c r="A1966" s="6">
        <v>1965</v>
      </c>
      <c r="B1966" s="7" t="s">
        <v>7</v>
      </c>
      <c r="C1966" s="8">
        <v>1890</v>
      </c>
      <c r="D1966" s="9">
        <v>45449</v>
      </c>
      <c r="E1966" s="13">
        <f>+HYPERLINK("http://trademark.i-assist.jp/data/china/image_1890th/77242750.pdf",77242750)</f>
        <v>77242750</v>
      </c>
      <c r="F1966" s="7" t="s">
        <v>5515</v>
      </c>
      <c r="G1966" s="7" t="s">
        <v>5514</v>
      </c>
      <c r="H1966" s="7" t="s">
        <v>5516</v>
      </c>
      <c r="I1966" s="9">
        <v>45363</v>
      </c>
    </row>
    <row r="1967" spans="1:9" x14ac:dyDescent="0.15">
      <c r="A1967" s="6">
        <v>1966</v>
      </c>
      <c r="B1967" s="7" t="s">
        <v>7</v>
      </c>
      <c r="C1967" s="8">
        <v>1890</v>
      </c>
      <c r="D1967" s="9">
        <v>45449</v>
      </c>
      <c r="E1967" s="13">
        <f>+HYPERLINK("http://trademark.i-assist.jp/data/china/image_1890th/77243331.pdf",77243331)</f>
        <v>77243331</v>
      </c>
      <c r="F1967" s="7" t="s">
        <v>5518</v>
      </c>
      <c r="G1967" s="7" t="s">
        <v>5517</v>
      </c>
      <c r="H1967" s="7" t="s">
        <v>5519</v>
      </c>
      <c r="I1967" s="9">
        <v>45363</v>
      </c>
    </row>
    <row r="1968" spans="1:9" ht="27" x14ac:dyDescent="0.15">
      <c r="A1968" s="6">
        <v>1967</v>
      </c>
      <c r="B1968" s="7" t="s">
        <v>7</v>
      </c>
      <c r="C1968" s="8">
        <v>1890</v>
      </c>
      <c r="D1968" s="9">
        <v>45449</v>
      </c>
      <c r="E1968" s="13">
        <f>+HYPERLINK("http://trademark.i-assist.jp/data/china/image_1890th/77243457.pdf",77243457)</f>
        <v>77243457</v>
      </c>
      <c r="F1968" s="7" t="s">
        <v>5520</v>
      </c>
      <c r="G1968" s="7" t="s">
        <v>3953</v>
      </c>
      <c r="H1968" s="7" t="s">
        <v>5521</v>
      </c>
      <c r="I1968" s="9">
        <v>45363</v>
      </c>
    </row>
    <row r="1969" spans="1:9" x14ac:dyDescent="0.15">
      <c r="A1969" s="6">
        <v>1968</v>
      </c>
      <c r="B1969" s="7" t="s">
        <v>7</v>
      </c>
      <c r="C1969" s="8">
        <v>1890</v>
      </c>
      <c r="D1969" s="9">
        <v>45449</v>
      </c>
      <c r="E1969" s="13">
        <f>+HYPERLINK("http://trademark.i-assist.jp/data/china/image_1890th/77243564.pdf",77243564)</f>
        <v>77243564</v>
      </c>
      <c r="F1969" s="7" t="s">
        <v>5522</v>
      </c>
      <c r="G1969" s="7" t="s">
        <v>5095</v>
      </c>
      <c r="H1969" s="7" t="s">
        <v>5523</v>
      </c>
      <c r="I1969" s="9">
        <v>45363</v>
      </c>
    </row>
    <row r="1970" spans="1:9" x14ac:dyDescent="0.15">
      <c r="A1970" s="6">
        <v>1969</v>
      </c>
      <c r="B1970" s="7" t="s">
        <v>7</v>
      </c>
      <c r="C1970" s="8">
        <v>1890</v>
      </c>
      <c r="D1970" s="9">
        <v>45449</v>
      </c>
      <c r="E1970" s="13">
        <f>+HYPERLINK("http://trademark.i-assist.jp/data/china/image_1890th/77243883.pdf",77243883)</f>
        <v>77243883</v>
      </c>
      <c r="F1970" s="7" t="s">
        <v>5525</v>
      </c>
      <c r="G1970" s="7" t="s">
        <v>5524</v>
      </c>
      <c r="H1970" s="7" t="s">
        <v>5526</v>
      </c>
      <c r="I1970" s="9">
        <v>45363</v>
      </c>
    </row>
    <row r="1971" spans="1:9" x14ac:dyDescent="0.15">
      <c r="A1971" s="6">
        <v>1970</v>
      </c>
      <c r="B1971" s="7" t="s">
        <v>7</v>
      </c>
      <c r="C1971" s="8">
        <v>1890</v>
      </c>
      <c r="D1971" s="9">
        <v>45449</v>
      </c>
      <c r="E1971" s="13">
        <f>+HYPERLINK("http://trademark.i-assist.jp/data/china/image_1890th/77244210.pdf",77244210)</f>
        <v>77244210</v>
      </c>
      <c r="F1971" s="7" t="s">
        <v>5528</v>
      </c>
      <c r="G1971" s="7" t="s">
        <v>5527</v>
      </c>
      <c r="H1971" s="7" t="s">
        <v>5529</v>
      </c>
      <c r="I1971" s="9">
        <v>45363</v>
      </c>
    </row>
    <row r="1972" spans="1:9" x14ac:dyDescent="0.15">
      <c r="A1972" s="6">
        <v>1971</v>
      </c>
      <c r="B1972" s="7" t="s">
        <v>7</v>
      </c>
      <c r="C1972" s="8">
        <v>1890</v>
      </c>
      <c r="D1972" s="9">
        <v>45449</v>
      </c>
      <c r="E1972" s="13">
        <f>+HYPERLINK("http://trademark.i-assist.jp/data/china/image_1890th/77244389.pdf",77244389)</f>
        <v>77244389</v>
      </c>
      <c r="F1972" s="7" t="s">
        <v>5530</v>
      </c>
      <c r="G1972" s="7" t="s">
        <v>4475</v>
      </c>
      <c r="H1972" s="7" t="s">
        <v>5531</v>
      </c>
      <c r="I1972" s="9">
        <v>45363</v>
      </c>
    </row>
    <row r="1973" spans="1:9" x14ac:dyDescent="0.15">
      <c r="A1973" s="6">
        <v>1972</v>
      </c>
      <c r="B1973" s="7" t="s">
        <v>7</v>
      </c>
      <c r="C1973" s="8">
        <v>1890</v>
      </c>
      <c r="D1973" s="9">
        <v>45449</v>
      </c>
      <c r="E1973" s="13">
        <f>+HYPERLINK("http://trademark.i-assist.jp/data/china/image_1890th/77244657.pdf",77244657)</f>
        <v>77244657</v>
      </c>
      <c r="F1973" s="7" t="s">
        <v>5533</v>
      </c>
      <c r="G1973" s="7" t="s">
        <v>5532</v>
      </c>
      <c r="H1973" s="7" t="s">
        <v>5534</v>
      </c>
      <c r="I1973" s="9">
        <v>45363</v>
      </c>
    </row>
    <row r="1974" spans="1:9" x14ac:dyDescent="0.15">
      <c r="A1974" s="6">
        <v>1973</v>
      </c>
      <c r="B1974" s="7" t="s">
        <v>7</v>
      </c>
      <c r="C1974" s="8">
        <v>1890</v>
      </c>
      <c r="D1974" s="9">
        <v>45449</v>
      </c>
      <c r="E1974" s="13">
        <f>+HYPERLINK("http://trademark.i-assist.jp/data/china/image_1890th/77244857.pdf",77244857)</f>
        <v>77244857</v>
      </c>
      <c r="F1974" s="7" t="s">
        <v>5536</v>
      </c>
      <c r="G1974" s="7" t="s">
        <v>5535</v>
      </c>
      <c r="H1974" s="7" t="s">
        <v>5537</v>
      </c>
      <c r="I1974" s="9">
        <v>45363</v>
      </c>
    </row>
    <row r="1975" spans="1:9" x14ac:dyDescent="0.15">
      <c r="A1975" s="6">
        <v>1974</v>
      </c>
      <c r="B1975" s="7" t="s">
        <v>7</v>
      </c>
      <c r="C1975" s="8">
        <v>1890</v>
      </c>
      <c r="D1975" s="9">
        <v>45449</v>
      </c>
      <c r="E1975" s="13">
        <f>+HYPERLINK("http://trademark.i-assist.jp/data/china/image_1890th/77244935.pdf",77244935)</f>
        <v>77244935</v>
      </c>
      <c r="F1975" s="7" t="s">
        <v>5539</v>
      </c>
      <c r="G1975" s="7" t="s">
        <v>5538</v>
      </c>
      <c r="H1975" s="7" t="s">
        <v>5540</v>
      </c>
      <c r="I1975" s="9">
        <v>45363</v>
      </c>
    </row>
    <row r="1976" spans="1:9" x14ac:dyDescent="0.15">
      <c r="A1976" s="6">
        <v>1975</v>
      </c>
      <c r="B1976" s="7" t="s">
        <v>7</v>
      </c>
      <c r="C1976" s="8">
        <v>1890</v>
      </c>
      <c r="D1976" s="9">
        <v>45449</v>
      </c>
      <c r="E1976" s="13">
        <f>+HYPERLINK("http://trademark.i-assist.jp/data/china/image_1890th/77245107.pdf",77245107)</f>
        <v>77245107</v>
      </c>
      <c r="F1976" s="7" t="s">
        <v>5542</v>
      </c>
      <c r="G1976" s="7" t="s">
        <v>5541</v>
      </c>
      <c r="H1976" s="7" t="s">
        <v>5543</v>
      </c>
      <c r="I1976" s="9">
        <v>45363</v>
      </c>
    </row>
    <row r="1977" spans="1:9" x14ac:dyDescent="0.15">
      <c r="A1977" s="6">
        <v>1976</v>
      </c>
      <c r="B1977" s="7" t="s">
        <v>7</v>
      </c>
      <c r="C1977" s="8">
        <v>1890</v>
      </c>
      <c r="D1977" s="9">
        <v>45449</v>
      </c>
      <c r="E1977" s="13">
        <f>+HYPERLINK("http://trademark.i-assist.jp/data/china/image_1890th/77245208.pdf",77245208)</f>
        <v>77245208</v>
      </c>
      <c r="F1977" s="7" t="s">
        <v>5545</v>
      </c>
      <c r="G1977" s="7" t="s">
        <v>5544</v>
      </c>
      <c r="H1977" s="7" t="s">
        <v>5546</v>
      </c>
      <c r="I1977" s="9">
        <v>45363</v>
      </c>
    </row>
    <row r="1978" spans="1:9" x14ac:dyDescent="0.15">
      <c r="A1978" s="6">
        <v>1977</v>
      </c>
      <c r="B1978" s="7" t="s">
        <v>7</v>
      </c>
      <c r="C1978" s="8">
        <v>1890</v>
      </c>
      <c r="D1978" s="9">
        <v>45449</v>
      </c>
      <c r="E1978" s="13">
        <f>+HYPERLINK("http://trademark.i-assist.jp/data/china/image_1890th/77245389.pdf",77245389)</f>
        <v>77245389</v>
      </c>
      <c r="F1978" s="7" t="s">
        <v>5548</v>
      </c>
      <c r="G1978" s="7" t="s">
        <v>5547</v>
      </c>
      <c r="H1978" s="7" t="s">
        <v>5549</v>
      </c>
      <c r="I1978" s="9">
        <v>45363</v>
      </c>
    </row>
    <row r="1979" spans="1:9" ht="27" x14ac:dyDescent="0.15">
      <c r="A1979" s="6">
        <v>1978</v>
      </c>
      <c r="B1979" s="7" t="s">
        <v>7</v>
      </c>
      <c r="C1979" s="8">
        <v>1890</v>
      </c>
      <c r="D1979" s="9">
        <v>45449</v>
      </c>
      <c r="E1979" s="13">
        <f>+HYPERLINK("http://trademark.i-assist.jp/data/china/image_1890th/77245394.pdf",77245394)</f>
        <v>77245394</v>
      </c>
      <c r="F1979" s="7" t="s">
        <v>5551</v>
      </c>
      <c r="G1979" s="7" t="s">
        <v>5550</v>
      </c>
      <c r="H1979" s="7" t="s">
        <v>5552</v>
      </c>
      <c r="I1979" s="9">
        <v>45363</v>
      </c>
    </row>
    <row r="1980" spans="1:9" x14ac:dyDescent="0.15">
      <c r="A1980" s="6">
        <v>1979</v>
      </c>
      <c r="B1980" s="7" t="s">
        <v>7</v>
      </c>
      <c r="C1980" s="8">
        <v>1890</v>
      </c>
      <c r="D1980" s="9">
        <v>45449</v>
      </c>
      <c r="E1980" s="13">
        <f>+HYPERLINK("http://trademark.i-assist.jp/data/china/image_1890th/77245399.pdf",77245399)</f>
        <v>77245399</v>
      </c>
      <c r="F1980" s="7" t="s">
        <v>5554</v>
      </c>
      <c r="G1980" s="7" t="s">
        <v>5553</v>
      </c>
      <c r="H1980" s="7" t="s">
        <v>5555</v>
      </c>
      <c r="I1980" s="9">
        <v>45363</v>
      </c>
    </row>
    <row r="1981" spans="1:9" x14ac:dyDescent="0.15">
      <c r="A1981" s="6">
        <v>1980</v>
      </c>
      <c r="B1981" s="7" t="s">
        <v>7</v>
      </c>
      <c r="C1981" s="8">
        <v>1890</v>
      </c>
      <c r="D1981" s="9">
        <v>45449</v>
      </c>
      <c r="E1981" s="13">
        <f>+HYPERLINK("http://trademark.i-assist.jp/data/china/image_1890th/77245404.pdf",77245404)</f>
        <v>77245404</v>
      </c>
      <c r="F1981" s="7" t="s">
        <v>5557</v>
      </c>
      <c r="G1981" s="7" t="s">
        <v>5556</v>
      </c>
      <c r="H1981" s="7" t="s">
        <v>5558</v>
      </c>
      <c r="I1981" s="9">
        <v>45363</v>
      </c>
    </row>
    <row r="1982" spans="1:9" x14ac:dyDescent="0.15">
      <c r="A1982" s="6">
        <v>1981</v>
      </c>
      <c r="B1982" s="7" t="s">
        <v>7</v>
      </c>
      <c r="C1982" s="8">
        <v>1890</v>
      </c>
      <c r="D1982" s="9">
        <v>45449</v>
      </c>
      <c r="E1982" s="13">
        <f>+HYPERLINK("http://trademark.i-assist.jp/data/china/image_1890th/77245517.pdf",77245517)</f>
        <v>77245517</v>
      </c>
      <c r="F1982" s="7" t="s">
        <v>5560</v>
      </c>
      <c r="G1982" s="7" t="s">
        <v>5559</v>
      </c>
      <c r="H1982" s="7" t="s">
        <v>5561</v>
      </c>
      <c r="I1982" s="9">
        <v>45363</v>
      </c>
    </row>
    <row r="1983" spans="1:9" x14ac:dyDescent="0.15">
      <c r="A1983" s="6">
        <v>1982</v>
      </c>
      <c r="B1983" s="7" t="s">
        <v>7</v>
      </c>
      <c r="C1983" s="8">
        <v>1890</v>
      </c>
      <c r="D1983" s="9">
        <v>45449</v>
      </c>
      <c r="E1983" s="13">
        <f>+HYPERLINK("http://trademark.i-assist.jp/data/china/image_1890th/77245636.pdf",77245636)</f>
        <v>77245636</v>
      </c>
      <c r="F1983" s="7" t="s">
        <v>5562</v>
      </c>
      <c r="G1983" s="7" t="s">
        <v>38</v>
      </c>
      <c r="H1983" s="7" t="s">
        <v>5563</v>
      </c>
      <c r="I1983" s="9">
        <v>45363</v>
      </c>
    </row>
    <row r="1984" spans="1:9" x14ac:dyDescent="0.15">
      <c r="A1984" s="6">
        <v>1983</v>
      </c>
      <c r="B1984" s="7" t="s">
        <v>7</v>
      </c>
      <c r="C1984" s="8">
        <v>1890</v>
      </c>
      <c r="D1984" s="9">
        <v>45449</v>
      </c>
      <c r="E1984" s="13">
        <f>+HYPERLINK("http://trademark.i-assist.jp/data/china/image_1890th/77245677.pdf",77245677)</f>
        <v>77245677</v>
      </c>
      <c r="F1984" s="7" t="s">
        <v>5565</v>
      </c>
      <c r="G1984" s="7" t="s">
        <v>5564</v>
      </c>
      <c r="H1984" s="7" t="s">
        <v>5566</v>
      </c>
      <c r="I1984" s="9">
        <v>45363</v>
      </c>
    </row>
    <row r="1985" spans="1:9" ht="27" x14ac:dyDescent="0.15">
      <c r="A1985" s="6">
        <v>1984</v>
      </c>
      <c r="B1985" s="7" t="s">
        <v>7</v>
      </c>
      <c r="C1985" s="8">
        <v>1890</v>
      </c>
      <c r="D1985" s="9">
        <v>45449</v>
      </c>
      <c r="E1985" s="13">
        <f>+HYPERLINK("http://trademark.i-assist.jp/data/china/image_1890th/77245692.pdf",77245692)</f>
        <v>77245692</v>
      </c>
      <c r="F1985" s="7" t="s">
        <v>5568</v>
      </c>
      <c r="G1985" s="7" t="s">
        <v>5567</v>
      </c>
      <c r="H1985" s="7" t="s">
        <v>5569</v>
      </c>
      <c r="I1985" s="9">
        <v>45363</v>
      </c>
    </row>
    <row r="1986" spans="1:9" x14ac:dyDescent="0.15">
      <c r="A1986" s="6">
        <v>1985</v>
      </c>
      <c r="B1986" s="7" t="s">
        <v>7</v>
      </c>
      <c r="C1986" s="8">
        <v>1890</v>
      </c>
      <c r="D1986" s="9">
        <v>45449</v>
      </c>
      <c r="E1986" s="13">
        <f>+HYPERLINK("http://trademark.i-assist.jp/data/china/image_1890th/77245721.pdf",77245721)</f>
        <v>77245721</v>
      </c>
      <c r="F1986" s="7" t="s">
        <v>5570</v>
      </c>
      <c r="G1986" s="7" t="s">
        <v>3950</v>
      </c>
      <c r="H1986" s="7" t="s">
        <v>5571</v>
      </c>
      <c r="I1986" s="9">
        <v>45363</v>
      </c>
    </row>
    <row r="1987" spans="1:9" x14ac:dyDescent="0.15">
      <c r="A1987" s="6">
        <v>1986</v>
      </c>
      <c r="B1987" s="7" t="s">
        <v>7</v>
      </c>
      <c r="C1987" s="8">
        <v>1890</v>
      </c>
      <c r="D1987" s="9">
        <v>45449</v>
      </c>
      <c r="E1987" s="13">
        <f>+HYPERLINK("http://trademark.i-assist.jp/data/china/image_1890th/77246258.pdf",77246258)</f>
        <v>77246258</v>
      </c>
      <c r="F1987" s="7" t="s">
        <v>5572</v>
      </c>
      <c r="G1987" s="7" t="s">
        <v>5572</v>
      </c>
      <c r="H1987" s="7" t="s">
        <v>5573</v>
      </c>
      <c r="I1987" s="9">
        <v>45363</v>
      </c>
    </row>
    <row r="1988" spans="1:9" x14ac:dyDescent="0.15">
      <c r="A1988" s="6">
        <v>1987</v>
      </c>
      <c r="B1988" s="7" t="s">
        <v>7</v>
      </c>
      <c r="C1988" s="8">
        <v>1890</v>
      </c>
      <c r="D1988" s="9">
        <v>45449</v>
      </c>
      <c r="E1988" s="13">
        <f>+HYPERLINK("http://trademark.i-assist.jp/data/china/image_1890th/77246286.pdf",77246286)</f>
        <v>77246286</v>
      </c>
      <c r="F1988" s="7" t="s">
        <v>5575</v>
      </c>
      <c r="G1988" s="7" t="s">
        <v>5574</v>
      </c>
      <c r="H1988" s="7" t="s">
        <v>5576</v>
      </c>
      <c r="I1988" s="9">
        <v>45363</v>
      </c>
    </row>
    <row r="1989" spans="1:9" x14ac:dyDescent="0.15">
      <c r="A1989" s="6">
        <v>1988</v>
      </c>
      <c r="B1989" s="7" t="s">
        <v>7</v>
      </c>
      <c r="C1989" s="8">
        <v>1890</v>
      </c>
      <c r="D1989" s="9">
        <v>45449</v>
      </c>
      <c r="E1989" s="13">
        <f>+HYPERLINK("http://trademark.i-assist.jp/data/china/image_1890th/77246525.pdf",77246525)</f>
        <v>77246525</v>
      </c>
      <c r="F1989" s="7" t="s">
        <v>5577</v>
      </c>
      <c r="G1989" s="7" t="s">
        <v>905</v>
      </c>
      <c r="H1989" s="7" t="s">
        <v>5578</v>
      </c>
      <c r="I1989" s="9">
        <v>45363</v>
      </c>
    </row>
    <row r="1990" spans="1:9" x14ac:dyDescent="0.15">
      <c r="A1990" s="6">
        <v>1989</v>
      </c>
      <c r="B1990" s="7" t="s">
        <v>7</v>
      </c>
      <c r="C1990" s="8">
        <v>1890</v>
      </c>
      <c r="D1990" s="9">
        <v>45449</v>
      </c>
      <c r="E1990" s="13">
        <f>+HYPERLINK("http://trademark.i-assist.jp/data/china/image_1890th/77246529.pdf",77246529)</f>
        <v>77246529</v>
      </c>
      <c r="F1990" s="7" t="s">
        <v>5580</v>
      </c>
      <c r="G1990" s="7" t="s">
        <v>5579</v>
      </c>
      <c r="H1990" s="7" t="s">
        <v>5581</v>
      </c>
      <c r="I1990" s="9">
        <v>45363</v>
      </c>
    </row>
    <row r="1991" spans="1:9" x14ac:dyDescent="0.15">
      <c r="A1991" s="6">
        <v>1990</v>
      </c>
      <c r="B1991" s="7" t="s">
        <v>7</v>
      </c>
      <c r="C1991" s="8">
        <v>1890</v>
      </c>
      <c r="D1991" s="9">
        <v>45449</v>
      </c>
      <c r="E1991" s="13">
        <f>+HYPERLINK("http://trademark.i-assist.jp/data/china/image_1890th/77246743.pdf",77246743)</f>
        <v>77246743</v>
      </c>
      <c r="F1991" s="7" t="s">
        <v>5583</v>
      </c>
      <c r="G1991" s="7" t="s">
        <v>5582</v>
      </c>
      <c r="H1991" s="7" t="s">
        <v>5584</v>
      </c>
      <c r="I1991" s="9">
        <v>45363</v>
      </c>
    </row>
    <row r="1992" spans="1:9" x14ac:dyDescent="0.15">
      <c r="A1992" s="6">
        <v>1991</v>
      </c>
      <c r="B1992" s="7" t="s">
        <v>7</v>
      </c>
      <c r="C1992" s="8">
        <v>1890</v>
      </c>
      <c r="D1992" s="9">
        <v>45449</v>
      </c>
      <c r="E1992" s="13">
        <f>+HYPERLINK("http://trademark.i-assist.jp/data/china/image_1890th/77246988.pdf",77246988)</f>
        <v>77246988</v>
      </c>
      <c r="F1992" s="7" t="s">
        <v>5586</v>
      </c>
      <c r="G1992" s="7" t="s">
        <v>5585</v>
      </c>
      <c r="H1992" s="7" t="s">
        <v>5587</v>
      </c>
      <c r="I1992" s="9">
        <v>45363</v>
      </c>
    </row>
    <row r="1993" spans="1:9" x14ac:dyDescent="0.15">
      <c r="A1993" s="6">
        <v>1992</v>
      </c>
      <c r="B1993" s="7" t="s">
        <v>7</v>
      </c>
      <c r="C1993" s="8">
        <v>1890</v>
      </c>
      <c r="D1993" s="9">
        <v>45449</v>
      </c>
      <c r="E1993" s="13">
        <f>+HYPERLINK("http://trademark.i-assist.jp/data/china/image_1890th/77246996.pdf",77246996)</f>
        <v>77246996</v>
      </c>
      <c r="F1993" s="7" t="s">
        <v>5589</v>
      </c>
      <c r="G1993" s="7" t="s">
        <v>5588</v>
      </c>
      <c r="H1993" s="7" t="s">
        <v>5590</v>
      </c>
      <c r="I1993" s="9">
        <v>45363</v>
      </c>
    </row>
    <row r="1994" spans="1:9" x14ac:dyDescent="0.15">
      <c r="A1994" s="6">
        <v>1993</v>
      </c>
      <c r="B1994" s="7" t="s">
        <v>7</v>
      </c>
      <c r="C1994" s="8">
        <v>1890</v>
      </c>
      <c r="D1994" s="9">
        <v>45449</v>
      </c>
      <c r="E1994" s="13">
        <f>+HYPERLINK("http://trademark.i-assist.jp/data/china/image_1890th/77247106.pdf",77247106)</f>
        <v>77247106</v>
      </c>
      <c r="F1994" s="7" t="s">
        <v>5591</v>
      </c>
      <c r="G1994" s="7" t="s">
        <v>3972</v>
      </c>
      <c r="H1994" s="7" t="s">
        <v>5592</v>
      </c>
      <c r="I1994" s="9">
        <v>45363</v>
      </c>
    </row>
    <row r="1995" spans="1:9" x14ac:dyDescent="0.15">
      <c r="A1995" s="6">
        <v>1994</v>
      </c>
      <c r="B1995" s="7" t="s">
        <v>7</v>
      </c>
      <c r="C1995" s="8">
        <v>1890</v>
      </c>
      <c r="D1995" s="9">
        <v>45449</v>
      </c>
      <c r="E1995" s="13">
        <f>+HYPERLINK("http://trademark.i-assist.jp/data/china/image_1890th/77247274.pdf",77247274)</f>
        <v>77247274</v>
      </c>
      <c r="F1995" s="7" t="s">
        <v>5594</v>
      </c>
      <c r="G1995" s="7" t="s">
        <v>5593</v>
      </c>
      <c r="H1995" s="7" t="s">
        <v>5595</v>
      </c>
      <c r="I1995" s="9">
        <v>45363</v>
      </c>
    </row>
    <row r="1996" spans="1:9" x14ac:dyDescent="0.15">
      <c r="A1996" s="6">
        <v>1995</v>
      </c>
      <c r="B1996" s="7" t="s">
        <v>7</v>
      </c>
      <c r="C1996" s="8">
        <v>1890</v>
      </c>
      <c r="D1996" s="9">
        <v>45449</v>
      </c>
      <c r="E1996" s="13">
        <f>+HYPERLINK("http://trademark.i-assist.jp/data/china/image_1890th/77247767.pdf",77247767)</f>
        <v>77247767</v>
      </c>
      <c r="F1996" s="7" t="s">
        <v>5597</v>
      </c>
      <c r="G1996" s="7" t="s">
        <v>5596</v>
      </c>
      <c r="H1996" s="7" t="s">
        <v>5598</v>
      </c>
      <c r="I1996" s="9">
        <v>45363</v>
      </c>
    </row>
    <row r="1997" spans="1:9" x14ac:dyDescent="0.15">
      <c r="A1997" s="6">
        <v>1996</v>
      </c>
      <c r="B1997" s="7" t="s">
        <v>7</v>
      </c>
      <c r="C1997" s="8">
        <v>1890</v>
      </c>
      <c r="D1997" s="9">
        <v>45449</v>
      </c>
      <c r="E1997" s="13">
        <f>+HYPERLINK("http://trademark.i-assist.jp/data/china/image_1890th/77247997.pdf",77247997)</f>
        <v>77247997</v>
      </c>
      <c r="F1997" s="7" t="s">
        <v>5600</v>
      </c>
      <c r="G1997" s="7" t="s">
        <v>5599</v>
      </c>
      <c r="H1997" s="7" t="s">
        <v>5601</v>
      </c>
      <c r="I1997" s="9">
        <v>45363</v>
      </c>
    </row>
    <row r="1998" spans="1:9" x14ac:dyDescent="0.15">
      <c r="A1998" s="6">
        <v>1997</v>
      </c>
      <c r="B1998" s="7" t="s">
        <v>7</v>
      </c>
      <c r="C1998" s="8">
        <v>1890</v>
      </c>
      <c r="D1998" s="9">
        <v>45449</v>
      </c>
      <c r="E1998" s="13">
        <f>+HYPERLINK("http://trademark.i-assist.jp/data/china/image_1890th/77248027.pdf",77248027)</f>
        <v>77248027</v>
      </c>
      <c r="F1998" s="7" t="s">
        <v>5603</v>
      </c>
      <c r="G1998" s="7" t="s">
        <v>5602</v>
      </c>
      <c r="H1998" s="7" t="s">
        <v>5604</v>
      </c>
      <c r="I1998" s="9">
        <v>45363</v>
      </c>
    </row>
    <row r="1999" spans="1:9" x14ac:dyDescent="0.15">
      <c r="A1999" s="6">
        <v>1998</v>
      </c>
      <c r="B1999" s="7" t="s">
        <v>7</v>
      </c>
      <c r="C1999" s="8">
        <v>1890</v>
      </c>
      <c r="D1999" s="9">
        <v>45449</v>
      </c>
      <c r="E1999" s="13">
        <f>+HYPERLINK("http://trademark.i-assist.jp/data/china/image_1890th/77248150.pdf",77248150)</f>
        <v>77248150</v>
      </c>
      <c r="F1999" s="7" t="s">
        <v>5606</v>
      </c>
      <c r="G1999" s="7" t="s">
        <v>5605</v>
      </c>
      <c r="H1999" s="7" t="s">
        <v>5607</v>
      </c>
      <c r="I1999" s="9">
        <v>45363</v>
      </c>
    </row>
    <row r="2000" spans="1:9" x14ac:dyDescent="0.15">
      <c r="A2000" s="6">
        <v>1999</v>
      </c>
      <c r="B2000" s="7" t="s">
        <v>7</v>
      </c>
      <c r="C2000" s="8">
        <v>1890</v>
      </c>
      <c r="D2000" s="9">
        <v>45449</v>
      </c>
      <c r="E2000" s="13">
        <f>+HYPERLINK("http://trademark.i-assist.jp/data/china/image_1890th/77248217.pdf",77248217)</f>
        <v>77248217</v>
      </c>
      <c r="F2000" s="7" t="s">
        <v>5609</v>
      </c>
      <c r="G2000" s="7" t="s">
        <v>5608</v>
      </c>
      <c r="H2000" s="7" t="s">
        <v>5610</v>
      </c>
      <c r="I2000" s="9">
        <v>45363</v>
      </c>
    </row>
    <row r="2001" spans="1:9" x14ac:dyDescent="0.15">
      <c r="A2001" s="6">
        <v>2000</v>
      </c>
      <c r="B2001" s="7" t="s">
        <v>7</v>
      </c>
      <c r="C2001" s="8">
        <v>1890</v>
      </c>
      <c r="D2001" s="9">
        <v>45449</v>
      </c>
      <c r="E2001" s="13">
        <f>+HYPERLINK("http://trademark.i-assist.jp/data/china/image_1890th/77248384.pdf",77248384)</f>
        <v>77248384</v>
      </c>
      <c r="F2001" s="7" t="s">
        <v>5612</v>
      </c>
      <c r="G2001" s="7" t="s">
        <v>5611</v>
      </c>
      <c r="H2001" s="7" t="s">
        <v>5613</v>
      </c>
      <c r="I2001" s="9">
        <v>45363</v>
      </c>
    </row>
    <row r="2002" spans="1:9" ht="27" x14ac:dyDescent="0.15">
      <c r="A2002" s="6">
        <v>2001</v>
      </c>
      <c r="B2002" s="7" t="s">
        <v>7</v>
      </c>
      <c r="C2002" s="8">
        <v>1890</v>
      </c>
      <c r="D2002" s="9">
        <v>45449</v>
      </c>
      <c r="E2002" s="13">
        <f>+HYPERLINK("http://trademark.i-assist.jp/data/china/image_1890th/77248557.pdf",77248557)</f>
        <v>77248557</v>
      </c>
      <c r="F2002" s="7" t="s">
        <v>5614</v>
      </c>
      <c r="G2002" s="7" t="s">
        <v>4065</v>
      </c>
      <c r="H2002" s="7" t="s">
        <v>5615</v>
      </c>
      <c r="I2002" s="9">
        <v>45363</v>
      </c>
    </row>
    <row r="2003" spans="1:9" x14ac:dyDescent="0.15">
      <c r="A2003" s="6">
        <v>2002</v>
      </c>
      <c r="B2003" s="7" t="s">
        <v>7</v>
      </c>
      <c r="C2003" s="8">
        <v>1890</v>
      </c>
      <c r="D2003" s="9">
        <v>45449</v>
      </c>
      <c r="E2003" s="13">
        <f>+HYPERLINK("http://trademark.i-assist.jp/data/china/image_1890th/77248615.pdf",77248615)</f>
        <v>77248615</v>
      </c>
      <c r="F2003" s="7" t="s">
        <v>5616</v>
      </c>
      <c r="G2003" s="7" t="s">
        <v>4315</v>
      </c>
      <c r="H2003" s="7" t="s">
        <v>5617</v>
      </c>
      <c r="I2003" s="9">
        <v>45363</v>
      </c>
    </row>
    <row r="2004" spans="1:9" x14ac:dyDescent="0.15">
      <c r="A2004" s="6">
        <v>2003</v>
      </c>
      <c r="B2004" s="7" t="s">
        <v>7</v>
      </c>
      <c r="C2004" s="8">
        <v>1890</v>
      </c>
      <c r="D2004" s="9">
        <v>45449</v>
      </c>
      <c r="E2004" s="13">
        <f>+HYPERLINK("http://trademark.i-assist.jp/data/china/image_1890th/77248658.pdf",77248658)</f>
        <v>77248658</v>
      </c>
      <c r="F2004" s="7" t="s">
        <v>5619</v>
      </c>
      <c r="G2004" s="7" t="s">
        <v>5618</v>
      </c>
      <c r="H2004" s="7" t="s">
        <v>5620</v>
      </c>
      <c r="I2004" s="9">
        <v>45363</v>
      </c>
    </row>
    <row r="2005" spans="1:9" x14ac:dyDescent="0.15">
      <c r="A2005" s="6">
        <v>2004</v>
      </c>
      <c r="B2005" s="7" t="s">
        <v>7</v>
      </c>
      <c r="C2005" s="8">
        <v>1890</v>
      </c>
      <c r="D2005" s="9">
        <v>45449</v>
      </c>
      <c r="E2005" s="13">
        <f>+HYPERLINK("http://trademark.i-assist.jp/data/china/image_1890th/77248783.pdf",77248783)</f>
        <v>77248783</v>
      </c>
      <c r="F2005" s="7" t="s">
        <v>5622</v>
      </c>
      <c r="G2005" s="7" t="s">
        <v>5621</v>
      </c>
      <c r="H2005" s="7" t="s">
        <v>5623</v>
      </c>
      <c r="I2005" s="9">
        <v>45363</v>
      </c>
    </row>
    <row r="2006" spans="1:9" x14ac:dyDescent="0.15">
      <c r="A2006" s="6">
        <v>2005</v>
      </c>
      <c r="B2006" s="7" t="s">
        <v>7</v>
      </c>
      <c r="C2006" s="8">
        <v>1890</v>
      </c>
      <c r="D2006" s="9">
        <v>45449</v>
      </c>
      <c r="E2006" s="13">
        <f>+HYPERLINK("http://trademark.i-assist.jp/data/china/image_1890th/77248853.pdf",77248853)</f>
        <v>77248853</v>
      </c>
      <c r="F2006" s="7" t="s">
        <v>5625</v>
      </c>
      <c r="G2006" s="7" t="s">
        <v>5624</v>
      </c>
      <c r="H2006" s="7" t="s">
        <v>5626</v>
      </c>
      <c r="I2006" s="9">
        <v>45363</v>
      </c>
    </row>
    <row r="2007" spans="1:9" x14ac:dyDescent="0.15">
      <c r="A2007" s="6">
        <v>2006</v>
      </c>
      <c r="B2007" s="7" t="s">
        <v>7</v>
      </c>
      <c r="C2007" s="8">
        <v>1890</v>
      </c>
      <c r="D2007" s="9">
        <v>45449</v>
      </c>
      <c r="E2007" s="13">
        <f>+HYPERLINK("http://trademark.i-assist.jp/data/china/image_1890th/77248856.pdf",77248856)</f>
        <v>77248856</v>
      </c>
      <c r="F2007" s="7" t="s">
        <v>5628</v>
      </c>
      <c r="G2007" s="7" t="s">
        <v>5627</v>
      </c>
      <c r="H2007" s="7" t="s">
        <v>5629</v>
      </c>
      <c r="I2007" s="9">
        <v>45363</v>
      </c>
    </row>
    <row r="2008" spans="1:9" x14ac:dyDescent="0.15">
      <c r="A2008" s="6">
        <v>2007</v>
      </c>
      <c r="B2008" s="7" t="s">
        <v>7</v>
      </c>
      <c r="C2008" s="8">
        <v>1890</v>
      </c>
      <c r="D2008" s="9">
        <v>45449</v>
      </c>
      <c r="E2008" s="13">
        <f>+HYPERLINK("http://trademark.i-assist.jp/data/china/image_1890th/77248936.pdf",77248936)</f>
        <v>77248936</v>
      </c>
      <c r="F2008" s="7" t="s">
        <v>5631</v>
      </c>
      <c r="G2008" s="7" t="s">
        <v>5630</v>
      </c>
      <c r="H2008" s="7" t="s">
        <v>5632</v>
      </c>
      <c r="I2008" s="9">
        <v>45363</v>
      </c>
    </row>
    <row r="2009" spans="1:9" x14ac:dyDescent="0.15">
      <c r="A2009" s="6">
        <v>2008</v>
      </c>
      <c r="B2009" s="7" t="s">
        <v>7</v>
      </c>
      <c r="C2009" s="8">
        <v>1890</v>
      </c>
      <c r="D2009" s="9">
        <v>45449</v>
      </c>
      <c r="E2009" s="13">
        <f>+HYPERLINK("http://trademark.i-assist.jp/data/china/image_1890th/77248972.pdf",77248972)</f>
        <v>77248972</v>
      </c>
      <c r="F2009" s="7" t="s">
        <v>5634</v>
      </c>
      <c r="G2009" s="7" t="s">
        <v>5633</v>
      </c>
      <c r="H2009" s="7" t="s">
        <v>5635</v>
      </c>
      <c r="I2009" s="9">
        <v>45363</v>
      </c>
    </row>
    <row r="2010" spans="1:9" x14ac:dyDescent="0.15">
      <c r="A2010" s="6">
        <v>2009</v>
      </c>
      <c r="B2010" s="7" t="s">
        <v>7</v>
      </c>
      <c r="C2010" s="8">
        <v>1890</v>
      </c>
      <c r="D2010" s="9">
        <v>45449</v>
      </c>
      <c r="E2010" s="13">
        <f>+HYPERLINK("http://trademark.i-assist.jp/data/china/image_1890th/77249041.pdf",77249041)</f>
        <v>77249041</v>
      </c>
      <c r="F2010" s="7" t="s">
        <v>5637</v>
      </c>
      <c r="G2010" s="7" t="s">
        <v>5636</v>
      </c>
      <c r="H2010" s="7" t="s">
        <v>5638</v>
      </c>
      <c r="I2010" s="9">
        <v>45363</v>
      </c>
    </row>
    <row r="2011" spans="1:9" ht="27" x14ac:dyDescent="0.15">
      <c r="A2011" s="6">
        <v>2010</v>
      </c>
      <c r="B2011" s="7" t="s">
        <v>7</v>
      </c>
      <c r="C2011" s="8">
        <v>1890</v>
      </c>
      <c r="D2011" s="9">
        <v>45449</v>
      </c>
      <c r="E2011" s="13">
        <f>+HYPERLINK("http://trademark.i-assist.jp/data/china/image_1890th/77249099.pdf",77249099)</f>
        <v>77249099</v>
      </c>
      <c r="F2011" s="7" t="s">
        <v>5640</v>
      </c>
      <c r="G2011" s="7" t="s">
        <v>5639</v>
      </c>
      <c r="H2011" s="7" t="s">
        <v>5641</v>
      </c>
      <c r="I2011" s="9">
        <v>45363</v>
      </c>
    </row>
    <row r="2012" spans="1:9" x14ac:dyDescent="0.15">
      <c r="A2012" s="6">
        <v>2011</v>
      </c>
      <c r="B2012" s="7" t="s">
        <v>7</v>
      </c>
      <c r="C2012" s="8">
        <v>1890</v>
      </c>
      <c r="D2012" s="9">
        <v>45449</v>
      </c>
      <c r="E2012" s="13">
        <f>+HYPERLINK("http://trademark.i-assist.jp/data/china/image_1890th/77249217.pdf",77249217)</f>
        <v>77249217</v>
      </c>
      <c r="F2012" s="7" t="s">
        <v>5643</v>
      </c>
      <c r="G2012" s="7" t="s">
        <v>5642</v>
      </c>
      <c r="H2012" s="7" t="s">
        <v>5644</v>
      </c>
      <c r="I2012" s="9">
        <v>45363</v>
      </c>
    </row>
    <row r="2013" spans="1:9" x14ac:dyDescent="0.15">
      <c r="A2013" s="6">
        <v>2012</v>
      </c>
      <c r="B2013" s="7" t="s">
        <v>7</v>
      </c>
      <c r="C2013" s="8">
        <v>1890</v>
      </c>
      <c r="D2013" s="9">
        <v>45449</v>
      </c>
      <c r="E2013" s="13">
        <f>+HYPERLINK("http://trademark.i-assist.jp/data/china/image_1890th/77249255.pdf",77249255)</f>
        <v>77249255</v>
      </c>
      <c r="F2013" s="7" t="s">
        <v>5646</v>
      </c>
      <c r="G2013" s="7" t="s">
        <v>5645</v>
      </c>
      <c r="H2013" s="7" t="s">
        <v>5647</v>
      </c>
      <c r="I2013" s="9">
        <v>45363</v>
      </c>
    </row>
    <row r="2014" spans="1:9" x14ac:dyDescent="0.15">
      <c r="A2014" s="6">
        <v>2013</v>
      </c>
      <c r="B2014" s="7" t="s">
        <v>7</v>
      </c>
      <c r="C2014" s="8">
        <v>1890</v>
      </c>
      <c r="D2014" s="9">
        <v>45449</v>
      </c>
      <c r="E2014" s="13">
        <f>+HYPERLINK("http://trademark.i-assist.jp/data/china/image_1890th/77249375.pdf",77249375)</f>
        <v>77249375</v>
      </c>
      <c r="F2014" s="7" t="s">
        <v>5649</v>
      </c>
      <c r="G2014" s="7" t="s">
        <v>5648</v>
      </c>
      <c r="H2014" s="7" t="s">
        <v>5650</v>
      </c>
      <c r="I2014" s="9">
        <v>45363</v>
      </c>
    </row>
    <row r="2015" spans="1:9" x14ac:dyDescent="0.15">
      <c r="A2015" s="6">
        <v>2014</v>
      </c>
      <c r="B2015" s="7" t="s">
        <v>7</v>
      </c>
      <c r="C2015" s="8">
        <v>1890</v>
      </c>
      <c r="D2015" s="9">
        <v>45449</v>
      </c>
      <c r="E2015" s="13">
        <f>+HYPERLINK("http://trademark.i-assist.jp/data/china/image_1890th/77249581.pdf",77249581)</f>
        <v>77249581</v>
      </c>
      <c r="F2015" s="7" t="s">
        <v>5652</v>
      </c>
      <c r="G2015" s="7" t="s">
        <v>5651</v>
      </c>
      <c r="H2015" s="7" t="s">
        <v>5653</v>
      </c>
      <c r="I2015" s="9">
        <v>45363</v>
      </c>
    </row>
    <row r="2016" spans="1:9" x14ac:dyDescent="0.15">
      <c r="A2016" s="6">
        <v>2015</v>
      </c>
      <c r="B2016" s="7" t="s">
        <v>7</v>
      </c>
      <c r="C2016" s="8">
        <v>1890</v>
      </c>
      <c r="D2016" s="9">
        <v>45449</v>
      </c>
      <c r="E2016" s="13">
        <f>+HYPERLINK("http://trademark.i-assist.jp/data/china/image_1890th/77249668.pdf",77249668)</f>
        <v>77249668</v>
      </c>
      <c r="F2016" s="7" t="s">
        <v>5655</v>
      </c>
      <c r="G2016" s="7" t="s">
        <v>5654</v>
      </c>
      <c r="H2016" s="7" t="s">
        <v>5656</v>
      </c>
      <c r="I2016" s="9">
        <v>45363</v>
      </c>
    </row>
    <row r="2017" spans="1:9" x14ac:dyDescent="0.15">
      <c r="A2017" s="6">
        <v>2016</v>
      </c>
      <c r="B2017" s="7" t="s">
        <v>7</v>
      </c>
      <c r="C2017" s="8">
        <v>1890</v>
      </c>
      <c r="D2017" s="9">
        <v>45449</v>
      </c>
      <c r="E2017" s="13">
        <f>+HYPERLINK("http://trademark.i-assist.jp/data/china/image_1890th/77249830.pdf",77249830)</f>
        <v>77249830</v>
      </c>
      <c r="F2017" s="7" t="s">
        <v>5658</v>
      </c>
      <c r="G2017" s="7" t="s">
        <v>5657</v>
      </c>
      <c r="H2017" s="7" t="s">
        <v>5659</v>
      </c>
      <c r="I2017" s="9">
        <v>45363</v>
      </c>
    </row>
    <row r="2018" spans="1:9" ht="27" x14ac:dyDescent="0.15">
      <c r="A2018" s="6">
        <v>2017</v>
      </c>
      <c r="B2018" s="7" t="s">
        <v>7</v>
      </c>
      <c r="C2018" s="8">
        <v>1890</v>
      </c>
      <c r="D2018" s="9">
        <v>45449</v>
      </c>
      <c r="E2018" s="13">
        <f>+HYPERLINK("http://trademark.i-assist.jp/data/china/image_1890th/77250229.pdf",77250229)</f>
        <v>77250229</v>
      </c>
      <c r="F2018" s="7" t="s">
        <v>5661</v>
      </c>
      <c r="G2018" s="7" t="s">
        <v>5660</v>
      </c>
      <c r="H2018" s="7" t="s">
        <v>5662</v>
      </c>
      <c r="I2018" s="9">
        <v>45363</v>
      </c>
    </row>
    <row r="2019" spans="1:9" x14ac:dyDescent="0.15">
      <c r="A2019" s="6">
        <v>2018</v>
      </c>
      <c r="B2019" s="7" t="s">
        <v>7</v>
      </c>
      <c r="C2019" s="8">
        <v>1890</v>
      </c>
      <c r="D2019" s="9">
        <v>45449</v>
      </c>
      <c r="E2019" s="13">
        <f>+HYPERLINK("http://trademark.i-assist.jp/data/china/image_1890th/77250323.pdf",77250323)</f>
        <v>77250323</v>
      </c>
      <c r="F2019" s="7" t="s">
        <v>183</v>
      </c>
      <c r="G2019" s="7" t="s">
        <v>3970</v>
      </c>
      <c r="H2019" s="7" t="s">
        <v>5663</v>
      </c>
      <c r="I2019" s="9">
        <v>45363</v>
      </c>
    </row>
    <row r="2020" spans="1:9" x14ac:dyDescent="0.15">
      <c r="A2020" s="6">
        <v>2019</v>
      </c>
      <c r="B2020" s="7" t="s">
        <v>7</v>
      </c>
      <c r="C2020" s="8">
        <v>1890</v>
      </c>
      <c r="D2020" s="9">
        <v>45449</v>
      </c>
      <c r="E2020" s="13">
        <f>+HYPERLINK("http://trademark.i-assist.jp/data/china/image_1890th/77250346.pdf",77250346)</f>
        <v>77250346</v>
      </c>
      <c r="F2020" s="7" t="s">
        <v>5665</v>
      </c>
      <c r="G2020" s="7" t="s">
        <v>5664</v>
      </c>
      <c r="H2020" s="7" t="s">
        <v>5666</v>
      </c>
      <c r="I2020" s="9">
        <v>45363</v>
      </c>
    </row>
    <row r="2021" spans="1:9" x14ac:dyDescent="0.15">
      <c r="A2021" s="6">
        <v>2020</v>
      </c>
      <c r="B2021" s="7" t="s">
        <v>7</v>
      </c>
      <c r="C2021" s="8">
        <v>1890</v>
      </c>
      <c r="D2021" s="9">
        <v>45449</v>
      </c>
      <c r="E2021" s="13">
        <f>+HYPERLINK("http://trademark.i-assist.jp/data/china/image_1890th/77250406.pdf",77250406)</f>
        <v>77250406</v>
      </c>
      <c r="F2021" s="7" t="s">
        <v>5668</v>
      </c>
      <c r="G2021" s="7" t="s">
        <v>5667</v>
      </c>
      <c r="H2021" s="7" t="s">
        <v>5669</v>
      </c>
      <c r="I2021" s="9">
        <v>45363</v>
      </c>
    </row>
    <row r="2022" spans="1:9" x14ac:dyDescent="0.15">
      <c r="A2022" s="6">
        <v>2021</v>
      </c>
      <c r="B2022" s="7" t="s">
        <v>7</v>
      </c>
      <c r="C2022" s="8">
        <v>1890</v>
      </c>
      <c r="D2022" s="9">
        <v>45449</v>
      </c>
      <c r="E2022" s="13">
        <f>+HYPERLINK("http://trademark.i-assist.jp/data/china/image_1890th/77250586.pdf",77250586)</f>
        <v>77250586</v>
      </c>
      <c r="F2022" s="7" t="s">
        <v>5671</v>
      </c>
      <c r="G2022" s="7" t="s">
        <v>5670</v>
      </c>
      <c r="H2022" s="7" t="s">
        <v>5672</v>
      </c>
      <c r="I2022" s="9">
        <v>45363</v>
      </c>
    </row>
    <row r="2023" spans="1:9" x14ac:dyDescent="0.15">
      <c r="A2023" s="6">
        <v>2022</v>
      </c>
      <c r="B2023" s="7" t="s">
        <v>7</v>
      </c>
      <c r="C2023" s="8">
        <v>1890</v>
      </c>
      <c r="D2023" s="9">
        <v>45449</v>
      </c>
      <c r="E2023" s="13">
        <f>+HYPERLINK("http://trademark.i-assist.jp/data/china/image_1890th/77250819.pdf",77250819)</f>
        <v>77250819</v>
      </c>
      <c r="F2023" s="7" t="s">
        <v>5674</v>
      </c>
      <c r="G2023" s="7" t="s">
        <v>5673</v>
      </c>
      <c r="H2023" s="7" t="s">
        <v>5675</v>
      </c>
      <c r="I2023" s="9">
        <v>45363</v>
      </c>
    </row>
    <row r="2024" spans="1:9" x14ac:dyDescent="0.15">
      <c r="A2024" s="6">
        <v>2023</v>
      </c>
      <c r="B2024" s="7" t="s">
        <v>7</v>
      </c>
      <c r="C2024" s="8">
        <v>1890</v>
      </c>
      <c r="D2024" s="9">
        <v>45449</v>
      </c>
      <c r="E2024" s="13">
        <f>+HYPERLINK("http://trademark.i-assist.jp/data/china/image_1890th/77250827.pdf",77250827)</f>
        <v>77250827</v>
      </c>
      <c r="F2024" s="7" t="s">
        <v>5677</v>
      </c>
      <c r="G2024" s="7" t="s">
        <v>5676</v>
      </c>
      <c r="H2024" s="7" t="s">
        <v>5678</v>
      </c>
      <c r="I2024" s="9">
        <v>45363</v>
      </c>
    </row>
    <row r="2025" spans="1:9" x14ac:dyDescent="0.15">
      <c r="A2025" s="6">
        <v>2024</v>
      </c>
      <c r="B2025" s="7" t="s">
        <v>7</v>
      </c>
      <c r="C2025" s="8">
        <v>1890</v>
      </c>
      <c r="D2025" s="9">
        <v>45449</v>
      </c>
      <c r="E2025" s="13">
        <f>+HYPERLINK("http://trademark.i-assist.jp/data/china/image_1890th/77250829.pdf",77250829)</f>
        <v>77250829</v>
      </c>
      <c r="F2025" s="7" t="s">
        <v>5679</v>
      </c>
      <c r="G2025" s="7" t="s">
        <v>5049</v>
      </c>
      <c r="H2025" s="7" t="s">
        <v>5680</v>
      </c>
      <c r="I2025" s="9">
        <v>45363</v>
      </c>
    </row>
    <row r="2026" spans="1:9" x14ac:dyDescent="0.15">
      <c r="A2026" s="6">
        <v>2025</v>
      </c>
      <c r="B2026" s="7" t="s">
        <v>7</v>
      </c>
      <c r="C2026" s="8">
        <v>1890</v>
      </c>
      <c r="D2026" s="9">
        <v>45449</v>
      </c>
      <c r="E2026" s="13">
        <f>+HYPERLINK("http://trademark.i-assist.jp/data/china/image_1890th/77250899.pdf",77250899)</f>
        <v>77250899</v>
      </c>
      <c r="F2026" s="7" t="s">
        <v>5682</v>
      </c>
      <c r="G2026" s="7" t="s">
        <v>5681</v>
      </c>
      <c r="H2026" s="7" t="s">
        <v>5683</v>
      </c>
      <c r="I2026" s="9">
        <v>45363</v>
      </c>
    </row>
    <row r="2027" spans="1:9" x14ac:dyDescent="0.15">
      <c r="A2027" s="6">
        <v>2026</v>
      </c>
      <c r="B2027" s="7" t="s">
        <v>7</v>
      </c>
      <c r="C2027" s="8">
        <v>1890</v>
      </c>
      <c r="D2027" s="9">
        <v>45449</v>
      </c>
      <c r="E2027" s="13">
        <f>+HYPERLINK("http://trademark.i-assist.jp/data/china/image_1890th/77251016.pdf",77251016)</f>
        <v>77251016</v>
      </c>
      <c r="F2027" s="7" t="s">
        <v>5685</v>
      </c>
      <c r="G2027" s="7" t="s">
        <v>5684</v>
      </c>
      <c r="H2027" s="7" t="s">
        <v>5686</v>
      </c>
      <c r="I2027" s="9">
        <v>45363</v>
      </c>
    </row>
    <row r="2028" spans="1:9" x14ac:dyDescent="0.15">
      <c r="A2028" s="6">
        <v>2027</v>
      </c>
      <c r="B2028" s="7" t="s">
        <v>7</v>
      </c>
      <c r="C2028" s="8">
        <v>1890</v>
      </c>
      <c r="D2028" s="9">
        <v>45449</v>
      </c>
      <c r="E2028" s="13">
        <f>+HYPERLINK("http://trademark.i-assist.jp/data/china/image_1890th/77251063.pdf",77251063)</f>
        <v>77251063</v>
      </c>
      <c r="F2028" s="7" t="s">
        <v>5687</v>
      </c>
      <c r="G2028" s="7" t="s">
        <v>5064</v>
      </c>
      <c r="H2028" s="7" t="s">
        <v>5688</v>
      </c>
      <c r="I2028" s="9">
        <v>45363</v>
      </c>
    </row>
    <row r="2029" spans="1:9" x14ac:dyDescent="0.15">
      <c r="A2029" s="6">
        <v>2028</v>
      </c>
      <c r="B2029" s="7" t="s">
        <v>7</v>
      </c>
      <c r="C2029" s="8">
        <v>1890</v>
      </c>
      <c r="D2029" s="9">
        <v>45449</v>
      </c>
      <c r="E2029" s="13">
        <f>+HYPERLINK("http://trademark.i-assist.jp/data/china/image_1890th/77251345.pdf",77251345)</f>
        <v>77251345</v>
      </c>
      <c r="F2029" s="7" t="s">
        <v>5689</v>
      </c>
      <c r="G2029" s="7" t="s">
        <v>2918</v>
      </c>
      <c r="H2029" s="7" t="s">
        <v>5690</v>
      </c>
      <c r="I2029" s="9">
        <v>45363</v>
      </c>
    </row>
    <row r="2030" spans="1:9" x14ac:dyDescent="0.15">
      <c r="A2030" s="6">
        <v>2029</v>
      </c>
      <c r="B2030" s="7" t="s">
        <v>7</v>
      </c>
      <c r="C2030" s="8">
        <v>1890</v>
      </c>
      <c r="D2030" s="9">
        <v>45449</v>
      </c>
      <c r="E2030" s="13">
        <f>+HYPERLINK("http://trademark.i-assist.jp/data/china/image_1890th/77251556.pdf",77251556)</f>
        <v>77251556</v>
      </c>
      <c r="F2030" s="7" t="s">
        <v>5692</v>
      </c>
      <c r="G2030" s="7" t="s">
        <v>5691</v>
      </c>
      <c r="H2030" s="7" t="s">
        <v>5693</v>
      </c>
      <c r="I2030" s="9">
        <v>45363</v>
      </c>
    </row>
    <row r="2031" spans="1:9" x14ac:dyDescent="0.15">
      <c r="A2031" s="6">
        <v>2030</v>
      </c>
      <c r="B2031" s="7" t="s">
        <v>7</v>
      </c>
      <c r="C2031" s="8">
        <v>1890</v>
      </c>
      <c r="D2031" s="9">
        <v>45449</v>
      </c>
      <c r="E2031" s="13">
        <f>+HYPERLINK("http://trademark.i-assist.jp/data/china/image_1890th/77251579.pdf",77251579)</f>
        <v>77251579</v>
      </c>
      <c r="F2031" s="7" t="s">
        <v>5695</v>
      </c>
      <c r="G2031" s="7" t="s">
        <v>5694</v>
      </c>
      <c r="H2031" s="7" t="s">
        <v>5696</v>
      </c>
      <c r="I2031" s="9">
        <v>45363</v>
      </c>
    </row>
    <row r="2032" spans="1:9" x14ac:dyDescent="0.15">
      <c r="A2032" s="6">
        <v>2031</v>
      </c>
      <c r="B2032" s="7" t="s">
        <v>7</v>
      </c>
      <c r="C2032" s="8">
        <v>1890</v>
      </c>
      <c r="D2032" s="9">
        <v>45449</v>
      </c>
      <c r="E2032" s="13">
        <f>+HYPERLINK("http://trademark.i-assist.jp/data/china/image_1890th/77251940.pdf",77251940)</f>
        <v>77251940</v>
      </c>
      <c r="F2032" s="7" t="s">
        <v>5698</v>
      </c>
      <c r="G2032" s="7" t="s">
        <v>5697</v>
      </c>
      <c r="H2032" s="7" t="s">
        <v>5699</v>
      </c>
      <c r="I2032" s="9">
        <v>45363</v>
      </c>
    </row>
    <row r="2033" spans="1:9" x14ac:dyDescent="0.15">
      <c r="A2033" s="6">
        <v>2032</v>
      </c>
      <c r="B2033" s="7" t="s">
        <v>7</v>
      </c>
      <c r="C2033" s="8">
        <v>1890</v>
      </c>
      <c r="D2033" s="9">
        <v>45449</v>
      </c>
      <c r="E2033" s="13">
        <f>+HYPERLINK("http://trademark.i-assist.jp/data/china/image_1890th/77251946.pdf",77251946)</f>
        <v>77251946</v>
      </c>
      <c r="F2033" s="7" t="s">
        <v>5701</v>
      </c>
      <c r="G2033" s="7" t="s">
        <v>5700</v>
      </c>
      <c r="H2033" s="7" t="s">
        <v>5702</v>
      </c>
      <c r="I2033" s="9">
        <v>45363</v>
      </c>
    </row>
    <row r="2034" spans="1:9" x14ac:dyDescent="0.15">
      <c r="A2034" s="6">
        <v>2033</v>
      </c>
      <c r="B2034" s="7" t="s">
        <v>7</v>
      </c>
      <c r="C2034" s="8">
        <v>1890</v>
      </c>
      <c r="D2034" s="9">
        <v>45449</v>
      </c>
      <c r="E2034" s="13">
        <f>+HYPERLINK("http://trademark.i-assist.jp/data/china/image_1890th/77251951.pdf",77251951)</f>
        <v>77251951</v>
      </c>
      <c r="F2034" s="7" t="s">
        <v>5703</v>
      </c>
      <c r="G2034" s="7" t="s">
        <v>2046</v>
      </c>
      <c r="H2034" s="7" t="s">
        <v>5704</v>
      </c>
      <c r="I2034" s="9">
        <v>45363</v>
      </c>
    </row>
    <row r="2035" spans="1:9" x14ac:dyDescent="0.15">
      <c r="A2035" s="6">
        <v>2034</v>
      </c>
      <c r="B2035" s="7" t="s">
        <v>7</v>
      </c>
      <c r="C2035" s="8">
        <v>1890</v>
      </c>
      <c r="D2035" s="9">
        <v>45449</v>
      </c>
      <c r="E2035" s="13">
        <f>+HYPERLINK("http://trademark.i-assist.jp/data/china/image_1890th/77251973.pdf",77251973)</f>
        <v>77251973</v>
      </c>
      <c r="F2035" s="7" t="s">
        <v>5706</v>
      </c>
      <c r="G2035" s="7" t="s">
        <v>5705</v>
      </c>
      <c r="H2035" s="7" t="s">
        <v>5707</v>
      </c>
      <c r="I2035" s="9">
        <v>45363</v>
      </c>
    </row>
    <row r="2036" spans="1:9" x14ac:dyDescent="0.15">
      <c r="A2036" s="6">
        <v>2035</v>
      </c>
      <c r="B2036" s="7" t="s">
        <v>7</v>
      </c>
      <c r="C2036" s="8">
        <v>1890</v>
      </c>
      <c r="D2036" s="9">
        <v>45449</v>
      </c>
      <c r="E2036" s="13">
        <f>+HYPERLINK("http://trademark.i-assist.jp/data/china/image_1890th/77251983.pdf",77251983)</f>
        <v>77251983</v>
      </c>
      <c r="F2036" s="7" t="s">
        <v>5709</v>
      </c>
      <c r="G2036" s="7" t="s">
        <v>5708</v>
      </c>
      <c r="H2036" s="7" t="s">
        <v>5710</v>
      </c>
      <c r="I2036" s="9">
        <v>45363</v>
      </c>
    </row>
    <row r="2037" spans="1:9" x14ac:dyDescent="0.15">
      <c r="A2037" s="6">
        <v>2036</v>
      </c>
      <c r="B2037" s="7" t="s">
        <v>7</v>
      </c>
      <c r="C2037" s="8">
        <v>1890</v>
      </c>
      <c r="D2037" s="9">
        <v>45449</v>
      </c>
      <c r="E2037" s="13">
        <f>+HYPERLINK("http://trademark.i-assist.jp/data/china/image_1890th/77252415.pdf",77252415)</f>
        <v>77252415</v>
      </c>
      <c r="F2037" s="7" t="s">
        <v>5712</v>
      </c>
      <c r="G2037" s="7" t="s">
        <v>5711</v>
      </c>
      <c r="H2037" s="7" t="s">
        <v>5713</v>
      </c>
      <c r="I2037" s="9">
        <v>45363</v>
      </c>
    </row>
    <row r="2038" spans="1:9" ht="27" x14ac:dyDescent="0.15">
      <c r="A2038" s="6">
        <v>2037</v>
      </c>
      <c r="B2038" s="7" t="s">
        <v>7</v>
      </c>
      <c r="C2038" s="8">
        <v>1890</v>
      </c>
      <c r="D2038" s="9">
        <v>45449</v>
      </c>
      <c r="E2038" s="13">
        <f>+HYPERLINK("http://trademark.i-assist.jp/data/china/image_1890th/77252635.pdf",77252635)</f>
        <v>77252635</v>
      </c>
      <c r="F2038" s="7" t="s">
        <v>5714</v>
      </c>
      <c r="G2038" s="7" t="s">
        <v>3956</v>
      </c>
      <c r="H2038" s="7" t="s">
        <v>5715</v>
      </c>
      <c r="I2038" s="9">
        <v>45363</v>
      </c>
    </row>
    <row r="2039" spans="1:9" x14ac:dyDescent="0.15">
      <c r="A2039" s="6">
        <v>2038</v>
      </c>
      <c r="B2039" s="7" t="s">
        <v>7</v>
      </c>
      <c r="C2039" s="8">
        <v>1890</v>
      </c>
      <c r="D2039" s="9">
        <v>45449</v>
      </c>
      <c r="E2039" s="13">
        <f>+HYPERLINK("http://trademark.i-assist.jp/data/china/image_1890th/77252990.pdf",77252990)</f>
        <v>77252990</v>
      </c>
      <c r="F2039" s="7" t="s">
        <v>5665</v>
      </c>
      <c r="G2039" s="7" t="s">
        <v>5664</v>
      </c>
      <c r="H2039" s="7" t="s">
        <v>5716</v>
      </c>
      <c r="I2039" s="9">
        <v>45363</v>
      </c>
    </row>
    <row r="2040" spans="1:9" x14ac:dyDescent="0.15">
      <c r="A2040" s="6">
        <v>2039</v>
      </c>
      <c r="B2040" s="7" t="s">
        <v>7</v>
      </c>
      <c r="C2040" s="8">
        <v>1890</v>
      </c>
      <c r="D2040" s="9">
        <v>45449</v>
      </c>
      <c r="E2040" s="13">
        <f>+HYPERLINK("http://trademark.i-assist.jp/data/china/image_1890th/77253014.pdf",77253014)</f>
        <v>77253014</v>
      </c>
      <c r="F2040" s="7" t="s">
        <v>183</v>
      </c>
      <c r="G2040" s="7" t="s">
        <v>5717</v>
      </c>
      <c r="H2040" s="7" t="s">
        <v>5718</v>
      </c>
      <c r="I2040" s="9">
        <v>45363</v>
      </c>
    </row>
    <row r="2041" spans="1:9" x14ac:dyDescent="0.15">
      <c r="A2041" s="6">
        <v>2040</v>
      </c>
      <c r="B2041" s="7" t="s">
        <v>7</v>
      </c>
      <c r="C2041" s="8">
        <v>1890</v>
      </c>
      <c r="D2041" s="9">
        <v>45449</v>
      </c>
      <c r="E2041" s="13">
        <f>+HYPERLINK("http://trademark.i-assist.jp/data/china/image_1890th/77253050.pdf",77253050)</f>
        <v>77253050</v>
      </c>
      <c r="F2041" s="7" t="s">
        <v>5720</v>
      </c>
      <c r="G2041" s="7" t="s">
        <v>5719</v>
      </c>
      <c r="H2041" s="7" t="s">
        <v>5721</v>
      </c>
      <c r="I2041" s="9">
        <v>45363</v>
      </c>
    </row>
    <row r="2042" spans="1:9" x14ac:dyDescent="0.15">
      <c r="A2042" s="6">
        <v>2041</v>
      </c>
      <c r="B2042" s="7" t="s">
        <v>7</v>
      </c>
      <c r="C2042" s="8">
        <v>1890</v>
      </c>
      <c r="D2042" s="9">
        <v>45449</v>
      </c>
      <c r="E2042" s="13">
        <f>+HYPERLINK("http://trademark.i-assist.jp/data/china/image_1890th/77253209.pdf",77253209)</f>
        <v>77253209</v>
      </c>
      <c r="F2042" s="7" t="s">
        <v>5723</v>
      </c>
      <c r="G2042" s="7" t="s">
        <v>5722</v>
      </c>
      <c r="H2042" s="7" t="s">
        <v>5724</v>
      </c>
      <c r="I2042" s="9">
        <v>45363</v>
      </c>
    </row>
    <row r="2043" spans="1:9" x14ac:dyDescent="0.15">
      <c r="A2043" s="6">
        <v>2042</v>
      </c>
      <c r="B2043" s="7" t="s">
        <v>7</v>
      </c>
      <c r="C2043" s="8">
        <v>1890</v>
      </c>
      <c r="D2043" s="9">
        <v>45449</v>
      </c>
      <c r="E2043" s="13">
        <f>+HYPERLINK("http://trademark.i-assist.jp/data/china/image_1890th/77253264.pdf",77253264)</f>
        <v>77253264</v>
      </c>
      <c r="F2043" s="7" t="s">
        <v>5726</v>
      </c>
      <c r="G2043" s="7" t="s">
        <v>5725</v>
      </c>
      <c r="H2043" s="7" t="s">
        <v>5727</v>
      </c>
      <c r="I2043" s="9">
        <v>45363</v>
      </c>
    </row>
    <row r="2044" spans="1:9" x14ac:dyDescent="0.15">
      <c r="A2044" s="6">
        <v>2043</v>
      </c>
      <c r="B2044" s="7" t="s">
        <v>7</v>
      </c>
      <c r="C2044" s="8">
        <v>1890</v>
      </c>
      <c r="D2044" s="9">
        <v>45449</v>
      </c>
      <c r="E2044" s="13">
        <f>+HYPERLINK("http://trademark.i-assist.jp/data/china/image_1890th/77253287.pdf",77253287)</f>
        <v>77253287</v>
      </c>
      <c r="F2044" s="7" t="s">
        <v>5729</v>
      </c>
      <c r="G2044" s="7" t="s">
        <v>5728</v>
      </c>
      <c r="H2044" s="7" t="s">
        <v>5730</v>
      </c>
      <c r="I2044" s="9">
        <v>45363</v>
      </c>
    </row>
    <row r="2045" spans="1:9" x14ac:dyDescent="0.15">
      <c r="A2045" s="6">
        <v>2044</v>
      </c>
      <c r="B2045" s="7" t="s">
        <v>7</v>
      </c>
      <c r="C2045" s="8">
        <v>1890</v>
      </c>
      <c r="D2045" s="9">
        <v>45449</v>
      </c>
      <c r="E2045" s="13">
        <f>+HYPERLINK("http://trademark.i-assist.jp/data/china/image_1890th/77253301.pdf",77253301)</f>
        <v>77253301</v>
      </c>
      <c r="F2045" s="7" t="s">
        <v>5732</v>
      </c>
      <c r="G2045" s="7" t="s">
        <v>5731</v>
      </c>
      <c r="H2045" s="7" t="s">
        <v>5733</v>
      </c>
      <c r="I2045" s="9">
        <v>45363</v>
      </c>
    </row>
    <row r="2046" spans="1:9" x14ac:dyDescent="0.15">
      <c r="A2046" s="6">
        <v>2045</v>
      </c>
      <c r="B2046" s="7" t="s">
        <v>7</v>
      </c>
      <c r="C2046" s="8">
        <v>1890</v>
      </c>
      <c r="D2046" s="9">
        <v>45449</v>
      </c>
      <c r="E2046" s="13">
        <f>+HYPERLINK("http://trademark.i-assist.jp/data/china/image_1890th/77253307.pdf",77253307)</f>
        <v>77253307</v>
      </c>
      <c r="F2046" s="7" t="s">
        <v>183</v>
      </c>
      <c r="G2046" s="7" t="s">
        <v>5734</v>
      </c>
      <c r="H2046" s="7" t="s">
        <v>5735</v>
      </c>
      <c r="I2046" s="9">
        <v>45363</v>
      </c>
    </row>
    <row r="2047" spans="1:9" x14ac:dyDescent="0.15">
      <c r="A2047" s="6">
        <v>2046</v>
      </c>
      <c r="B2047" s="7" t="s">
        <v>7</v>
      </c>
      <c r="C2047" s="8">
        <v>1890</v>
      </c>
      <c r="D2047" s="9">
        <v>45449</v>
      </c>
      <c r="E2047" s="13">
        <f>+HYPERLINK("http://trademark.i-assist.jp/data/china/image_1890th/77253447.pdf",77253447)</f>
        <v>77253447</v>
      </c>
      <c r="F2047" s="7" t="s">
        <v>5737</v>
      </c>
      <c r="G2047" s="7" t="s">
        <v>5736</v>
      </c>
      <c r="H2047" s="7" t="s">
        <v>5738</v>
      </c>
      <c r="I2047" s="9">
        <v>45363</v>
      </c>
    </row>
    <row r="2048" spans="1:9" x14ac:dyDescent="0.15">
      <c r="A2048" s="6">
        <v>2047</v>
      </c>
      <c r="B2048" s="7" t="s">
        <v>7</v>
      </c>
      <c r="C2048" s="8">
        <v>1890</v>
      </c>
      <c r="D2048" s="9">
        <v>45449</v>
      </c>
      <c r="E2048" s="13">
        <f>+HYPERLINK("http://trademark.i-assist.jp/data/china/image_1890th/77253501.pdf",77253501)</f>
        <v>77253501</v>
      </c>
      <c r="F2048" s="7" t="s">
        <v>5740</v>
      </c>
      <c r="G2048" s="7" t="s">
        <v>5739</v>
      </c>
      <c r="H2048" s="7" t="s">
        <v>5741</v>
      </c>
      <c r="I2048" s="9">
        <v>45363</v>
      </c>
    </row>
    <row r="2049" spans="1:9" x14ac:dyDescent="0.15">
      <c r="A2049" s="6">
        <v>2048</v>
      </c>
      <c r="B2049" s="7" t="s">
        <v>7</v>
      </c>
      <c r="C2049" s="8">
        <v>1890</v>
      </c>
      <c r="D2049" s="9">
        <v>45449</v>
      </c>
      <c r="E2049" s="13">
        <f>+HYPERLINK("http://trademark.i-assist.jp/data/china/image_1890th/77253553.pdf",77253553)</f>
        <v>77253553</v>
      </c>
      <c r="F2049" s="7" t="s">
        <v>5742</v>
      </c>
      <c r="G2049" s="7" t="s">
        <v>5681</v>
      </c>
      <c r="H2049" s="7" t="s">
        <v>5743</v>
      </c>
      <c r="I2049" s="9">
        <v>45363</v>
      </c>
    </row>
    <row r="2050" spans="1:9" x14ac:dyDescent="0.15">
      <c r="A2050" s="6">
        <v>2049</v>
      </c>
      <c r="B2050" s="7" t="s">
        <v>7</v>
      </c>
      <c r="C2050" s="8">
        <v>1890</v>
      </c>
      <c r="D2050" s="9">
        <v>45449</v>
      </c>
      <c r="E2050" s="13">
        <f>+HYPERLINK("http://trademark.i-assist.jp/data/china/image_1890th/77253558.pdf",77253558)</f>
        <v>77253558</v>
      </c>
      <c r="F2050" s="7" t="s">
        <v>5745</v>
      </c>
      <c r="G2050" s="7" t="s">
        <v>5744</v>
      </c>
      <c r="H2050" s="7" t="s">
        <v>5746</v>
      </c>
      <c r="I2050" s="9">
        <v>45363</v>
      </c>
    </row>
    <row r="2051" spans="1:9" x14ac:dyDescent="0.15">
      <c r="A2051" s="6">
        <v>2050</v>
      </c>
      <c r="B2051" s="7" t="s">
        <v>7</v>
      </c>
      <c r="C2051" s="8">
        <v>1890</v>
      </c>
      <c r="D2051" s="9">
        <v>45449</v>
      </c>
      <c r="E2051" s="13">
        <f>+HYPERLINK("http://trademark.i-assist.jp/data/china/image_1890th/77253679.pdf",77253679)</f>
        <v>77253679</v>
      </c>
      <c r="F2051" s="7" t="s">
        <v>5748</v>
      </c>
      <c r="G2051" s="7" t="s">
        <v>5747</v>
      </c>
      <c r="H2051" s="7" t="s">
        <v>5749</v>
      </c>
      <c r="I2051" s="9">
        <v>45363</v>
      </c>
    </row>
    <row r="2052" spans="1:9" x14ac:dyDescent="0.15">
      <c r="A2052" s="6">
        <v>2051</v>
      </c>
      <c r="B2052" s="7" t="s">
        <v>7</v>
      </c>
      <c r="C2052" s="8">
        <v>1890</v>
      </c>
      <c r="D2052" s="9">
        <v>45449</v>
      </c>
      <c r="E2052" s="13">
        <f>+HYPERLINK("http://trademark.i-assist.jp/data/china/image_1890th/77253816.pdf",77253816)</f>
        <v>77253816</v>
      </c>
      <c r="F2052" s="7" t="s">
        <v>5750</v>
      </c>
      <c r="G2052" s="7" t="s">
        <v>5535</v>
      </c>
      <c r="H2052" s="7" t="s">
        <v>5751</v>
      </c>
      <c r="I2052" s="9">
        <v>45363</v>
      </c>
    </row>
    <row r="2053" spans="1:9" x14ac:dyDescent="0.15">
      <c r="A2053" s="6">
        <v>2052</v>
      </c>
      <c r="B2053" s="7" t="s">
        <v>7</v>
      </c>
      <c r="C2053" s="8">
        <v>1890</v>
      </c>
      <c r="D2053" s="9">
        <v>45449</v>
      </c>
      <c r="E2053" s="13">
        <f>+HYPERLINK("http://trademark.i-assist.jp/data/china/image_1890th/77254067.pdf",77254067)</f>
        <v>77254067</v>
      </c>
      <c r="F2053" s="7" t="s">
        <v>5753</v>
      </c>
      <c r="G2053" s="7" t="s">
        <v>5752</v>
      </c>
      <c r="H2053" s="7" t="s">
        <v>5754</v>
      </c>
      <c r="I2053" s="9">
        <v>45363</v>
      </c>
    </row>
    <row r="2054" spans="1:9" x14ac:dyDescent="0.15">
      <c r="A2054" s="6">
        <v>2053</v>
      </c>
      <c r="B2054" s="7" t="s">
        <v>7</v>
      </c>
      <c r="C2054" s="8">
        <v>1890</v>
      </c>
      <c r="D2054" s="9">
        <v>45449</v>
      </c>
      <c r="E2054" s="13">
        <f>+HYPERLINK("http://trademark.i-assist.jp/data/china/image_1890th/77254247.pdf",77254247)</f>
        <v>77254247</v>
      </c>
      <c r="F2054" s="7" t="s">
        <v>5756</v>
      </c>
      <c r="G2054" s="7" t="s">
        <v>5755</v>
      </c>
      <c r="H2054" s="7" t="s">
        <v>5757</v>
      </c>
      <c r="I2054" s="9">
        <v>45363</v>
      </c>
    </row>
    <row r="2055" spans="1:9" x14ac:dyDescent="0.15">
      <c r="A2055" s="6">
        <v>2054</v>
      </c>
      <c r="B2055" s="7" t="s">
        <v>7</v>
      </c>
      <c r="C2055" s="8">
        <v>1890</v>
      </c>
      <c r="D2055" s="9">
        <v>45449</v>
      </c>
      <c r="E2055" s="13">
        <f>+HYPERLINK("http://trademark.i-assist.jp/data/china/image_1890th/77254337.pdf",77254337)</f>
        <v>77254337</v>
      </c>
      <c r="F2055" s="7" t="s">
        <v>5758</v>
      </c>
      <c r="G2055" s="7" t="s">
        <v>5070</v>
      </c>
      <c r="H2055" s="7" t="s">
        <v>5759</v>
      </c>
      <c r="I2055" s="9">
        <v>45363</v>
      </c>
    </row>
    <row r="2056" spans="1:9" x14ac:dyDescent="0.15">
      <c r="A2056" s="6">
        <v>2055</v>
      </c>
      <c r="B2056" s="7" t="s">
        <v>7</v>
      </c>
      <c r="C2056" s="8">
        <v>1890</v>
      </c>
      <c r="D2056" s="9">
        <v>45449</v>
      </c>
      <c r="E2056" s="13">
        <f>+HYPERLINK("http://trademark.i-assist.jp/data/china/image_1890th/77254540.pdf",77254540)</f>
        <v>77254540</v>
      </c>
      <c r="F2056" s="7" t="s">
        <v>183</v>
      </c>
      <c r="G2056" s="7" t="s">
        <v>3970</v>
      </c>
      <c r="H2056" s="7" t="s">
        <v>5760</v>
      </c>
      <c r="I2056" s="9">
        <v>45363</v>
      </c>
    </row>
    <row r="2057" spans="1:9" x14ac:dyDescent="0.15">
      <c r="A2057" s="6">
        <v>2056</v>
      </c>
      <c r="B2057" s="7" t="s">
        <v>7</v>
      </c>
      <c r="C2057" s="8">
        <v>1890</v>
      </c>
      <c r="D2057" s="9">
        <v>45449</v>
      </c>
      <c r="E2057" s="13">
        <f>+HYPERLINK("http://trademark.i-assist.jp/data/china/image_1890th/77254546.pdf",77254546)</f>
        <v>77254546</v>
      </c>
      <c r="F2057" s="7" t="s">
        <v>183</v>
      </c>
      <c r="G2057" s="7" t="s">
        <v>3970</v>
      </c>
      <c r="H2057" s="7" t="s">
        <v>5761</v>
      </c>
      <c r="I2057" s="9">
        <v>45363</v>
      </c>
    </row>
    <row r="2058" spans="1:9" x14ac:dyDescent="0.15">
      <c r="A2058" s="6">
        <v>2057</v>
      </c>
      <c r="B2058" s="7" t="s">
        <v>7</v>
      </c>
      <c r="C2058" s="8">
        <v>1890</v>
      </c>
      <c r="D2058" s="9">
        <v>45449</v>
      </c>
      <c r="E2058" s="13">
        <f>+HYPERLINK("http://trademark.i-assist.jp/data/china/image_1890th/77254818.pdf",77254818)</f>
        <v>77254818</v>
      </c>
      <c r="F2058" s="7" t="s">
        <v>5763</v>
      </c>
      <c r="G2058" s="7" t="s">
        <v>5762</v>
      </c>
      <c r="H2058" s="7" t="s">
        <v>5764</v>
      </c>
      <c r="I2058" s="9">
        <v>45363</v>
      </c>
    </row>
    <row r="2059" spans="1:9" x14ac:dyDescent="0.15">
      <c r="A2059" s="6">
        <v>2058</v>
      </c>
      <c r="B2059" s="7" t="s">
        <v>7</v>
      </c>
      <c r="C2059" s="8">
        <v>1890</v>
      </c>
      <c r="D2059" s="9">
        <v>45449</v>
      </c>
      <c r="E2059" s="13">
        <f>+HYPERLINK("http://trademark.i-assist.jp/data/china/image_1890th/77255011.pdf",77255011)</f>
        <v>77255011</v>
      </c>
      <c r="F2059" s="7" t="s">
        <v>5766</v>
      </c>
      <c r="G2059" s="7" t="s">
        <v>5765</v>
      </c>
      <c r="H2059" s="7" t="s">
        <v>5767</v>
      </c>
      <c r="I2059" s="9">
        <v>45363</v>
      </c>
    </row>
    <row r="2060" spans="1:9" x14ac:dyDescent="0.15">
      <c r="A2060" s="6">
        <v>2059</v>
      </c>
      <c r="B2060" s="7" t="s">
        <v>7</v>
      </c>
      <c r="C2060" s="8">
        <v>1890</v>
      </c>
      <c r="D2060" s="9">
        <v>45449</v>
      </c>
      <c r="E2060" s="13">
        <f>+HYPERLINK("http://trademark.i-assist.jp/data/china/image_1890th/77255017.pdf",77255017)</f>
        <v>77255017</v>
      </c>
      <c r="F2060" s="7" t="s">
        <v>5769</v>
      </c>
      <c r="G2060" s="7" t="s">
        <v>5768</v>
      </c>
      <c r="H2060" s="7" t="s">
        <v>5770</v>
      </c>
      <c r="I2060" s="9">
        <v>45363</v>
      </c>
    </row>
    <row r="2061" spans="1:9" x14ac:dyDescent="0.15">
      <c r="A2061" s="6">
        <v>2060</v>
      </c>
      <c r="B2061" s="7" t="s">
        <v>7</v>
      </c>
      <c r="C2061" s="8">
        <v>1890</v>
      </c>
      <c r="D2061" s="9">
        <v>45449</v>
      </c>
      <c r="E2061" s="13">
        <f>+HYPERLINK("http://trademark.i-assist.jp/data/china/image_1890th/77255018.pdf",77255018)</f>
        <v>77255018</v>
      </c>
      <c r="F2061" s="7" t="s">
        <v>5771</v>
      </c>
      <c r="G2061" s="7" t="s">
        <v>5681</v>
      </c>
      <c r="H2061" s="7" t="s">
        <v>5772</v>
      </c>
      <c r="I2061" s="9">
        <v>45363</v>
      </c>
    </row>
    <row r="2062" spans="1:9" ht="27" x14ac:dyDescent="0.15">
      <c r="A2062" s="6">
        <v>2061</v>
      </c>
      <c r="B2062" s="7" t="s">
        <v>7</v>
      </c>
      <c r="C2062" s="8">
        <v>1890</v>
      </c>
      <c r="D2062" s="9">
        <v>45449</v>
      </c>
      <c r="E2062" s="13">
        <f>+HYPERLINK("http://trademark.i-assist.jp/data/china/image_1890th/77255065.pdf",77255065)</f>
        <v>77255065</v>
      </c>
      <c r="F2062" s="7" t="s">
        <v>5774</v>
      </c>
      <c r="G2062" s="7" t="s">
        <v>5773</v>
      </c>
      <c r="H2062" s="7" t="s">
        <v>5775</v>
      </c>
      <c r="I2062" s="9">
        <v>45363</v>
      </c>
    </row>
    <row r="2063" spans="1:9" x14ac:dyDescent="0.15">
      <c r="A2063" s="6">
        <v>2062</v>
      </c>
      <c r="B2063" s="7" t="s">
        <v>7</v>
      </c>
      <c r="C2063" s="8">
        <v>1890</v>
      </c>
      <c r="D2063" s="9">
        <v>45449</v>
      </c>
      <c r="E2063" s="13">
        <f>+HYPERLINK("http://trademark.i-assist.jp/data/china/image_1890th/77255295.pdf",77255295)</f>
        <v>77255295</v>
      </c>
      <c r="F2063" s="7" t="s">
        <v>5777</v>
      </c>
      <c r="G2063" s="7" t="s">
        <v>5776</v>
      </c>
      <c r="H2063" s="7" t="s">
        <v>5778</v>
      </c>
      <c r="I2063" s="9">
        <v>45363</v>
      </c>
    </row>
    <row r="2064" spans="1:9" x14ac:dyDescent="0.15">
      <c r="A2064" s="6">
        <v>2063</v>
      </c>
      <c r="B2064" s="7" t="s">
        <v>7</v>
      </c>
      <c r="C2064" s="8">
        <v>1890</v>
      </c>
      <c r="D2064" s="9">
        <v>45449</v>
      </c>
      <c r="E2064" s="13">
        <f>+HYPERLINK("http://trademark.i-assist.jp/data/china/image_1890th/77255669.pdf",77255669)</f>
        <v>77255669</v>
      </c>
      <c r="F2064" s="7" t="s">
        <v>5603</v>
      </c>
      <c r="G2064" s="7" t="s">
        <v>5602</v>
      </c>
      <c r="H2064" s="7" t="s">
        <v>5779</v>
      </c>
      <c r="I2064" s="9">
        <v>45363</v>
      </c>
    </row>
    <row r="2065" spans="1:9" x14ac:dyDescent="0.15">
      <c r="A2065" s="6">
        <v>2064</v>
      </c>
      <c r="B2065" s="7" t="s">
        <v>7</v>
      </c>
      <c r="C2065" s="8">
        <v>1890</v>
      </c>
      <c r="D2065" s="9">
        <v>45449</v>
      </c>
      <c r="E2065" s="13">
        <f>+HYPERLINK("http://trademark.i-assist.jp/data/china/image_1890th/77255791.pdf",77255791)</f>
        <v>77255791</v>
      </c>
      <c r="F2065" s="7" t="s">
        <v>5781</v>
      </c>
      <c r="G2065" s="7" t="s">
        <v>5780</v>
      </c>
      <c r="H2065" s="7" t="s">
        <v>5782</v>
      </c>
      <c r="I2065" s="9">
        <v>45363</v>
      </c>
    </row>
    <row r="2066" spans="1:9" x14ac:dyDescent="0.15">
      <c r="A2066" s="6">
        <v>2065</v>
      </c>
      <c r="B2066" s="7" t="s">
        <v>7</v>
      </c>
      <c r="C2066" s="8">
        <v>1890</v>
      </c>
      <c r="D2066" s="9">
        <v>45449</v>
      </c>
      <c r="E2066" s="13">
        <f>+HYPERLINK("http://trademark.i-assist.jp/data/china/image_1890th/77255805.pdf",77255805)</f>
        <v>77255805</v>
      </c>
      <c r="F2066" s="7" t="s">
        <v>5784</v>
      </c>
      <c r="G2066" s="7" t="s">
        <v>5783</v>
      </c>
      <c r="H2066" s="7" t="s">
        <v>5785</v>
      </c>
      <c r="I2066" s="9">
        <v>45363</v>
      </c>
    </row>
    <row r="2067" spans="1:9" x14ac:dyDescent="0.15">
      <c r="A2067" s="6">
        <v>2066</v>
      </c>
      <c r="B2067" s="7" t="s">
        <v>7</v>
      </c>
      <c r="C2067" s="8">
        <v>1890</v>
      </c>
      <c r="D2067" s="9">
        <v>45449</v>
      </c>
      <c r="E2067" s="13">
        <f>+HYPERLINK("http://trademark.i-assist.jp/data/china/image_1890th/77255856.pdf",77255856)</f>
        <v>77255856</v>
      </c>
      <c r="F2067" s="7" t="s">
        <v>5787</v>
      </c>
      <c r="G2067" s="7" t="s">
        <v>5786</v>
      </c>
      <c r="H2067" s="7" t="s">
        <v>5788</v>
      </c>
      <c r="I2067" s="9">
        <v>45363</v>
      </c>
    </row>
    <row r="2068" spans="1:9" x14ac:dyDescent="0.15">
      <c r="A2068" s="6">
        <v>2067</v>
      </c>
      <c r="B2068" s="7" t="s">
        <v>7</v>
      </c>
      <c r="C2068" s="8">
        <v>1890</v>
      </c>
      <c r="D2068" s="9">
        <v>45449</v>
      </c>
      <c r="E2068" s="13">
        <f>+HYPERLINK("http://trademark.i-assist.jp/data/china/image_1890th/77255919.pdf",77255919)</f>
        <v>77255919</v>
      </c>
      <c r="F2068" s="7" t="s">
        <v>5790</v>
      </c>
      <c r="G2068" s="7" t="s">
        <v>5789</v>
      </c>
      <c r="H2068" s="7" t="s">
        <v>5791</v>
      </c>
      <c r="I2068" s="9">
        <v>45363</v>
      </c>
    </row>
    <row r="2069" spans="1:9" x14ac:dyDescent="0.15">
      <c r="A2069" s="6">
        <v>2068</v>
      </c>
      <c r="B2069" s="7" t="s">
        <v>7</v>
      </c>
      <c r="C2069" s="8">
        <v>1890</v>
      </c>
      <c r="D2069" s="9">
        <v>45449</v>
      </c>
      <c r="E2069" s="13">
        <f>+HYPERLINK("http://trademark.i-assist.jp/data/china/image_1890th/77255945.pdf",77255945)</f>
        <v>77255945</v>
      </c>
      <c r="F2069" s="7" t="s">
        <v>5793</v>
      </c>
      <c r="G2069" s="7" t="s">
        <v>5792</v>
      </c>
      <c r="H2069" s="7" t="s">
        <v>5794</v>
      </c>
      <c r="I2069" s="9">
        <v>45363</v>
      </c>
    </row>
    <row r="2070" spans="1:9" x14ac:dyDescent="0.15">
      <c r="A2070" s="6">
        <v>2069</v>
      </c>
      <c r="B2070" s="7" t="s">
        <v>7</v>
      </c>
      <c r="C2070" s="8">
        <v>1890</v>
      </c>
      <c r="D2070" s="9">
        <v>45449</v>
      </c>
      <c r="E2070" s="13">
        <f>+HYPERLINK("http://trademark.i-assist.jp/data/china/image_1890th/77256189.pdf",77256189)</f>
        <v>77256189</v>
      </c>
      <c r="F2070" s="7" t="s">
        <v>5796</v>
      </c>
      <c r="G2070" s="7" t="s">
        <v>5795</v>
      </c>
      <c r="H2070" s="7" t="s">
        <v>5797</v>
      </c>
      <c r="I2070" s="9">
        <v>45363</v>
      </c>
    </row>
    <row r="2071" spans="1:9" x14ac:dyDescent="0.15">
      <c r="A2071" s="6">
        <v>2070</v>
      </c>
      <c r="B2071" s="7" t="s">
        <v>7</v>
      </c>
      <c r="C2071" s="8">
        <v>1890</v>
      </c>
      <c r="D2071" s="9">
        <v>45449</v>
      </c>
      <c r="E2071" s="13">
        <f>+HYPERLINK("http://trademark.i-assist.jp/data/china/image_1890th/77256579.pdf",77256579)</f>
        <v>77256579</v>
      </c>
      <c r="F2071" s="7" t="s">
        <v>5799</v>
      </c>
      <c r="G2071" s="7" t="s">
        <v>5798</v>
      </c>
      <c r="H2071" s="7" t="s">
        <v>5800</v>
      </c>
      <c r="I2071" s="9">
        <v>45363</v>
      </c>
    </row>
    <row r="2072" spans="1:9" x14ac:dyDescent="0.15">
      <c r="A2072" s="6">
        <v>2071</v>
      </c>
      <c r="B2072" s="7" t="s">
        <v>7</v>
      </c>
      <c r="C2072" s="8">
        <v>1890</v>
      </c>
      <c r="D2072" s="9">
        <v>45449</v>
      </c>
      <c r="E2072" s="13">
        <f>+HYPERLINK("http://trademark.i-assist.jp/data/china/image_1890th/77256732.pdf",77256732)</f>
        <v>77256732</v>
      </c>
      <c r="F2072" s="7" t="s">
        <v>5802</v>
      </c>
      <c r="G2072" s="7" t="s">
        <v>5801</v>
      </c>
      <c r="H2072" s="7" t="s">
        <v>5803</v>
      </c>
      <c r="I2072" s="9">
        <v>45363</v>
      </c>
    </row>
    <row r="2073" spans="1:9" x14ac:dyDescent="0.15">
      <c r="A2073" s="6">
        <v>2072</v>
      </c>
      <c r="B2073" s="7" t="s">
        <v>7</v>
      </c>
      <c r="C2073" s="8">
        <v>1890</v>
      </c>
      <c r="D2073" s="9">
        <v>45449</v>
      </c>
      <c r="E2073" s="13">
        <f>+HYPERLINK("http://trademark.i-assist.jp/data/china/image_1890th/77256733.pdf",77256733)</f>
        <v>77256733</v>
      </c>
      <c r="F2073" s="7" t="s">
        <v>5805</v>
      </c>
      <c r="G2073" s="7" t="s">
        <v>5804</v>
      </c>
      <c r="H2073" s="7" t="s">
        <v>5806</v>
      </c>
      <c r="I2073" s="9">
        <v>45363</v>
      </c>
    </row>
    <row r="2074" spans="1:9" ht="27" x14ac:dyDescent="0.15">
      <c r="A2074" s="6">
        <v>2073</v>
      </c>
      <c r="B2074" s="7" t="s">
        <v>7</v>
      </c>
      <c r="C2074" s="8">
        <v>1890</v>
      </c>
      <c r="D2074" s="9">
        <v>45449</v>
      </c>
      <c r="E2074" s="13">
        <f>+HYPERLINK("http://trademark.i-assist.jp/data/china/image_1890th/77256749.pdf",77256749)</f>
        <v>77256749</v>
      </c>
      <c r="F2074" s="7" t="s">
        <v>183</v>
      </c>
      <c r="G2074" s="7" t="s">
        <v>5807</v>
      </c>
      <c r="H2074" s="7" t="s">
        <v>5808</v>
      </c>
      <c r="I2074" s="9">
        <v>45363</v>
      </c>
    </row>
    <row r="2075" spans="1:9" x14ac:dyDescent="0.15">
      <c r="A2075" s="6">
        <v>2074</v>
      </c>
      <c r="B2075" s="7" t="s">
        <v>7</v>
      </c>
      <c r="C2075" s="8">
        <v>1890</v>
      </c>
      <c r="D2075" s="9">
        <v>45449</v>
      </c>
      <c r="E2075" s="13">
        <f>+HYPERLINK("http://trademark.i-assist.jp/data/china/image_1890th/77256754.pdf",77256754)</f>
        <v>77256754</v>
      </c>
      <c r="F2075" s="7" t="s">
        <v>5809</v>
      </c>
      <c r="G2075" s="7" t="s">
        <v>3972</v>
      </c>
      <c r="H2075" s="7" t="s">
        <v>5810</v>
      </c>
      <c r="I2075" s="9">
        <v>45363</v>
      </c>
    </row>
    <row r="2076" spans="1:9" x14ac:dyDescent="0.15">
      <c r="A2076" s="6">
        <v>2075</v>
      </c>
      <c r="B2076" s="7" t="s">
        <v>7</v>
      </c>
      <c r="C2076" s="8">
        <v>1890</v>
      </c>
      <c r="D2076" s="9">
        <v>45449</v>
      </c>
      <c r="E2076" s="13">
        <f>+HYPERLINK("http://trademark.i-assist.jp/data/china/image_1890th/77256846.pdf",77256846)</f>
        <v>77256846</v>
      </c>
      <c r="F2076" s="7" t="s">
        <v>5812</v>
      </c>
      <c r="G2076" s="7" t="s">
        <v>5811</v>
      </c>
      <c r="H2076" s="7" t="s">
        <v>5813</v>
      </c>
      <c r="I2076" s="9">
        <v>45363</v>
      </c>
    </row>
    <row r="2077" spans="1:9" ht="27" x14ac:dyDescent="0.15">
      <c r="A2077" s="6">
        <v>2076</v>
      </c>
      <c r="B2077" s="7" t="s">
        <v>7</v>
      </c>
      <c r="C2077" s="8">
        <v>1890</v>
      </c>
      <c r="D2077" s="9">
        <v>45449</v>
      </c>
      <c r="E2077" s="13">
        <f>+HYPERLINK("http://trademark.i-assist.jp/data/china/image_1890th/77257041.pdf",77257041)</f>
        <v>77257041</v>
      </c>
      <c r="F2077" s="7" t="s">
        <v>5815</v>
      </c>
      <c r="G2077" s="7" t="s">
        <v>5814</v>
      </c>
      <c r="H2077" s="7" t="s">
        <v>5816</v>
      </c>
      <c r="I2077" s="9">
        <v>45363</v>
      </c>
    </row>
    <row r="2078" spans="1:9" x14ac:dyDescent="0.15">
      <c r="A2078" s="6">
        <v>2077</v>
      </c>
      <c r="B2078" s="7" t="s">
        <v>7</v>
      </c>
      <c r="C2078" s="8">
        <v>1890</v>
      </c>
      <c r="D2078" s="9">
        <v>45449</v>
      </c>
      <c r="E2078" s="13">
        <f>+HYPERLINK("http://trademark.i-assist.jp/data/china/image_1890th/77257309.pdf",77257309)</f>
        <v>77257309</v>
      </c>
      <c r="F2078" s="7" t="s">
        <v>5818</v>
      </c>
      <c r="G2078" s="7" t="s">
        <v>5817</v>
      </c>
      <c r="H2078" s="7" t="s">
        <v>5819</v>
      </c>
      <c r="I2078" s="9">
        <v>45363</v>
      </c>
    </row>
    <row r="2079" spans="1:9" ht="27" x14ac:dyDescent="0.15">
      <c r="A2079" s="6">
        <v>2078</v>
      </c>
      <c r="B2079" s="7" t="s">
        <v>7</v>
      </c>
      <c r="C2079" s="8">
        <v>1890</v>
      </c>
      <c r="D2079" s="9">
        <v>45449</v>
      </c>
      <c r="E2079" s="13">
        <f>+HYPERLINK("http://trademark.i-assist.jp/data/china/image_1890th/77257422.pdf",77257422)</f>
        <v>77257422</v>
      </c>
      <c r="F2079" s="7" t="s">
        <v>183</v>
      </c>
      <c r="G2079" s="7" t="s">
        <v>5820</v>
      </c>
      <c r="H2079" s="7" t="s">
        <v>5821</v>
      </c>
      <c r="I2079" s="9">
        <v>45363</v>
      </c>
    </row>
    <row r="2080" spans="1:9" x14ac:dyDescent="0.15">
      <c r="A2080" s="6">
        <v>2079</v>
      </c>
      <c r="B2080" s="7" t="s">
        <v>7</v>
      </c>
      <c r="C2080" s="8">
        <v>1890</v>
      </c>
      <c r="D2080" s="9">
        <v>45449</v>
      </c>
      <c r="E2080" s="13">
        <f>+HYPERLINK("http://trademark.i-assist.jp/data/china/image_1890th/77258112.pdf",77258112)</f>
        <v>77258112</v>
      </c>
      <c r="F2080" s="7" t="s">
        <v>5823</v>
      </c>
      <c r="G2080" s="7" t="s">
        <v>5822</v>
      </c>
      <c r="H2080" s="7" t="s">
        <v>5824</v>
      </c>
      <c r="I2080" s="9">
        <v>45363</v>
      </c>
    </row>
    <row r="2081" spans="1:9" x14ac:dyDescent="0.15">
      <c r="A2081" s="6">
        <v>2080</v>
      </c>
      <c r="B2081" s="7" t="s">
        <v>7</v>
      </c>
      <c r="C2081" s="8">
        <v>1890</v>
      </c>
      <c r="D2081" s="9">
        <v>45449</v>
      </c>
      <c r="E2081" s="13">
        <f>+HYPERLINK("http://trademark.i-assist.jp/data/china/image_1890th/77258360.pdf",77258360)</f>
        <v>77258360</v>
      </c>
      <c r="F2081" s="7" t="s">
        <v>5826</v>
      </c>
      <c r="G2081" s="7" t="s">
        <v>5825</v>
      </c>
      <c r="H2081" s="7" t="s">
        <v>5827</v>
      </c>
      <c r="I2081" s="9">
        <v>45363</v>
      </c>
    </row>
    <row r="2082" spans="1:9" x14ac:dyDescent="0.15">
      <c r="A2082" s="6">
        <v>2081</v>
      </c>
      <c r="B2082" s="7" t="s">
        <v>7</v>
      </c>
      <c r="C2082" s="8">
        <v>1890</v>
      </c>
      <c r="D2082" s="9">
        <v>45449</v>
      </c>
      <c r="E2082" s="13">
        <f>+HYPERLINK("http://trademark.i-assist.jp/data/china/image_1890th/77258409.pdf",77258409)</f>
        <v>77258409</v>
      </c>
      <c r="F2082" s="7" t="s">
        <v>5828</v>
      </c>
      <c r="G2082" s="7" t="s">
        <v>27</v>
      </c>
      <c r="H2082" s="7" t="s">
        <v>5829</v>
      </c>
      <c r="I2082" s="9">
        <v>45363</v>
      </c>
    </row>
    <row r="2083" spans="1:9" ht="27" x14ac:dyDescent="0.15">
      <c r="A2083" s="6">
        <v>2082</v>
      </c>
      <c r="B2083" s="7" t="s">
        <v>7</v>
      </c>
      <c r="C2083" s="8">
        <v>1890</v>
      </c>
      <c r="D2083" s="9">
        <v>45449</v>
      </c>
      <c r="E2083" s="13">
        <f>+HYPERLINK("http://trademark.i-assist.jp/data/china/image_1890th/77258495.pdf",77258495)</f>
        <v>77258495</v>
      </c>
      <c r="F2083" s="7" t="s">
        <v>5831</v>
      </c>
      <c r="G2083" s="7" t="s">
        <v>5830</v>
      </c>
      <c r="H2083" s="7" t="s">
        <v>5832</v>
      </c>
      <c r="I2083" s="9">
        <v>45363</v>
      </c>
    </row>
    <row r="2084" spans="1:9" ht="27" x14ac:dyDescent="0.15">
      <c r="A2084" s="6">
        <v>2083</v>
      </c>
      <c r="B2084" s="7" t="s">
        <v>7</v>
      </c>
      <c r="C2084" s="8">
        <v>1890</v>
      </c>
      <c r="D2084" s="9">
        <v>45449</v>
      </c>
      <c r="E2084" s="13">
        <f>+HYPERLINK("http://trademark.i-assist.jp/data/china/image_1890th/77258640.pdf",77258640)</f>
        <v>77258640</v>
      </c>
      <c r="F2084" s="7" t="s">
        <v>5834</v>
      </c>
      <c r="G2084" s="7" t="s">
        <v>5833</v>
      </c>
      <c r="H2084" s="7" t="s">
        <v>5835</v>
      </c>
      <c r="I2084" s="9">
        <v>45363</v>
      </c>
    </row>
    <row r="2085" spans="1:9" x14ac:dyDescent="0.15">
      <c r="A2085" s="6">
        <v>2084</v>
      </c>
      <c r="B2085" s="7" t="s">
        <v>7</v>
      </c>
      <c r="C2085" s="8">
        <v>1890</v>
      </c>
      <c r="D2085" s="9">
        <v>45449</v>
      </c>
      <c r="E2085" s="13">
        <f>+HYPERLINK("http://trademark.i-assist.jp/data/china/image_1890th/77258665.pdf",77258665)</f>
        <v>77258665</v>
      </c>
      <c r="F2085" s="7" t="s">
        <v>5837</v>
      </c>
      <c r="G2085" s="7" t="s">
        <v>5836</v>
      </c>
      <c r="H2085" s="7" t="s">
        <v>5838</v>
      </c>
      <c r="I2085" s="9">
        <v>45363</v>
      </c>
    </row>
    <row r="2086" spans="1:9" x14ac:dyDescent="0.15">
      <c r="A2086" s="6">
        <v>2085</v>
      </c>
      <c r="B2086" s="7" t="s">
        <v>7</v>
      </c>
      <c r="C2086" s="8">
        <v>1890</v>
      </c>
      <c r="D2086" s="9">
        <v>45449</v>
      </c>
      <c r="E2086" s="13">
        <f>+HYPERLINK("http://trademark.i-assist.jp/data/china/image_1890th/77258805.pdf",77258805)</f>
        <v>77258805</v>
      </c>
      <c r="F2086" s="7" t="s">
        <v>5840</v>
      </c>
      <c r="G2086" s="7" t="s">
        <v>5839</v>
      </c>
      <c r="H2086" s="7" t="s">
        <v>5841</v>
      </c>
      <c r="I2086" s="9">
        <v>45363</v>
      </c>
    </row>
    <row r="2087" spans="1:9" x14ac:dyDescent="0.15">
      <c r="A2087" s="6">
        <v>2086</v>
      </c>
      <c r="B2087" s="7" t="s">
        <v>7</v>
      </c>
      <c r="C2087" s="8">
        <v>1890</v>
      </c>
      <c r="D2087" s="9">
        <v>45449</v>
      </c>
      <c r="E2087" s="13">
        <f>+HYPERLINK("http://trademark.i-assist.jp/data/china/image_1890th/77258907.pdf",77258907)</f>
        <v>77258907</v>
      </c>
      <c r="F2087" s="7" t="s">
        <v>5843</v>
      </c>
      <c r="G2087" s="7" t="s">
        <v>5842</v>
      </c>
      <c r="H2087" s="7" t="s">
        <v>5844</v>
      </c>
      <c r="I2087" s="9">
        <v>45363</v>
      </c>
    </row>
    <row r="2088" spans="1:9" x14ac:dyDescent="0.15">
      <c r="A2088" s="6">
        <v>2087</v>
      </c>
      <c r="B2088" s="7" t="s">
        <v>7</v>
      </c>
      <c r="C2088" s="8">
        <v>1890</v>
      </c>
      <c r="D2088" s="9">
        <v>45449</v>
      </c>
      <c r="E2088" s="13">
        <f>+HYPERLINK("http://trademark.i-assist.jp/data/china/image_1890th/77259020.pdf",77259020)</f>
        <v>77259020</v>
      </c>
      <c r="F2088" s="7" t="s">
        <v>5846</v>
      </c>
      <c r="G2088" s="7" t="s">
        <v>5845</v>
      </c>
      <c r="H2088" s="7" t="s">
        <v>5847</v>
      </c>
      <c r="I2088" s="9">
        <v>45363</v>
      </c>
    </row>
    <row r="2089" spans="1:9" x14ac:dyDescent="0.15">
      <c r="A2089" s="6">
        <v>2088</v>
      </c>
      <c r="B2089" s="7" t="s">
        <v>7</v>
      </c>
      <c r="C2089" s="8">
        <v>1890</v>
      </c>
      <c r="D2089" s="9">
        <v>45449</v>
      </c>
      <c r="E2089" s="13">
        <f>+HYPERLINK("http://trademark.i-assist.jp/data/china/image_1890th/77259034.pdf",77259034)</f>
        <v>77259034</v>
      </c>
      <c r="F2089" s="7" t="s">
        <v>5849</v>
      </c>
      <c r="G2089" s="7" t="s">
        <v>5848</v>
      </c>
      <c r="H2089" s="7" t="s">
        <v>5850</v>
      </c>
      <c r="I2089" s="9">
        <v>45363</v>
      </c>
    </row>
    <row r="2090" spans="1:9" x14ac:dyDescent="0.15">
      <c r="A2090" s="6">
        <v>2089</v>
      </c>
      <c r="B2090" s="7" t="s">
        <v>7</v>
      </c>
      <c r="C2090" s="8">
        <v>1890</v>
      </c>
      <c r="D2090" s="9">
        <v>45449</v>
      </c>
      <c r="E2090" s="13">
        <f>+HYPERLINK("http://trademark.i-assist.jp/data/china/image_1890th/77259136.pdf",77259136)</f>
        <v>77259136</v>
      </c>
      <c r="F2090" s="7" t="s">
        <v>5852</v>
      </c>
      <c r="G2090" s="7" t="s">
        <v>5851</v>
      </c>
      <c r="H2090" s="7" t="s">
        <v>5853</v>
      </c>
      <c r="I2090" s="9">
        <v>45363</v>
      </c>
    </row>
    <row r="2091" spans="1:9" x14ac:dyDescent="0.15">
      <c r="A2091" s="6">
        <v>2090</v>
      </c>
      <c r="B2091" s="7" t="s">
        <v>7</v>
      </c>
      <c r="C2091" s="8">
        <v>1890</v>
      </c>
      <c r="D2091" s="9">
        <v>45449</v>
      </c>
      <c r="E2091" s="13">
        <f>+HYPERLINK("http://trademark.i-assist.jp/data/china/image_1890th/77259310.pdf",77259310)</f>
        <v>77259310</v>
      </c>
      <c r="F2091" s="7" t="s">
        <v>5855</v>
      </c>
      <c r="G2091" s="7" t="s">
        <v>5854</v>
      </c>
      <c r="H2091" s="7" t="s">
        <v>5856</v>
      </c>
      <c r="I2091" s="9">
        <v>45363</v>
      </c>
    </row>
    <row r="2092" spans="1:9" x14ac:dyDescent="0.15">
      <c r="A2092" s="6">
        <v>2091</v>
      </c>
      <c r="B2092" s="7" t="s">
        <v>7</v>
      </c>
      <c r="C2092" s="8">
        <v>1890</v>
      </c>
      <c r="D2092" s="9">
        <v>45449</v>
      </c>
      <c r="E2092" s="13">
        <f>+HYPERLINK("http://trademark.i-assist.jp/data/china/image_1890th/77263732.pdf",77263732)</f>
        <v>77263732</v>
      </c>
      <c r="F2092" s="7" t="s">
        <v>5857</v>
      </c>
      <c r="G2092" s="7" t="s">
        <v>5121</v>
      </c>
      <c r="H2092" s="7" t="s">
        <v>5858</v>
      </c>
      <c r="I2092" s="9">
        <v>45364</v>
      </c>
    </row>
    <row r="2093" spans="1:9" x14ac:dyDescent="0.15">
      <c r="A2093" s="6">
        <v>2092</v>
      </c>
      <c r="B2093" s="7" t="s">
        <v>7</v>
      </c>
      <c r="C2093" s="8">
        <v>1890</v>
      </c>
      <c r="D2093" s="9">
        <v>45449</v>
      </c>
      <c r="E2093" s="13">
        <f>+HYPERLINK("http://trademark.i-assist.jp/data/china/image_1890th/77263779.pdf",77263779)</f>
        <v>77263779</v>
      </c>
      <c r="F2093" s="7" t="s">
        <v>5860</v>
      </c>
      <c r="G2093" s="7" t="s">
        <v>5859</v>
      </c>
      <c r="H2093" s="7" t="s">
        <v>5861</v>
      </c>
      <c r="I2093" s="9">
        <v>45364</v>
      </c>
    </row>
    <row r="2094" spans="1:9" x14ac:dyDescent="0.15">
      <c r="A2094" s="6">
        <v>2093</v>
      </c>
      <c r="B2094" s="7" t="s">
        <v>7</v>
      </c>
      <c r="C2094" s="8">
        <v>1890</v>
      </c>
      <c r="D2094" s="9">
        <v>45449</v>
      </c>
      <c r="E2094" s="13">
        <f>+HYPERLINK("http://trademark.i-assist.jp/data/china/image_1890th/77264795.pdf",77264795)</f>
        <v>77264795</v>
      </c>
      <c r="F2094" s="7" t="s">
        <v>5863</v>
      </c>
      <c r="G2094" s="7" t="s">
        <v>5862</v>
      </c>
      <c r="H2094" s="7" t="s">
        <v>5864</v>
      </c>
      <c r="I2094" s="9">
        <v>45364</v>
      </c>
    </row>
    <row r="2095" spans="1:9" x14ac:dyDescent="0.15">
      <c r="A2095" s="6">
        <v>2094</v>
      </c>
      <c r="B2095" s="7" t="s">
        <v>7</v>
      </c>
      <c r="C2095" s="8">
        <v>1890</v>
      </c>
      <c r="D2095" s="9">
        <v>45449</v>
      </c>
      <c r="E2095" s="13">
        <f>+HYPERLINK("http://trademark.i-assist.jp/data/china/image_1890th/77265023.pdf",77265023)</f>
        <v>77265023</v>
      </c>
      <c r="F2095" s="7" t="s">
        <v>5866</v>
      </c>
      <c r="G2095" s="7" t="s">
        <v>5865</v>
      </c>
      <c r="H2095" s="7" t="s">
        <v>5867</v>
      </c>
      <c r="I2095" s="9">
        <v>45364</v>
      </c>
    </row>
    <row r="2096" spans="1:9" x14ac:dyDescent="0.15">
      <c r="A2096" s="6">
        <v>2095</v>
      </c>
      <c r="B2096" s="7" t="s">
        <v>7</v>
      </c>
      <c r="C2096" s="8">
        <v>1890</v>
      </c>
      <c r="D2096" s="9">
        <v>45449</v>
      </c>
      <c r="E2096" s="13">
        <f>+HYPERLINK("http://trademark.i-assist.jp/data/china/image_1890th/77265680.pdf",77265680)</f>
        <v>77265680</v>
      </c>
      <c r="F2096" s="7" t="s">
        <v>5869</v>
      </c>
      <c r="G2096" s="7" t="s">
        <v>5868</v>
      </c>
      <c r="H2096" s="7" t="s">
        <v>5870</v>
      </c>
      <c r="I2096" s="9">
        <v>45364</v>
      </c>
    </row>
    <row r="2097" spans="1:9" x14ac:dyDescent="0.15">
      <c r="A2097" s="6">
        <v>2096</v>
      </c>
      <c r="B2097" s="7" t="s">
        <v>7</v>
      </c>
      <c r="C2097" s="8">
        <v>1890</v>
      </c>
      <c r="D2097" s="9">
        <v>45449</v>
      </c>
      <c r="E2097" s="13">
        <f>+HYPERLINK("http://trademark.i-assist.jp/data/china/image_1890th/77265715.pdf",77265715)</f>
        <v>77265715</v>
      </c>
      <c r="F2097" s="7" t="s">
        <v>5872</v>
      </c>
      <c r="G2097" s="7" t="s">
        <v>5871</v>
      </c>
      <c r="H2097" s="7" t="s">
        <v>5873</v>
      </c>
      <c r="I2097" s="9">
        <v>45364</v>
      </c>
    </row>
    <row r="2098" spans="1:9" x14ac:dyDescent="0.15">
      <c r="A2098" s="6">
        <v>2097</v>
      </c>
      <c r="B2098" s="7" t="s">
        <v>7</v>
      </c>
      <c r="C2098" s="8">
        <v>1890</v>
      </c>
      <c r="D2098" s="9">
        <v>45449</v>
      </c>
      <c r="E2098" s="13">
        <f>+HYPERLINK("http://trademark.i-assist.jp/data/china/image_1890th/77265743.pdf",77265743)</f>
        <v>77265743</v>
      </c>
      <c r="F2098" s="7" t="s">
        <v>5875</v>
      </c>
      <c r="G2098" s="7" t="s">
        <v>5874</v>
      </c>
      <c r="H2098" s="7" t="s">
        <v>5876</v>
      </c>
      <c r="I2098" s="9">
        <v>45364</v>
      </c>
    </row>
    <row r="2099" spans="1:9" x14ac:dyDescent="0.15">
      <c r="A2099" s="6">
        <v>2098</v>
      </c>
      <c r="B2099" s="7" t="s">
        <v>7</v>
      </c>
      <c r="C2099" s="8">
        <v>1890</v>
      </c>
      <c r="D2099" s="9">
        <v>45449</v>
      </c>
      <c r="E2099" s="13">
        <f>+HYPERLINK("http://trademark.i-assist.jp/data/china/image_1890th/77265906.pdf",77265906)</f>
        <v>77265906</v>
      </c>
      <c r="F2099" s="7" t="s">
        <v>5877</v>
      </c>
      <c r="G2099" s="7" t="s">
        <v>797</v>
      </c>
      <c r="H2099" s="7" t="s">
        <v>5878</v>
      </c>
      <c r="I2099" s="9">
        <v>45364</v>
      </c>
    </row>
    <row r="2100" spans="1:9" x14ac:dyDescent="0.15">
      <c r="A2100" s="6">
        <v>2099</v>
      </c>
      <c r="B2100" s="7" t="s">
        <v>7</v>
      </c>
      <c r="C2100" s="8">
        <v>1890</v>
      </c>
      <c r="D2100" s="9">
        <v>45449</v>
      </c>
      <c r="E2100" s="13">
        <f>+HYPERLINK("http://trademark.i-assist.jp/data/china/image_1890th/77265934.pdf",77265934)</f>
        <v>77265934</v>
      </c>
      <c r="F2100" s="7" t="s">
        <v>5880</v>
      </c>
      <c r="G2100" s="7" t="s">
        <v>5879</v>
      </c>
      <c r="H2100" s="7" t="s">
        <v>5881</v>
      </c>
      <c r="I2100" s="9">
        <v>45364</v>
      </c>
    </row>
    <row r="2101" spans="1:9" x14ac:dyDescent="0.15">
      <c r="A2101" s="6">
        <v>2100</v>
      </c>
      <c r="B2101" s="7" t="s">
        <v>7</v>
      </c>
      <c r="C2101" s="8">
        <v>1890</v>
      </c>
      <c r="D2101" s="9">
        <v>45449</v>
      </c>
      <c r="E2101" s="13">
        <f>+HYPERLINK("http://trademark.i-assist.jp/data/china/image_1890th/77266000.pdf",77266000)</f>
        <v>77266000</v>
      </c>
      <c r="F2101" s="7" t="s">
        <v>5883</v>
      </c>
      <c r="G2101" s="7" t="s">
        <v>5882</v>
      </c>
      <c r="H2101" s="7" t="s">
        <v>5884</v>
      </c>
      <c r="I2101" s="9">
        <v>45364</v>
      </c>
    </row>
    <row r="2102" spans="1:9" x14ac:dyDescent="0.15">
      <c r="A2102" s="6">
        <v>2101</v>
      </c>
      <c r="B2102" s="7" t="s">
        <v>7</v>
      </c>
      <c r="C2102" s="8">
        <v>1890</v>
      </c>
      <c r="D2102" s="9">
        <v>45449</v>
      </c>
      <c r="E2102" s="13">
        <f>+HYPERLINK("http://trademark.i-assist.jp/data/china/image_1890th/77266155.pdf",77266155)</f>
        <v>77266155</v>
      </c>
      <c r="F2102" s="7" t="s">
        <v>5885</v>
      </c>
      <c r="G2102" s="7" t="s">
        <v>2146</v>
      </c>
      <c r="H2102" s="7" t="s">
        <v>5886</v>
      </c>
      <c r="I2102" s="9">
        <v>45364</v>
      </c>
    </row>
    <row r="2103" spans="1:9" x14ac:dyDescent="0.15">
      <c r="A2103" s="6">
        <v>2102</v>
      </c>
      <c r="B2103" s="7" t="s">
        <v>7</v>
      </c>
      <c r="C2103" s="8">
        <v>1890</v>
      </c>
      <c r="D2103" s="9">
        <v>45449</v>
      </c>
      <c r="E2103" s="13">
        <f>+HYPERLINK("http://trademark.i-assist.jp/data/china/image_1890th/77266451.pdf",77266451)</f>
        <v>77266451</v>
      </c>
      <c r="F2103" s="7" t="s">
        <v>5887</v>
      </c>
      <c r="G2103" s="7" t="s">
        <v>4519</v>
      </c>
      <c r="H2103" s="7" t="s">
        <v>5888</v>
      </c>
      <c r="I2103" s="9">
        <v>45364</v>
      </c>
    </row>
    <row r="2104" spans="1:9" x14ac:dyDescent="0.15">
      <c r="A2104" s="6">
        <v>2103</v>
      </c>
      <c r="B2104" s="7" t="s">
        <v>7</v>
      </c>
      <c r="C2104" s="8">
        <v>1890</v>
      </c>
      <c r="D2104" s="9">
        <v>45449</v>
      </c>
      <c r="E2104" s="13">
        <f>+HYPERLINK("http://trademark.i-assist.jp/data/china/image_1890th/77266632.pdf",77266632)</f>
        <v>77266632</v>
      </c>
      <c r="F2104" s="7" t="s">
        <v>5889</v>
      </c>
      <c r="G2104" s="7" t="s">
        <v>896</v>
      </c>
      <c r="H2104" s="7" t="s">
        <v>5890</v>
      </c>
      <c r="I2104" s="9">
        <v>45364</v>
      </c>
    </row>
    <row r="2105" spans="1:9" x14ac:dyDescent="0.15">
      <c r="A2105" s="6">
        <v>2104</v>
      </c>
      <c r="B2105" s="7" t="s">
        <v>7</v>
      </c>
      <c r="C2105" s="8">
        <v>1890</v>
      </c>
      <c r="D2105" s="9">
        <v>45449</v>
      </c>
      <c r="E2105" s="13">
        <f>+HYPERLINK("http://trademark.i-assist.jp/data/china/image_1890th/77266675.pdf",77266675)</f>
        <v>77266675</v>
      </c>
      <c r="F2105" s="7" t="s">
        <v>5892</v>
      </c>
      <c r="G2105" s="7" t="s">
        <v>5891</v>
      </c>
      <c r="H2105" s="7" t="s">
        <v>5893</v>
      </c>
      <c r="I2105" s="9">
        <v>45364</v>
      </c>
    </row>
    <row r="2106" spans="1:9" x14ac:dyDescent="0.15">
      <c r="A2106" s="6">
        <v>2105</v>
      </c>
      <c r="B2106" s="7" t="s">
        <v>7</v>
      </c>
      <c r="C2106" s="8">
        <v>1890</v>
      </c>
      <c r="D2106" s="9">
        <v>45449</v>
      </c>
      <c r="E2106" s="13">
        <f>+HYPERLINK("http://trademark.i-assist.jp/data/china/image_1890th/77267097.pdf",77267097)</f>
        <v>77267097</v>
      </c>
      <c r="F2106" s="7" t="s">
        <v>5895</v>
      </c>
      <c r="G2106" s="7" t="s">
        <v>5894</v>
      </c>
      <c r="H2106" s="7" t="s">
        <v>5896</v>
      </c>
      <c r="I2106" s="9">
        <v>45364</v>
      </c>
    </row>
    <row r="2107" spans="1:9" x14ac:dyDescent="0.15">
      <c r="A2107" s="6">
        <v>2106</v>
      </c>
      <c r="B2107" s="7" t="s">
        <v>7</v>
      </c>
      <c r="C2107" s="8">
        <v>1890</v>
      </c>
      <c r="D2107" s="9">
        <v>45449</v>
      </c>
      <c r="E2107" s="13">
        <f>+HYPERLINK("http://trademark.i-assist.jp/data/china/image_1890th/77267171.pdf",77267171)</f>
        <v>77267171</v>
      </c>
      <c r="F2107" s="7" t="s">
        <v>5898</v>
      </c>
      <c r="G2107" s="7" t="s">
        <v>5897</v>
      </c>
      <c r="H2107" s="7" t="s">
        <v>5899</v>
      </c>
      <c r="I2107" s="9">
        <v>45364</v>
      </c>
    </row>
    <row r="2108" spans="1:9" x14ac:dyDescent="0.15">
      <c r="A2108" s="6">
        <v>2107</v>
      </c>
      <c r="B2108" s="7" t="s">
        <v>7</v>
      </c>
      <c r="C2108" s="8">
        <v>1890</v>
      </c>
      <c r="D2108" s="9">
        <v>45449</v>
      </c>
      <c r="E2108" s="13">
        <f>+HYPERLINK("http://trademark.i-assist.jp/data/china/image_1890th/77267186.pdf",77267186)</f>
        <v>77267186</v>
      </c>
      <c r="F2108" s="7" t="s">
        <v>5901</v>
      </c>
      <c r="G2108" s="7" t="s">
        <v>5900</v>
      </c>
      <c r="H2108" s="7" t="s">
        <v>5902</v>
      </c>
      <c r="I2108" s="9">
        <v>45364</v>
      </c>
    </row>
    <row r="2109" spans="1:9" x14ac:dyDescent="0.15">
      <c r="A2109" s="6">
        <v>2108</v>
      </c>
      <c r="B2109" s="7" t="s">
        <v>7</v>
      </c>
      <c r="C2109" s="8">
        <v>1890</v>
      </c>
      <c r="D2109" s="9">
        <v>45449</v>
      </c>
      <c r="E2109" s="13">
        <f>+HYPERLINK("http://trademark.i-assist.jp/data/china/image_1890th/77271330.pdf",77271330)</f>
        <v>77271330</v>
      </c>
      <c r="F2109" s="7" t="s">
        <v>5904</v>
      </c>
      <c r="G2109" s="7" t="s">
        <v>5903</v>
      </c>
      <c r="H2109" s="7" t="s">
        <v>5905</v>
      </c>
      <c r="I2109" s="9">
        <v>45364</v>
      </c>
    </row>
    <row r="2110" spans="1:9" x14ac:dyDescent="0.15">
      <c r="A2110" s="6">
        <v>2109</v>
      </c>
      <c r="B2110" s="7" t="s">
        <v>7</v>
      </c>
      <c r="C2110" s="8">
        <v>1890</v>
      </c>
      <c r="D2110" s="9">
        <v>45449</v>
      </c>
      <c r="E2110" s="13">
        <f>+HYPERLINK("http://trademark.i-assist.jp/data/china/image_1890th/77271719.pdf",77271719)</f>
        <v>77271719</v>
      </c>
      <c r="F2110" s="7" t="s">
        <v>5906</v>
      </c>
      <c r="G2110" s="7" t="s">
        <v>911</v>
      </c>
      <c r="H2110" s="7" t="s">
        <v>5907</v>
      </c>
      <c r="I2110" s="9">
        <v>45364</v>
      </c>
    </row>
    <row r="2111" spans="1:9" x14ac:dyDescent="0.15">
      <c r="A2111" s="6">
        <v>2110</v>
      </c>
      <c r="B2111" s="7" t="s">
        <v>7</v>
      </c>
      <c r="C2111" s="8">
        <v>1890</v>
      </c>
      <c r="D2111" s="9">
        <v>45449</v>
      </c>
      <c r="E2111" s="13">
        <f>+HYPERLINK("http://trademark.i-assist.jp/data/china/image_1890th/77271970.pdf",77271970)</f>
        <v>77271970</v>
      </c>
      <c r="F2111" s="7" t="s">
        <v>5909</v>
      </c>
      <c r="G2111" s="7" t="s">
        <v>5908</v>
      </c>
      <c r="H2111" s="7" t="s">
        <v>5910</v>
      </c>
      <c r="I2111" s="9">
        <v>45364</v>
      </c>
    </row>
    <row r="2112" spans="1:9" x14ac:dyDescent="0.15">
      <c r="A2112" s="6">
        <v>2111</v>
      </c>
      <c r="B2112" s="7" t="s">
        <v>7</v>
      </c>
      <c r="C2112" s="8">
        <v>1890</v>
      </c>
      <c r="D2112" s="9">
        <v>45449</v>
      </c>
      <c r="E2112" s="13">
        <f>+HYPERLINK("http://trademark.i-assist.jp/data/china/image_1890th/77272395.pdf",77272395)</f>
        <v>77272395</v>
      </c>
      <c r="F2112" s="7" t="s">
        <v>5912</v>
      </c>
      <c r="G2112" s="7" t="s">
        <v>5911</v>
      </c>
      <c r="H2112" s="7" t="s">
        <v>5913</v>
      </c>
      <c r="I2112" s="9">
        <v>45364</v>
      </c>
    </row>
    <row r="2113" spans="1:9" x14ac:dyDescent="0.15">
      <c r="A2113" s="6">
        <v>2112</v>
      </c>
      <c r="B2113" s="7" t="s">
        <v>7</v>
      </c>
      <c r="C2113" s="8">
        <v>1890</v>
      </c>
      <c r="D2113" s="9">
        <v>45449</v>
      </c>
      <c r="E2113" s="13">
        <f>+HYPERLINK("http://trademark.i-assist.jp/data/china/image_1890th/77272489.pdf",77272489)</f>
        <v>77272489</v>
      </c>
      <c r="F2113" s="7" t="s">
        <v>5915</v>
      </c>
      <c r="G2113" s="7" t="s">
        <v>5914</v>
      </c>
      <c r="H2113" s="7" t="s">
        <v>5916</v>
      </c>
      <c r="I2113" s="9">
        <v>45364</v>
      </c>
    </row>
    <row r="2114" spans="1:9" ht="27" x14ac:dyDescent="0.15">
      <c r="A2114" s="6">
        <v>2113</v>
      </c>
      <c r="B2114" s="7" t="s">
        <v>7</v>
      </c>
      <c r="C2114" s="8">
        <v>1890</v>
      </c>
      <c r="D2114" s="9">
        <v>45449</v>
      </c>
      <c r="E2114" s="13">
        <f>+HYPERLINK("http://trademark.i-assist.jp/data/china/image_1890th/77272714.pdf",77272714)</f>
        <v>77272714</v>
      </c>
      <c r="F2114" s="7" t="s">
        <v>5918</v>
      </c>
      <c r="G2114" s="7" t="s">
        <v>5917</v>
      </c>
      <c r="H2114" s="7" t="s">
        <v>5919</v>
      </c>
      <c r="I2114" s="9">
        <v>45364</v>
      </c>
    </row>
    <row r="2115" spans="1:9" x14ac:dyDescent="0.15">
      <c r="A2115" s="6">
        <v>2114</v>
      </c>
      <c r="B2115" s="7" t="s">
        <v>7</v>
      </c>
      <c r="C2115" s="8">
        <v>1890</v>
      </c>
      <c r="D2115" s="9">
        <v>45449</v>
      </c>
      <c r="E2115" s="13">
        <f>+HYPERLINK("http://trademark.i-assist.jp/data/china/image_1890th/77272728.pdf",77272728)</f>
        <v>77272728</v>
      </c>
      <c r="F2115" s="7" t="s">
        <v>5921</v>
      </c>
      <c r="G2115" s="7" t="s">
        <v>5920</v>
      </c>
      <c r="H2115" s="7" t="s">
        <v>5922</v>
      </c>
      <c r="I2115" s="9">
        <v>45364</v>
      </c>
    </row>
    <row r="2116" spans="1:9" x14ac:dyDescent="0.15">
      <c r="A2116" s="6">
        <v>2115</v>
      </c>
      <c r="B2116" s="7" t="s">
        <v>7</v>
      </c>
      <c r="C2116" s="8">
        <v>1890</v>
      </c>
      <c r="D2116" s="9">
        <v>45449</v>
      </c>
      <c r="E2116" s="13">
        <f>+HYPERLINK("http://trademark.i-assist.jp/data/china/image_1890th/77272873.pdf",77272873)</f>
        <v>77272873</v>
      </c>
      <c r="F2116" s="7" t="s">
        <v>5924</v>
      </c>
      <c r="G2116" s="7" t="s">
        <v>5923</v>
      </c>
      <c r="H2116" s="7" t="s">
        <v>5925</v>
      </c>
      <c r="I2116" s="9">
        <v>45364</v>
      </c>
    </row>
    <row r="2117" spans="1:9" ht="27" x14ac:dyDescent="0.15">
      <c r="A2117" s="6">
        <v>2116</v>
      </c>
      <c r="B2117" s="7" t="s">
        <v>7</v>
      </c>
      <c r="C2117" s="8">
        <v>1890</v>
      </c>
      <c r="D2117" s="9">
        <v>45449</v>
      </c>
      <c r="E2117" s="13">
        <f>+HYPERLINK("http://trademark.i-assist.jp/data/china/image_1890th/77273066.pdf",77273066)</f>
        <v>77273066</v>
      </c>
      <c r="F2117" s="7" t="s">
        <v>5927</v>
      </c>
      <c r="G2117" s="7" t="s">
        <v>5926</v>
      </c>
      <c r="H2117" s="7" t="s">
        <v>5928</v>
      </c>
      <c r="I2117" s="9">
        <v>45364</v>
      </c>
    </row>
    <row r="2118" spans="1:9" x14ac:dyDescent="0.15">
      <c r="A2118" s="6">
        <v>2117</v>
      </c>
      <c r="B2118" s="7" t="s">
        <v>7</v>
      </c>
      <c r="C2118" s="8">
        <v>1890</v>
      </c>
      <c r="D2118" s="9">
        <v>45449</v>
      </c>
      <c r="E2118" s="13">
        <f>+HYPERLINK("http://trademark.i-assist.jp/data/china/image_1890th/77273090.pdf",77273090)</f>
        <v>77273090</v>
      </c>
      <c r="F2118" s="7" t="s">
        <v>5930</v>
      </c>
      <c r="G2118" s="7" t="s">
        <v>5929</v>
      </c>
      <c r="H2118" s="7" t="s">
        <v>5931</v>
      </c>
      <c r="I2118" s="9">
        <v>45364</v>
      </c>
    </row>
    <row r="2119" spans="1:9" x14ac:dyDescent="0.15">
      <c r="A2119" s="6">
        <v>2118</v>
      </c>
      <c r="B2119" s="7" t="s">
        <v>7</v>
      </c>
      <c r="C2119" s="8">
        <v>1890</v>
      </c>
      <c r="D2119" s="9">
        <v>45449</v>
      </c>
      <c r="E2119" s="13">
        <f>+HYPERLINK("http://trademark.i-assist.jp/data/china/image_1890th/77273217.pdf",77273217)</f>
        <v>77273217</v>
      </c>
      <c r="F2119" s="7" t="s">
        <v>5932</v>
      </c>
      <c r="G2119" s="7" t="s">
        <v>3674</v>
      </c>
      <c r="H2119" s="7" t="s">
        <v>5933</v>
      </c>
      <c r="I2119" s="9">
        <v>45364</v>
      </c>
    </row>
    <row r="2120" spans="1:9" ht="27" x14ac:dyDescent="0.15">
      <c r="A2120" s="6">
        <v>2119</v>
      </c>
      <c r="B2120" s="7" t="s">
        <v>7</v>
      </c>
      <c r="C2120" s="8">
        <v>1890</v>
      </c>
      <c r="D2120" s="9">
        <v>45449</v>
      </c>
      <c r="E2120" s="13">
        <f>+HYPERLINK("http://trademark.i-assist.jp/data/china/image_1890th/77278273.pdf",77278273)</f>
        <v>77278273</v>
      </c>
      <c r="F2120" s="7" t="s">
        <v>5934</v>
      </c>
      <c r="G2120" s="7" t="s">
        <v>33</v>
      </c>
      <c r="H2120" s="7" t="s">
        <v>5935</v>
      </c>
      <c r="I2120" s="9">
        <v>45364</v>
      </c>
    </row>
    <row r="2121" spans="1:9" x14ac:dyDescent="0.15">
      <c r="A2121" s="6">
        <v>2120</v>
      </c>
      <c r="B2121" s="7" t="s">
        <v>7</v>
      </c>
      <c r="C2121" s="8">
        <v>1890</v>
      </c>
      <c r="D2121" s="9">
        <v>45449</v>
      </c>
      <c r="E2121" s="13">
        <f>+HYPERLINK("http://trademark.i-assist.jp/data/china/image_1890th/77278294.pdf",77278294)</f>
        <v>77278294</v>
      </c>
      <c r="F2121" s="7" t="s">
        <v>5937</v>
      </c>
      <c r="G2121" s="7" t="s">
        <v>5936</v>
      </c>
      <c r="H2121" s="7" t="s">
        <v>5938</v>
      </c>
      <c r="I2121" s="9">
        <v>45364</v>
      </c>
    </row>
    <row r="2122" spans="1:9" x14ac:dyDescent="0.15">
      <c r="A2122" s="6">
        <v>2121</v>
      </c>
      <c r="B2122" s="7" t="s">
        <v>7</v>
      </c>
      <c r="C2122" s="8">
        <v>1890</v>
      </c>
      <c r="D2122" s="9">
        <v>45449</v>
      </c>
      <c r="E2122" s="13">
        <f>+HYPERLINK("http://trademark.i-assist.jp/data/china/image_1890th/77278544.pdf",77278544)</f>
        <v>77278544</v>
      </c>
      <c r="F2122" s="7" t="s">
        <v>5940</v>
      </c>
      <c r="G2122" s="7" t="s">
        <v>5939</v>
      </c>
      <c r="H2122" s="7" t="s">
        <v>5941</v>
      </c>
      <c r="I2122" s="9">
        <v>45364</v>
      </c>
    </row>
    <row r="2123" spans="1:9" x14ac:dyDescent="0.15">
      <c r="A2123" s="6">
        <v>2122</v>
      </c>
      <c r="B2123" s="7" t="s">
        <v>7</v>
      </c>
      <c r="C2123" s="8">
        <v>1890</v>
      </c>
      <c r="D2123" s="9">
        <v>45449</v>
      </c>
      <c r="E2123" s="13">
        <f>+HYPERLINK("http://trademark.i-assist.jp/data/china/image_1890th/77278683.pdf",77278683)</f>
        <v>77278683</v>
      </c>
      <c r="F2123" s="7" t="s">
        <v>5943</v>
      </c>
      <c r="G2123" s="7" t="s">
        <v>5942</v>
      </c>
      <c r="H2123" s="7" t="s">
        <v>5944</v>
      </c>
      <c r="I2123" s="9">
        <v>45364</v>
      </c>
    </row>
    <row r="2124" spans="1:9" x14ac:dyDescent="0.15">
      <c r="A2124" s="6">
        <v>2123</v>
      </c>
      <c r="B2124" s="7" t="s">
        <v>7</v>
      </c>
      <c r="C2124" s="8">
        <v>1890</v>
      </c>
      <c r="D2124" s="9">
        <v>45449</v>
      </c>
      <c r="E2124" s="13">
        <f>+HYPERLINK("http://trademark.i-assist.jp/data/china/image_1890th/77278807.pdf",77278807)</f>
        <v>77278807</v>
      </c>
      <c r="F2124" s="7" t="s">
        <v>5946</v>
      </c>
      <c r="G2124" s="7" t="s">
        <v>5945</v>
      </c>
      <c r="H2124" s="7" t="s">
        <v>5947</v>
      </c>
      <c r="I2124" s="9">
        <v>45364</v>
      </c>
    </row>
    <row r="2125" spans="1:9" ht="27" x14ac:dyDescent="0.15">
      <c r="A2125" s="6">
        <v>2124</v>
      </c>
      <c r="B2125" s="7" t="s">
        <v>7</v>
      </c>
      <c r="C2125" s="8">
        <v>1890</v>
      </c>
      <c r="D2125" s="9">
        <v>45449</v>
      </c>
      <c r="E2125" s="13">
        <f>+HYPERLINK("http://trademark.i-assist.jp/data/china/image_1890th/77278887.pdf",77278887)</f>
        <v>77278887</v>
      </c>
      <c r="F2125" s="7" t="s">
        <v>5949</v>
      </c>
      <c r="G2125" s="7" t="s">
        <v>5948</v>
      </c>
      <c r="H2125" s="7" t="s">
        <v>5950</v>
      </c>
      <c r="I2125" s="9">
        <v>45364</v>
      </c>
    </row>
    <row r="2126" spans="1:9" x14ac:dyDescent="0.15">
      <c r="A2126" s="6">
        <v>2125</v>
      </c>
      <c r="B2126" s="7" t="s">
        <v>7</v>
      </c>
      <c r="C2126" s="8">
        <v>1890</v>
      </c>
      <c r="D2126" s="9">
        <v>45449</v>
      </c>
      <c r="E2126" s="13">
        <f>+HYPERLINK("http://trademark.i-assist.jp/data/china/image_1890th/77279238.pdf",77279238)</f>
        <v>77279238</v>
      </c>
      <c r="F2126" s="7" t="s">
        <v>5952</v>
      </c>
      <c r="G2126" s="7" t="s">
        <v>5951</v>
      </c>
      <c r="H2126" s="7" t="s">
        <v>5953</v>
      </c>
      <c r="I2126" s="9">
        <v>45364</v>
      </c>
    </row>
    <row r="2127" spans="1:9" ht="27" x14ac:dyDescent="0.15">
      <c r="A2127" s="6">
        <v>2126</v>
      </c>
      <c r="B2127" s="7" t="s">
        <v>7</v>
      </c>
      <c r="C2127" s="8">
        <v>1890</v>
      </c>
      <c r="D2127" s="9">
        <v>45449</v>
      </c>
      <c r="E2127" s="13">
        <f>+HYPERLINK("http://trademark.i-assist.jp/data/china/image_1890th/77279350.pdf",77279350)</f>
        <v>77279350</v>
      </c>
      <c r="F2127" s="7" t="s">
        <v>5955</v>
      </c>
      <c r="G2127" s="7" t="s">
        <v>5954</v>
      </c>
      <c r="H2127" s="7" t="s">
        <v>5956</v>
      </c>
      <c r="I2127" s="9">
        <v>45364</v>
      </c>
    </row>
    <row r="2128" spans="1:9" x14ac:dyDescent="0.15">
      <c r="A2128" s="6">
        <v>2127</v>
      </c>
      <c r="B2128" s="7" t="s">
        <v>7</v>
      </c>
      <c r="C2128" s="8">
        <v>1890</v>
      </c>
      <c r="D2128" s="9">
        <v>45449</v>
      </c>
      <c r="E2128" s="13">
        <f>+HYPERLINK("http://trademark.i-assist.jp/data/china/image_1890th/77279434.pdf",77279434)</f>
        <v>77279434</v>
      </c>
      <c r="F2128" s="7" t="s">
        <v>5958</v>
      </c>
      <c r="G2128" s="7" t="s">
        <v>5957</v>
      </c>
      <c r="H2128" s="7" t="s">
        <v>5959</v>
      </c>
      <c r="I2128" s="9">
        <v>45364</v>
      </c>
    </row>
    <row r="2129" spans="1:9" x14ac:dyDescent="0.15">
      <c r="A2129" s="6">
        <v>2128</v>
      </c>
      <c r="B2129" s="7" t="s">
        <v>7</v>
      </c>
      <c r="C2129" s="8">
        <v>1890</v>
      </c>
      <c r="D2129" s="9">
        <v>45449</v>
      </c>
      <c r="E2129" s="13">
        <f>+HYPERLINK("http://trademark.i-assist.jp/data/china/image_1890th/77279575.pdf",77279575)</f>
        <v>77279575</v>
      </c>
      <c r="F2129" s="7" t="s">
        <v>5961</v>
      </c>
      <c r="G2129" s="7" t="s">
        <v>5960</v>
      </c>
      <c r="H2129" s="7" t="s">
        <v>5962</v>
      </c>
      <c r="I2129" s="9">
        <v>45364</v>
      </c>
    </row>
    <row r="2130" spans="1:9" x14ac:dyDescent="0.15">
      <c r="A2130" s="6">
        <v>2129</v>
      </c>
      <c r="B2130" s="7" t="s">
        <v>7</v>
      </c>
      <c r="C2130" s="8">
        <v>1890</v>
      </c>
      <c r="D2130" s="9">
        <v>45449</v>
      </c>
      <c r="E2130" s="13">
        <f>+HYPERLINK("http://trademark.i-assist.jp/data/china/image_1890th/77279731.pdf",77279731)</f>
        <v>77279731</v>
      </c>
      <c r="F2130" s="7" t="s">
        <v>5964</v>
      </c>
      <c r="G2130" s="7" t="s">
        <v>5963</v>
      </c>
      <c r="H2130" s="7" t="s">
        <v>5965</v>
      </c>
      <c r="I2130" s="9">
        <v>45364</v>
      </c>
    </row>
    <row r="2131" spans="1:9" x14ac:dyDescent="0.15">
      <c r="A2131" s="6">
        <v>2130</v>
      </c>
      <c r="B2131" s="7" t="s">
        <v>7</v>
      </c>
      <c r="C2131" s="8">
        <v>1890</v>
      </c>
      <c r="D2131" s="9">
        <v>45449</v>
      </c>
      <c r="E2131" s="13">
        <f>+HYPERLINK("http://trademark.i-assist.jp/data/china/image_1890th/77279741.pdf",77279741)</f>
        <v>77279741</v>
      </c>
      <c r="F2131" s="7" t="s">
        <v>5966</v>
      </c>
      <c r="G2131" s="7" t="s">
        <v>5963</v>
      </c>
      <c r="H2131" s="7" t="s">
        <v>5967</v>
      </c>
      <c r="I2131" s="9">
        <v>45364</v>
      </c>
    </row>
    <row r="2132" spans="1:9" ht="27" x14ac:dyDescent="0.15">
      <c r="A2132" s="6">
        <v>2131</v>
      </c>
      <c r="B2132" s="7" t="s">
        <v>7</v>
      </c>
      <c r="C2132" s="8">
        <v>1890</v>
      </c>
      <c r="D2132" s="9">
        <v>45449</v>
      </c>
      <c r="E2132" s="13">
        <f>+HYPERLINK("http://trademark.i-assist.jp/data/china/image_1890th/77279886.pdf",77279886)</f>
        <v>77279886</v>
      </c>
      <c r="F2132" s="7" t="s">
        <v>5969</v>
      </c>
      <c r="G2132" s="7" t="s">
        <v>5968</v>
      </c>
      <c r="H2132" s="7" t="s">
        <v>5970</v>
      </c>
      <c r="I2132" s="9">
        <v>45364</v>
      </c>
    </row>
    <row r="2133" spans="1:9" x14ac:dyDescent="0.15">
      <c r="A2133" s="6">
        <v>2132</v>
      </c>
      <c r="B2133" s="7" t="s">
        <v>7</v>
      </c>
      <c r="C2133" s="8">
        <v>1890</v>
      </c>
      <c r="D2133" s="9">
        <v>45449</v>
      </c>
      <c r="E2133" s="13">
        <f>+HYPERLINK("http://trademark.i-assist.jp/data/china/image_1890th/77280081.pdf",77280081)</f>
        <v>77280081</v>
      </c>
      <c r="F2133" s="7" t="s">
        <v>5971</v>
      </c>
      <c r="G2133" s="7" t="s">
        <v>2160</v>
      </c>
      <c r="H2133" s="7" t="s">
        <v>5972</v>
      </c>
      <c r="I2133" s="9">
        <v>45364</v>
      </c>
    </row>
    <row r="2134" spans="1:9" ht="27" x14ac:dyDescent="0.15">
      <c r="A2134" s="6">
        <v>2133</v>
      </c>
      <c r="B2134" s="7" t="s">
        <v>7</v>
      </c>
      <c r="C2134" s="8">
        <v>1890</v>
      </c>
      <c r="D2134" s="9">
        <v>45449</v>
      </c>
      <c r="E2134" s="13">
        <f>+HYPERLINK("http://trademark.i-assist.jp/data/china/image_1890th/77280203.pdf",77280203)</f>
        <v>77280203</v>
      </c>
      <c r="F2134" s="7" t="s">
        <v>5973</v>
      </c>
      <c r="G2134" s="7" t="s">
        <v>949</v>
      </c>
      <c r="H2134" s="7" t="s">
        <v>5974</v>
      </c>
      <c r="I2134" s="9">
        <v>45364</v>
      </c>
    </row>
    <row r="2135" spans="1:9" x14ac:dyDescent="0.15">
      <c r="A2135" s="6">
        <v>2134</v>
      </c>
      <c r="B2135" s="7" t="s">
        <v>7</v>
      </c>
      <c r="C2135" s="8">
        <v>1890</v>
      </c>
      <c r="D2135" s="9">
        <v>45449</v>
      </c>
      <c r="E2135" s="13">
        <f>+HYPERLINK("http://trademark.i-assist.jp/data/china/image_1890th/77280335.pdf",77280335)</f>
        <v>77280335</v>
      </c>
      <c r="F2135" s="7" t="s">
        <v>5976</v>
      </c>
      <c r="G2135" s="7" t="s">
        <v>5975</v>
      </c>
      <c r="H2135" s="7" t="s">
        <v>5977</v>
      </c>
      <c r="I2135" s="9">
        <v>45364</v>
      </c>
    </row>
    <row r="2136" spans="1:9" x14ac:dyDescent="0.15">
      <c r="A2136" s="6">
        <v>2135</v>
      </c>
      <c r="B2136" s="7" t="s">
        <v>7</v>
      </c>
      <c r="C2136" s="8">
        <v>1890</v>
      </c>
      <c r="D2136" s="9">
        <v>45449</v>
      </c>
      <c r="E2136" s="13">
        <f>+HYPERLINK("http://trademark.i-assist.jp/data/china/image_1890th/77280379.pdf",77280379)</f>
        <v>77280379</v>
      </c>
      <c r="F2136" s="7" t="s">
        <v>5979</v>
      </c>
      <c r="G2136" s="7" t="s">
        <v>5978</v>
      </c>
      <c r="H2136" s="7" t="s">
        <v>5980</v>
      </c>
      <c r="I2136" s="9">
        <v>45364</v>
      </c>
    </row>
    <row r="2137" spans="1:9" x14ac:dyDescent="0.15">
      <c r="A2137" s="6">
        <v>2136</v>
      </c>
      <c r="B2137" s="7" t="s">
        <v>7</v>
      </c>
      <c r="C2137" s="8">
        <v>1890</v>
      </c>
      <c r="D2137" s="9">
        <v>45449</v>
      </c>
      <c r="E2137" s="13">
        <f>+HYPERLINK("http://trademark.i-assist.jp/data/china/image_1890th/77280579.pdf",77280579)</f>
        <v>77280579</v>
      </c>
      <c r="F2137" s="7" t="s">
        <v>5981</v>
      </c>
      <c r="G2137" s="7" t="s">
        <v>5929</v>
      </c>
      <c r="H2137" s="7" t="s">
        <v>5982</v>
      </c>
      <c r="I2137" s="9">
        <v>45364</v>
      </c>
    </row>
    <row r="2138" spans="1:9" ht="27" x14ac:dyDescent="0.15">
      <c r="A2138" s="6">
        <v>2137</v>
      </c>
      <c r="B2138" s="7" t="s">
        <v>7</v>
      </c>
      <c r="C2138" s="8">
        <v>1890</v>
      </c>
      <c r="D2138" s="9">
        <v>45449</v>
      </c>
      <c r="E2138" s="13">
        <f>+HYPERLINK("http://trademark.i-assist.jp/data/china/image_1890th/77280596.pdf",77280596)</f>
        <v>77280596</v>
      </c>
      <c r="F2138" s="7" t="s">
        <v>5984</v>
      </c>
      <c r="G2138" s="7" t="s">
        <v>5983</v>
      </c>
      <c r="H2138" s="7" t="s">
        <v>5985</v>
      </c>
      <c r="I2138" s="9">
        <v>45364</v>
      </c>
    </row>
    <row r="2139" spans="1:9" x14ac:dyDescent="0.15">
      <c r="A2139" s="6">
        <v>2138</v>
      </c>
      <c r="B2139" s="7" t="s">
        <v>7</v>
      </c>
      <c r="C2139" s="8">
        <v>1890</v>
      </c>
      <c r="D2139" s="9">
        <v>45449</v>
      </c>
      <c r="E2139" s="13">
        <f>+HYPERLINK("http://trademark.i-assist.jp/data/china/image_1890th/77280609.pdf",77280609)</f>
        <v>77280609</v>
      </c>
      <c r="F2139" s="7" t="s">
        <v>5987</v>
      </c>
      <c r="G2139" s="7" t="s">
        <v>5986</v>
      </c>
      <c r="H2139" s="7" t="s">
        <v>5988</v>
      </c>
      <c r="I2139" s="9">
        <v>45364</v>
      </c>
    </row>
    <row r="2140" spans="1:9" x14ac:dyDescent="0.15">
      <c r="A2140" s="6">
        <v>2139</v>
      </c>
      <c r="B2140" s="7" t="s">
        <v>7</v>
      </c>
      <c r="C2140" s="8">
        <v>1890</v>
      </c>
      <c r="D2140" s="9">
        <v>45449</v>
      </c>
      <c r="E2140" s="13">
        <f>+HYPERLINK("http://trademark.i-assist.jp/data/china/image_1890th/77281052.pdf",77281052)</f>
        <v>77281052</v>
      </c>
      <c r="F2140" s="7" t="s">
        <v>5990</v>
      </c>
      <c r="G2140" s="7" t="s">
        <v>5989</v>
      </c>
      <c r="H2140" s="7" t="s">
        <v>5991</v>
      </c>
      <c r="I2140" s="9">
        <v>45364</v>
      </c>
    </row>
    <row r="2141" spans="1:9" x14ac:dyDescent="0.15">
      <c r="A2141" s="6">
        <v>2140</v>
      </c>
      <c r="B2141" s="7" t="s">
        <v>7</v>
      </c>
      <c r="C2141" s="8">
        <v>1890</v>
      </c>
      <c r="D2141" s="9">
        <v>45449</v>
      </c>
      <c r="E2141" s="13">
        <f>+HYPERLINK("http://trademark.i-assist.jp/data/china/image_1890th/77281099.pdf",77281099)</f>
        <v>77281099</v>
      </c>
      <c r="F2141" s="7" t="s">
        <v>5992</v>
      </c>
      <c r="G2141" s="7" t="s">
        <v>5825</v>
      </c>
      <c r="H2141" s="7" t="s">
        <v>5993</v>
      </c>
      <c r="I2141" s="9">
        <v>45364</v>
      </c>
    </row>
    <row r="2142" spans="1:9" x14ac:dyDescent="0.15">
      <c r="A2142" s="6">
        <v>2141</v>
      </c>
      <c r="B2142" s="7" t="s">
        <v>7</v>
      </c>
      <c r="C2142" s="8">
        <v>1890</v>
      </c>
      <c r="D2142" s="9">
        <v>45449</v>
      </c>
      <c r="E2142" s="13">
        <f>+HYPERLINK("http://trademark.i-assist.jp/data/china/image_1890th/77281180.pdf",77281180)</f>
        <v>77281180</v>
      </c>
      <c r="F2142" s="7" t="s">
        <v>5994</v>
      </c>
      <c r="G2142" s="7" t="s">
        <v>5920</v>
      </c>
      <c r="H2142" s="7" t="s">
        <v>5995</v>
      </c>
      <c r="I2142" s="9">
        <v>45364</v>
      </c>
    </row>
    <row r="2143" spans="1:9" x14ac:dyDescent="0.15">
      <c r="A2143" s="6">
        <v>2142</v>
      </c>
      <c r="B2143" s="7" t="s">
        <v>7</v>
      </c>
      <c r="C2143" s="8">
        <v>1890</v>
      </c>
      <c r="D2143" s="9">
        <v>45449</v>
      </c>
      <c r="E2143" s="13">
        <f>+HYPERLINK("http://trademark.i-assist.jp/data/china/image_1890th/77281191.pdf",77281191)</f>
        <v>77281191</v>
      </c>
      <c r="F2143" s="7" t="s">
        <v>5997</v>
      </c>
      <c r="G2143" s="7" t="s">
        <v>5996</v>
      </c>
      <c r="H2143" s="7" t="s">
        <v>5998</v>
      </c>
      <c r="I2143" s="9">
        <v>45364</v>
      </c>
    </row>
    <row r="2144" spans="1:9" x14ac:dyDescent="0.15">
      <c r="A2144" s="6">
        <v>2143</v>
      </c>
      <c r="B2144" s="7" t="s">
        <v>7</v>
      </c>
      <c r="C2144" s="8">
        <v>1890</v>
      </c>
      <c r="D2144" s="9">
        <v>45449</v>
      </c>
      <c r="E2144" s="13">
        <f>+HYPERLINK("http://trademark.i-assist.jp/data/china/image_1890th/77281308.pdf",77281308)</f>
        <v>77281308</v>
      </c>
      <c r="F2144" s="7" t="s">
        <v>6000</v>
      </c>
      <c r="G2144" s="7" t="s">
        <v>5999</v>
      </c>
      <c r="H2144" s="7" t="s">
        <v>6001</v>
      </c>
      <c r="I2144" s="9">
        <v>45364</v>
      </c>
    </row>
    <row r="2145" spans="1:9" ht="27" x14ac:dyDescent="0.15">
      <c r="A2145" s="6">
        <v>2144</v>
      </c>
      <c r="B2145" s="7" t="s">
        <v>7</v>
      </c>
      <c r="C2145" s="8">
        <v>1890</v>
      </c>
      <c r="D2145" s="9">
        <v>45449</v>
      </c>
      <c r="E2145" s="13">
        <f>+HYPERLINK("http://trademark.i-assist.jp/data/china/image_1890th/77281500.pdf",77281500)</f>
        <v>77281500</v>
      </c>
      <c r="F2145" s="7" t="s">
        <v>6003</v>
      </c>
      <c r="G2145" s="7" t="s">
        <v>6002</v>
      </c>
      <c r="H2145" s="7" t="s">
        <v>6004</v>
      </c>
      <c r="I2145" s="9">
        <v>45364</v>
      </c>
    </row>
    <row r="2146" spans="1:9" x14ac:dyDescent="0.15">
      <c r="A2146" s="6">
        <v>2145</v>
      </c>
      <c r="B2146" s="7" t="s">
        <v>7</v>
      </c>
      <c r="C2146" s="8">
        <v>1890</v>
      </c>
      <c r="D2146" s="9">
        <v>45449</v>
      </c>
      <c r="E2146" s="13">
        <f>+HYPERLINK("http://trademark.i-assist.jp/data/china/image_1890th/77281703.pdf",77281703)</f>
        <v>77281703</v>
      </c>
      <c r="F2146" s="7" t="s">
        <v>6006</v>
      </c>
      <c r="G2146" s="7" t="s">
        <v>6005</v>
      </c>
      <c r="H2146" s="7" t="s">
        <v>6007</v>
      </c>
      <c r="I2146" s="9">
        <v>45364</v>
      </c>
    </row>
    <row r="2147" spans="1:9" x14ac:dyDescent="0.15">
      <c r="A2147" s="6">
        <v>2146</v>
      </c>
      <c r="B2147" s="7" t="s">
        <v>7</v>
      </c>
      <c r="C2147" s="8">
        <v>1890</v>
      </c>
      <c r="D2147" s="9">
        <v>45449</v>
      </c>
      <c r="E2147" s="13">
        <f>+HYPERLINK("http://trademark.i-assist.jp/data/china/image_1890th/77281781.pdf",77281781)</f>
        <v>77281781</v>
      </c>
      <c r="F2147" s="7" t="s">
        <v>6009</v>
      </c>
      <c r="G2147" s="7" t="s">
        <v>6008</v>
      </c>
      <c r="H2147" s="7" t="s">
        <v>6010</v>
      </c>
      <c r="I2147" s="9">
        <v>45364</v>
      </c>
    </row>
    <row r="2148" spans="1:9" x14ac:dyDescent="0.15">
      <c r="A2148" s="6">
        <v>2147</v>
      </c>
      <c r="B2148" s="7" t="s">
        <v>7</v>
      </c>
      <c r="C2148" s="8">
        <v>1890</v>
      </c>
      <c r="D2148" s="9">
        <v>45449</v>
      </c>
      <c r="E2148" s="13">
        <f>+HYPERLINK("http://trademark.i-assist.jp/data/china/image_1890th/77281868.pdf",77281868)</f>
        <v>77281868</v>
      </c>
      <c r="F2148" s="7" t="s">
        <v>6012</v>
      </c>
      <c r="G2148" s="7" t="s">
        <v>6011</v>
      </c>
      <c r="H2148" s="7" t="s">
        <v>6013</v>
      </c>
      <c r="I2148" s="9">
        <v>45364</v>
      </c>
    </row>
    <row r="2149" spans="1:9" x14ac:dyDescent="0.15">
      <c r="A2149" s="6">
        <v>2148</v>
      </c>
      <c r="B2149" s="7" t="s">
        <v>7</v>
      </c>
      <c r="C2149" s="8">
        <v>1890</v>
      </c>
      <c r="D2149" s="9">
        <v>45449</v>
      </c>
      <c r="E2149" s="13">
        <f>+HYPERLINK("http://trademark.i-assist.jp/data/china/image_1890th/77281996.pdf",77281996)</f>
        <v>77281996</v>
      </c>
      <c r="F2149" s="7" t="s">
        <v>6015</v>
      </c>
      <c r="G2149" s="7" t="s">
        <v>6014</v>
      </c>
      <c r="H2149" s="7" t="s">
        <v>6016</v>
      </c>
      <c r="I2149" s="9">
        <v>45364</v>
      </c>
    </row>
    <row r="2150" spans="1:9" x14ac:dyDescent="0.15">
      <c r="A2150" s="6">
        <v>2149</v>
      </c>
      <c r="B2150" s="7" t="s">
        <v>7</v>
      </c>
      <c r="C2150" s="8">
        <v>1890</v>
      </c>
      <c r="D2150" s="9">
        <v>45449</v>
      </c>
      <c r="E2150" s="13">
        <f>+HYPERLINK("http://trademark.i-assist.jp/data/china/image_1890th/77282002.pdf",77282002)</f>
        <v>77282002</v>
      </c>
      <c r="F2150" s="7" t="s">
        <v>6018</v>
      </c>
      <c r="G2150" s="7" t="s">
        <v>6017</v>
      </c>
      <c r="H2150" s="7" t="s">
        <v>6019</v>
      </c>
      <c r="I2150" s="9">
        <v>45364</v>
      </c>
    </row>
    <row r="2151" spans="1:9" x14ac:dyDescent="0.15">
      <c r="A2151" s="6">
        <v>2150</v>
      </c>
      <c r="B2151" s="7" t="s">
        <v>7</v>
      </c>
      <c r="C2151" s="8">
        <v>1890</v>
      </c>
      <c r="D2151" s="9">
        <v>45449</v>
      </c>
      <c r="E2151" s="13">
        <f>+HYPERLINK("http://trademark.i-assist.jp/data/china/image_1890th/77282098.pdf",77282098)</f>
        <v>77282098</v>
      </c>
      <c r="F2151" s="7" t="s">
        <v>6020</v>
      </c>
      <c r="G2151" s="7" t="s">
        <v>5999</v>
      </c>
      <c r="H2151" s="7" t="s">
        <v>6021</v>
      </c>
      <c r="I2151" s="9">
        <v>45364</v>
      </c>
    </row>
    <row r="2152" spans="1:9" x14ac:dyDescent="0.15">
      <c r="A2152" s="6">
        <v>2151</v>
      </c>
      <c r="B2152" s="7" t="s">
        <v>7</v>
      </c>
      <c r="C2152" s="8">
        <v>1890</v>
      </c>
      <c r="D2152" s="9">
        <v>45449</v>
      </c>
      <c r="E2152" s="13">
        <f>+HYPERLINK("http://trademark.i-assist.jp/data/china/image_1890th/77282125.pdf",77282125)</f>
        <v>77282125</v>
      </c>
      <c r="F2152" s="7" t="s">
        <v>6023</v>
      </c>
      <c r="G2152" s="7" t="s">
        <v>6022</v>
      </c>
      <c r="H2152" s="7" t="s">
        <v>6024</v>
      </c>
      <c r="I2152" s="9">
        <v>45364</v>
      </c>
    </row>
    <row r="2153" spans="1:9" x14ac:dyDescent="0.15">
      <c r="A2153" s="6">
        <v>2152</v>
      </c>
      <c r="B2153" s="7" t="s">
        <v>7</v>
      </c>
      <c r="C2153" s="8">
        <v>1890</v>
      </c>
      <c r="D2153" s="9">
        <v>45449</v>
      </c>
      <c r="E2153" s="13">
        <f>+HYPERLINK("http://trademark.i-assist.jp/data/china/image_1890th/77283918.pdf",77283918)</f>
        <v>77283918</v>
      </c>
      <c r="F2153" s="7" t="s">
        <v>6026</v>
      </c>
      <c r="G2153" s="7" t="s">
        <v>6025</v>
      </c>
      <c r="H2153" s="7" t="s">
        <v>6027</v>
      </c>
      <c r="I2153" s="9">
        <v>45364</v>
      </c>
    </row>
    <row r="2154" spans="1:9" ht="27" x14ac:dyDescent="0.15">
      <c r="A2154" s="6">
        <v>2153</v>
      </c>
      <c r="B2154" s="7" t="s">
        <v>7</v>
      </c>
      <c r="C2154" s="8">
        <v>1890</v>
      </c>
      <c r="D2154" s="9">
        <v>45449</v>
      </c>
      <c r="E2154" s="13">
        <f>+HYPERLINK("http://trademark.i-assist.jp/data/china/image_1890th/77284110.pdf",77284110)</f>
        <v>77284110</v>
      </c>
      <c r="F2154" s="7" t="s">
        <v>6029</v>
      </c>
      <c r="G2154" s="7" t="s">
        <v>6028</v>
      </c>
      <c r="H2154" s="7" t="s">
        <v>6030</v>
      </c>
      <c r="I2154" s="9">
        <v>45364</v>
      </c>
    </row>
    <row r="2155" spans="1:9" x14ac:dyDescent="0.15">
      <c r="A2155" s="6">
        <v>2154</v>
      </c>
      <c r="B2155" s="7" t="s">
        <v>7</v>
      </c>
      <c r="C2155" s="8">
        <v>1890</v>
      </c>
      <c r="D2155" s="9">
        <v>45449</v>
      </c>
      <c r="E2155" s="13">
        <f>+HYPERLINK("http://trademark.i-assist.jp/data/china/image_1890th/77284162.pdf",77284162)</f>
        <v>77284162</v>
      </c>
      <c r="F2155" s="7" t="s">
        <v>6031</v>
      </c>
      <c r="G2155" s="7" t="s">
        <v>4029</v>
      </c>
      <c r="H2155" s="7" t="s">
        <v>6032</v>
      </c>
      <c r="I2155" s="9">
        <v>45364</v>
      </c>
    </row>
    <row r="2156" spans="1:9" x14ac:dyDescent="0.15">
      <c r="A2156" s="6">
        <v>2155</v>
      </c>
      <c r="B2156" s="7" t="s">
        <v>7</v>
      </c>
      <c r="C2156" s="8">
        <v>1890</v>
      </c>
      <c r="D2156" s="9">
        <v>45449</v>
      </c>
      <c r="E2156" s="13">
        <f>+HYPERLINK("http://trademark.i-assist.jp/data/china/image_1890th/77284212.pdf",77284212)</f>
        <v>77284212</v>
      </c>
      <c r="F2156" s="7" t="s">
        <v>6033</v>
      </c>
      <c r="G2156" s="7" t="s">
        <v>42</v>
      </c>
      <c r="H2156" s="7" t="s">
        <v>6034</v>
      </c>
      <c r="I2156" s="9">
        <v>45364</v>
      </c>
    </row>
    <row r="2157" spans="1:9" x14ac:dyDescent="0.15">
      <c r="A2157" s="6">
        <v>2156</v>
      </c>
      <c r="B2157" s="7" t="s">
        <v>7</v>
      </c>
      <c r="C2157" s="8">
        <v>1890</v>
      </c>
      <c r="D2157" s="9">
        <v>45449</v>
      </c>
      <c r="E2157" s="13">
        <f>+HYPERLINK("http://trademark.i-assist.jp/data/china/image_1890th/77284241.pdf",77284241)</f>
        <v>77284241</v>
      </c>
      <c r="F2157" s="7" t="s">
        <v>6036</v>
      </c>
      <c r="G2157" s="7" t="s">
        <v>6035</v>
      </c>
      <c r="H2157" s="7" t="s">
        <v>6037</v>
      </c>
      <c r="I2157" s="9">
        <v>45364</v>
      </c>
    </row>
    <row r="2158" spans="1:9" x14ac:dyDescent="0.15">
      <c r="A2158" s="6">
        <v>2157</v>
      </c>
      <c r="B2158" s="7" t="s">
        <v>7</v>
      </c>
      <c r="C2158" s="8">
        <v>1890</v>
      </c>
      <c r="D2158" s="9">
        <v>45449</v>
      </c>
      <c r="E2158" s="13">
        <f>+HYPERLINK("http://trademark.i-assist.jp/data/china/image_1890th/77284271.pdf",77284271)</f>
        <v>77284271</v>
      </c>
      <c r="F2158" s="7" t="s">
        <v>6039</v>
      </c>
      <c r="G2158" s="7" t="s">
        <v>6038</v>
      </c>
      <c r="H2158" s="7" t="s">
        <v>6040</v>
      </c>
      <c r="I2158" s="9">
        <v>45364</v>
      </c>
    </row>
    <row r="2159" spans="1:9" x14ac:dyDescent="0.15">
      <c r="A2159" s="6">
        <v>2158</v>
      </c>
      <c r="B2159" s="7" t="s">
        <v>7</v>
      </c>
      <c r="C2159" s="8">
        <v>1890</v>
      </c>
      <c r="D2159" s="9">
        <v>45449</v>
      </c>
      <c r="E2159" s="13">
        <f>+HYPERLINK("http://trademark.i-assist.jp/data/china/image_1890th/77284285.pdf",77284285)</f>
        <v>77284285</v>
      </c>
      <c r="F2159" s="7" t="s">
        <v>183</v>
      </c>
      <c r="G2159" s="7" t="s">
        <v>6041</v>
      </c>
      <c r="H2159" s="7" t="s">
        <v>6042</v>
      </c>
      <c r="I2159" s="9">
        <v>45364</v>
      </c>
    </row>
    <row r="2160" spans="1:9" x14ac:dyDescent="0.15">
      <c r="A2160" s="6">
        <v>2159</v>
      </c>
      <c r="B2160" s="7" t="s">
        <v>7</v>
      </c>
      <c r="C2160" s="8">
        <v>1890</v>
      </c>
      <c r="D2160" s="9">
        <v>45449</v>
      </c>
      <c r="E2160" s="13">
        <f>+HYPERLINK("http://trademark.i-assist.jp/data/china/image_1890th/77284999.pdf",77284999)</f>
        <v>77284999</v>
      </c>
      <c r="F2160" s="7" t="s">
        <v>6044</v>
      </c>
      <c r="G2160" s="7" t="s">
        <v>6043</v>
      </c>
      <c r="H2160" s="7" t="s">
        <v>6045</v>
      </c>
      <c r="I2160" s="9">
        <v>45364</v>
      </c>
    </row>
    <row r="2161" spans="1:9" x14ac:dyDescent="0.15">
      <c r="A2161" s="6">
        <v>2160</v>
      </c>
      <c r="B2161" s="7" t="s">
        <v>7</v>
      </c>
      <c r="C2161" s="8">
        <v>1890</v>
      </c>
      <c r="D2161" s="9">
        <v>45449</v>
      </c>
      <c r="E2161" s="13">
        <f>+HYPERLINK("http://trademark.i-assist.jp/data/china/image_1890th/77285090.pdf",77285090)</f>
        <v>77285090</v>
      </c>
      <c r="F2161" s="7" t="s">
        <v>6047</v>
      </c>
      <c r="G2161" s="7" t="s">
        <v>6046</v>
      </c>
      <c r="H2161" s="7" t="s">
        <v>6048</v>
      </c>
      <c r="I2161" s="9">
        <v>45364</v>
      </c>
    </row>
    <row r="2162" spans="1:9" x14ac:dyDescent="0.15">
      <c r="A2162" s="6">
        <v>2161</v>
      </c>
      <c r="B2162" s="7" t="s">
        <v>7</v>
      </c>
      <c r="C2162" s="8">
        <v>1890</v>
      </c>
      <c r="D2162" s="9">
        <v>45449</v>
      </c>
      <c r="E2162" s="13">
        <f>+HYPERLINK("http://trademark.i-assist.jp/data/china/image_1890th/77285148.pdf",77285148)</f>
        <v>77285148</v>
      </c>
      <c r="F2162" s="7" t="s">
        <v>6049</v>
      </c>
      <c r="G2162" s="7" t="s">
        <v>3987</v>
      </c>
      <c r="H2162" s="7" t="s">
        <v>3989</v>
      </c>
      <c r="I2162" s="9">
        <v>45364</v>
      </c>
    </row>
    <row r="2163" spans="1:9" x14ac:dyDescent="0.15">
      <c r="A2163" s="6">
        <v>2162</v>
      </c>
      <c r="B2163" s="7" t="s">
        <v>7</v>
      </c>
      <c r="C2163" s="8">
        <v>1890</v>
      </c>
      <c r="D2163" s="9">
        <v>45449</v>
      </c>
      <c r="E2163" s="13">
        <f>+HYPERLINK("http://trademark.i-assist.jp/data/china/image_1890th/77285149.pdf",77285149)</f>
        <v>77285149</v>
      </c>
      <c r="F2163" s="7" t="s">
        <v>6051</v>
      </c>
      <c r="G2163" s="7" t="s">
        <v>6050</v>
      </c>
      <c r="H2163" s="7" t="s">
        <v>6052</v>
      </c>
      <c r="I2163" s="9">
        <v>45364</v>
      </c>
    </row>
    <row r="2164" spans="1:9" x14ac:dyDescent="0.15">
      <c r="A2164" s="6">
        <v>2163</v>
      </c>
      <c r="B2164" s="7" t="s">
        <v>7</v>
      </c>
      <c r="C2164" s="8">
        <v>1890</v>
      </c>
      <c r="D2164" s="9">
        <v>45449</v>
      </c>
      <c r="E2164" s="13">
        <f>+HYPERLINK("http://trademark.i-assist.jp/data/china/image_1890th/77285600.pdf",77285600)</f>
        <v>77285600</v>
      </c>
      <c r="F2164" s="7" t="s">
        <v>6053</v>
      </c>
      <c r="G2164" s="7" t="s">
        <v>44</v>
      </c>
      <c r="H2164" s="7" t="s">
        <v>6054</v>
      </c>
      <c r="I2164" s="9">
        <v>45364</v>
      </c>
    </row>
    <row r="2165" spans="1:9" ht="27" x14ac:dyDescent="0.15">
      <c r="A2165" s="6">
        <v>2164</v>
      </c>
      <c r="B2165" s="7" t="s">
        <v>7</v>
      </c>
      <c r="C2165" s="8">
        <v>1890</v>
      </c>
      <c r="D2165" s="9">
        <v>45449</v>
      </c>
      <c r="E2165" s="13">
        <f>+HYPERLINK("http://trademark.i-assist.jp/data/china/image_1890th/77285964.pdf",77285964)</f>
        <v>77285964</v>
      </c>
      <c r="F2165" s="7" t="s">
        <v>183</v>
      </c>
      <c r="G2165" s="7" t="s">
        <v>6055</v>
      </c>
      <c r="H2165" s="7" t="s">
        <v>6056</v>
      </c>
      <c r="I2165" s="9">
        <v>45364</v>
      </c>
    </row>
    <row r="2166" spans="1:9" x14ac:dyDescent="0.15">
      <c r="A2166" s="6">
        <v>2165</v>
      </c>
      <c r="B2166" s="7" t="s">
        <v>7</v>
      </c>
      <c r="C2166" s="8">
        <v>1890</v>
      </c>
      <c r="D2166" s="9">
        <v>45449</v>
      </c>
      <c r="E2166" s="13">
        <f>+HYPERLINK("http://trademark.i-assist.jp/data/china/image_1890th/77286009.pdf",77286009)</f>
        <v>77286009</v>
      </c>
      <c r="F2166" s="7" t="s">
        <v>6058</v>
      </c>
      <c r="G2166" s="7" t="s">
        <v>6057</v>
      </c>
      <c r="H2166" s="7" t="s">
        <v>6059</v>
      </c>
      <c r="I2166" s="9">
        <v>45364</v>
      </c>
    </row>
    <row r="2167" spans="1:9" ht="27" x14ac:dyDescent="0.15">
      <c r="A2167" s="6">
        <v>2166</v>
      </c>
      <c r="B2167" s="7" t="s">
        <v>7</v>
      </c>
      <c r="C2167" s="8">
        <v>1890</v>
      </c>
      <c r="D2167" s="9">
        <v>45449</v>
      </c>
      <c r="E2167" s="13">
        <f>+HYPERLINK("http://trademark.i-assist.jp/data/china/image_1890th/77286049.pdf",77286049)</f>
        <v>77286049</v>
      </c>
      <c r="F2167" s="7" t="s">
        <v>6061</v>
      </c>
      <c r="G2167" s="7" t="s">
        <v>6060</v>
      </c>
      <c r="H2167" s="7" t="s">
        <v>6062</v>
      </c>
      <c r="I2167" s="9">
        <v>45364</v>
      </c>
    </row>
    <row r="2168" spans="1:9" x14ac:dyDescent="0.15">
      <c r="A2168" s="6">
        <v>2167</v>
      </c>
      <c r="B2168" s="7" t="s">
        <v>7</v>
      </c>
      <c r="C2168" s="8">
        <v>1890</v>
      </c>
      <c r="D2168" s="9">
        <v>45449</v>
      </c>
      <c r="E2168" s="13">
        <f>+HYPERLINK("http://trademark.i-assist.jp/data/china/image_1890th/77286268.pdf",77286268)</f>
        <v>77286268</v>
      </c>
      <c r="F2168" s="7" t="s">
        <v>6064</v>
      </c>
      <c r="G2168" s="7" t="s">
        <v>6063</v>
      </c>
      <c r="H2168" s="7" t="s">
        <v>6065</v>
      </c>
      <c r="I2168" s="9">
        <v>45364</v>
      </c>
    </row>
    <row r="2169" spans="1:9" x14ac:dyDescent="0.15">
      <c r="A2169" s="6">
        <v>2168</v>
      </c>
      <c r="B2169" s="7" t="s">
        <v>7</v>
      </c>
      <c r="C2169" s="8">
        <v>1890</v>
      </c>
      <c r="D2169" s="9">
        <v>45449</v>
      </c>
      <c r="E2169" s="13">
        <f>+HYPERLINK("http://trademark.i-assist.jp/data/china/image_1890th/77286615.pdf",77286615)</f>
        <v>77286615</v>
      </c>
      <c r="F2169" s="7" t="s">
        <v>6067</v>
      </c>
      <c r="G2169" s="7" t="s">
        <v>6066</v>
      </c>
      <c r="H2169" s="7" t="s">
        <v>6068</v>
      </c>
      <c r="I2169" s="9">
        <v>45364</v>
      </c>
    </row>
    <row r="2170" spans="1:9" x14ac:dyDescent="0.15">
      <c r="A2170" s="6">
        <v>2169</v>
      </c>
      <c r="B2170" s="7" t="s">
        <v>7</v>
      </c>
      <c r="C2170" s="8">
        <v>1890</v>
      </c>
      <c r="D2170" s="9">
        <v>45449</v>
      </c>
      <c r="E2170" s="13">
        <f>+HYPERLINK("http://trademark.i-assist.jp/data/china/image_1890th/77286713.pdf",77286713)</f>
        <v>77286713</v>
      </c>
      <c r="F2170" s="7" t="s">
        <v>6070</v>
      </c>
      <c r="G2170" s="7" t="s">
        <v>6069</v>
      </c>
      <c r="H2170" s="7" t="s">
        <v>6071</v>
      </c>
      <c r="I2170" s="9">
        <v>45364</v>
      </c>
    </row>
    <row r="2171" spans="1:9" x14ac:dyDescent="0.15">
      <c r="A2171" s="6">
        <v>2170</v>
      </c>
      <c r="B2171" s="7" t="s">
        <v>7</v>
      </c>
      <c r="C2171" s="8">
        <v>1890</v>
      </c>
      <c r="D2171" s="9">
        <v>45449</v>
      </c>
      <c r="E2171" s="13">
        <f>+HYPERLINK("http://trademark.i-assist.jp/data/china/image_1890th/77286777.pdf",77286777)</f>
        <v>77286777</v>
      </c>
      <c r="F2171" s="7" t="s">
        <v>183</v>
      </c>
      <c r="G2171" s="7" t="s">
        <v>6072</v>
      </c>
      <c r="H2171" s="7" t="s">
        <v>6073</v>
      </c>
      <c r="I2171" s="9">
        <v>45364</v>
      </c>
    </row>
    <row r="2172" spans="1:9" x14ac:dyDescent="0.15">
      <c r="A2172" s="6">
        <v>2171</v>
      </c>
      <c r="B2172" s="7" t="s">
        <v>7</v>
      </c>
      <c r="C2172" s="8">
        <v>1890</v>
      </c>
      <c r="D2172" s="9">
        <v>45449</v>
      </c>
      <c r="E2172" s="13">
        <f>+HYPERLINK("http://trademark.i-assist.jp/data/china/image_1890th/77286780.pdf",77286780)</f>
        <v>77286780</v>
      </c>
      <c r="F2172" s="7" t="s">
        <v>6075</v>
      </c>
      <c r="G2172" s="7" t="s">
        <v>6074</v>
      </c>
      <c r="H2172" s="7" t="s">
        <v>6076</v>
      </c>
      <c r="I2172" s="9">
        <v>45364</v>
      </c>
    </row>
    <row r="2173" spans="1:9" x14ac:dyDescent="0.15">
      <c r="A2173" s="6">
        <v>2172</v>
      </c>
      <c r="B2173" s="7" t="s">
        <v>7</v>
      </c>
      <c r="C2173" s="8">
        <v>1890</v>
      </c>
      <c r="D2173" s="9">
        <v>45449</v>
      </c>
      <c r="E2173" s="13">
        <f>+HYPERLINK("http://trademark.i-assist.jp/data/china/image_1890th/77286847.pdf",77286847)</f>
        <v>77286847</v>
      </c>
      <c r="F2173" s="7" t="s">
        <v>6077</v>
      </c>
      <c r="G2173" s="7" t="s">
        <v>4029</v>
      </c>
      <c r="H2173" s="7" t="s">
        <v>6078</v>
      </c>
      <c r="I2173" s="9">
        <v>45364</v>
      </c>
    </row>
    <row r="2174" spans="1:9" x14ac:dyDescent="0.15">
      <c r="A2174" s="6">
        <v>2173</v>
      </c>
      <c r="B2174" s="7" t="s">
        <v>7</v>
      </c>
      <c r="C2174" s="8">
        <v>1890</v>
      </c>
      <c r="D2174" s="9">
        <v>45449</v>
      </c>
      <c r="E2174" s="13">
        <f>+HYPERLINK("http://trademark.i-assist.jp/data/china/image_1890th/77286977.pdf",77286977)</f>
        <v>77286977</v>
      </c>
      <c r="F2174" s="7" t="s">
        <v>6080</v>
      </c>
      <c r="G2174" s="7" t="s">
        <v>6079</v>
      </c>
      <c r="H2174" s="7" t="s">
        <v>6081</v>
      </c>
      <c r="I2174" s="9">
        <v>45364</v>
      </c>
    </row>
    <row r="2175" spans="1:9" x14ac:dyDescent="0.15">
      <c r="A2175" s="6">
        <v>2174</v>
      </c>
      <c r="B2175" s="7" t="s">
        <v>7</v>
      </c>
      <c r="C2175" s="8">
        <v>1890</v>
      </c>
      <c r="D2175" s="9">
        <v>45449</v>
      </c>
      <c r="E2175" s="13">
        <f>+HYPERLINK("http://trademark.i-assist.jp/data/china/image_1890th/77287081.pdf",77287081)</f>
        <v>77287081</v>
      </c>
      <c r="F2175" s="7" t="s">
        <v>6083</v>
      </c>
      <c r="G2175" s="7" t="s">
        <v>6082</v>
      </c>
      <c r="H2175" s="7" t="s">
        <v>6084</v>
      </c>
      <c r="I2175" s="9">
        <v>45364</v>
      </c>
    </row>
    <row r="2176" spans="1:9" x14ac:dyDescent="0.15">
      <c r="A2176" s="6">
        <v>2175</v>
      </c>
      <c r="B2176" s="7" t="s">
        <v>7</v>
      </c>
      <c r="C2176" s="8">
        <v>1890</v>
      </c>
      <c r="D2176" s="9">
        <v>45449</v>
      </c>
      <c r="E2176" s="13">
        <f>+HYPERLINK("http://trademark.i-assist.jp/data/china/image_1890th/77289301.pdf",77289301)</f>
        <v>77289301</v>
      </c>
      <c r="F2176" s="7" t="s">
        <v>6085</v>
      </c>
      <c r="G2176" s="7" t="s">
        <v>5121</v>
      </c>
      <c r="H2176" s="7" t="s">
        <v>6086</v>
      </c>
      <c r="I2176" s="9">
        <v>45364</v>
      </c>
    </row>
    <row r="2177" spans="1:9" x14ac:dyDescent="0.15">
      <c r="A2177" s="6">
        <v>2176</v>
      </c>
      <c r="B2177" s="7" t="s">
        <v>7</v>
      </c>
      <c r="C2177" s="8">
        <v>1890</v>
      </c>
      <c r="D2177" s="9">
        <v>45449</v>
      </c>
      <c r="E2177" s="13">
        <f>+HYPERLINK("http://trademark.i-assist.jp/data/china/image_1890th/77289351.pdf",77289351)</f>
        <v>77289351</v>
      </c>
      <c r="F2177" s="7" t="s">
        <v>6088</v>
      </c>
      <c r="G2177" s="7" t="s">
        <v>6087</v>
      </c>
      <c r="H2177" s="7" t="s">
        <v>6089</v>
      </c>
      <c r="I2177" s="9">
        <v>45364</v>
      </c>
    </row>
    <row r="2178" spans="1:9" x14ac:dyDescent="0.15">
      <c r="A2178" s="6">
        <v>2177</v>
      </c>
      <c r="B2178" s="7" t="s">
        <v>7</v>
      </c>
      <c r="C2178" s="8">
        <v>1890</v>
      </c>
      <c r="D2178" s="9">
        <v>45449</v>
      </c>
      <c r="E2178" s="13">
        <f>+HYPERLINK("http://trademark.i-assist.jp/data/china/image_1890th/77289504.pdf",77289504)</f>
        <v>77289504</v>
      </c>
      <c r="F2178" s="7" t="s">
        <v>6090</v>
      </c>
      <c r="G2178" s="7" t="s">
        <v>1655</v>
      </c>
      <c r="H2178" s="7" t="s">
        <v>6091</v>
      </c>
      <c r="I2178" s="9">
        <v>45364</v>
      </c>
    </row>
    <row r="2179" spans="1:9" x14ac:dyDescent="0.15">
      <c r="A2179" s="6">
        <v>2178</v>
      </c>
      <c r="B2179" s="7" t="s">
        <v>7</v>
      </c>
      <c r="C2179" s="8">
        <v>1890</v>
      </c>
      <c r="D2179" s="9">
        <v>45449</v>
      </c>
      <c r="E2179" s="13">
        <f>+HYPERLINK("http://trademark.i-assist.jp/data/china/image_1890th/77289948.pdf",77289948)</f>
        <v>77289948</v>
      </c>
      <c r="F2179" s="7" t="s">
        <v>6093</v>
      </c>
      <c r="G2179" s="7" t="s">
        <v>6092</v>
      </c>
      <c r="H2179" s="7" t="s">
        <v>6094</v>
      </c>
      <c r="I2179" s="9">
        <v>45364</v>
      </c>
    </row>
    <row r="2180" spans="1:9" x14ac:dyDescent="0.15">
      <c r="A2180" s="6">
        <v>2179</v>
      </c>
      <c r="B2180" s="7" t="s">
        <v>7</v>
      </c>
      <c r="C2180" s="8">
        <v>1890</v>
      </c>
      <c r="D2180" s="9">
        <v>45449</v>
      </c>
      <c r="E2180" s="13">
        <f>+HYPERLINK("http://trademark.i-assist.jp/data/china/image_1890th/77289957.pdf",77289957)</f>
        <v>77289957</v>
      </c>
      <c r="F2180" s="7" t="s">
        <v>6095</v>
      </c>
      <c r="G2180" s="7" t="s">
        <v>5978</v>
      </c>
      <c r="H2180" s="7" t="s">
        <v>6096</v>
      </c>
      <c r="I2180" s="9">
        <v>45364</v>
      </c>
    </row>
    <row r="2181" spans="1:9" x14ac:dyDescent="0.15">
      <c r="A2181" s="6">
        <v>2180</v>
      </c>
      <c r="B2181" s="7" t="s">
        <v>7</v>
      </c>
      <c r="C2181" s="8">
        <v>1890</v>
      </c>
      <c r="D2181" s="9">
        <v>45449</v>
      </c>
      <c r="E2181" s="13">
        <f>+HYPERLINK("http://trademark.i-assist.jp/data/china/image_1890th/77290029.pdf",77290029)</f>
        <v>77290029</v>
      </c>
      <c r="F2181" s="7" t="s">
        <v>183</v>
      </c>
      <c r="G2181" s="7" t="s">
        <v>4726</v>
      </c>
      <c r="H2181" s="7" t="s">
        <v>6097</v>
      </c>
      <c r="I2181" s="9">
        <v>45365</v>
      </c>
    </row>
    <row r="2182" spans="1:9" x14ac:dyDescent="0.15">
      <c r="A2182" s="6">
        <v>2181</v>
      </c>
      <c r="B2182" s="7" t="s">
        <v>7</v>
      </c>
      <c r="C2182" s="8">
        <v>1890</v>
      </c>
      <c r="D2182" s="9">
        <v>45449</v>
      </c>
      <c r="E2182" s="13">
        <f>+HYPERLINK("http://trademark.i-assist.jp/data/china/image_1890th/77290289.pdf",77290289)</f>
        <v>77290289</v>
      </c>
      <c r="F2182" s="7" t="s">
        <v>6099</v>
      </c>
      <c r="G2182" s="7" t="s">
        <v>6098</v>
      </c>
      <c r="H2182" s="7" t="s">
        <v>6100</v>
      </c>
      <c r="I2182" s="9">
        <v>45365</v>
      </c>
    </row>
    <row r="2183" spans="1:9" x14ac:dyDescent="0.15">
      <c r="A2183" s="6">
        <v>2182</v>
      </c>
      <c r="B2183" s="7" t="s">
        <v>7</v>
      </c>
      <c r="C2183" s="8">
        <v>1890</v>
      </c>
      <c r="D2183" s="9">
        <v>45449</v>
      </c>
      <c r="E2183" s="13">
        <f>+HYPERLINK("http://trademark.i-assist.jp/data/china/image_1890th/77290753.pdf",77290753)</f>
        <v>77290753</v>
      </c>
      <c r="F2183" s="7" t="s">
        <v>6102</v>
      </c>
      <c r="G2183" s="7" t="s">
        <v>6101</v>
      </c>
      <c r="H2183" s="7" t="s">
        <v>6103</v>
      </c>
      <c r="I2183" s="9">
        <v>45365</v>
      </c>
    </row>
    <row r="2184" spans="1:9" x14ac:dyDescent="0.15">
      <c r="A2184" s="6">
        <v>2183</v>
      </c>
      <c r="B2184" s="7" t="s">
        <v>7</v>
      </c>
      <c r="C2184" s="8">
        <v>1890</v>
      </c>
      <c r="D2184" s="9">
        <v>45449</v>
      </c>
      <c r="E2184" s="13">
        <f>+HYPERLINK("http://trademark.i-assist.jp/data/china/image_1890th/77290940.pdf",77290940)</f>
        <v>77290940</v>
      </c>
      <c r="F2184" s="7" t="s">
        <v>6105</v>
      </c>
      <c r="G2184" s="7" t="s">
        <v>6104</v>
      </c>
      <c r="H2184" s="7" t="s">
        <v>6106</v>
      </c>
      <c r="I2184" s="9">
        <v>45365</v>
      </c>
    </row>
    <row r="2185" spans="1:9" x14ac:dyDescent="0.15">
      <c r="A2185" s="6">
        <v>2184</v>
      </c>
      <c r="B2185" s="7" t="s">
        <v>7</v>
      </c>
      <c r="C2185" s="8">
        <v>1890</v>
      </c>
      <c r="D2185" s="9">
        <v>45449</v>
      </c>
      <c r="E2185" s="13">
        <f>+HYPERLINK("http://trademark.i-assist.jp/data/china/image_1890th/77290950.pdf",77290950)</f>
        <v>77290950</v>
      </c>
      <c r="F2185" s="7" t="s">
        <v>6108</v>
      </c>
      <c r="G2185" s="7" t="s">
        <v>6107</v>
      </c>
      <c r="H2185" s="7" t="s">
        <v>6109</v>
      </c>
      <c r="I2185" s="9">
        <v>45365</v>
      </c>
    </row>
    <row r="2186" spans="1:9" x14ac:dyDescent="0.15">
      <c r="A2186" s="6">
        <v>2185</v>
      </c>
      <c r="B2186" s="7" t="s">
        <v>7</v>
      </c>
      <c r="C2186" s="8">
        <v>1890</v>
      </c>
      <c r="D2186" s="9">
        <v>45449</v>
      </c>
      <c r="E2186" s="13">
        <f>+HYPERLINK("http://trademark.i-assist.jp/data/china/image_1890th/77290986.pdf",77290986)</f>
        <v>77290986</v>
      </c>
      <c r="F2186" s="7" t="s">
        <v>6111</v>
      </c>
      <c r="G2186" s="7" t="s">
        <v>6110</v>
      </c>
      <c r="H2186" s="7" t="s">
        <v>6112</v>
      </c>
      <c r="I2186" s="9">
        <v>45365</v>
      </c>
    </row>
    <row r="2187" spans="1:9" x14ac:dyDescent="0.15">
      <c r="A2187" s="6">
        <v>2186</v>
      </c>
      <c r="B2187" s="7" t="s">
        <v>7</v>
      </c>
      <c r="C2187" s="8">
        <v>1890</v>
      </c>
      <c r="D2187" s="9">
        <v>45449</v>
      </c>
      <c r="E2187" s="13">
        <f>+HYPERLINK("http://trademark.i-assist.jp/data/china/image_1890th/77291164.pdf",77291164)</f>
        <v>77291164</v>
      </c>
      <c r="F2187" s="7" t="s">
        <v>6113</v>
      </c>
      <c r="G2187" s="7" t="s">
        <v>2757</v>
      </c>
      <c r="H2187" s="7" t="s">
        <v>6114</v>
      </c>
      <c r="I2187" s="9">
        <v>45365</v>
      </c>
    </row>
    <row r="2188" spans="1:9" x14ac:dyDescent="0.15">
      <c r="A2188" s="6">
        <v>2187</v>
      </c>
      <c r="B2188" s="7" t="s">
        <v>7</v>
      </c>
      <c r="C2188" s="8">
        <v>1890</v>
      </c>
      <c r="D2188" s="9">
        <v>45449</v>
      </c>
      <c r="E2188" s="13">
        <f>+HYPERLINK("http://trademark.i-assist.jp/data/china/image_1890th/77291246.pdf",77291246)</f>
        <v>77291246</v>
      </c>
      <c r="F2188" s="7" t="s">
        <v>6115</v>
      </c>
      <c r="G2188" s="7" t="s">
        <v>2742</v>
      </c>
      <c r="H2188" s="7" t="s">
        <v>6116</v>
      </c>
      <c r="I2188" s="9">
        <v>45365</v>
      </c>
    </row>
    <row r="2189" spans="1:9" x14ac:dyDescent="0.15">
      <c r="A2189" s="6">
        <v>2188</v>
      </c>
      <c r="B2189" s="7" t="s">
        <v>7</v>
      </c>
      <c r="C2189" s="8">
        <v>1890</v>
      </c>
      <c r="D2189" s="9">
        <v>45449</v>
      </c>
      <c r="E2189" s="13">
        <f>+HYPERLINK("http://trademark.i-assist.jp/data/china/image_1890th/77291311.pdf",77291311)</f>
        <v>77291311</v>
      </c>
      <c r="F2189" s="7" t="s">
        <v>6118</v>
      </c>
      <c r="G2189" s="7" t="s">
        <v>6117</v>
      </c>
      <c r="H2189" s="7" t="s">
        <v>6119</v>
      </c>
      <c r="I2189" s="9">
        <v>45365</v>
      </c>
    </row>
    <row r="2190" spans="1:9" ht="27" x14ac:dyDescent="0.15">
      <c r="A2190" s="6">
        <v>2189</v>
      </c>
      <c r="B2190" s="7" t="s">
        <v>7</v>
      </c>
      <c r="C2190" s="8">
        <v>1890</v>
      </c>
      <c r="D2190" s="9">
        <v>45449</v>
      </c>
      <c r="E2190" s="13">
        <f>+HYPERLINK("http://trademark.i-assist.jp/data/china/image_1890th/77291393.pdf",77291393)</f>
        <v>77291393</v>
      </c>
      <c r="F2190" s="7" t="s">
        <v>6121</v>
      </c>
      <c r="G2190" s="7" t="s">
        <v>6120</v>
      </c>
      <c r="H2190" s="7" t="s">
        <v>6122</v>
      </c>
      <c r="I2190" s="9">
        <v>45365</v>
      </c>
    </row>
    <row r="2191" spans="1:9" x14ac:dyDescent="0.15">
      <c r="A2191" s="6">
        <v>2190</v>
      </c>
      <c r="B2191" s="7" t="s">
        <v>7</v>
      </c>
      <c r="C2191" s="8">
        <v>1890</v>
      </c>
      <c r="D2191" s="9">
        <v>45449</v>
      </c>
      <c r="E2191" s="13">
        <f>+HYPERLINK("http://trademark.i-assist.jp/data/china/image_1890th/77291618.pdf",77291618)</f>
        <v>77291618</v>
      </c>
      <c r="F2191" s="7" t="s">
        <v>6124</v>
      </c>
      <c r="G2191" s="7" t="s">
        <v>6123</v>
      </c>
      <c r="H2191" s="7" t="s">
        <v>6125</v>
      </c>
      <c r="I2191" s="9">
        <v>45365</v>
      </c>
    </row>
    <row r="2192" spans="1:9" x14ac:dyDescent="0.15">
      <c r="A2192" s="6">
        <v>2191</v>
      </c>
      <c r="B2192" s="7" t="s">
        <v>7</v>
      </c>
      <c r="C2192" s="8">
        <v>1890</v>
      </c>
      <c r="D2192" s="9">
        <v>45449</v>
      </c>
      <c r="E2192" s="13">
        <f>+HYPERLINK("http://trademark.i-assist.jp/data/china/image_1890th/77291760.pdf",77291760)</f>
        <v>77291760</v>
      </c>
      <c r="F2192" s="7" t="s">
        <v>6126</v>
      </c>
      <c r="G2192" s="7" t="s">
        <v>2777</v>
      </c>
      <c r="H2192" s="7" t="s">
        <v>6127</v>
      </c>
      <c r="I2192" s="9">
        <v>45365</v>
      </c>
    </row>
    <row r="2193" spans="1:9" x14ac:dyDescent="0.15">
      <c r="A2193" s="6">
        <v>2192</v>
      </c>
      <c r="B2193" s="7" t="s">
        <v>7</v>
      </c>
      <c r="C2193" s="8">
        <v>1890</v>
      </c>
      <c r="D2193" s="9">
        <v>45449</v>
      </c>
      <c r="E2193" s="13">
        <f>+HYPERLINK("http://trademark.i-assist.jp/data/china/image_1890th/77291874.pdf",77291874)</f>
        <v>77291874</v>
      </c>
      <c r="F2193" s="7" t="s">
        <v>6129</v>
      </c>
      <c r="G2193" s="7" t="s">
        <v>6128</v>
      </c>
      <c r="H2193" s="7" t="s">
        <v>6130</v>
      </c>
      <c r="I2193" s="9">
        <v>45365</v>
      </c>
    </row>
    <row r="2194" spans="1:9" x14ac:dyDescent="0.15">
      <c r="A2194" s="6">
        <v>2193</v>
      </c>
      <c r="B2194" s="7" t="s">
        <v>7</v>
      </c>
      <c r="C2194" s="8">
        <v>1890</v>
      </c>
      <c r="D2194" s="9">
        <v>45449</v>
      </c>
      <c r="E2194" s="13">
        <f>+HYPERLINK("http://trademark.i-assist.jp/data/china/image_1890th/77292114.pdf",77292114)</f>
        <v>77292114</v>
      </c>
      <c r="F2194" s="7" t="s">
        <v>6132</v>
      </c>
      <c r="G2194" s="7" t="s">
        <v>6131</v>
      </c>
      <c r="H2194" s="7" t="s">
        <v>6133</v>
      </c>
      <c r="I2194" s="9">
        <v>45365</v>
      </c>
    </row>
    <row r="2195" spans="1:9" x14ac:dyDescent="0.15">
      <c r="A2195" s="6">
        <v>2194</v>
      </c>
      <c r="B2195" s="7" t="s">
        <v>7</v>
      </c>
      <c r="C2195" s="8">
        <v>1890</v>
      </c>
      <c r="D2195" s="9">
        <v>45449</v>
      </c>
      <c r="E2195" s="13">
        <f>+HYPERLINK("http://trademark.i-assist.jp/data/china/image_1890th/77292227.pdf",77292227)</f>
        <v>77292227</v>
      </c>
      <c r="F2195" s="7" t="s">
        <v>6135</v>
      </c>
      <c r="G2195" s="7" t="s">
        <v>6134</v>
      </c>
      <c r="H2195" s="7" t="s">
        <v>6136</v>
      </c>
      <c r="I2195" s="9">
        <v>45365</v>
      </c>
    </row>
    <row r="2196" spans="1:9" x14ac:dyDescent="0.15">
      <c r="A2196" s="6">
        <v>2195</v>
      </c>
      <c r="B2196" s="7" t="s">
        <v>7</v>
      </c>
      <c r="C2196" s="8">
        <v>1890</v>
      </c>
      <c r="D2196" s="9">
        <v>45449</v>
      </c>
      <c r="E2196" s="13">
        <f>+HYPERLINK("http://trademark.i-assist.jp/data/china/image_1890th/77292261.pdf",77292261)</f>
        <v>77292261</v>
      </c>
      <c r="F2196" s="7" t="s">
        <v>6138</v>
      </c>
      <c r="G2196" s="7" t="s">
        <v>6137</v>
      </c>
      <c r="H2196" s="7" t="s">
        <v>6139</v>
      </c>
      <c r="I2196" s="9">
        <v>45365</v>
      </c>
    </row>
    <row r="2197" spans="1:9" x14ac:dyDescent="0.15">
      <c r="A2197" s="6">
        <v>2196</v>
      </c>
      <c r="B2197" s="7" t="s">
        <v>7</v>
      </c>
      <c r="C2197" s="8">
        <v>1890</v>
      </c>
      <c r="D2197" s="9">
        <v>45449</v>
      </c>
      <c r="E2197" s="13">
        <f>+HYPERLINK("http://trademark.i-assist.jp/data/china/image_1890th/77292602.pdf",77292602)</f>
        <v>77292602</v>
      </c>
      <c r="F2197" s="7" t="s">
        <v>6140</v>
      </c>
      <c r="G2197" s="7" t="s">
        <v>1450</v>
      </c>
      <c r="H2197" s="7" t="s">
        <v>6141</v>
      </c>
      <c r="I2197" s="9">
        <v>45365</v>
      </c>
    </row>
    <row r="2198" spans="1:9" x14ac:dyDescent="0.15">
      <c r="A2198" s="6">
        <v>2197</v>
      </c>
      <c r="B2198" s="7" t="s">
        <v>7</v>
      </c>
      <c r="C2198" s="8">
        <v>1890</v>
      </c>
      <c r="D2198" s="9">
        <v>45449</v>
      </c>
      <c r="E2198" s="13">
        <f>+HYPERLINK("http://trademark.i-assist.jp/data/china/image_1890th/77292831.pdf",77292831)</f>
        <v>77292831</v>
      </c>
      <c r="F2198" s="7" t="s">
        <v>6143</v>
      </c>
      <c r="G2198" s="7" t="s">
        <v>6142</v>
      </c>
      <c r="H2198" s="7" t="s">
        <v>6144</v>
      </c>
      <c r="I2198" s="9">
        <v>45365</v>
      </c>
    </row>
    <row r="2199" spans="1:9" x14ac:dyDescent="0.15">
      <c r="A2199" s="6">
        <v>2198</v>
      </c>
      <c r="B2199" s="7" t="s">
        <v>7</v>
      </c>
      <c r="C2199" s="8">
        <v>1890</v>
      </c>
      <c r="D2199" s="9">
        <v>45449</v>
      </c>
      <c r="E2199" s="13">
        <f>+HYPERLINK("http://trademark.i-assist.jp/data/china/image_1890th/77293045.pdf",77293045)</f>
        <v>77293045</v>
      </c>
      <c r="F2199" s="7" t="s">
        <v>6146</v>
      </c>
      <c r="G2199" s="7" t="s">
        <v>6145</v>
      </c>
      <c r="H2199" s="7" t="s">
        <v>6147</v>
      </c>
      <c r="I2199" s="9">
        <v>45365</v>
      </c>
    </row>
    <row r="2200" spans="1:9" ht="27" x14ac:dyDescent="0.15">
      <c r="A2200" s="6">
        <v>2199</v>
      </c>
      <c r="B2200" s="7" t="s">
        <v>7</v>
      </c>
      <c r="C2200" s="8">
        <v>1890</v>
      </c>
      <c r="D2200" s="9">
        <v>45449</v>
      </c>
      <c r="E2200" s="13">
        <f>+HYPERLINK("http://trademark.i-assist.jp/data/china/image_1890th/77299861.pdf",77299861)</f>
        <v>77299861</v>
      </c>
      <c r="F2200" s="7" t="s">
        <v>6149</v>
      </c>
      <c r="G2200" s="7" t="s">
        <v>6148</v>
      </c>
      <c r="H2200" s="7" t="s">
        <v>6150</v>
      </c>
      <c r="I2200" s="9">
        <v>45365</v>
      </c>
    </row>
    <row r="2201" spans="1:9" x14ac:dyDescent="0.15">
      <c r="A2201" s="6">
        <v>2200</v>
      </c>
      <c r="B2201" s="7" t="s">
        <v>7</v>
      </c>
      <c r="C2201" s="8">
        <v>1890</v>
      </c>
      <c r="D2201" s="9">
        <v>45449</v>
      </c>
      <c r="E2201" s="13">
        <f>+HYPERLINK("http://trademark.i-assist.jp/data/china/image_1890th/77299863.pdf",77299863)</f>
        <v>77299863</v>
      </c>
      <c r="F2201" s="7" t="s">
        <v>6152</v>
      </c>
      <c r="G2201" s="7" t="s">
        <v>6151</v>
      </c>
      <c r="H2201" s="7" t="s">
        <v>6153</v>
      </c>
      <c r="I2201" s="9">
        <v>45365</v>
      </c>
    </row>
    <row r="2202" spans="1:9" x14ac:dyDescent="0.15">
      <c r="A2202" s="6">
        <v>2201</v>
      </c>
      <c r="B2202" s="7" t="s">
        <v>7</v>
      </c>
      <c r="C2202" s="8">
        <v>1890</v>
      </c>
      <c r="D2202" s="9">
        <v>45449</v>
      </c>
      <c r="E2202" s="13">
        <f>+HYPERLINK("http://trademark.i-assist.jp/data/china/image_1890th/77299907.pdf",77299907)</f>
        <v>77299907</v>
      </c>
      <c r="F2202" s="7" t="s">
        <v>6155</v>
      </c>
      <c r="G2202" s="7" t="s">
        <v>6154</v>
      </c>
      <c r="H2202" s="7" t="s">
        <v>6156</v>
      </c>
      <c r="I2202" s="9">
        <v>45365</v>
      </c>
    </row>
    <row r="2203" spans="1:9" ht="27" x14ac:dyDescent="0.15">
      <c r="A2203" s="6">
        <v>2202</v>
      </c>
      <c r="B2203" s="7" t="s">
        <v>7</v>
      </c>
      <c r="C2203" s="8">
        <v>1890</v>
      </c>
      <c r="D2203" s="9">
        <v>45449</v>
      </c>
      <c r="E2203" s="13">
        <f>+HYPERLINK("http://trademark.i-assist.jp/data/china/image_1890th/77300136.pdf",77300136)</f>
        <v>77300136</v>
      </c>
      <c r="F2203" s="7" t="s">
        <v>6157</v>
      </c>
      <c r="G2203" s="7" t="s">
        <v>3336</v>
      </c>
      <c r="H2203" s="7" t="s">
        <v>6158</v>
      </c>
      <c r="I2203" s="9">
        <v>45365</v>
      </c>
    </row>
    <row r="2204" spans="1:9" x14ac:dyDescent="0.15">
      <c r="A2204" s="6">
        <v>2203</v>
      </c>
      <c r="B2204" s="7" t="s">
        <v>7</v>
      </c>
      <c r="C2204" s="8">
        <v>1890</v>
      </c>
      <c r="D2204" s="9">
        <v>45449</v>
      </c>
      <c r="E2204" s="13">
        <f>+HYPERLINK("http://trademark.i-assist.jp/data/china/image_1890th/77300758.pdf",77300758)</f>
        <v>77300758</v>
      </c>
      <c r="F2204" s="7" t="s">
        <v>6160</v>
      </c>
      <c r="G2204" s="7" t="s">
        <v>6159</v>
      </c>
      <c r="H2204" s="7" t="s">
        <v>6161</v>
      </c>
      <c r="I2204" s="9">
        <v>45365</v>
      </c>
    </row>
    <row r="2205" spans="1:9" x14ac:dyDescent="0.15">
      <c r="A2205" s="6">
        <v>2204</v>
      </c>
      <c r="B2205" s="7" t="s">
        <v>7</v>
      </c>
      <c r="C2205" s="8">
        <v>1890</v>
      </c>
      <c r="D2205" s="9">
        <v>45449</v>
      </c>
      <c r="E2205" s="13">
        <f>+HYPERLINK("http://trademark.i-assist.jp/data/china/image_1890th/77300989.pdf",77300989)</f>
        <v>77300989</v>
      </c>
      <c r="F2205" s="7" t="s">
        <v>6163</v>
      </c>
      <c r="G2205" s="7" t="s">
        <v>6162</v>
      </c>
      <c r="H2205" s="7" t="s">
        <v>6164</v>
      </c>
      <c r="I2205" s="9">
        <v>45365</v>
      </c>
    </row>
    <row r="2206" spans="1:9" x14ac:dyDescent="0.15">
      <c r="A2206" s="6">
        <v>2205</v>
      </c>
      <c r="B2206" s="7" t="s">
        <v>7</v>
      </c>
      <c r="C2206" s="8">
        <v>1890</v>
      </c>
      <c r="D2206" s="9">
        <v>45449</v>
      </c>
      <c r="E2206" s="13">
        <f>+HYPERLINK("http://trademark.i-assist.jp/data/china/image_1890th/77301059.pdf",77301059)</f>
        <v>77301059</v>
      </c>
      <c r="F2206" s="7" t="s">
        <v>6166</v>
      </c>
      <c r="G2206" s="7" t="s">
        <v>6165</v>
      </c>
      <c r="H2206" s="7" t="s">
        <v>6167</v>
      </c>
      <c r="I2206" s="9">
        <v>45365</v>
      </c>
    </row>
    <row r="2207" spans="1:9" x14ac:dyDescent="0.15">
      <c r="A2207" s="6">
        <v>2206</v>
      </c>
      <c r="B2207" s="7" t="s">
        <v>7</v>
      </c>
      <c r="C2207" s="8">
        <v>1890</v>
      </c>
      <c r="D2207" s="9">
        <v>45449</v>
      </c>
      <c r="E2207" s="13">
        <f>+HYPERLINK("http://trademark.i-assist.jp/data/china/image_1890th/77301119.pdf",77301119)</f>
        <v>77301119</v>
      </c>
      <c r="F2207" s="7" t="s">
        <v>6169</v>
      </c>
      <c r="G2207" s="7" t="s">
        <v>6168</v>
      </c>
      <c r="H2207" s="7" t="s">
        <v>6170</v>
      </c>
      <c r="I2207" s="9">
        <v>45365</v>
      </c>
    </row>
    <row r="2208" spans="1:9" x14ac:dyDescent="0.15">
      <c r="A2208" s="6">
        <v>2207</v>
      </c>
      <c r="B2208" s="7" t="s">
        <v>7</v>
      </c>
      <c r="C2208" s="8">
        <v>1890</v>
      </c>
      <c r="D2208" s="9">
        <v>45449</v>
      </c>
      <c r="E2208" s="13">
        <f>+HYPERLINK("http://trademark.i-assist.jp/data/china/image_1890th/77301292.pdf",77301292)</f>
        <v>77301292</v>
      </c>
      <c r="F2208" s="7" t="s">
        <v>6172</v>
      </c>
      <c r="G2208" s="7" t="s">
        <v>6171</v>
      </c>
      <c r="H2208" s="7" t="s">
        <v>6173</v>
      </c>
      <c r="I2208" s="9">
        <v>45365</v>
      </c>
    </row>
    <row r="2209" spans="1:9" x14ac:dyDescent="0.15">
      <c r="A2209" s="6">
        <v>2208</v>
      </c>
      <c r="B2209" s="7" t="s">
        <v>7</v>
      </c>
      <c r="C2209" s="8">
        <v>1890</v>
      </c>
      <c r="D2209" s="9">
        <v>45449</v>
      </c>
      <c r="E2209" s="13">
        <f>+HYPERLINK("http://trademark.i-assist.jp/data/china/image_1890th/77301544.pdf",77301544)</f>
        <v>77301544</v>
      </c>
      <c r="F2209" s="7" t="s">
        <v>6175</v>
      </c>
      <c r="G2209" s="7" t="s">
        <v>6174</v>
      </c>
      <c r="H2209" s="7" t="s">
        <v>6176</v>
      </c>
      <c r="I2209" s="9">
        <v>45365</v>
      </c>
    </row>
    <row r="2210" spans="1:9" x14ac:dyDescent="0.15">
      <c r="A2210" s="6">
        <v>2209</v>
      </c>
      <c r="B2210" s="7" t="s">
        <v>7</v>
      </c>
      <c r="C2210" s="8">
        <v>1890</v>
      </c>
      <c r="D2210" s="9">
        <v>45449</v>
      </c>
      <c r="E2210" s="13">
        <f>+HYPERLINK("http://trademark.i-assist.jp/data/china/image_1890th/77301821.pdf",77301821)</f>
        <v>77301821</v>
      </c>
      <c r="F2210" s="7" t="s">
        <v>6178</v>
      </c>
      <c r="G2210" s="7" t="s">
        <v>6177</v>
      </c>
      <c r="H2210" s="7" t="s">
        <v>6179</v>
      </c>
      <c r="I2210" s="9">
        <v>45365</v>
      </c>
    </row>
    <row r="2211" spans="1:9" x14ac:dyDescent="0.15">
      <c r="A2211" s="6">
        <v>2210</v>
      </c>
      <c r="B2211" s="7" t="s">
        <v>7</v>
      </c>
      <c r="C2211" s="8">
        <v>1890</v>
      </c>
      <c r="D2211" s="9">
        <v>45449</v>
      </c>
      <c r="E2211" s="13">
        <f>+HYPERLINK("http://trademark.i-assist.jp/data/china/image_1890th/77301915.pdf",77301915)</f>
        <v>77301915</v>
      </c>
      <c r="F2211" s="7" t="s">
        <v>6181</v>
      </c>
      <c r="G2211" s="7" t="s">
        <v>6180</v>
      </c>
      <c r="H2211" s="7" t="s">
        <v>6182</v>
      </c>
      <c r="I2211" s="9">
        <v>45365</v>
      </c>
    </row>
    <row r="2212" spans="1:9" x14ac:dyDescent="0.15">
      <c r="A2212" s="6">
        <v>2211</v>
      </c>
      <c r="B2212" s="7" t="s">
        <v>7</v>
      </c>
      <c r="C2212" s="8">
        <v>1890</v>
      </c>
      <c r="D2212" s="9">
        <v>45449</v>
      </c>
      <c r="E2212" s="13">
        <f>+HYPERLINK("http://trademark.i-assist.jp/data/china/image_1890th/77302059.pdf",77302059)</f>
        <v>77302059</v>
      </c>
      <c r="F2212" s="7" t="s">
        <v>183</v>
      </c>
      <c r="G2212" s="7" t="s">
        <v>1881</v>
      </c>
      <c r="H2212" s="7" t="s">
        <v>6183</v>
      </c>
      <c r="I2212" s="9">
        <v>45365</v>
      </c>
    </row>
    <row r="2213" spans="1:9" x14ac:dyDescent="0.15">
      <c r="A2213" s="6">
        <v>2212</v>
      </c>
      <c r="B2213" s="7" t="s">
        <v>7</v>
      </c>
      <c r="C2213" s="8">
        <v>1890</v>
      </c>
      <c r="D2213" s="9">
        <v>45449</v>
      </c>
      <c r="E2213" s="13">
        <f>+HYPERLINK("http://trademark.i-assist.jp/data/china/image_1890th/77302240.pdf",77302240)</f>
        <v>77302240</v>
      </c>
      <c r="F2213" s="7" t="s">
        <v>6184</v>
      </c>
      <c r="G2213" s="7" t="s">
        <v>2742</v>
      </c>
      <c r="H2213" s="7" t="s">
        <v>6185</v>
      </c>
      <c r="I2213" s="9">
        <v>45365</v>
      </c>
    </row>
    <row r="2214" spans="1:9" x14ac:dyDescent="0.15">
      <c r="A2214" s="6">
        <v>2213</v>
      </c>
      <c r="B2214" s="7" t="s">
        <v>7</v>
      </c>
      <c r="C2214" s="8">
        <v>1890</v>
      </c>
      <c r="D2214" s="9">
        <v>45449</v>
      </c>
      <c r="E2214" s="13">
        <f>+HYPERLINK("http://trademark.i-assist.jp/data/china/image_1890th/77302286.pdf",77302286)</f>
        <v>77302286</v>
      </c>
      <c r="F2214" s="7" t="s">
        <v>6187</v>
      </c>
      <c r="G2214" s="7" t="s">
        <v>6186</v>
      </c>
      <c r="H2214" s="7" t="s">
        <v>6188</v>
      </c>
      <c r="I2214" s="9">
        <v>45365</v>
      </c>
    </row>
    <row r="2215" spans="1:9" x14ac:dyDescent="0.15">
      <c r="A2215" s="6">
        <v>2214</v>
      </c>
      <c r="B2215" s="7" t="s">
        <v>7</v>
      </c>
      <c r="C2215" s="8">
        <v>1890</v>
      </c>
      <c r="D2215" s="9">
        <v>45449</v>
      </c>
      <c r="E2215" s="13">
        <f>+HYPERLINK("http://trademark.i-assist.jp/data/china/image_1890th/77302791.pdf",77302791)</f>
        <v>77302791</v>
      </c>
      <c r="F2215" s="7" t="s">
        <v>6190</v>
      </c>
      <c r="G2215" s="7" t="s">
        <v>6189</v>
      </c>
      <c r="H2215" s="7" t="s">
        <v>6191</v>
      </c>
      <c r="I2215" s="9">
        <v>45365</v>
      </c>
    </row>
    <row r="2216" spans="1:9" x14ac:dyDescent="0.15">
      <c r="A2216" s="6">
        <v>2215</v>
      </c>
      <c r="B2216" s="7" t="s">
        <v>7</v>
      </c>
      <c r="C2216" s="8">
        <v>1890</v>
      </c>
      <c r="D2216" s="9">
        <v>45449</v>
      </c>
      <c r="E2216" s="13">
        <f>+HYPERLINK("http://trademark.i-assist.jp/data/china/image_1890th/77303000.pdf",77303000)</f>
        <v>77303000</v>
      </c>
      <c r="F2216" s="7" t="s">
        <v>6193</v>
      </c>
      <c r="G2216" s="7" t="s">
        <v>6192</v>
      </c>
      <c r="H2216" s="7" t="s">
        <v>6194</v>
      </c>
      <c r="I2216" s="9">
        <v>45365</v>
      </c>
    </row>
    <row r="2217" spans="1:9" x14ac:dyDescent="0.15">
      <c r="A2217" s="6">
        <v>2216</v>
      </c>
      <c r="B2217" s="7" t="s">
        <v>7</v>
      </c>
      <c r="C2217" s="8">
        <v>1890</v>
      </c>
      <c r="D2217" s="9">
        <v>45449</v>
      </c>
      <c r="E2217" s="13">
        <f>+HYPERLINK("http://trademark.i-assist.jp/data/china/image_1890th/77303189.pdf",77303189)</f>
        <v>77303189</v>
      </c>
      <c r="F2217" s="7" t="s">
        <v>6196</v>
      </c>
      <c r="G2217" s="7" t="s">
        <v>6195</v>
      </c>
      <c r="H2217" s="7" t="s">
        <v>6197</v>
      </c>
      <c r="I2217" s="9">
        <v>45365</v>
      </c>
    </row>
    <row r="2218" spans="1:9" x14ac:dyDescent="0.15">
      <c r="A2218" s="6">
        <v>2217</v>
      </c>
      <c r="B2218" s="7" t="s">
        <v>7</v>
      </c>
      <c r="C2218" s="8">
        <v>1890</v>
      </c>
      <c r="D2218" s="9">
        <v>45449</v>
      </c>
      <c r="E2218" s="13">
        <f>+HYPERLINK("http://trademark.i-assist.jp/data/china/image_1890th/77303237.pdf",77303237)</f>
        <v>77303237</v>
      </c>
      <c r="F2218" s="7" t="s">
        <v>6199</v>
      </c>
      <c r="G2218" s="7" t="s">
        <v>6198</v>
      </c>
      <c r="H2218" s="7" t="s">
        <v>6200</v>
      </c>
      <c r="I2218" s="9">
        <v>45365</v>
      </c>
    </row>
    <row r="2219" spans="1:9" x14ac:dyDescent="0.15">
      <c r="A2219" s="6">
        <v>2218</v>
      </c>
      <c r="B2219" s="7" t="s">
        <v>7</v>
      </c>
      <c r="C2219" s="8">
        <v>1890</v>
      </c>
      <c r="D2219" s="9">
        <v>45449</v>
      </c>
      <c r="E2219" s="13">
        <f>+HYPERLINK("http://trademark.i-assist.jp/data/china/image_1890th/77303607.pdf",77303607)</f>
        <v>77303607</v>
      </c>
      <c r="F2219" s="7" t="s">
        <v>6202</v>
      </c>
      <c r="G2219" s="7" t="s">
        <v>6201</v>
      </c>
      <c r="H2219" s="7" t="s">
        <v>6203</v>
      </c>
      <c r="I2219" s="9">
        <v>45365</v>
      </c>
    </row>
    <row r="2220" spans="1:9" x14ac:dyDescent="0.15">
      <c r="A2220" s="6">
        <v>2219</v>
      </c>
      <c r="B2220" s="7" t="s">
        <v>7</v>
      </c>
      <c r="C2220" s="8">
        <v>1890</v>
      </c>
      <c r="D2220" s="9">
        <v>45449</v>
      </c>
      <c r="E2220" s="13">
        <f>+HYPERLINK("http://trademark.i-assist.jp/data/china/image_1890th/77304163.pdf",77304163)</f>
        <v>77304163</v>
      </c>
      <c r="F2220" s="7" t="s">
        <v>6205</v>
      </c>
      <c r="G2220" s="7" t="s">
        <v>6204</v>
      </c>
      <c r="H2220" s="7" t="s">
        <v>6206</v>
      </c>
      <c r="I2220" s="9">
        <v>45365</v>
      </c>
    </row>
    <row r="2221" spans="1:9" x14ac:dyDescent="0.15">
      <c r="A2221" s="6">
        <v>2220</v>
      </c>
      <c r="B2221" s="7" t="s">
        <v>7</v>
      </c>
      <c r="C2221" s="8">
        <v>1890</v>
      </c>
      <c r="D2221" s="9">
        <v>45449</v>
      </c>
      <c r="E2221" s="13">
        <f>+HYPERLINK("http://trademark.i-assist.jp/data/china/image_1890th/77304275.pdf",77304275)</f>
        <v>77304275</v>
      </c>
      <c r="F2221" s="7" t="s">
        <v>6208</v>
      </c>
      <c r="G2221" s="7" t="s">
        <v>6207</v>
      </c>
      <c r="H2221" s="7" t="s">
        <v>6209</v>
      </c>
      <c r="I2221" s="9">
        <v>45365</v>
      </c>
    </row>
    <row r="2222" spans="1:9" x14ac:dyDescent="0.15">
      <c r="A2222" s="6">
        <v>2221</v>
      </c>
      <c r="B2222" s="7" t="s">
        <v>7</v>
      </c>
      <c r="C2222" s="8">
        <v>1890</v>
      </c>
      <c r="D2222" s="9">
        <v>45449</v>
      </c>
      <c r="E2222" s="13">
        <f>+HYPERLINK("http://trademark.i-assist.jp/data/china/image_1890th/77304284.pdf",77304284)</f>
        <v>77304284</v>
      </c>
      <c r="F2222" s="7" t="s">
        <v>6211</v>
      </c>
      <c r="G2222" s="7" t="s">
        <v>6210</v>
      </c>
      <c r="H2222" s="7" t="s">
        <v>6212</v>
      </c>
      <c r="I2222" s="9">
        <v>45365</v>
      </c>
    </row>
    <row r="2223" spans="1:9" x14ac:dyDescent="0.15">
      <c r="A2223" s="6">
        <v>2222</v>
      </c>
      <c r="B2223" s="7" t="s">
        <v>7</v>
      </c>
      <c r="C2223" s="8">
        <v>1890</v>
      </c>
      <c r="D2223" s="9">
        <v>45449</v>
      </c>
      <c r="E2223" s="13">
        <f>+HYPERLINK("http://trademark.i-assist.jp/data/china/image_1890th/77307013.pdf",77307013)</f>
        <v>77307013</v>
      </c>
      <c r="F2223" s="7" t="s">
        <v>6214</v>
      </c>
      <c r="G2223" s="7" t="s">
        <v>6213</v>
      </c>
      <c r="H2223" s="7" t="s">
        <v>6215</v>
      </c>
      <c r="I2223" s="9">
        <v>45365</v>
      </c>
    </row>
    <row r="2224" spans="1:9" ht="27" x14ac:dyDescent="0.15">
      <c r="A2224" s="6">
        <v>2223</v>
      </c>
      <c r="B2224" s="7" t="s">
        <v>7</v>
      </c>
      <c r="C2224" s="8">
        <v>1890</v>
      </c>
      <c r="D2224" s="9">
        <v>45449</v>
      </c>
      <c r="E2224" s="13">
        <f>+HYPERLINK("http://trademark.i-assist.jp/data/china/image_1890th/77307192.pdf",77307192)</f>
        <v>77307192</v>
      </c>
      <c r="F2224" s="7" t="s">
        <v>6217</v>
      </c>
      <c r="G2224" s="7" t="s">
        <v>6216</v>
      </c>
      <c r="H2224" s="7" t="s">
        <v>6218</v>
      </c>
      <c r="I2224" s="9">
        <v>45365</v>
      </c>
    </row>
    <row r="2225" spans="1:9" ht="27" x14ac:dyDescent="0.15">
      <c r="A2225" s="6">
        <v>2224</v>
      </c>
      <c r="B2225" s="7" t="s">
        <v>7</v>
      </c>
      <c r="C2225" s="8">
        <v>1890</v>
      </c>
      <c r="D2225" s="9">
        <v>45449</v>
      </c>
      <c r="E2225" s="13">
        <f>+HYPERLINK("http://trademark.i-assist.jp/data/china/image_1890th/77307228.pdf",77307228)</f>
        <v>77307228</v>
      </c>
      <c r="F2225" s="7" t="s">
        <v>6220</v>
      </c>
      <c r="G2225" s="7" t="s">
        <v>6219</v>
      </c>
      <c r="H2225" s="7" t="s">
        <v>6221</v>
      </c>
      <c r="I2225" s="9">
        <v>45365</v>
      </c>
    </row>
    <row r="2226" spans="1:9" x14ac:dyDescent="0.15">
      <c r="A2226" s="6">
        <v>2225</v>
      </c>
      <c r="B2226" s="7" t="s">
        <v>7</v>
      </c>
      <c r="C2226" s="8">
        <v>1890</v>
      </c>
      <c r="D2226" s="9">
        <v>45449</v>
      </c>
      <c r="E2226" s="13">
        <f>+HYPERLINK("http://trademark.i-assist.jp/data/china/image_1890th/77307257.pdf",77307257)</f>
        <v>77307257</v>
      </c>
      <c r="F2226" s="7" t="s">
        <v>6223</v>
      </c>
      <c r="G2226" s="7" t="s">
        <v>6222</v>
      </c>
      <c r="H2226" s="7" t="s">
        <v>6224</v>
      </c>
      <c r="I2226" s="9">
        <v>45365</v>
      </c>
    </row>
    <row r="2227" spans="1:9" x14ac:dyDescent="0.15">
      <c r="A2227" s="6">
        <v>2226</v>
      </c>
      <c r="B2227" s="7" t="s">
        <v>7</v>
      </c>
      <c r="C2227" s="8">
        <v>1890</v>
      </c>
      <c r="D2227" s="9">
        <v>45449</v>
      </c>
      <c r="E2227" s="13">
        <f>+HYPERLINK("http://trademark.i-assist.jp/data/china/image_1890th/77307407.pdf",77307407)</f>
        <v>77307407</v>
      </c>
      <c r="F2227" s="7" t="s">
        <v>6226</v>
      </c>
      <c r="G2227" s="7" t="s">
        <v>6225</v>
      </c>
      <c r="H2227" s="7" t="s">
        <v>6227</v>
      </c>
      <c r="I2227" s="9">
        <v>45365</v>
      </c>
    </row>
    <row r="2228" spans="1:9" x14ac:dyDescent="0.15">
      <c r="A2228" s="6">
        <v>2227</v>
      </c>
      <c r="B2228" s="7" t="s">
        <v>7</v>
      </c>
      <c r="C2228" s="8">
        <v>1890</v>
      </c>
      <c r="D2228" s="9">
        <v>45449</v>
      </c>
      <c r="E2228" s="13">
        <f>+HYPERLINK("http://trademark.i-assist.jp/data/china/image_1890th/77307526.pdf",77307526)</f>
        <v>77307526</v>
      </c>
      <c r="F2228" s="7" t="s">
        <v>6229</v>
      </c>
      <c r="G2228" s="7" t="s">
        <v>6228</v>
      </c>
      <c r="H2228" s="7" t="s">
        <v>6230</v>
      </c>
      <c r="I2228" s="9">
        <v>45365</v>
      </c>
    </row>
    <row r="2229" spans="1:9" x14ac:dyDescent="0.15">
      <c r="A2229" s="6">
        <v>2228</v>
      </c>
      <c r="B2229" s="7" t="s">
        <v>7</v>
      </c>
      <c r="C2229" s="8">
        <v>1890</v>
      </c>
      <c r="D2229" s="9">
        <v>45449</v>
      </c>
      <c r="E2229" s="13">
        <f>+HYPERLINK("http://trademark.i-assist.jp/data/china/image_1890th/77307628.pdf",77307628)</f>
        <v>77307628</v>
      </c>
      <c r="F2229" s="7" t="s">
        <v>6232</v>
      </c>
      <c r="G2229" s="7" t="s">
        <v>6231</v>
      </c>
      <c r="H2229" s="7" t="s">
        <v>6233</v>
      </c>
      <c r="I2229" s="9">
        <v>45365</v>
      </c>
    </row>
    <row r="2230" spans="1:9" x14ac:dyDescent="0.15">
      <c r="A2230" s="6">
        <v>2229</v>
      </c>
      <c r="B2230" s="7" t="s">
        <v>7</v>
      </c>
      <c r="C2230" s="8">
        <v>1890</v>
      </c>
      <c r="D2230" s="9">
        <v>45449</v>
      </c>
      <c r="E2230" s="13">
        <f>+HYPERLINK("http://trademark.i-assist.jp/data/china/image_1890th/77307718.pdf",77307718)</f>
        <v>77307718</v>
      </c>
      <c r="F2230" s="7" t="s">
        <v>6235</v>
      </c>
      <c r="G2230" s="7" t="s">
        <v>6234</v>
      </c>
      <c r="H2230" s="7" t="s">
        <v>6236</v>
      </c>
      <c r="I2230" s="9">
        <v>45365</v>
      </c>
    </row>
    <row r="2231" spans="1:9" x14ac:dyDescent="0.15">
      <c r="A2231" s="6">
        <v>2230</v>
      </c>
      <c r="B2231" s="7" t="s">
        <v>7</v>
      </c>
      <c r="C2231" s="8">
        <v>1890</v>
      </c>
      <c r="D2231" s="9">
        <v>45449</v>
      </c>
      <c r="E2231" s="13">
        <f>+HYPERLINK("http://trademark.i-assist.jp/data/china/image_1890th/77307805.pdf",77307805)</f>
        <v>77307805</v>
      </c>
      <c r="F2231" s="7" t="s">
        <v>6237</v>
      </c>
      <c r="G2231" s="7" t="s">
        <v>2532</v>
      </c>
      <c r="H2231" s="7" t="s">
        <v>6238</v>
      </c>
      <c r="I2231" s="9">
        <v>45365</v>
      </c>
    </row>
    <row r="2232" spans="1:9" ht="27" x14ac:dyDescent="0.15">
      <c r="A2232" s="6">
        <v>2231</v>
      </c>
      <c r="B2232" s="7" t="s">
        <v>7</v>
      </c>
      <c r="C2232" s="8">
        <v>1890</v>
      </c>
      <c r="D2232" s="9">
        <v>45449</v>
      </c>
      <c r="E2232" s="13">
        <f>+HYPERLINK("http://trademark.i-assist.jp/data/china/image_1890th/77308063.pdf",77308063)</f>
        <v>77308063</v>
      </c>
      <c r="F2232" s="7" t="s">
        <v>6240</v>
      </c>
      <c r="G2232" s="7" t="s">
        <v>6239</v>
      </c>
      <c r="H2232" s="7" t="s">
        <v>6241</v>
      </c>
      <c r="I2232" s="9">
        <v>45365</v>
      </c>
    </row>
    <row r="2233" spans="1:9" x14ac:dyDescent="0.15">
      <c r="A2233" s="6">
        <v>2232</v>
      </c>
      <c r="B2233" s="7" t="s">
        <v>7</v>
      </c>
      <c r="C2233" s="8">
        <v>1890</v>
      </c>
      <c r="D2233" s="9">
        <v>45449</v>
      </c>
      <c r="E2233" s="13">
        <f>+HYPERLINK("http://trademark.i-assist.jp/data/china/image_1890th/77308583.pdf",77308583)</f>
        <v>77308583</v>
      </c>
      <c r="F2233" s="7" t="s">
        <v>6243</v>
      </c>
      <c r="G2233" s="7" t="s">
        <v>6242</v>
      </c>
      <c r="H2233" s="7" t="s">
        <v>6244</v>
      </c>
      <c r="I2233" s="9">
        <v>45365</v>
      </c>
    </row>
    <row r="2234" spans="1:9" x14ac:dyDescent="0.15">
      <c r="A2234" s="6">
        <v>2233</v>
      </c>
      <c r="B2234" s="7" t="s">
        <v>7</v>
      </c>
      <c r="C2234" s="8">
        <v>1890</v>
      </c>
      <c r="D2234" s="9">
        <v>45449</v>
      </c>
      <c r="E2234" s="13">
        <f>+HYPERLINK("http://trademark.i-assist.jp/data/china/image_1890th/77308628.pdf",77308628)</f>
        <v>77308628</v>
      </c>
      <c r="F2234" s="7" t="s">
        <v>6245</v>
      </c>
      <c r="G2234" s="7" t="s">
        <v>6131</v>
      </c>
      <c r="H2234" s="7" t="s">
        <v>6246</v>
      </c>
      <c r="I2234" s="9">
        <v>45365</v>
      </c>
    </row>
    <row r="2235" spans="1:9" x14ac:dyDescent="0.15">
      <c r="A2235" s="6">
        <v>2234</v>
      </c>
      <c r="B2235" s="7" t="s">
        <v>7</v>
      </c>
      <c r="C2235" s="8">
        <v>1890</v>
      </c>
      <c r="D2235" s="9">
        <v>45449</v>
      </c>
      <c r="E2235" s="13">
        <f>+HYPERLINK("http://trademark.i-assist.jp/data/china/image_1890th/77308708.pdf",77308708)</f>
        <v>77308708</v>
      </c>
      <c r="F2235" s="7" t="s">
        <v>6247</v>
      </c>
      <c r="G2235" s="7" t="s">
        <v>2757</v>
      </c>
      <c r="H2235" s="7" t="s">
        <v>6248</v>
      </c>
      <c r="I2235" s="9">
        <v>45365</v>
      </c>
    </row>
    <row r="2236" spans="1:9" x14ac:dyDescent="0.15">
      <c r="A2236" s="6">
        <v>2235</v>
      </c>
      <c r="B2236" s="7" t="s">
        <v>7</v>
      </c>
      <c r="C2236" s="8">
        <v>1890</v>
      </c>
      <c r="D2236" s="9">
        <v>45449</v>
      </c>
      <c r="E2236" s="13">
        <f>+HYPERLINK("http://trademark.i-assist.jp/data/china/image_1890th/77308713.pdf",77308713)</f>
        <v>77308713</v>
      </c>
      <c r="F2236" s="7" t="s">
        <v>6249</v>
      </c>
      <c r="G2236" s="7" t="s">
        <v>2719</v>
      </c>
      <c r="H2236" s="7" t="s">
        <v>6250</v>
      </c>
      <c r="I2236" s="9">
        <v>45365</v>
      </c>
    </row>
    <row r="2237" spans="1:9" x14ac:dyDescent="0.15">
      <c r="A2237" s="6">
        <v>2236</v>
      </c>
      <c r="B2237" s="7" t="s">
        <v>7</v>
      </c>
      <c r="C2237" s="8">
        <v>1890</v>
      </c>
      <c r="D2237" s="9">
        <v>45449</v>
      </c>
      <c r="E2237" s="13">
        <f>+HYPERLINK("http://trademark.i-assist.jp/data/china/image_1890th/77308970.pdf",77308970)</f>
        <v>77308970</v>
      </c>
      <c r="F2237" s="7" t="s">
        <v>6252</v>
      </c>
      <c r="G2237" s="7" t="s">
        <v>6251</v>
      </c>
      <c r="H2237" s="7" t="s">
        <v>6253</v>
      </c>
      <c r="I2237" s="9">
        <v>45365</v>
      </c>
    </row>
    <row r="2238" spans="1:9" x14ac:dyDescent="0.15">
      <c r="A2238" s="6">
        <v>2237</v>
      </c>
      <c r="B2238" s="7" t="s">
        <v>7</v>
      </c>
      <c r="C2238" s="8">
        <v>1890</v>
      </c>
      <c r="D2238" s="9">
        <v>45449</v>
      </c>
      <c r="E2238" s="13">
        <f>+HYPERLINK("http://trademark.i-assist.jp/data/china/image_1890th/77309047.pdf",77309047)</f>
        <v>77309047</v>
      </c>
      <c r="F2238" s="7" t="s">
        <v>6255</v>
      </c>
      <c r="G2238" s="7" t="s">
        <v>6254</v>
      </c>
      <c r="H2238" s="7" t="s">
        <v>6256</v>
      </c>
      <c r="I2238" s="9">
        <v>45365</v>
      </c>
    </row>
    <row r="2239" spans="1:9" x14ac:dyDescent="0.15">
      <c r="A2239" s="6">
        <v>2238</v>
      </c>
      <c r="B2239" s="7" t="s">
        <v>7</v>
      </c>
      <c r="C2239" s="8">
        <v>1890</v>
      </c>
      <c r="D2239" s="9">
        <v>45449</v>
      </c>
      <c r="E2239" s="13">
        <f>+HYPERLINK("http://trademark.i-assist.jp/data/china/image_1890th/77309456.pdf",77309456)</f>
        <v>77309456</v>
      </c>
      <c r="F2239" s="7" t="s">
        <v>6258</v>
      </c>
      <c r="G2239" s="7" t="s">
        <v>6257</v>
      </c>
      <c r="H2239" s="7" t="s">
        <v>6259</v>
      </c>
      <c r="I2239" s="9">
        <v>45365</v>
      </c>
    </row>
    <row r="2240" spans="1:9" x14ac:dyDescent="0.15">
      <c r="A2240" s="6">
        <v>2239</v>
      </c>
      <c r="B2240" s="7" t="s">
        <v>7</v>
      </c>
      <c r="C2240" s="8">
        <v>1890</v>
      </c>
      <c r="D2240" s="9">
        <v>45449</v>
      </c>
      <c r="E2240" s="13">
        <f>+HYPERLINK("http://trademark.i-assist.jp/data/china/image_1890th/77309487.pdf",77309487)</f>
        <v>77309487</v>
      </c>
      <c r="F2240" s="7" t="s">
        <v>6261</v>
      </c>
      <c r="G2240" s="7" t="s">
        <v>6260</v>
      </c>
      <c r="H2240" s="7" t="s">
        <v>6262</v>
      </c>
      <c r="I2240" s="9">
        <v>45365</v>
      </c>
    </row>
    <row r="2241" spans="1:9" x14ac:dyDescent="0.15">
      <c r="A2241" s="6">
        <v>2240</v>
      </c>
      <c r="B2241" s="7" t="s">
        <v>7</v>
      </c>
      <c r="C2241" s="8">
        <v>1890</v>
      </c>
      <c r="D2241" s="9">
        <v>45449</v>
      </c>
      <c r="E2241" s="13">
        <f>+HYPERLINK("http://trademark.i-assist.jp/data/china/image_1890th/77309579.pdf",77309579)</f>
        <v>77309579</v>
      </c>
      <c r="F2241" s="7" t="s">
        <v>6264</v>
      </c>
      <c r="G2241" s="7" t="s">
        <v>6263</v>
      </c>
      <c r="H2241" s="7" t="s">
        <v>6265</v>
      </c>
      <c r="I2241" s="9">
        <v>45365</v>
      </c>
    </row>
    <row r="2242" spans="1:9" x14ac:dyDescent="0.15">
      <c r="A2242" s="6">
        <v>2241</v>
      </c>
      <c r="B2242" s="7" t="s">
        <v>7</v>
      </c>
      <c r="C2242" s="8">
        <v>1890</v>
      </c>
      <c r="D2242" s="9">
        <v>45449</v>
      </c>
      <c r="E2242" s="13">
        <f>+HYPERLINK("http://trademark.i-assist.jp/data/china/image_1890th/77309586.pdf",77309586)</f>
        <v>77309586</v>
      </c>
      <c r="F2242" s="7" t="s">
        <v>6267</v>
      </c>
      <c r="G2242" s="7" t="s">
        <v>6266</v>
      </c>
      <c r="H2242" s="7" t="s">
        <v>6268</v>
      </c>
      <c r="I2242" s="9">
        <v>45365</v>
      </c>
    </row>
    <row r="2243" spans="1:9" ht="27" x14ac:dyDescent="0.15">
      <c r="A2243" s="6">
        <v>2242</v>
      </c>
      <c r="B2243" s="7" t="s">
        <v>7</v>
      </c>
      <c r="C2243" s="8">
        <v>1890</v>
      </c>
      <c r="D2243" s="9">
        <v>45449</v>
      </c>
      <c r="E2243" s="13">
        <f>+HYPERLINK("http://trademark.i-assist.jp/data/china/image_1890th/77309616.pdf",77309616)</f>
        <v>77309616</v>
      </c>
      <c r="F2243" s="7" t="s">
        <v>6270</v>
      </c>
      <c r="G2243" s="7" t="s">
        <v>6269</v>
      </c>
      <c r="H2243" s="7" t="s">
        <v>6271</v>
      </c>
      <c r="I2243" s="9">
        <v>45365</v>
      </c>
    </row>
    <row r="2244" spans="1:9" x14ac:dyDescent="0.15">
      <c r="A2244" s="6">
        <v>2243</v>
      </c>
      <c r="B2244" s="7" t="s">
        <v>7</v>
      </c>
      <c r="C2244" s="8">
        <v>1890</v>
      </c>
      <c r="D2244" s="9">
        <v>45449</v>
      </c>
      <c r="E2244" s="13">
        <f>+HYPERLINK("http://trademark.i-assist.jp/data/china/image_1890th/77309861.pdf",77309861)</f>
        <v>77309861</v>
      </c>
      <c r="F2244" s="7" t="s">
        <v>6273</v>
      </c>
      <c r="G2244" s="7" t="s">
        <v>6272</v>
      </c>
      <c r="H2244" s="7" t="s">
        <v>6274</v>
      </c>
      <c r="I2244" s="9">
        <v>45365</v>
      </c>
    </row>
    <row r="2245" spans="1:9" x14ac:dyDescent="0.15">
      <c r="A2245" s="6">
        <v>2244</v>
      </c>
      <c r="B2245" s="7" t="s">
        <v>7</v>
      </c>
      <c r="C2245" s="8">
        <v>1890</v>
      </c>
      <c r="D2245" s="9">
        <v>45449</v>
      </c>
      <c r="E2245" s="13">
        <f>+HYPERLINK("http://trademark.i-assist.jp/data/china/image_1890th/77309927.pdf",77309927)</f>
        <v>77309927</v>
      </c>
      <c r="F2245" s="7" t="s">
        <v>183</v>
      </c>
      <c r="G2245" s="7" t="s">
        <v>6275</v>
      </c>
      <c r="H2245" s="7" t="s">
        <v>6276</v>
      </c>
      <c r="I2245" s="9">
        <v>45365</v>
      </c>
    </row>
    <row r="2246" spans="1:9" x14ac:dyDescent="0.15">
      <c r="A2246" s="6">
        <v>2245</v>
      </c>
      <c r="B2246" s="7" t="s">
        <v>7</v>
      </c>
      <c r="C2246" s="8">
        <v>1890</v>
      </c>
      <c r="D2246" s="9">
        <v>45449</v>
      </c>
      <c r="E2246" s="13">
        <f>+HYPERLINK("http://trademark.i-assist.jp/data/china/image_1890th/77309990.pdf",77309990)</f>
        <v>77309990</v>
      </c>
      <c r="F2246" s="7" t="s">
        <v>6278</v>
      </c>
      <c r="G2246" s="7" t="s">
        <v>6277</v>
      </c>
      <c r="H2246" s="7" t="s">
        <v>6279</v>
      </c>
      <c r="I2246" s="9">
        <v>45365</v>
      </c>
    </row>
    <row r="2247" spans="1:9" x14ac:dyDescent="0.15">
      <c r="A2247" s="6">
        <v>2246</v>
      </c>
      <c r="B2247" s="7" t="s">
        <v>7</v>
      </c>
      <c r="C2247" s="8">
        <v>1890</v>
      </c>
      <c r="D2247" s="9">
        <v>45449</v>
      </c>
      <c r="E2247" s="13">
        <f>+HYPERLINK("http://trademark.i-assist.jp/data/china/image_1890th/77310061.pdf",77310061)</f>
        <v>77310061</v>
      </c>
      <c r="F2247" s="7" t="s">
        <v>6281</v>
      </c>
      <c r="G2247" s="7" t="s">
        <v>6280</v>
      </c>
      <c r="H2247" s="7" t="s">
        <v>6282</v>
      </c>
      <c r="I2247" s="9">
        <v>45365</v>
      </c>
    </row>
    <row r="2248" spans="1:9" ht="27" x14ac:dyDescent="0.15">
      <c r="A2248" s="6">
        <v>2247</v>
      </c>
      <c r="B2248" s="7" t="s">
        <v>7</v>
      </c>
      <c r="C2248" s="8">
        <v>1890</v>
      </c>
      <c r="D2248" s="9">
        <v>45449</v>
      </c>
      <c r="E2248" s="13">
        <f>+HYPERLINK("http://trademark.i-assist.jp/data/china/image_1890th/77310251.pdf",77310251)</f>
        <v>77310251</v>
      </c>
      <c r="F2248" s="7" t="s">
        <v>6284</v>
      </c>
      <c r="G2248" s="7" t="s">
        <v>6283</v>
      </c>
      <c r="H2248" s="7" t="s">
        <v>6285</v>
      </c>
      <c r="I2248" s="9">
        <v>45365</v>
      </c>
    </row>
    <row r="2249" spans="1:9" x14ac:dyDescent="0.15">
      <c r="A2249" s="6">
        <v>2248</v>
      </c>
      <c r="B2249" s="7" t="s">
        <v>7</v>
      </c>
      <c r="C2249" s="8">
        <v>1890</v>
      </c>
      <c r="D2249" s="9">
        <v>45449</v>
      </c>
      <c r="E2249" s="13">
        <f>+HYPERLINK("http://trademark.i-assist.jp/data/china/image_1890th/77310293.pdf",77310293)</f>
        <v>77310293</v>
      </c>
      <c r="F2249" s="7" t="s">
        <v>6287</v>
      </c>
      <c r="G2249" s="7" t="s">
        <v>6286</v>
      </c>
      <c r="H2249" s="7" t="s">
        <v>6288</v>
      </c>
      <c r="I2249" s="9">
        <v>45365</v>
      </c>
    </row>
    <row r="2250" spans="1:9" x14ac:dyDescent="0.15">
      <c r="A2250" s="6">
        <v>2249</v>
      </c>
      <c r="B2250" s="7" t="s">
        <v>7</v>
      </c>
      <c r="C2250" s="8">
        <v>1890</v>
      </c>
      <c r="D2250" s="9">
        <v>45449</v>
      </c>
      <c r="E2250" s="13">
        <f>+HYPERLINK("http://trademark.i-assist.jp/data/china/image_1890th/77310884.pdf",77310884)</f>
        <v>77310884</v>
      </c>
      <c r="F2250" s="7" t="s">
        <v>6289</v>
      </c>
      <c r="G2250" s="7" t="s">
        <v>3965</v>
      </c>
      <c r="H2250" s="7" t="s">
        <v>6290</v>
      </c>
      <c r="I2250" s="9">
        <v>45365</v>
      </c>
    </row>
    <row r="2251" spans="1:9" x14ac:dyDescent="0.15">
      <c r="A2251" s="6">
        <v>2250</v>
      </c>
      <c r="B2251" s="7" t="s">
        <v>7</v>
      </c>
      <c r="C2251" s="8">
        <v>1890</v>
      </c>
      <c r="D2251" s="9">
        <v>45449</v>
      </c>
      <c r="E2251" s="13">
        <f>+HYPERLINK("http://trademark.i-assist.jp/data/china/image_1890th/77310891.pdf",77310891)</f>
        <v>77310891</v>
      </c>
      <c r="F2251" s="7" t="s">
        <v>6292</v>
      </c>
      <c r="G2251" s="7" t="s">
        <v>6291</v>
      </c>
      <c r="H2251" s="7" t="s">
        <v>6293</v>
      </c>
      <c r="I2251" s="9">
        <v>45365</v>
      </c>
    </row>
    <row r="2252" spans="1:9" x14ac:dyDescent="0.15">
      <c r="A2252" s="6">
        <v>2251</v>
      </c>
      <c r="B2252" s="7" t="s">
        <v>7</v>
      </c>
      <c r="C2252" s="8">
        <v>1890</v>
      </c>
      <c r="D2252" s="9">
        <v>45449</v>
      </c>
      <c r="E2252" s="13">
        <f>+HYPERLINK("http://trademark.i-assist.jp/data/china/image_1890th/77310931.pdf",77310931)</f>
        <v>77310931</v>
      </c>
      <c r="F2252" s="7" t="s">
        <v>6295</v>
      </c>
      <c r="G2252" s="7" t="s">
        <v>6294</v>
      </c>
      <c r="H2252" s="7" t="s">
        <v>6296</v>
      </c>
      <c r="I2252" s="9">
        <v>45365</v>
      </c>
    </row>
    <row r="2253" spans="1:9" ht="27" x14ac:dyDescent="0.15">
      <c r="A2253" s="6">
        <v>2252</v>
      </c>
      <c r="B2253" s="7" t="s">
        <v>7</v>
      </c>
      <c r="C2253" s="8">
        <v>1890</v>
      </c>
      <c r="D2253" s="9">
        <v>45449</v>
      </c>
      <c r="E2253" s="13">
        <f>+HYPERLINK("http://trademark.i-assist.jp/data/china/image_1890th/77310982.pdf",77310982)</f>
        <v>77310982</v>
      </c>
      <c r="F2253" s="7" t="s">
        <v>6298</v>
      </c>
      <c r="G2253" s="7" t="s">
        <v>6297</v>
      </c>
      <c r="H2253" s="7" t="s">
        <v>6299</v>
      </c>
      <c r="I2253" s="9">
        <v>45365</v>
      </c>
    </row>
    <row r="2254" spans="1:9" x14ac:dyDescent="0.15">
      <c r="A2254" s="6">
        <v>2253</v>
      </c>
      <c r="B2254" s="7" t="s">
        <v>7</v>
      </c>
      <c r="C2254" s="8">
        <v>1890</v>
      </c>
      <c r="D2254" s="9">
        <v>45449</v>
      </c>
      <c r="E2254" s="13">
        <f>+HYPERLINK("http://trademark.i-assist.jp/data/china/image_1890th/77311074.pdf",77311074)</f>
        <v>77311074</v>
      </c>
      <c r="F2254" s="7" t="s">
        <v>6300</v>
      </c>
      <c r="G2254" s="7" t="s">
        <v>6234</v>
      </c>
      <c r="H2254" s="7" t="s">
        <v>6301</v>
      </c>
      <c r="I2254" s="9">
        <v>45365</v>
      </c>
    </row>
    <row r="2255" spans="1:9" x14ac:dyDescent="0.15">
      <c r="A2255" s="6">
        <v>2254</v>
      </c>
      <c r="B2255" s="7" t="s">
        <v>7</v>
      </c>
      <c r="C2255" s="8">
        <v>1890</v>
      </c>
      <c r="D2255" s="9">
        <v>45449</v>
      </c>
      <c r="E2255" s="13">
        <f>+HYPERLINK("http://trademark.i-assist.jp/data/china/image_1890th/77311165.pdf",77311165)</f>
        <v>77311165</v>
      </c>
      <c r="F2255" s="7" t="s">
        <v>6303</v>
      </c>
      <c r="G2255" s="7" t="s">
        <v>6302</v>
      </c>
      <c r="H2255" s="7" t="s">
        <v>6304</v>
      </c>
      <c r="I2255" s="9">
        <v>45365</v>
      </c>
    </row>
    <row r="2256" spans="1:9" x14ac:dyDescent="0.15">
      <c r="A2256" s="6">
        <v>2255</v>
      </c>
      <c r="B2256" s="7" t="s">
        <v>7</v>
      </c>
      <c r="C2256" s="8">
        <v>1890</v>
      </c>
      <c r="D2256" s="9">
        <v>45449</v>
      </c>
      <c r="E2256" s="13">
        <f>+HYPERLINK("http://trademark.i-assist.jp/data/china/image_1890th/77311597.pdf",77311597)</f>
        <v>77311597</v>
      </c>
      <c r="F2256" s="7" t="s">
        <v>6305</v>
      </c>
      <c r="G2256" s="7" t="s">
        <v>2742</v>
      </c>
      <c r="H2256" s="7" t="s">
        <v>6306</v>
      </c>
      <c r="I2256" s="9">
        <v>45365</v>
      </c>
    </row>
    <row r="2257" spans="1:9" x14ac:dyDescent="0.15">
      <c r="A2257" s="6">
        <v>2256</v>
      </c>
      <c r="B2257" s="7" t="s">
        <v>7</v>
      </c>
      <c r="C2257" s="8">
        <v>1890</v>
      </c>
      <c r="D2257" s="9">
        <v>45449</v>
      </c>
      <c r="E2257" s="13">
        <f>+HYPERLINK("http://trademark.i-assist.jp/data/china/image_1890th/77311630.pdf",77311630)</f>
        <v>77311630</v>
      </c>
      <c r="F2257" s="7" t="s">
        <v>6308</v>
      </c>
      <c r="G2257" s="7" t="s">
        <v>6307</v>
      </c>
      <c r="H2257" s="7" t="s">
        <v>6309</v>
      </c>
      <c r="I2257" s="9">
        <v>45365</v>
      </c>
    </row>
    <row r="2258" spans="1:9" x14ac:dyDescent="0.15">
      <c r="A2258" s="6">
        <v>2257</v>
      </c>
      <c r="B2258" s="7" t="s">
        <v>7</v>
      </c>
      <c r="C2258" s="8">
        <v>1890</v>
      </c>
      <c r="D2258" s="9">
        <v>45449</v>
      </c>
      <c r="E2258" s="13">
        <f>+HYPERLINK("http://trademark.i-assist.jp/data/china/image_1890th/77311640.pdf",77311640)</f>
        <v>77311640</v>
      </c>
      <c r="F2258" s="7" t="s">
        <v>6311</v>
      </c>
      <c r="G2258" s="7" t="s">
        <v>6310</v>
      </c>
      <c r="H2258" s="7" t="s">
        <v>6312</v>
      </c>
      <c r="I2258" s="9">
        <v>45365</v>
      </c>
    </row>
    <row r="2259" spans="1:9" x14ac:dyDescent="0.15">
      <c r="A2259" s="6">
        <v>2258</v>
      </c>
      <c r="B2259" s="7" t="s">
        <v>7</v>
      </c>
      <c r="C2259" s="8">
        <v>1890</v>
      </c>
      <c r="D2259" s="9">
        <v>45449</v>
      </c>
      <c r="E2259" s="13">
        <f>+HYPERLINK("http://trademark.i-assist.jp/data/china/image_1890th/77311643.pdf",77311643)</f>
        <v>77311643</v>
      </c>
      <c r="F2259" s="7" t="s">
        <v>6314</v>
      </c>
      <c r="G2259" s="7" t="s">
        <v>6313</v>
      </c>
      <c r="H2259" s="7" t="s">
        <v>6315</v>
      </c>
      <c r="I2259" s="9">
        <v>45365</v>
      </c>
    </row>
    <row r="2260" spans="1:9" ht="27" x14ac:dyDescent="0.15">
      <c r="A2260" s="6">
        <v>2259</v>
      </c>
      <c r="B2260" s="7" t="s">
        <v>7</v>
      </c>
      <c r="C2260" s="8">
        <v>1890</v>
      </c>
      <c r="D2260" s="9">
        <v>45449</v>
      </c>
      <c r="E2260" s="13">
        <f>+HYPERLINK("http://trademark.i-assist.jp/data/china/image_1890th/77311715.pdf",77311715)</f>
        <v>77311715</v>
      </c>
      <c r="F2260" s="7" t="s">
        <v>6317</v>
      </c>
      <c r="G2260" s="7" t="s">
        <v>6316</v>
      </c>
      <c r="H2260" s="7" t="s">
        <v>6318</v>
      </c>
      <c r="I2260" s="9">
        <v>45365</v>
      </c>
    </row>
    <row r="2261" spans="1:9" x14ac:dyDescent="0.15">
      <c r="A2261" s="6">
        <v>2260</v>
      </c>
      <c r="B2261" s="7" t="s">
        <v>7</v>
      </c>
      <c r="C2261" s="8">
        <v>1890</v>
      </c>
      <c r="D2261" s="9">
        <v>45449</v>
      </c>
      <c r="E2261" s="13">
        <f>+HYPERLINK("http://trademark.i-assist.jp/data/china/image_1890th/77311758.pdf",77311758)</f>
        <v>77311758</v>
      </c>
      <c r="F2261" s="7" t="s">
        <v>183</v>
      </c>
      <c r="G2261" s="7" t="s">
        <v>6319</v>
      </c>
      <c r="H2261" s="7" t="s">
        <v>6320</v>
      </c>
      <c r="I2261" s="9">
        <v>45365</v>
      </c>
    </row>
    <row r="2262" spans="1:9" ht="27" x14ac:dyDescent="0.15">
      <c r="A2262" s="6">
        <v>2261</v>
      </c>
      <c r="B2262" s="7" t="s">
        <v>7</v>
      </c>
      <c r="C2262" s="8">
        <v>1890</v>
      </c>
      <c r="D2262" s="9">
        <v>45449</v>
      </c>
      <c r="E2262" s="13">
        <f>+HYPERLINK("http://trademark.i-assist.jp/data/china/image_1890th/77313968.pdf",77313968)</f>
        <v>77313968</v>
      </c>
      <c r="F2262" s="7" t="s">
        <v>6321</v>
      </c>
      <c r="G2262" s="7" t="s">
        <v>6239</v>
      </c>
      <c r="H2262" s="7" t="s">
        <v>6322</v>
      </c>
      <c r="I2262" s="9">
        <v>45365</v>
      </c>
    </row>
    <row r="2263" spans="1:9" ht="27" x14ac:dyDescent="0.15">
      <c r="A2263" s="6">
        <v>2262</v>
      </c>
      <c r="B2263" s="7" t="s">
        <v>7</v>
      </c>
      <c r="C2263" s="8">
        <v>1890</v>
      </c>
      <c r="D2263" s="9">
        <v>45449</v>
      </c>
      <c r="E2263" s="13">
        <f>+HYPERLINK("http://trademark.i-assist.jp/data/china/image_1890th/77313991.pdf",77313991)</f>
        <v>77313991</v>
      </c>
      <c r="F2263" s="7" t="s">
        <v>6324</v>
      </c>
      <c r="G2263" s="7" t="s">
        <v>6323</v>
      </c>
      <c r="H2263" s="7" t="s">
        <v>6325</v>
      </c>
      <c r="I2263" s="9">
        <v>45365</v>
      </c>
    </row>
    <row r="2264" spans="1:9" x14ac:dyDescent="0.15">
      <c r="A2264" s="6">
        <v>2263</v>
      </c>
      <c r="B2264" s="7" t="s">
        <v>7</v>
      </c>
      <c r="C2264" s="8">
        <v>1890</v>
      </c>
      <c r="D2264" s="9">
        <v>45449</v>
      </c>
      <c r="E2264" s="13">
        <f>+HYPERLINK("http://trademark.i-assist.jp/data/china/image_1890th/77314105.pdf",77314105)</f>
        <v>77314105</v>
      </c>
      <c r="F2264" s="7" t="s">
        <v>6326</v>
      </c>
      <c r="G2264" s="7" t="s">
        <v>2742</v>
      </c>
      <c r="H2264" s="7" t="s">
        <v>6327</v>
      </c>
      <c r="I2264" s="9">
        <v>45365</v>
      </c>
    </row>
    <row r="2265" spans="1:9" ht="27" x14ac:dyDescent="0.15">
      <c r="A2265" s="6">
        <v>2264</v>
      </c>
      <c r="B2265" s="7" t="s">
        <v>7</v>
      </c>
      <c r="C2265" s="8">
        <v>1890</v>
      </c>
      <c r="D2265" s="9">
        <v>45449</v>
      </c>
      <c r="E2265" s="13">
        <f>+HYPERLINK("http://trademark.i-assist.jp/data/china/image_1890th/77314301.pdf",77314301)</f>
        <v>77314301</v>
      </c>
      <c r="F2265" s="7" t="s">
        <v>6329</v>
      </c>
      <c r="G2265" s="7" t="s">
        <v>6328</v>
      </c>
      <c r="H2265" s="7" t="s">
        <v>6330</v>
      </c>
      <c r="I2265" s="9">
        <v>45365</v>
      </c>
    </row>
    <row r="2266" spans="1:9" x14ac:dyDescent="0.15">
      <c r="A2266" s="6">
        <v>2265</v>
      </c>
      <c r="B2266" s="7" t="s">
        <v>7</v>
      </c>
      <c r="C2266" s="8">
        <v>1890</v>
      </c>
      <c r="D2266" s="9">
        <v>45449</v>
      </c>
      <c r="E2266" s="13">
        <f>+HYPERLINK("http://trademark.i-assist.jp/data/china/image_1890th/77314401.pdf",77314401)</f>
        <v>77314401</v>
      </c>
      <c r="F2266" s="7" t="s">
        <v>6332</v>
      </c>
      <c r="G2266" s="7" t="s">
        <v>6331</v>
      </c>
      <c r="H2266" s="7" t="s">
        <v>6333</v>
      </c>
      <c r="I2266" s="9">
        <v>45365</v>
      </c>
    </row>
    <row r="2267" spans="1:9" x14ac:dyDescent="0.15">
      <c r="A2267" s="6">
        <v>2266</v>
      </c>
      <c r="B2267" s="7" t="s">
        <v>7</v>
      </c>
      <c r="C2267" s="8">
        <v>1890</v>
      </c>
      <c r="D2267" s="9">
        <v>45449</v>
      </c>
      <c r="E2267" s="13">
        <f>+HYPERLINK("http://trademark.i-assist.jp/data/china/image_1890th/77314592.pdf",77314592)</f>
        <v>77314592</v>
      </c>
      <c r="F2267" s="7" t="s">
        <v>6335</v>
      </c>
      <c r="G2267" s="7" t="s">
        <v>6334</v>
      </c>
      <c r="H2267" s="7" t="s">
        <v>6336</v>
      </c>
      <c r="I2267" s="9">
        <v>45365</v>
      </c>
    </row>
    <row r="2268" spans="1:9" x14ac:dyDescent="0.15">
      <c r="A2268" s="6">
        <v>2267</v>
      </c>
      <c r="B2268" s="7" t="s">
        <v>7</v>
      </c>
      <c r="C2268" s="8">
        <v>1890</v>
      </c>
      <c r="D2268" s="9">
        <v>45449</v>
      </c>
      <c r="E2268" s="13">
        <f>+HYPERLINK("http://trademark.i-assist.jp/data/china/image_1890th/77314631.pdf",77314631)</f>
        <v>77314631</v>
      </c>
      <c r="F2268" s="7" t="s">
        <v>6338</v>
      </c>
      <c r="G2268" s="7" t="s">
        <v>6337</v>
      </c>
      <c r="H2268" s="7" t="s">
        <v>6339</v>
      </c>
      <c r="I2268" s="9">
        <v>45365</v>
      </c>
    </row>
    <row r="2269" spans="1:9" x14ac:dyDescent="0.15">
      <c r="A2269" s="6">
        <v>2268</v>
      </c>
      <c r="B2269" s="7" t="s">
        <v>7</v>
      </c>
      <c r="C2269" s="8">
        <v>1890</v>
      </c>
      <c r="D2269" s="9">
        <v>45449</v>
      </c>
      <c r="E2269" s="13">
        <f>+HYPERLINK("http://trademark.i-assist.jp/data/china/image_1890th/77314664.pdf",77314664)</f>
        <v>77314664</v>
      </c>
      <c r="F2269" s="7" t="s">
        <v>6340</v>
      </c>
      <c r="G2269" s="7" t="s">
        <v>2742</v>
      </c>
      <c r="H2269" s="7" t="s">
        <v>6341</v>
      </c>
      <c r="I2269" s="9">
        <v>45365</v>
      </c>
    </row>
    <row r="2270" spans="1:9" x14ac:dyDescent="0.15">
      <c r="A2270" s="6">
        <v>2269</v>
      </c>
      <c r="B2270" s="7" t="s">
        <v>7</v>
      </c>
      <c r="C2270" s="8">
        <v>1890</v>
      </c>
      <c r="D2270" s="9">
        <v>45449</v>
      </c>
      <c r="E2270" s="13">
        <f>+HYPERLINK("http://trademark.i-assist.jp/data/china/image_1890th/77314687.pdf",77314687)</f>
        <v>77314687</v>
      </c>
      <c r="F2270" s="7" t="s">
        <v>6342</v>
      </c>
      <c r="G2270" s="7" t="s">
        <v>2742</v>
      </c>
      <c r="H2270" s="7" t="s">
        <v>6343</v>
      </c>
      <c r="I2270" s="9">
        <v>45365</v>
      </c>
    </row>
    <row r="2271" spans="1:9" x14ac:dyDescent="0.15">
      <c r="A2271" s="6">
        <v>2270</v>
      </c>
      <c r="B2271" s="7" t="s">
        <v>7</v>
      </c>
      <c r="C2271" s="8">
        <v>1890</v>
      </c>
      <c r="D2271" s="9">
        <v>45449</v>
      </c>
      <c r="E2271" s="13">
        <f>+HYPERLINK("http://trademark.i-assist.jp/data/china/image_1890th/77314830.pdf",77314830)</f>
        <v>77314830</v>
      </c>
      <c r="F2271" s="7" t="s">
        <v>6345</v>
      </c>
      <c r="G2271" s="7" t="s">
        <v>6344</v>
      </c>
      <c r="H2271" s="7" t="s">
        <v>6346</v>
      </c>
      <c r="I2271" s="9">
        <v>45365</v>
      </c>
    </row>
    <row r="2272" spans="1:9" x14ac:dyDescent="0.15">
      <c r="A2272" s="6">
        <v>2271</v>
      </c>
      <c r="B2272" s="7" t="s">
        <v>7</v>
      </c>
      <c r="C2272" s="8">
        <v>1890</v>
      </c>
      <c r="D2272" s="9">
        <v>45449</v>
      </c>
      <c r="E2272" s="13">
        <f>+HYPERLINK("http://trademark.i-assist.jp/data/china/image_1890th/77314963.pdf",77314963)</f>
        <v>77314963</v>
      </c>
      <c r="F2272" s="7" t="s">
        <v>6348</v>
      </c>
      <c r="G2272" s="7" t="s">
        <v>6347</v>
      </c>
      <c r="H2272" s="7" t="s">
        <v>6349</v>
      </c>
      <c r="I2272" s="9">
        <v>45365</v>
      </c>
    </row>
    <row r="2273" spans="1:9" x14ac:dyDescent="0.15">
      <c r="A2273" s="6">
        <v>2272</v>
      </c>
      <c r="B2273" s="7" t="s">
        <v>7</v>
      </c>
      <c r="C2273" s="8">
        <v>1890</v>
      </c>
      <c r="D2273" s="9">
        <v>45449</v>
      </c>
      <c r="E2273" s="13">
        <f>+HYPERLINK("http://trademark.i-assist.jp/data/china/image_1890th/77315017.pdf",77315017)</f>
        <v>77315017</v>
      </c>
      <c r="F2273" s="7" t="s">
        <v>6351</v>
      </c>
      <c r="G2273" s="7" t="s">
        <v>6350</v>
      </c>
      <c r="H2273" s="7" t="s">
        <v>6352</v>
      </c>
      <c r="I2273" s="9">
        <v>45365</v>
      </c>
    </row>
    <row r="2274" spans="1:9" ht="27" x14ac:dyDescent="0.15">
      <c r="A2274" s="6">
        <v>2273</v>
      </c>
      <c r="B2274" s="7" t="s">
        <v>7</v>
      </c>
      <c r="C2274" s="8">
        <v>1890</v>
      </c>
      <c r="D2274" s="9">
        <v>45449</v>
      </c>
      <c r="E2274" s="13">
        <f>+HYPERLINK("http://trademark.i-assist.jp/data/china/image_1890th/77315033.pdf",77315033)</f>
        <v>77315033</v>
      </c>
      <c r="F2274" s="7" t="s">
        <v>6354</v>
      </c>
      <c r="G2274" s="7" t="s">
        <v>6353</v>
      </c>
      <c r="H2274" s="7" t="s">
        <v>6355</v>
      </c>
      <c r="I2274" s="9">
        <v>45365</v>
      </c>
    </row>
    <row r="2275" spans="1:9" x14ac:dyDescent="0.15">
      <c r="A2275" s="6">
        <v>2274</v>
      </c>
      <c r="B2275" s="7" t="s">
        <v>7</v>
      </c>
      <c r="C2275" s="8">
        <v>1890</v>
      </c>
      <c r="D2275" s="9">
        <v>45449</v>
      </c>
      <c r="E2275" s="13">
        <f>+HYPERLINK("http://trademark.i-assist.jp/data/china/image_1890th/77315088.pdf",77315088)</f>
        <v>77315088</v>
      </c>
      <c r="F2275" s="7" t="s">
        <v>6357</v>
      </c>
      <c r="G2275" s="7" t="s">
        <v>6356</v>
      </c>
      <c r="H2275" s="7" t="s">
        <v>6358</v>
      </c>
      <c r="I2275" s="9">
        <v>45365</v>
      </c>
    </row>
    <row r="2276" spans="1:9" x14ac:dyDescent="0.15">
      <c r="A2276" s="6">
        <v>2275</v>
      </c>
      <c r="B2276" s="7" t="s">
        <v>7</v>
      </c>
      <c r="C2276" s="8">
        <v>1890</v>
      </c>
      <c r="D2276" s="9">
        <v>45449</v>
      </c>
      <c r="E2276" s="13">
        <f>+HYPERLINK("http://trademark.i-assist.jp/data/china/image_1890th/77315184.pdf",77315184)</f>
        <v>77315184</v>
      </c>
      <c r="F2276" s="7" t="s">
        <v>6359</v>
      </c>
      <c r="G2276" s="7" t="s">
        <v>1863</v>
      </c>
      <c r="H2276" s="7" t="s">
        <v>6360</v>
      </c>
      <c r="I2276" s="9">
        <v>45365</v>
      </c>
    </row>
    <row r="2277" spans="1:9" x14ac:dyDescent="0.15">
      <c r="A2277" s="6">
        <v>2276</v>
      </c>
      <c r="B2277" s="7" t="s">
        <v>7</v>
      </c>
      <c r="C2277" s="8">
        <v>1890</v>
      </c>
      <c r="D2277" s="9">
        <v>45449</v>
      </c>
      <c r="E2277" s="13">
        <f>+HYPERLINK("http://trademark.i-assist.jp/data/china/image_1890th/77315192.pdf",77315192)</f>
        <v>77315192</v>
      </c>
      <c r="F2277" s="7" t="s">
        <v>6361</v>
      </c>
      <c r="G2277" s="7" t="s">
        <v>1863</v>
      </c>
      <c r="H2277" s="7" t="s">
        <v>6362</v>
      </c>
      <c r="I2277" s="9">
        <v>45365</v>
      </c>
    </row>
    <row r="2278" spans="1:9" x14ac:dyDescent="0.15">
      <c r="A2278" s="6">
        <v>2277</v>
      </c>
      <c r="B2278" s="7" t="s">
        <v>7</v>
      </c>
      <c r="C2278" s="8">
        <v>1890</v>
      </c>
      <c r="D2278" s="9">
        <v>45449</v>
      </c>
      <c r="E2278" s="13">
        <f>+HYPERLINK("http://trademark.i-assist.jp/data/china/image_1890th/77315457.pdf",77315457)</f>
        <v>77315457</v>
      </c>
      <c r="F2278" s="7" t="s">
        <v>6363</v>
      </c>
      <c r="G2278" s="7" t="s">
        <v>2505</v>
      </c>
      <c r="H2278" s="7" t="s">
        <v>6364</v>
      </c>
      <c r="I2278" s="9">
        <v>45365</v>
      </c>
    </row>
    <row r="2279" spans="1:9" x14ac:dyDescent="0.15">
      <c r="A2279" s="6">
        <v>2278</v>
      </c>
      <c r="B2279" s="7" t="s">
        <v>7</v>
      </c>
      <c r="C2279" s="8">
        <v>1890</v>
      </c>
      <c r="D2279" s="9">
        <v>45449</v>
      </c>
      <c r="E2279" s="13">
        <f>+HYPERLINK("http://trademark.i-assist.jp/data/china/image_1890th/77315497.pdf",77315497)</f>
        <v>77315497</v>
      </c>
      <c r="F2279" s="7" t="s">
        <v>6365</v>
      </c>
      <c r="G2279" s="7" t="s">
        <v>663</v>
      </c>
      <c r="H2279" s="7" t="s">
        <v>6366</v>
      </c>
      <c r="I2279" s="9">
        <v>45365</v>
      </c>
    </row>
    <row r="2280" spans="1:9" x14ac:dyDescent="0.15">
      <c r="A2280" s="6">
        <v>2279</v>
      </c>
      <c r="B2280" s="7" t="s">
        <v>7</v>
      </c>
      <c r="C2280" s="8">
        <v>1890</v>
      </c>
      <c r="D2280" s="9">
        <v>45449</v>
      </c>
      <c r="E2280" s="13">
        <f>+HYPERLINK("http://trademark.i-assist.jp/data/china/image_1890th/77315553.pdf",77315553)</f>
        <v>77315553</v>
      </c>
      <c r="F2280" s="7" t="s">
        <v>6368</v>
      </c>
      <c r="G2280" s="7" t="s">
        <v>6367</v>
      </c>
      <c r="H2280" s="7" t="s">
        <v>6369</v>
      </c>
      <c r="I2280" s="9">
        <v>45365</v>
      </c>
    </row>
    <row r="2281" spans="1:9" ht="27" x14ac:dyDescent="0.15">
      <c r="A2281" s="6">
        <v>2280</v>
      </c>
      <c r="B2281" s="7" t="s">
        <v>7</v>
      </c>
      <c r="C2281" s="8">
        <v>1890</v>
      </c>
      <c r="D2281" s="9">
        <v>45449</v>
      </c>
      <c r="E2281" s="13">
        <f>+HYPERLINK("http://trademark.i-assist.jp/data/china/image_1890th/77315683.pdf",77315683)</f>
        <v>77315683</v>
      </c>
      <c r="F2281" s="7" t="s">
        <v>6371</v>
      </c>
      <c r="G2281" s="7" t="s">
        <v>6370</v>
      </c>
      <c r="H2281" s="7" t="s">
        <v>6372</v>
      </c>
      <c r="I2281" s="9">
        <v>45365</v>
      </c>
    </row>
    <row r="2282" spans="1:9" x14ac:dyDescent="0.15">
      <c r="A2282" s="6">
        <v>2281</v>
      </c>
      <c r="B2282" s="7" t="s">
        <v>7</v>
      </c>
      <c r="C2282" s="8">
        <v>1890</v>
      </c>
      <c r="D2282" s="9">
        <v>45449</v>
      </c>
      <c r="E2282" s="13">
        <f>+HYPERLINK("http://trademark.i-assist.jp/data/china/image_1890th/77315779.pdf",77315779)</f>
        <v>77315779</v>
      </c>
      <c r="F2282" s="7" t="s">
        <v>6374</v>
      </c>
      <c r="G2282" s="7" t="s">
        <v>6373</v>
      </c>
      <c r="H2282" s="7" t="s">
        <v>6375</v>
      </c>
      <c r="I2282" s="9">
        <v>45365</v>
      </c>
    </row>
    <row r="2283" spans="1:9" x14ac:dyDescent="0.15">
      <c r="A2283" s="6">
        <v>2282</v>
      </c>
      <c r="B2283" s="7" t="s">
        <v>7</v>
      </c>
      <c r="C2283" s="8">
        <v>1890</v>
      </c>
      <c r="D2283" s="9">
        <v>45449</v>
      </c>
      <c r="E2283" s="13">
        <f>+HYPERLINK("http://trademark.i-assist.jp/data/china/image_1890th/77315833.pdf",77315833)</f>
        <v>77315833</v>
      </c>
      <c r="F2283" s="7" t="s">
        <v>6377</v>
      </c>
      <c r="G2283" s="7" t="s">
        <v>6376</v>
      </c>
      <c r="H2283" s="7" t="s">
        <v>6378</v>
      </c>
      <c r="I2283" s="9">
        <v>45365</v>
      </c>
    </row>
    <row r="2284" spans="1:9" x14ac:dyDescent="0.15">
      <c r="A2284" s="6">
        <v>2283</v>
      </c>
      <c r="B2284" s="7" t="s">
        <v>7</v>
      </c>
      <c r="C2284" s="8">
        <v>1890</v>
      </c>
      <c r="D2284" s="9">
        <v>45449</v>
      </c>
      <c r="E2284" s="13">
        <f>+HYPERLINK("http://trademark.i-assist.jp/data/china/image_1890th/77315990.pdf",77315990)</f>
        <v>77315990</v>
      </c>
      <c r="F2284" s="7" t="s">
        <v>6380</v>
      </c>
      <c r="G2284" s="7" t="s">
        <v>6379</v>
      </c>
      <c r="H2284" s="7" t="s">
        <v>6381</v>
      </c>
      <c r="I2284" s="9">
        <v>45365</v>
      </c>
    </row>
    <row r="2285" spans="1:9" x14ac:dyDescent="0.15">
      <c r="A2285" s="6">
        <v>2284</v>
      </c>
      <c r="B2285" s="7" t="s">
        <v>7</v>
      </c>
      <c r="C2285" s="8">
        <v>1890</v>
      </c>
      <c r="D2285" s="9">
        <v>45449</v>
      </c>
      <c r="E2285" s="13">
        <f>+HYPERLINK("http://trademark.i-assist.jp/data/china/image_1890th/77316195.pdf",77316195)</f>
        <v>77316195</v>
      </c>
      <c r="F2285" s="7" t="s">
        <v>903</v>
      </c>
      <c r="G2285" s="7" t="s">
        <v>902</v>
      </c>
      <c r="H2285" s="7" t="s">
        <v>6382</v>
      </c>
      <c r="I2285" s="9">
        <v>45365</v>
      </c>
    </row>
    <row r="2286" spans="1:9" x14ac:dyDescent="0.15">
      <c r="A2286" s="6">
        <v>2285</v>
      </c>
      <c r="B2286" s="7" t="s">
        <v>7</v>
      </c>
      <c r="C2286" s="8">
        <v>1890</v>
      </c>
      <c r="D2286" s="9">
        <v>45449</v>
      </c>
      <c r="E2286" s="13">
        <f>+HYPERLINK("http://trademark.i-assist.jp/data/china/image_1890th/77316196.pdf",77316196)</f>
        <v>77316196</v>
      </c>
      <c r="F2286" s="7" t="s">
        <v>6384</v>
      </c>
      <c r="G2286" s="7" t="s">
        <v>6383</v>
      </c>
      <c r="H2286" s="7" t="s">
        <v>6385</v>
      </c>
      <c r="I2286" s="9">
        <v>45365</v>
      </c>
    </row>
    <row r="2287" spans="1:9" x14ac:dyDescent="0.15">
      <c r="A2287" s="6">
        <v>2286</v>
      </c>
      <c r="B2287" s="7" t="s">
        <v>7</v>
      </c>
      <c r="C2287" s="8">
        <v>1890</v>
      </c>
      <c r="D2287" s="9">
        <v>45449</v>
      </c>
      <c r="E2287" s="13">
        <f>+HYPERLINK("http://trademark.i-assist.jp/data/china/image_1890th/77316311.pdf",77316311)</f>
        <v>77316311</v>
      </c>
      <c r="F2287" s="7" t="s">
        <v>6387</v>
      </c>
      <c r="G2287" s="7" t="s">
        <v>6386</v>
      </c>
      <c r="H2287" s="7" t="s">
        <v>6388</v>
      </c>
      <c r="I2287" s="9">
        <v>45365</v>
      </c>
    </row>
    <row r="2288" spans="1:9" x14ac:dyDescent="0.15">
      <c r="A2288" s="6">
        <v>2287</v>
      </c>
      <c r="B2288" s="7" t="s">
        <v>7</v>
      </c>
      <c r="C2288" s="8">
        <v>1890</v>
      </c>
      <c r="D2288" s="9">
        <v>45449</v>
      </c>
      <c r="E2288" s="13">
        <f>+HYPERLINK("http://trademark.i-assist.jp/data/china/image_1890th/77316394.pdf",77316394)</f>
        <v>77316394</v>
      </c>
      <c r="F2288" s="7" t="s">
        <v>6389</v>
      </c>
      <c r="G2288" s="7" t="s">
        <v>6234</v>
      </c>
      <c r="H2288" s="7" t="s">
        <v>6390</v>
      </c>
      <c r="I2288" s="9">
        <v>45365</v>
      </c>
    </row>
    <row r="2289" spans="1:9" ht="27" x14ac:dyDescent="0.15">
      <c r="A2289" s="6">
        <v>2288</v>
      </c>
      <c r="B2289" s="7" t="s">
        <v>7</v>
      </c>
      <c r="C2289" s="8">
        <v>1890</v>
      </c>
      <c r="D2289" s="9">
        <v>45449</v>
      </c>
      <c r="E2289" s="13">
        <f>+HYPERLINK("http://trademark.i-assist.jp/data/china/image_1890th/77316489.pdf",77316489)</f>
        <v>77316489</v>
      </c>
      <c r="F2289" s="7" t="s">
        <v>6392</v>
      </c>
      <c r="G2289" s="7" t="s">
        <v>6391</v>
      </c>
      <c r="H2289" s="7" t="s">
        <v>6393</v>
      </c>
      <c r="I2289" s="9">
        <v>45365</v>
      </c>
    </row>
    <row r="2290" spans="1:9" x14ac:dyDescent="0.15">
      <c r="A2290" s="6">
        <v>2289</v>
      </c>
      <c r="B2290" s="7" t="s">
        <v>7</v>
      </c>
      <c r="C2290" s="8">
        <v>1890</v>
      </c>
      <c r="D2290" s="9">
        <v>45449</v>
      </c>
      <c r="E2290" s="13">
        <f>+HYPERLINK("http://trademark.i-assist.jp/data/china/image_1890th/77316840.pdf",77316840)</f>
        <v>77316840</v>
      </c>
      <c r="F2290" s="7" t="s">
        <v>6395</v>
      </c>
      <c r="G2290" s="7" t="s">
        <v>6394</v>
      </c>
      <c r="H2290" s="7" t="s">
        <v>6396</v>
      </c>
      <c r="I2290" s="9">
        <v>45365</v>
      </c>
    </row>
    <row r="2291" spans="1:9" x14ac:dyDescent="0.15">
      <c r="A2291" s="6">
        <v>2290</v>
      </c>
      <c r="B2291" s="7" t="s">
        <v>7</v>
      </c>
      <c r="C2291" s="8">
        <v>1890</v>
      </c>
      <c r="D2291" s="9">
        <v>45449</v>
      </c>
      <c r="E2291" s="13">
        <f>+HYPERLINK("http://trademark.i-assist.jp/data/china/image_1890th/77316898.pdf",77316898)</f>
        <v>77316898</v>
      </c>
      <c r="F2291" s="7" t="s">
        <v>6398</v>
      </c>
      <c r="G2291" s="7" t="s">
        <v>6397</v>
      </c>
      <c r="H2291" s="7" t="s">
        <v>6399</v>
      </c>
      <c r="I2291" s="9">
        <v>45365</v>
      </c>
    </row>
    <row r="2292" spans="1:9" x14ac:dyDescent="0.15">
      <c r="A2292" s="6">
        <v>2291</v>
      </c>
      <c r="B2292" s="7" t="s">
        <v>7</v>
      </c>
      <c r="C2292" s="8">
        <v>1890</v>
      </c>
      <c r="D2292" s="9">
        <v>45449</v>
      </c>
      <c r="E2292" s="13">
        <f>+HYPERLINK("http://trademark.i-assist.jp/data/china/image_1890th/77316918.pdf",77316918)</f>
        <v>77316918</v>
      </c>
      <c r="F2292" s="7" t="s">
        <v>6401</v>
      </c>
      <c r="G2292" s="7" t="s">
        <v>6400</v>
      </c>
      <c r="H2292" s="7" t="s">
        <v>6402</v>
      </c>
      <c r="I2292" s="9">
        <v>45365</v>
      </c>
    </row>
    <row r="2293" spans="1:9" x14ac:dyDescent="0.15">
      <c r="A2293" s="6">
        <v>2292</v>
      </c>
      <c r="B2293" s="7" t="s">
        <v>7</v>
      </c>
      <c r="C2293" s="8">
        <v>1890</v>
      </c>
      <c r="D2293" s="9">
        <v>45449</v>
      </c>
      <c r="E2293" s="13">
        <f>+HYPERLINK("http://trademark.i-assist.jp/data/china/image_1890th/77317214.pdf",77317214)</f>
        <v>77317214</v>
      </c>
      <c r="F2293" s="7" t="s">
        <v>6404</v>
      </c>
      <c r="G2293" s="7" t="s">
        <v>6403</v>
      </c>
      <c r="H2293" s="7" t="s">
        <v>6405</v>
      </c>
      <c r="I2293" s="9">
        <v>45366</v>
      </c>
    </row>
    <row r="2294" spans="1:9" x14ac:dyDescent="0.15">
      <c r="A2294" s="6">
        <v>2293</v>
      </c>
      <c r="B2294" s="7" t="s">
        <v>7</v>
      </c>
      <c r="C2294" s="8">
        <v>1890</v>
      </c>
      <c r="D2294" s="9">
        <v>45449</v>
      </c>
      <c r="E2294" s="13">
        <f>+HYPERLINK("http://trademark.i-assist.jp/data/china/image_1890th/77317409.pdf",77317409)</f>
        <v>77317409</v>
      </c>
      <c r="F2294" s="7" t="s">
        <v>6407</v>
      </c>
      <c r="G2294" s="7" t="s">
        <v>6406</v>
      </c>
      <c r="H2294" s="7" t="s">
        <v>6408</v>
      </c>
      <c r="I2294" s="9">
        <v>45366</v>
      </c>
    </row>
    <row r="2295" spans="1:9" x14ac:dyDescent="0.15">
      <c r="A2295" s="6">
        <v>2294</v>
      </c>
      <c r="B2295" s="7" t="s">
        <v>7</v>
      </c>
      <c r="C2295" s="8">
        <v>1890</v>
      </c>
      <c r="D2295" s="9">
        <v>45449</v>
      </c>
      <c r="E2295" s="13">
        <f>+HYPERLINK("http://trademark.i-assist.jp/data/china/image_1890th/77317427.pdf",77317427)</f>
        <v>77317427</v>
      </c>
      <c r="F2295" s="7" t="s">
        <v>183</v>
      </c>
      <c r="G2295" s="7" t="s">
        <v>4077</v>
      </c>
      <c r="H2295" s="7" t="s">
        <v>6409</v>
      </c>
      <c r="I2295" s="9">
        <v>45366</v>
      </c>
    </row>
    <row r="2296" spans="1:9" x14ac:dyDescent="0.15">
      <c r="A2296" s="6">
        <v>2295</v>
      </c>
      <c r="B2296" s="7" t="s">
        <v>7</v>
      </c>
      <c r="C2296" s="8">
        <v>1890</v>
      </c>
      <c r="D2296" s="9">
        <v>45449</v>
      </c>
      <c r="E2296" s="13">
        <f>+HYPERLINK("http://trademark.i-assist.jp/data/china/image_1890th/77317606.pdf",77317606)</f>
        <v>77317606</v>
      </c>
      <c r="F2296" s="7" t="s">
        <v>6411</v>
      </c>
      <c r="G2296" s="7" t="s">
        <v>6410</v>
      </c>
      <c r="H2296" s="7" t="s">
        <v>6412</v>
      </c>
      <c r="I2296" s="9">
        <v>45366</v>
      </c>
    </row>
    <row r="2297" spans="1:9" x14ac:dyDescent="0.15">
      <c r="A2297" s="6">
        <v>2296</v>
      </c>
      <c r="B2297" s="7" t="s">
        <v>7</v>
      </c>
      <c r="C2297" s="8">
        <v>1890</v>
      </c>
      <c r="D2297" s="9">
        <v>45449</v>
      </c>
      <c r="E2297" s="13">
        <f>+HYPERLINK("http://trademark.i-assist.jp/data/china/image_1890th/77317905.pdf",77317905)</f>
        <v>77317905</v>
      </c>
      <c r="F2297" s="7" t="s">
        <v>6413</v>
      </c>
      <c r="G2297" s="7" t="s">
        <v>4163</v>
      </c>
      <c r="H2297" s="7" t="s">
        <v>6414</v>
      </c>
      <c r="I2297" s="9">
        <v>45366</v>
      </c>
    </row>
    <row r="2298" spans="1:9" x14ac:dyDescent="0.15">
      <c r="A2298" s="6">
        <v>2297</v>
      </c>
      <c r="B2298" s="7" t="s">
        <v>7</v>
      </c>
      <c r="C2298" s="8">
        <v>1890</v>
      </c>
      <c r="D2298" s="9">
        <v>45449</v>
      </c>
      <c r="E2298" s="13">
        <f>+HYPERLINK("http://trademark.i-assist.jp/data/china/image_1890th/77318054.pdf",77318054)</f>
        <v>77318054</v>
      </c>
      <c r="F2298" s="7" t="s">
        <v>6416</v>
      </c>
      <c r="G2298" s="7" t="s">
        <v>6415</v>
      </c>
      <c r="H2298" s="7" t="s">
        <v>6417</v>
      </c>
      <c r="I2298" s="9">
        <v>45366</v>
      </c>
    </row>
    <row r="2299" spans="1:9" x14ac:dyDescent="0.15">
      <c r="A2299" s="6">
        <v>2298</v>
      </c>
      <c r="B2299" s="7" t="s">
        <v>7</v>
      </c>
      <c r="C2299" s="8">
        <v>1890</v>
      </c>
      <c r="D2299" s="9">
        <v>45449</v>
      </c>
      <c r="E2299" s="13">
        <f>+HYPERLINK("http://trademark.i-assist.jp/data/china/image_1890th/77318094.pdf",77318094)</f>
        <v>77318094</v>
      </c>
      <c r="F2299" s="7" t="s">
        <v>6419</v>
      </c>
      <c r="G2299" s="7" t="s">
        <v>6418</v>
      </c>
      <c r="H2299" s="7" t="s">
        <v>6420</v>
      </c>
      <c r="I2299" s="9">
        <v>45366</v>
      </c>
    </row>
    <row r="2300" spans="1:9" x14ac:dyDescent="0.15">
      <c r="A2300" s="6">
        <v>2299</v>
      </c>
      <c r="B2300" s="7" t="s">
        <v>7</v>
      </c>
      <c r="C2300" s="8">
        <v>1890</v>
      </c>
      <c r="D2300" s="9">
        <v>45449</v>
      </c>
      <c r="E2300" s="13">
        <f>+HYPERLINK("http://trademark.i-assist.jp/data/china/image_1890th/77318117.pdf",77318117)</f>
        <v>77318117</v>
      </c>
      <c r="F2300" s="7" t="s">
        <v>6422</v>
      </c>
      <c r="G2300" s="7" t="s">
        <v>6421</v>
      </c>
      <c r="H2300" s="7" t="s">
        <v>6423</v>
      </c>
      <c r="I2300" s="9">
        <v>45366</v>
      </c>
    </row>
    <row r="2301" spans="1:9" x14ac:dyDescent="0.15">
      <c r="A2301" s="6">
        <v>2300</v>
      </c>
      <c r="B2301" s="7" t="s">
        <v>7</v>
      </c>
      <c r="C2301" s="8">
        <v>1890</v>
      </c>
      <c r="D2301" s="9">
        <v>45449</v>
      </c>
      <c r="E2301" s="13">
        <f>+HYPERLINK("http://trademark.i-assist.jp/data/china/image_1890th/77318126.pdf",77318126)</f>
        <v>77318126</v>
      </c>
      <c r="F2301" s="7" t="s">
        <v>6425</v>
      </c>
      <c r="G2301" s="7" t="s">
        <v>6424</v>
      </c>
      <c r="H2301" s="7" t="s">
        <v>6426</v>
      </c>
      <c r="I2301" s="9">
        <v>45366</v>
      </c>
    </row>
    <row r="2302" spans="1:9" x14ac:dyDescent="0.15">
      <c r="A2302" s="6">
        <v>2301</v>
      </c>
      <c r="B2302" s="7" t="s">
        <v>7</v>
      </c>
      <c r="C2302" s="8">
        <v>1890</v>
      </c>
      <c r="D2302" s="9">
        <v>45449</v>
      </c>
      <c r="E2302" s="13">
        <f>+HYPERLINK("http://trademark.i-assist.jp/data/china/image_1890th/77318329.pdf",77318329)</f>
        <v>77318329</v>
      </c>
      <c r="F2302" s="7" t="s">
        <v>6428</v>
      </c>
      <c r="G2302" s="7" t="s">
        <v>6427</v>
      </c>
      <c r="H2302" s="7" t="s">
        <v>6429</v>
      </c>
      <c r="I2302" s="9">
        <v>45366</v>
      </c>
    </row>
    <row r="2303" spans="1:9" x14ac:dyDescent="0.15">
      <c r="A2303" s="6">
        <v>2302</v>
      </c>
      <c r="B2303" s="7" t="s">
        <v>7</v>
      </c>
      <c r="C2303" s="8">
        <v>1890</v>
      </c>
      <c r="D2303" s="9">
        <v>45449</v>
      </c>
      <c r="E2303" s="13">
        <f>+HYPERLINK("http://trademark.i-assist.jp/data/china/image_1890th/77318428.pdf",77318428)</f>
        <v>77318428</v>
      </c>
      <c r="F2303" s="7" t="s">
        <v>6431</v>
      </c>
      <c r="G2303" s="7" t="s">
        <v>6430</v>
      </c>
      <c r="H2303" s="7" t="s">
        <v>6432</v>
      </c>
      <c r="I2303" s="9">
        <v>45366</v>
      </c>
    </row>
    <row r="2304" spans="1:9" ht="27" x14ac:dyDescent="0.15">
      <c r="A2304" s="6">
        <v>2303</v>
      </c>
      <c r="B2304" s="7" t="s">
        <v>7</v>
      </c>
      <c r="C2304" s="8">
        <v>1890</v>
      </c>
      <c r="D2304" s="9">
        <v>45449</v>
      </c>
      <c r="E2304" s="13">
        <f>+HYPERLINK("http://trademark.i-assist.jp/data/china/image_1890th/77319107.pdf",77319107)</f>
        <v>77319107</v>
      </c>
      <c r="F2304" s="7" t="s">
        <v>6434</v>
      </c>
      <c r="G2304" s="7" t="s">
        <v>6433</v>
      </c>
      <c r="H2304" s="7" t="s">
        <v>6435</v>
      </c>
      <c r="I2304" s="9">
        <v>45366</v>
      </c>
    </row>
    <row r="2305" spans="1:9" x14ac:dyDescent="0.15">
      <c r="A2305" s="6">
        <v>2304</v>
      </c>
      <c r="B2305" s="7" t="s">
        <v>7</v>
      </c>
      <c r="C2305" s="8">
        <v>1890</v>
      </c>
      <c r="D2305" s="9">
        <v>45449</v>
      </c>
      <c r="E2305" s="13">
        <f>+HYPERLINK("http://trademark.i-assist.jp/data/china/image_1890th/77319429.pdf",77319429)</f>
        <v>77319429</v>
      </c>
      <c r="F2305" s="7" t="s">
        <v>6437</v>
      </c>
      <c r="G2305" s="7" t="s">
        <v>6436</v>
      </c>
      <c r="H2305" s="7" t="s">
        <v>6438</v>
      </c>
      <c r="I2305" s="9">
        <v>45366</v>
      </c>
    </row>
    <row r="2306" spans="1:9" x14ac:dyDescent="0.15">
      <c r="A2306" s="6">
        <v>2305</v>
      </c>
      <c r="B2306" s="7" t="s">
        <v>7</v>
      </c>
      <c r="C2306" s="8">
        <v>1890</v>
      </c>
      <c r="D2306" s="9">
        <v>45449</v>
      </c>
      <c r="E2306" s="13">
        <f>+HYPERLINK("http://trademark.i-assist.jp/data/china/image_1890th/77319657.pdf",77319657)</f>
        <v>77319657</v>
      </c>
      <c r="F2306" s="7" t="s">
        <v>6439</v>
      </c>
      <c r="G2306" s="7" t="s">
        <v>1418</v>
      </c>
      <c r="H2306" s="7" t="s">
        <v>6440</v>
      </c>
      <c r="I2306" s="9">
        <v>45366</v>
      </c>
    </row>
    <row r="2307" spans="1:9" ht="27" x14ac:dyDescent="0.15">
      <c r="A2307" s="6">
        <v>2306</v>
      </c>
      <c r="B2307" s="7" t="s">
        <v>7</v>
      </c>
      <c r="C2307" s="8">
        <v>1890</v>
      </c>
      <c r="D2307" s="9">
        <v>45449</v>
      </c>
      <c r="E2307" s="13">
        <f>+HYPERLINK("http://trademark.i-assist.jp/data/china/image_1890th/77319679.pdf",77319679)</f>
        <v>77319679</v>
      </c>
      <c r="F2307" s="7" t="s">
        <v>6442</v>
      </c>
      <c r="G2307" s="7" t="s">
        <v>6441</v>
      </c>
      <c r="H2307" s="7" t="s">
        <v>6443</v>
      </c>
      <c r="I2307" s="9">
        <v>45366</v>
      </c>
    </row>
    <row r="2308" spans="1:9" x14ac:dyDescent="0.15">
      <c r="A2308" s="6">
        <v>2307</v>
      </c>
      <c r="B2308" s="7" t="s">
        <v>7</v>
      </c>
      <c r="C2308" s="8">
        <v>1890</v>
      </c>
      <c r="D2308" s="9">
        <v>45449</v>
      </c>
      <c r="E2308" s="13">
        <f>+HYPERLINK("http://trademark.i-assist.jp/data/china/image_1890th/77319838.pdf",77319838)</f>
        <v>77319838</v>
      </c>
      <c r="F2308" s="7" t="s">
        <v>6445</v>
      </c>
      <c r="G2308" s="7" t="s">
        <v>6444</v>
      </c>
      <c r="H2308" s="7" t="s">
        <v>6446</v>
      </c>
      <c r="I2308" s="9">
        <v>45366</v>
      </c>
    </row>
    <row r="2309" spans="1:9" x14ac:dyDescent="0.15">
      <c r="A2309" s="6">
        <v>2308</v>
      </c>
      <c r="B2309" s="7" t="s">
        <v>7</v>
      </c>
      <c r="C2309" s="8">
        <v>1890</v>
      </c>
      <c r="D2309" s="9">
        <v>45449</v>
      </c>
      <c r="E2309" s="13">
        <f>+HYPERLINK("http://trademark.i-assist.jp/data/china/image_1890th/77319999.pdf",77319999)</f>
        <v>77319999</v>
      </c>
      <c r="F2309" s="7" t="s">
        <v>6447</v>
      </c>
      <c r="G2309" s="7" t="s">
        <v>5161</v>
      </c>
      <c r="H2309" s="7" t="s">
        <v>6448</v>
      </c>
      <c r="I2309" s="9">
        <v>45366</v>
      </c>
    </row>
    <row r="2310" spans="1:9" x14ac:dyDescent="0.15">
      <c r="A2310" s="6">
        <v>2309</v>
      </c>
      <c r="B2310" s="7" t="s">
        <v>7</v>
      </c>
      <c r="C2310" s="8">
        <v>1890</v>
      </c>
      <c r="D2310" s="9">
        <v>45449</v>
      </c>
      <c r="E2310" s="13">
        <f>+HYPERLINK("http://trademark.i-assist.jp/data/china/image_1890th/77320050.pdf",77320050)</f>
        <v>77320050</v>
      </c>
      <c r="F2310" s="7" t="s">
        <v>6449</v>
      </c>
      <c r="G2310" s="7" t="s">
        <v>4148</v>
      </c>
      <c r="H2310" s="7" t="s">
        <v>6450</v>
      </c>
      <c r="I2310" s="9">
        <v>45366</v>
      </c>
    </row>
    <row r="2311" spans="1:9" x14ac:dyDescent="0.15">
      <c r="A2311" s="6">
        <v>2310</v>
      </c>
      <c r="B2311" s="7" t="s">
        <v>7</v>
      </c>
      <c r="C2311" s="8">
        <v>1890</v>
      </c>
      <c r="D2311" s="9">
        <v>45449</v>
      </c>
      <c r="E2311" s="13">
        <f>+HYPERLINK("http://trademark.i-assist.jp/data/china/image_1890th/77320076.pdf",77320076)</f>
        <v>77320076</v>
      </c>
      <c r="F2311" s="7" t="s">
        <v>6452</v>
      </c>
      <c r="G2311" s="7" t="s">
        <v>6451</v>
      </c>
      <c r="H2311" s="7" t="s">
        <v>6453</v>
      </c>
      <c r="I2311" s="9">
        <v>45366</v>
      </c>
    </row>
    <row r="2312" spans="1:9" x14ac:dyDescent="0.15">
      <c r="A2312" s="6">
        <v>2311</v>
      </c>
      <c r="B2312" s="7" t="s">
        <v>7</v>
      </c>
      <c r="C2312" s="8">
        <v>1890</v>
      </c>
      <c r="D2312" s="9">
        <v>45449</v>
      </c>
      <c r="E2312" s="13">
        <f>+HYPERLINK("http://trademark.i-assist.jp/data/china/image_1890th/77320108.pdf",77320108)</f>
        <v>77320108</v>
      </c>
      <c r="F2312" s="7" t="s">
        <v>6455</v>
      </c>
      <c r="G2312" s="7" t="s">
        <v>6454</v>
      </c>
      <c r="H2312" s="7" t="s">
        <v>6456</v>
      </c>
      <c r="I2312" s="9">
        <v>45366</v>
      </c>
    </row>
    <row r="2313" spans="1:9" x14ac:dyDescent="0.15">
      <c r="A2313" s="6">
        <v>2312</v>
      </c>
      <c r="B2313" s="7" t="s">
        <v>7</v>
      </c>
      <c r="C2313" s="8">
        <v>1890</v>
      </c>
      <c r="D2313" s="9">
        <v>45449</v>
      </c>
      <c r="E2313" s="13">
        <f>+HYPERLINK("http://trademark.i-assist.jp/data/china/image_1890th/77320253.pdf",77320253)</f>
        <v>77320253</v>
      </c>
      <c r="F2313" s="7" t="s">
        <v>6458</v>
      </c>
      <c r="G2313" s="7" t="s">
        <v>6457</v>
      </c>
      <c r="H2313" s="7" t="s">
        <v>6459</v>
      </c>
      <c r="I2313" s="9">
        <v>45366</v>
      </c>
    </row>
    <row r="2314" spans="1:9" x14ac:dyDescent="0.15">
      <c r="A2314" s="6">
        <v>2313</v>
      </c>
      <c r="B2314" s="7" t="s">
        <v>7</v>
      </c>
      <c r="C2314" s="8">
        <v>1890</v>
      </c>
      <c r="D2314" s="9">
        <v>45449</v>
      </c>
      <c r="E2314" s="13">
        <f>+HYPERLINK("http://trademark.i-assist.jp/data/china/image_1890th/77320384.pdf",77320384)</f>
        <v>77320384</v>
      </c>
      <c r="F2314" s="7" t="s">
        <v>6461</v>
      </c>
      <c r="G2314" s="7" t="s">
        <v>6460</v>
      </c>
      <c r="H2314" s="7" t="s">
        <v>6462</v>
      </c>
      <c r="I2314" s="9">
        <v>45366</v>
      </c>
    </row>
    <row r="2315" spans="1:9" x14ac:dyDescent="0.15">
      <c r="A2315" s="6">
        <v>2314</v>
      </c>
      <c r="B2315" s="7" t="s">
        <v>7</v>
      </c>
      <c r="C2315" s="8">
        <v>1890</v>
      </c>
      <c r="D2315" s="9">
        <v>45449</v>
      </c>
      <c r="E2315" s="13">
        <f>+HYPERLINK("http://trademark.i-assist.jp/data/china/image_1890th/77320914.pdf",77320914)</f>
        <v>77320914</v>
      </c>
      <c r="F2315" s="7" t="s">
        <v>6464</v>
      </c>
      <c r="G2315" s="7" t="s">
        <v>6463</v>
      </c>
      <c r="H2315" s="7" t="s">
        <v>6465</v>
      </c>
      <c r="I2315" s="9">
        <v>45366</v>
      </c>
    </row>
    <row r="2316" spans="1:9" x14ac:dyDescent="0.15">
      <c r="A2316" s="6">
        <v>2315</v>
      </c>
      <c r="B2316" s="7" t="s">
        <v>7</v>
      </c>
      <c r="C2316" s="8">
        <v>1890</v>
      </c>
      <c r="D2316" s="9">
        <v>45449</v>
      </c>
      <c r="E2316" s="13">
        <f>+HYPERLINK("http://trademark.i-assist.jp/data/china/image_1890th/77321147.pdf",77321147)</f>
        <v>77321147</v>
      </c>
      <c r="F2316" s="7" t="s">
        <v>6467</v>
      </c>
      <c r="G2316" s="7" t="s">
        <v>6466</v>
      </c>
      <c r="H2316" s="7" t="s">
        <v>6468</v>
      </c>
      <c r="I2316" s="9">
        <v>45366</v>
      </c>
    </row>
    <row r="2317" spans="1:9" x14ac:dyDescent="0.15">
      <c r="A2317" s="6">
        <v>2316</v>
      </c>
      <c r="B2317" s="7" t="s">
        <v>7</v>
      </c>
      <c r="C2317" s="8">
        <v>1890</v>
      </c>
      <c r="D2317" s="9">
        <v>45449</v>
      </c>
      <c r="E2317" s="13">
        <f>+HYPERLINK("http://trademark.i-assist.jp/data/china/image_1890th/77321470.pdf",77321470)</f>
        <v>77321470</v>
      </c>
      <c r="F2317" s="7" t="s">
        <v>6469</v>
      </c>
      <c r="G2317" s="7" t="s">
        <v>4354</v>
      </c>
      <c r="H2317" s="7" t="s">
        <v>6470</v>
      </c>
      <c r="I2317" s="9">
        <v>45366</v>
      </c>
    </row>
    <row r="2318" spans="1:9" ht="27" x14ac:dyDescent="0.15">
      <c r="A2318" s="6">
        <v>2317</v>
      </c>
      <c r="B2318" s="7" t="s">
        <v>7</v>
      </c>
      <c r="C2318" s="8">
        <v>1890</v>
      </c>
      <c r="D2318" s="9">
        <v>45449</v>
      </c>
      <c r="E2318" s="13">
        <f>+HYPERLINK("http://trademark.i-assist.jp/data/china/image_1890th/77330084.pdf",77330084)</f>
        <v>77330084</v>
      </c>
      <c r="F2318" s="7" t="s">
        <v>6472</v>
      </c>
      <c r="G2318" s="7" t="s">
        <v>6471</v>
      </c>
      <c r="H2318" s="7" t="s">
        <v>6473</v>
      </c>
      <c r="I2318" s="9">
        <v>45366</v>
      </c>
    </row>
    <row r="2319" spans="1:9" x14ac:dyDescent="0.15">
      <c r="A2319" s="6">
        <v>2318</v>
      </c>
      <c r="B2319" s="7" t="s">
        <v>7</v>
      </c>
      <c r="C2319" s="8">
        <v>1890</v>
      </c>
      <c r="D2319" s="9">
        <v>45449</v>
      </c>
      <c r="E2319" s="13">
        <f>+HYPERLINK("http://trademark.i-assist.jp/data/china/image_1890th/77330314.pdf",77330314)</f>
        <v>77330314</v>
      </c>
      <c r="F2319" s="7" t="s">
        <v>6475</v>
      </c>
      <c r="G2319" s="7" t="s">
        <v>6474</v>
      </c>
      <c r="H2319" s="7" t="s">
        <v>6476</v>
      </c>
      <c r="I2319" s="9">
        <v>45366</v>
      </c>
    </row>
    <row r="2320" spans="1:9" x14ac:dyDescent="0.15">
      <c r="A2320" s="6">
        <v>2319</v>
      </c>
      <c r="B2320" s="7" t="s">
        <v>7</v>
      </c>
      <c r="C2320" s="8">
        <v>1890</v>
      </c>
      <c r="D2320" s="9">
        <v>45449</v>
      </c>
      <c r="E2320" s="13">
        <f>+HYPERLINK("http://trademark.i-assist.jp/data/china/image_1890th/77330414.pdf",77330414)</f>
        <v>77330414</v>
      </c>
      <c r="F2320" s="7" t="s">
        <v>6478</v>
      </c>
      <c r="G2320" s="7" t="s">
        <v>6477</v>
      </c>
      <c r="H2320" s="7" t="s">
        <v>6479</v>
      </c>
      <c r="I2320" s="9">
        <v>45366</v>
      </c>
    </row>
    <row r="2321" spans="1:9" x14ac:dyDescent="0.15">
      <c r="A2321" s="6">
        <v>2320</v>
      </c>
      <c r="B2321" s="7" t="s">
        <v>7</v>
      </c>
      <c r="C2321" s="8">
        <v>1890</v>
      </c>
      <c r="D2321" s="9">
        <v>45449</v>
      </c>
      <c r="E2321" s="13">
        <f>+HYPERLINK("http://trademark.i-assist.jp/data/china/image_1890th/77330446.pdf",77330446)</f>
        <v>77330446</v>
      </c>
      <c r="F2321" s="7" t="s">
        <v>6480</v>
      </c>
      <c r="G2321" s="7" t="s">
        <v>5929</v>
      </c>
      <c r="H2321" s="7" t="s">
        <v>6481</v>
      </c>
      <c r="I2321" s="9">
        <v>45366</v>
      </c>
    </row>
    <row r="2322" spans="1:9" x14ac:dyDescent="0.15">
      <c r="A2322" s="6">
        <v>2321</v>
      </c>
      <c r="B2322" s="7" t="s">
        <v>7</v>
      </c>
      <c r="C2322" s="8">
        <v>1890</v>
      </c>
      <c r="D2322" s="9">
        <v>45449</v>
      </c>
      <c r="E2322" s="13">
        <f>+HYPERLINK("http://trademark.i-assist.jp/data/china/image_1890th/77330565.pdf",77330565)</f>
        <v>77330565</v>
      </c>
      <c r="F2322" s="7" t="s">
        <v>6483</v>
      </c>
      <c r="G2322" s="7" t="s">
        <v>6482</v>
      </c>
      <c r="H2322" s="7" t="s">
        <v>6484</v>
      </c>
      <c r="I2322" s="9">
        <v>45366</v>
      </c>
    </row>
    <row r="2323" spans="1:9" x14ac:dyDescent="0.15">
      <c r="A2323" s="6">
        <v>2322</v>
      </c>
      <c r="B2323" s="7" t="s">
        <v>7</v>
      </c>
      <c r="C2323" s="8">
        <v>1890</v>
      </c>
      <c r="D2323" s="9">
        <v>45449</v>
      </c>
      <c r="E2323" s="13">
        <f>+HYPERLINK("http://trademark.i-assist.jp/data/china/image_1890th/77330827.pdf",77330827)</f>
        <v>77330827</v>
      </c>
      <c r="F2323" s="7" t="s">
        <v>6485</v>
      </c>
      <c r="G2323" s="7" t="s">
        <v>34</v>
      </c>
      <c r="H2323" s="7" t="s">
        <v>6486</v>
      </c>
      <c r="I2323" s="9">
        <v>45366</v>
      </c>
    </row>
    <row r="2324" spans="1:9" x14ac:dyDescent="0.15">
      <c r="A2324" s="6">
        <v>2323</v>
      </c>
      <c r="B2324" s="7" t="s">
        <v>7</v>
      </c>
      <c r="C2324" s="8">
        <v>1890</v>
      </c>
      <c r="D2324" s="9">
        <v>45449</v>
      </c>
      <c r="E2324" s="13">
        <f>+HYPERLINK("http://trademark.i-assist.jp/data/china/image_1890th/77330980.pdf",77330980)</f>
        <v>77330980</v>
      </c>
      <c r="F2324" s="7" t="s">
        <v>6487</v>
      </c>
      <c r="G2324" s="7" t="s">
        <v>4080</v>
      </c>
      <c r="H2324" s="7" t="s">
        <v>6488</v>
      </c>
      <c r="I2324" s="9">
        <v>45366</v>
      </c>
    </row>
    <row r="2325" spans="1:9" x14ac:dyDescent="0.15">
      <c r="A2325" s="6">
        <v>2324</v>
      </c>
      <c r="B2325" s="7" t="s">
        <v>7</v>
      </c>
      <c r="C2325" s="8">
        <v>1890</v>
      </c>
      <c r="D2325" s="9">
        <v>45449</v>
      </c>
      <c r="E2325" s="13">
        <f>+HYPERLINK("http://trademark.i-assist.jp/data/china/image_1890th/77331066.pdf",77331066)</f>
        <v>77331066</v>
      </c>
      <c r="F2325" s="7" t="s">
        <v>6490</v>
      </c>
      <c r="G2325" s="7" t="s">
        <v>6489</v>
      </c>
      <c r="H2325" s="7" t="s">
        <v>6491</v>
      </c>
      <c r="I2325" s="9">
        <v>45366</v>
      </c>
    </row>
    <row r="2326" spans="1:9" x14ac:dyDescent="0.15">
      <c r="A2326" s="6">
        <v>2325</v>
      </c>
      <c r="B2326" s="7" t="s">
        <v>7</v>
      </c>
      <c r="C2326" s="8">
        <v>1890</v>
      </c>
      <c r="D2326" s="9">
        <v>45449</v>
      </c>
      <c r="E2326" s="13">
        <f>+HYPERLINK("http://trademark.i-assist.jp/data/china/image_1890th/77331131.pdf",77331131)</f>
        <v>77331131</v>
      </c>
      <c r="F2326" s="7" t="s">
        <v>6493</v>
      </c>
      <c r="G2326" s="7" t="s">
        <v>6492</v>
      </c>
      <c r="H2326" s="7" t="s">
        <v>6494</v>
      </c>
      <c r="I2326" s="9">
        <v>45366</v>
      </c>
    </row>
    <row r="2327" spans="1:9" ht="27" x14ac:dyDescent="0.15">
      <c r="A2327" s="6">
        <v>2326</v>
      </c>
      <c r="B2327" s="7" t="s">
        <v>7</v>
      </c>
      <c r="C2327" s="8">
        <v>1890</v>
      </c>
      <c r="D2327" s="9">
        <v>45449</v>
      </c>
      <c r="E2327" s="13">
        <f>+HYPERLINK("http://trademark.i-assist.jp/data/china/image_1890th/77331345.pdf",77331345)</f>
        <v>77331345</v>
      </c>
      <c r="F2327" s="7" t="s">
        <v>6496</v>
      </c>
      <c r="G2327" s="7" t="s">
        <v>6495</v>
      </c>
      <c r="H2327" s="7" t="s">
        <v>6497</v>
      </c>
      <c r="I2327" s="9">
        <v>45366</v>
      </c>
    </row>
    <row r="2328" spans="1:9" x14ac:dyDescent="0.15">
      <c r="A2328" s="6">
        <v>2327</v>
      </c>
      <c r="B2328" s="7" t="s">
        <v>7</v>
      </c>
      <c r="C2328" s="8">
        <v>1890</v>
      </c>
      <c r="D2328" s="9">
        <v>45449</v>
      </c>
      <c r="E2328" s="13">
        <f>+HYPERLINK("http://trademark.i-assist.jp/data/china/image_1890th/77331384.pdf",77331384)</f>
        <v>77331384</v>
      </c>
      <c r="F2328" s="7" t="s">
        <v>6499</v>
      </c>
      <c r="G2328" s="7" t="s">
        <v>6498</v>
      </c>
      <c r="H2328" s="7" t="s">
        <v>6500</v>
      </c>
      <c r="I2328" s="9">
        <v>45366</v>
      </c>
    </row>
    <row r="2329" spans="1:9" x14ac:dyDescent="0.15">
      <c r="A2329" s="6">
        <v>2328</v>
      </c>
      <c r="B2329" s="7" t="s">
        <v>7</v>
      </c>
      <c r="C2329" s="8">
        <v>1890</v>
      </c>
      <c r="D2329" s="9">
        <v>45449</v>
      </c>
      <c r="E2329" s="13">
        <f>+HYPERLINK("http://trademark.i-assist.jp/data/china/image_1890th/77331405.pdf",77331405)</f>
        <v>77331405</v>
      </c>
      <c r="F2329" s="7" t="s">
        <v>6502</v>
      </c>
      <c r="G2329" s="7" t="s">
        <v>6501</v>
      </c>
      <c r="H2329" s="7" t="s">
        <v>6503</v>
      </c>
      <c r="I2329" s="9">
        <v>45366</v>
      </c>
    </row>
    <row r="2330" spans="1:9" x14ac:dyDescent="0.15">
      <c r="A2330" s="6">
        <v>2329</v>
      </c>
      <c r="B2330" s="7" t="s">
        <v>7</v>
      </c>
      <c r="C2330" s="8">
        <v>1890</v>
      </c>
      <c r="D2330" s="9">
        <v>45449</v>
      </c>
      <c r="E2330" s="13">
        <f>+HYPERLINK("http://trademark.i-assist.jp/data/china/image_1890th/77331678.pdf",77331678)</f>
        <v>77331678</v>
      </c>
      <c r="F2330" s="7" t="s">
        <v>6505</v>
      </c>
      <c r="G2330" s="7" t="s">
        <v>6504</v>
      </c>
      <c r="H2330" s="7" t="s">
        <v>6506</v>
      </c>
      <c r="I2330" s="9">
        <v>45366</v>
      </c>
    </row>
    <row r="2331" spans="1:9" x14ac:dyDescent="0.15">
      <c r="A2331" s="6">
        <v>2330</v>
      </c>
      <c r="B2331" s="7" t="s">
        <v>7</v>
      </c>
      <c r="C2331" s="8">
        <v>1890</v>
      </c>
      <c r="D2331" s="9">
        <v>45449</v>
      </c>
      <c r="E2331" s="13">
        <f>+HYPERLINK("http://trademark.i-assist.jp/data/china/image_1890th/77331853.pdf",77331853)</f>
        <v>77331853</v>
      </c>
      <c r="F2331" s="7" t="s">
        <v>6508</v>
      </c>
      <c r="G2331" s="7" t="s">
        <v>6507</v>
      </c>
      <c r="H2331" s="7" t="s">
        <v>6509</v>
      </c>
      <c r="I2331" s="9">
        <v>45366</v>
      </c>
    </row>
    <row r="2332" spans="1:9" x14ac:dyDescent="0.15">
      <c r="A2332" s="6">
        <v>2331</v>
      </c>
      <c r="B2332" s="7" t="s">
        <v>7</v>
      </c>
      <c r="C2332" s="8">
        <v>1890</v>
      </c>
      <c r="D2332" s="9">
        <v>45449</v>
      </c>
      <c r="E2332" s="13">
        <f>+HYPERLINK("http://trademark.i-assist.jp/data/china/image_1890th/77331937.pdf",77331937)</f>
        <v>77331937</v>
      </c>
      <c r="F2332" s="7" t="s">
        <v>6510</v>
      </c>
      <c r="G2332" s="7" t="s">
        <v>1346</v>
      </c>
      <c r="H2332" s="7" t="s">
        <v>6511</v>
      </c>
      <c r="I2332" s="9">
        <v>45366</v>
      </c>
    </row>
    <row r="2333" spans="1:9" x14ac:dyDescent="0.15">
      <c r="A2333" s="6">
        <v>2332</v>
      </c>
      <c r="B2333" s="7" t="s">
        <v>7</v>
      </c>
      <c r="C2333" s="8">
        <v>1890</v>
      </c>
      <c r="D2333" s="9">
        <v>45449</v>
      </c>
      <c r="E2333" s="13">
        <f>+HYPERLINK("http://trademark.i-assist.jp/data/china/image_1890th/77331939.pdf",77331939)</f>
        <v>77331939</v>
      </c>
      <c r="F2333" s="7" t="s">
        <v>6513</v>
      </c>
      <c r="G2333" s="7" t="s">
        <v>6512</v>
      </c>
      <c r="H2333" s="7" t="s">
        <v>6514</v>
      </c>
      <c r="I2333" s="9">
        <v>45366</v>
      </c>
    </row>
    <row r="2334" spans="1:9" x14ac:dyDescent="0.15">
      <c r="A2334" s="6">
        <v>2333</v>
      </c>
      <c r="B2334" s="7" t="s">
        <v>7</v>
      </c>
      <c r="C2334" s="8">
        <v>1890</v>
      </c>
      <c r="D2334" s="9">
        <v>45449</v>
      </c>
      <c r="E2334" s="13">
        <f>+HYPERLINK("http://trademark.i-assist.jp/data/china/image_1890th/77332035.pdf",77332035)</f>
        <v>77332035</v>
      </c>
      <c r="F2334" s="7" t="s">
        <v>6516</v>
      </c>
      <c r="G2334" s="7" t="s">
        <v>6515</v>
      </c>
      <c r="H2334" s="7" t="s">
        <v>6517</v>
      </c>
      <c r="I2334" s="9">
        <v>45366</v>
      </c>
    </row>
    <row r="2335" spans="1:9" x14ac:dyDescent="0.15">
      <c r="A2335" s="6">
        <v>2334</v>
      </c>
      <c r="B2335" s="7" t="s">
        <v>7</v>
      </c>
      <c r="C2335" s="8">
        <v>1890</v>
      </c>
      <c r="D2335" s="9">
        <v>45449</v>
      </c>
      <c r="E2335" s="13">
        <f>+HYPERLINK("http://trademark.i-assist.jp/data/china/image_1890th/77332536.pdf",77332536)</f>
        <v>77332536</v>
      </c>
      <c r="F2335" s="7" t="s">
        <v>6519</v>
      </c>
      <c r="G2335" s="7" t="s">
        <v>6518</v>
      </c>
      <c r="H2335" s="7" t="s">
        <v>6520</v>
      </c>
      <c r="I2335" s="9">
        <v>45366</v>
      </c>
    </row>
    <row r="2336" spans="1:9" x14ac:dyDescent="0.15">
      <c r="A2336" s="6">
        <v>2335</v>
      </c>
      <c r="B2336" s="7" t="s">
        <v>7</v>
      </c>
      <c r="C2336" s="8">
        <v>1890</v>
      </c>
      <c r="D2336" s="9">
        <v>45449</v>
      </c>
      <c r="E2336" s="13">
        <f>+HYPERLINK("http://trademark.i-assist.jp/data/china/image_1890th/77332873.pdf",77332873)</f>
        <v>77332873</v>
      </c>
      <c r="F2336" s="7" t="s">
        <v>6522</v>
      </c>
      <c r="G2336" s="7" t="s">
        <v>6521</v>
      </c>
      <c r="H2336" s="7" t="s">
        <v>6523</v>
      </c>
      <c r="I2336" s="9">
        <v>45366</v>
      </c>
    </row>
    <row r="2337" spans="1:9" x14ac:dyDescent="0.15">
      <c r="A2337" s="6">
        <v>2336</v>
      </c>
      <c r="B2337" s="7" t="s">
        <v>7</v>
      </c>
      <c r="C2337" s="8">
        <v>1890</v>
      </c>
      <c r="D2337" s="9">
        <v>45449</v>
      </c>
      <c r="E2337" s="13">
        <f>+HYPERLINK("http://trademark.i-assist.jp/data/china/image_1890th/77332929.pdf",77332929)</f>
        <v>77332929</v>
      </c>
      <c r="F2337" s="7" t="s">
        <v>6525</v>
      </c>
      <c r="G2337" s="7" t="s">
        <v>6524</v>
      </c>
      <c r="H2337" s="7" t="s">
        <v>6526</v>
      </c>
      <c r="I2337" s="9">
        <v>45366</v>
      </c>
    </row>
    <row r="2338" spans="1:9" x14ac:dyDescent="0.15">
      <c r="A2338" s="6">
        <v>2337</v>
      </c>
      <c r="B2338" s="7" t="s">
        <v>7</v>
      </c>
      <c r="C2338" s="8">
        <v>1890</v>
      </c>
      <c r="D2338" s="9">
        <v>45449</v>
      </c>
      <c r="E2338" s="13">
        <f>+HYPERLINK("http://trademark.i-assist.jp/data/china/image_1890th/77333029.pdf",77333029)</f>
        <v>77333029</v>
      </c>
      <c r="F2338" s="7" t="s">
        <v>6527</v>
      </c>
      <c r="G2338" s="7" t="s">
        <v>5127</v>
      </c>
      <c r="H2338" s="7" t="s">
        <v>6528</v>
      </c>
      <c r="I2338" s="9">
        <v>45366</v>
      </c>
    </row>
    <row r="2339" spans="1:9" x14ac:dyDescent="0.15">
      <c r="A2339" s="6">
        <v>2338</v>
      </c>
      <c r="B2339" s="7" t="s">
        <v>7</v>
      </c>
      <c r="C2339" s="8">
        <v>1890</v>
      </c>
      <c r="D2339" s="9">
        <v>45449</v>
      </c>
      <c r="E2339" s="13">
        <f>+HYPERLINK("http://trademark.i-assist.jp/data/china/image_1890th/77333070.pdf",77333070)</f>
        <v>77333070</v>
      </c>
      <c r="F2339" s="7" t="s">
        <v>6530</v>
      </c>
      <c r="G2339" s="7" t="s">
        <v>6529</v>
      </c>
      <c r="H2339" s="7" t="s">
        <v>6531</v>
      </c>
      <c r="I2339" s="9">
        <v>45366</v>
      </c>
    </row>
    <row r="2340" spans="1:9" x14ac:dyDescent="0.15">
      <c r="A2340" s="6">
        <v>2339</v>
      </c>
      <c r="B2340" s="7" t="s">
        <v>7</v>
      </c>
      <c r="C2340" s="8">
        <v>1890</v>
      </c>
      <c r="D2340" s="9">
        <v>45449</v>
      </c>
      <c r="E2340" s="13">
        <f>+HYPERLINK("http://trademark.i-assist.jp/data/china/image_1890th/77333187.pdf",77333187)</f>
        <v>77333187</v>
      </c>
      <c r="F2340" s="7" t="s">
        <v>6532</v>
      </c>
      <c r="G2340" s="7" t="s">
        <v>4354</v>
      </c>
      <c r="H2340" s="7" t="s">
        <v>6533</v>
      </c>
      <c r="I2340" s="9">
        <v>45366</v>
      </c>
    </row>
    <row r="2341" spans="1:9" x14ac:dyDescent="0.15">
      <c r="A2341" s="6">
        <v>2340</v>
      </c>
      <c r="B2341" s="7" t="s">
        <v>7</v>
      </c>
      <c r="C2341" s="8">
        <v>1890</v>
      </c>
      <c r="D2341" s="9">
        <v>45449</v>
      </c>
      <c r="E2341" s="13">
        <f>+HYPERLINK("http://trademark.i-assist.jp/data/china/image_1890th/77333347.pdf",77333347)</f>
        <v>77333347</v>
      </c>
      <c r="F2341" s="7" t="s">
        <v>6535</v>
      </c>
      <c r="G2341" s="7" t="s">
        <v>6534</v>
      </c>
      <c r="H2341" s="7" t="s">
        <v>6536</v>
      </c>
      <c r="I2341" s="9">
        <v>45366</v>
      </c>
    </row>
    <row r="2342" spans="1:9" x14ac:dyDescent="0.15">
      <c r="A2342" s="6">
        <v>2341</v>
      </c>
      <c r="B2342" s="7" t="s">
        <v>7</v>
      </c>
      <c r="C2342" s="8">
        <v>1890</v>
      </c>
      <c r="D2342" s="9">
        <v>45449</v>
      </c>
      <c r="E2342" s="13">
        <f>+HYPERLINK("http://trademark.i-assist.jp/data/china/image_1890th/77333364.pdf",77333364)</f>
        <v>77333364</v>
      </c>
      <c r="F2342" s="7" t="s">
        <v>6538</v>
      </c>
      <c r="G2342" s="7" t="s">
        <v>6537</v>
      </c>
      <c r="H2342" s="7" t="s">
        <v>6539</v>
      </c>
      <c r="I2342" s="9">
        <v>45366</v>
      </c>
    </row>
    <row r="2343" spans="1:9" x14ac:dyDescent="0.15">
      <c r="A2343" s="6">
        <v>2342</v>
      </c>
      <c r="B2343" s="7" t="s">
        <v>7</v>
      </c>
      <c r="C2343" s="8">
        <v>1890</v>
      </c>
      <c r="D2343" s="9">
        <v>45449</v>
      </c>
      <c r="E2343" s="13">
        <f>+HYPERLINK("http://trademark.i-assist.jp/data/china/image_1890th/77333375.pdf",77333375)</f>
        <v>77333375</v>
      </c>
      <c r="F2343" s="7" t="s">
        <v>6541</v>
      </c>
      <c r="G2343" s="7" t="s">
        <v>6540</v>
      </c>
      <c r="H2343" s="7" t="s">
        <v>6542</v>
      </c>
      <c r="I2343" s="9">
        <v>45366</v>
      </c>
    </row>
    <row r="2344" spans="1:9" x14ac:dyDescent="0.15">
      <c r="A2344" s="6">
        <v>2343</v>
      </c>
      <c r="B2344" s="7" t="s">
        <v>7</v>
      </c>
      <c r="C2344" s="8">
        <v>1890</v>
      </c>
      <c r="D2344" s="9">
        <v>45449</v>
      </c>
      <c r="E2344" s="13">
        <f>+HYPERLINK("http://trademark.i-assist.jp/data/china/image_1890th/77333662.pdf",77333662)</f>
        <v>77333662</v>
      </c>
      <c r="F2344" s="7" t="s">
        <v>6544</v>
      </c>
      <c r="G2344" s="7" t="s">
        <v>6543</v>
      </c>
      <c r="H2344" s="7" t="s">
        <v>6545</v>
      </c>
      <c r="I2344" s="9">
        <v>45366</v>
      </c>
    </row>
    <row r="2345" spans="1:9" x14ac:dyDescent="0.15">
      <c r="A2345" s="6">
        <v>2344</v>
      </c>
      <c r="B2345" s="7" t="s">
        <v>7</v>
      </c>
      <c r="C2345" s="8">
        <v>1890</v>
      </c>
      <c r="D2345" s="9">
        <v>45449</v>
      </c>
      <c r="E2345" s="13">
        <f>+HYPERLINK("http://trademark.i-assist.jp/data/china/image_1890th/77334663.pdf",77334663)</f>
        <v>77334663</v>
      </c>
      <c r="F2345" s="7" t="s">
        <v>6547</v>
      </c>
      <c r="G2345" s="7" t="s">
        <v>6546</v>
      </c>
      <c r="H2345" s="7" t="s">
        <v>6548</v>
      </c>
      <c r="I2345" s="9">
        <v>45366</v>
      </c>
    </row>
    <row r="2346" spans="1:9" x14ac:dyDescent="0.15">
      <c r="A2346" s="6">
        <v>2345</v>
      </c>
      <c r="B2346" s="7" t="s">
        <v>7</v>
      </c>
      <c r="C2346" s="8">
        <v>1890</v>
      </c>
      <c r="D2346" s="9">
        <v>45449</v>
      </c>
      <c r="E2346" s="13">
        <f>+HYPERLINK("http://trademark.i-assist.jp/data/china/image_1890th/77334752.pdf",77334752)</f>
        <v>77334752</v>
      </c>
      <c r="F2346" s="7" t="s">
        <v>6550</v>
      </c>
      <c r="G2346" s="7" t="s">
        <v>6549</v>
      </c>
      <c r="H2346" s="7" t="s">
        <v>6551</v>
      </c>
      <c r="I2346" s="9">
        <v>45366</v>
      </c>
    </row>
    <row r="2347" spans="1:9" ht="27" x14ac:dyDescent="0.15">
      <c r="A2347" s="6">
        <v>2346</v>
      </c>
      <c r="B2347" s="7" t="s">
        <v>7</v>
      </c>
      <c r="C2347" s="8">
        <v>1890</v>
      </c>
      <c r="D2347" s="9">
        <v>45449</v>
      </c>
      <c r="E2347" s="13">
        <f>+HYPERLINK("http://trademark.i-assist.jp/data/china/image_1890th/77334997.pdf",77334997)</f>
        <v>77334997</v>
      </c>
      <c r="F2347" s="7" t="s">
        <v>183</v>
      </c>
      <c r="G2347" s="7" t="s">
        <v>6552</v>
      </c>
      <c r="H2347" s="7" t="s">
        <v>6553</v>
      </c>
      <c r="I2347" s="9">
        <v>45366</v>
      </c>
    </row>
    <row r="2348" spans="1:9" x14ac:dyDescent="0.15">
      <c r="A2348" s="6">
        <v>2347</v>
      </c>
      <c r="B2348" s="7" t="s">
        <v>7</v>
      </c>
      <c r="C2348" s="8">
        <v>1890</v>
      </c>
      <c r="D2348" s="9">
        <v>45449</v>
      </c>
      <c r="E2348" s="13">
        <f>+HYPERLINK("http://trademark.i-assist.jp/data/china/image_1890th/77335077.pdf",77335077)</f>
        <v>77335077</v>
      </c>
      <c r="F2348" s="7" t="s">
        <v>6555</v>
      </c>
      <c r="G2348" s="7" t="s">
        <v>6554</v>
      </c>
      <c r="H2348" s="7" t="s">
        <v>6556</v>
      </c>
      <c r="I2348" s="9">
        <v>45366</v>
      </c>
    </row>
    <row r="2349" spans="1:9" x14ac:dyDescent="0.15">
      <c r="A2349" s="6">
        <v>2348</v>
      </c>
      <c r="B2349" s="7" t="s">
        <v>7</v>
      </c>
      <c r="C2349" s="8">
        <v>1890</v>
      </c>
      <c r="D2349" s="9">
        <v>45449</v>
      </c>
      <c r="E2349" s="13">
        <f>+HYPERLINK("http://trademark.i-assist.jp/data/china/image_1890th/77335096.pdf",77335096)</f>
        <v>77335096</v>
      </c>
      <c r="F2349" s="7" t="s">
        <v>6558</v>
      </c>
      <c r="G2349" s="7" t="s">
        <v>6557</v>
      </c>
      <c r="H2349" s="7" t="s">
        <v>6559</v>
      </c>
      <c r="I2349" s="9">
        <v>45366</v>
      </c>
    </row>
    <row r="2350" spans="1:9" x14ac:dyDescent="0.15">
      <c r="A2350" s="6">
        <v>2349</v>
      </c>
      <c r="B2350" s="7" t="s">
        <v>7</v>
      </c>
      <c r="C2350" s="8">
        <v>1890</v>
      </c>
      <c r="D2350" s="9">
        <v>45449</v>
      </c>
      <c r="E2350" s="13">
        <f>+HYPERLINK("http://trademark.i-assist.jp/data/china/image_1890th/77335098.pdf",77335098)</f>
        <v>77335098</v>
      </c>
      <c r="F2350" s="7" t="s">
        <v>6561</v>
      </c>
      <c r="G2350" s="7" t="s">
        <v>6560</v>
      </c>
      <c r="H2350" s="7" t="s">
        <v>6562</v>
      </c>
      <c r="I2350" s="9">
        <v>45366</v>
      </c>
    </row>
    <row r="2351" spans="1:9" x14ac:dyDescent="0.15">
      <c r="A2351" s="6">
        <v>2350</v>
      </c>
      <c r="B2351" s="7" t="s">
        <v>7</v>
      </c>
      <c r="C2351" s="8">
        <v>1890</v>
      </c>
      <c r="D2351" s="9">
        <v>45449</v>
      </c>
      <c r="E2351" s="13">
        <f>+HYPERLINK("http://trademark.i-assist.jp/data/china/image_1890th/77335119.pdf",77335119)</f>
        <v>77335119</v>
      </c>
      <c r="F2351" s="7" t="s">
        <v>6564</v>
      </c>
      <c r="G2351" s="7" t="s">
        <v>6563</v>
      </c>
      <c r="H2351" s="7" t="s">
        <v>6565</v>
      </c>
      <c r="I2351" s="9">
        <v>45366</v>
      </c>
    </row>
    <row r="2352" spans="1:9" x14ac:dyDescent="0.15">
      <c r="A2352" s="6">
        <v>2351</v>
      </c>
      <c r="B2352" s="7" t="s">
        <v>7</v>
      </c>
      <c r="C2352" s="8">
        <v>1890</v>
      </c>
      <c r="D2352" s="9">
        <v>45449</v>
      </c>
      <c r="E2352" s="13">
        <f>+HYPERLINK("http://trademark.i-assist.jp/data/china/image_1890th/77335135.pdf",77335135)</f>
        <v>77335135</v>
      </c>
      <c r="F2352" s="7" t="s">
        <v>6566</v>
      </c>
      <c r="G2352" s="7" t="s">
        <v>3865</v>
      </c>
      <c r="H2352" s="7" t="s">
        <v>6567</v>
      </c>
      <c r="I2352" s="9">
        <v>45366</v>
      </c>
    </row>
    <row r="2353" spans="1:9" x14ac:dyDescent="0.15">
      <c r="A2353" s="6">
        <v>2352</v>
      </c>
      <c r="B2353" s="7" t="s">
        <v>7</v>
      </c>
      <c r="C2353" s="8">
        <v>1890</v>
      </c>
      <c r="D2353" s="9">
        <v>45449</v>
      </c>
      <c r="E2353" s="13">
        <f>+HYPERLINK("http://trademark.i-assist.jp/data/china/image_1890th/77335140.pdf",77335140)</f>
        <v>77335140</v>
      </c>
      <c r="F2353" s="7" t="s">
        <v>6568</v>
      </c>
      <c r="G2353" s="7" t="s">
        <v>3865</v>
      </c>
      <c r="H2353" s="7" t="s">
        <v>6569</v>
      </c>
      <c r="I2353" s="9">
        <v>45366</v>
      </c>
    </row>
    <row r="2354" spans="1:9" x14ac:dyDescent="0.15">
      <c r="A2354" s="6">
        <v>2353</v>
      </c>
      <c r="B2354" s="7" t="s">
        <v>7</v>
      </c>
      <c r="C2354" s="8">
        <v>1890</v>
      </c>
      <c r="D2354" s="9">
        <v>45449</v>
      </c>
      <c r="E2354" s="13">
        <f>+HYPERLINK("http://trademark.i-assist.jp/data/china/image_1890th/77335201.pdf",77335201)</f>
        <v>77335201</v>
      </c>
      <c r="F2354" s="7" t="s">
        <v>6571</v>
      </c>
      <c r="G2354" s="7" t="s">
        <v>6570</v>
      </c>
      <c r="H2354" s="7" t="s">
        <v>6572</v>
      </c>
      <c r="I2354" s="9">
        <v>45366</v>
      </c>
    </row>
    <row r="2355" spans="1:9" x14ac:dyDescent="0.15">
      <c r="A2355" s="6">
        <v>2354</v>
      </c>
      <c r="B2355" s="7" t="s">
        <v>7</v>
      </c>
      <c r="C2355" s="8">
        <v>1890</v>
      </c>
      <c r="D2355" s="9">
        <v>45449</v>
      </c>
      <c r="E2355" s="13">
        <f>+HYPERLINK("http://trademark.i-assist.jp/data/china/image_1890th/77335228.pdf",77335228)</f>
        <v>77335228</v>
      </c>
      <c r="F2355" s="7" t="s">
        <v>6574</v>
      </c>
      <c r="G2355" s="7" t="s">
        <v>6573</v>
      </c>
      <c r="H2355" s="7" t="s">
        <v>6575</v>
      </c>
      <c r="I2355" s="9">
        <v>45366</v>
      </c>
    </row>
    <row r="2356" spans="1:9" x14ac:dyDescent="0.15">
      <c r="A2356" s="6">
        <v>2355</v>
      </c>
      <c r="B2356" s="7" t="s">
        <v>7</v>
      </c>
      <c r="C2356" s="8">
        <v>1890</v>
      </c>
      <c r="D2356" s="9">
        <v>45449</v>
      </c>
      <c r="E2356" s="13">
        <f>+HYPERLINK("http://trademark.i-assist.jp/data/china/image_1890th/77335315.pdf",77335315)</f>
        <v>77335315</v>
      </c>
      <c r="F2356" s="7" t="s">
        <v>6577</v>
      </c>
      <c r="G2356" s="7" t="s">
        <v>6576</v>
      </c>
      <c r="H2356" s="7" t="s">
        <v>6578</v>
      </c>
      <c r="I2356" s="9">
        <v>45366</v>
      </c>
    </row>
    <row r="2357" spans="1:9" x14ac:dyDescent="0.15">
      <c r="A2357" s="6">
        <v>2356</v>
      </c>
      <c r="B2357" s="7" t="s">
        <v>7</v>
      </c>
      <c r="C2357" s="8">
        <v>1890</v>
      </c>
      <c r="D2357" s="9">
        <v>45449</v>
      </c>
      <c r="E2357" s="13">
        <f>+HYPERLINK("http://trademark.i-assist.jp/data/china/image_1890th/77335339.pdf",77335339)</f>
        <v>77335339</v>
      </c>
      <c r="F2357" s="7" t="s">
        <v>6580</v>
      </c>
      <c r="G2357" s="7" t="s">
        <v>6579</v>
      </c>
      <c r="H2357" s="7" t="s">
        <v>6581</v>
      </c>
      <c r="I2357" s="9">
        <v>45366</v>
      </c>
    </row>
    <row r="2358" spans="1:9" x14ac:dyDescent="0.15">
      <c r="A2358" s="6">
        <v>2357</v>
      </c>
      <c r="B2358" s="7" t="s">
        <v>7</v>
      </c>
      <c r="C2358" s="8">
        <v>1890</v>
      </c>
      <c r="D2358" s="9">
        <v>45449</v>
      </c>
      <c r="E2358" s="13">
        <f>+HYPERLINK("http://trademark.i-assist.jp/data/china/image_1890th/77335414.pdf",77335414)</f>
        <v>77335414</v>
      </c>
      <c r="F2358" s="7" t="s">
        <v>6582</v>
      </c>
      <c r="G2358" s="7" t="s">
        <v>4163</v>
      </c>
      <c r="H2358" s="7" t="s">
        <v>6583</v>
      </c>
      <c r="I2358" s="9">
        <v>45366</v>
      </c>
    </row>
    <row r="2359" spans="1:9" ht="27" x14ac:dyDescent="0.15">
      <c r="A2359" s="6">
        <v>2358</v>
      </c>
      <c r="B2359" s="7" t="s">
        <v>7</v>
      </c>
      <c r="C2359" s="8">
        <v>1890</v>
      </c>
      <c r="D2359" s="9">
        <v>45449</v>
      </c>
      <c r="E2359" s="13">
        <f>+HYPERLINK("http://trademark.i-assist.jp/data/china/image_1890th/77335418.pdf",77335418)</f>
        <v>77335418</v>
      </c>
      <c r="F2359" s="7" t="s">
        <v>6585</v>
      </c>
      <c r="G2359" s="7" t="s">
        <v>6584</v>
      </c>
      <c r="H2359" s="7" t="s">
        <v>6586</v>
      </c>
      <c r="I2359" s="9">
        <v>45366</v>
      </c>
    </row>
    <row r="2360" spans="1:9" x14ac:dyDescent="0.15">
      <c r="A2360" s="6">
        <v>2359</v>
      </c>
      <c r="B2360" s="7" t="s">
        <v>7</v>
      </c>
      <c r="C2360" s="8">
        <v>1890</v>
      </c>
      <c r="D2360" s="9">
        <v>45449</v>
      </c>
      <c r="E2360" s="13">
        <f>+HYPERLINK("http://trademark.i-assist.jp/data/china/image_1890th/77335451.pdf",77335451)</f>
        <v>77335451</v>
      </c>
      <c r="F2360" s="7" t="s">
        <v>6587</v>
      </c>
      <c r="G2360" s="7" t="s">
        <v>5127</v>
      </c>
      <c r="H2360" s="7" t="s">
        <v>6588</v>
      </c>
      <c r="I2360" s="9">
        <v>45366</v>
      </c>
    </row>
    <row r="2361" spans="1:9" x14ac:dyDescent="0.15">
      <c r="A2361" s="6">
        <v>2360</v>
      </c>
      <c r="B2361" s="7" t="s">
        <v>7</v>
      </c>
      <c r="C2361" s="8">
        <v>1890</v>
      </c>
      <c r="D2361" s="9">
        <v>45449</v>
      </c>
      <c r="E2361" s="13">
        <f>+HYPERLINK("http://trademark.i-assist.jp/data/china/image_1890th/77335638.pdf",77335638)</f>
        <v>77335638</v>
      </c>
      <c r="F2361" s="7" t="s">
        <v>6590</v>
      </c>
      <c r="G2361" s="7" t="s">
        <v>6589</v>
      </c>
      <c r="H2361" s="7" t="s">
        <v>6591</v>
      </c>
      <c r="I2361" s="9">
        <v>45366</v>
      </c>
    </row>
    <row r="2362" spans="1:9" x14ac:dyDescent="0.15">
      <c r="A2362" s="6">
        <v>2361</v>
      </c>
      <c r="B2362" s="7" t="s">
        <v>7</v>
      </c>
      <c r="C2362" s="8">
        <v>1890</v>
      </c>
      <c r="D2362" s="9">
        <v>45449</v>
      </c>
      <c r="E2362" s="13">
        <f>+HYPERLINK("http://trademark.i-assist.jp/data/china/image_1890th/77335750.pdf",77335750)</f>
        <v>77335750</v>
      </c>
      <c r="F2362" s="7" t="s">
        <v>6593</v>
      </c>
      <c r="G2362" s="7" t="s">
        <v>6592</v>
      </c>
      <c r="H2362" s="7" t="s">
        <v>6594</v>
      </c>
      <c r="I2362" s="9">
        <v>45366</v>
      </c>
    </row>
    <row r="2363" spans="1:9" x14ac:dyDescent="0.15">
      <c r="A2363" s="6">
        <v>2362</v>
      </c>
      <c r="B2363" s="7" t="s">
        <v>7</v>
      </c>
      <c r="C2363" s="8">
        <v>1890</v>
      </c>
      <c r="D2363" s="9">
        <v>45449</v>
      </c>
      <c r="E2363" s="13">
        <f>+HYPERLINK("http://trademark.i-assist.jp/data/china/image_1890th/77335936.pdf",77335936)</f>
        <v>77335936</v>
      </c>
      <c r="F2363" s="7" t="s">
        <v>6595</v>
      </c>
      <c r="G2363" s="7" t="s">
        <v>6489</v>
      </c>
      <c r="H2363" s="7" t="s">
        <v>6596</v>
      </c>
      <c r="I2363" s="9">
        <v>45366</v>
      </c>
    </row>
    <row r="2364" spans="1:9" x14ac:dyDescent="0.15">
      <c r="A2364" s="6">
        <v>2363</v>
      </c>
      <c r="B2364" s="7" t="s">
        <v>7</v>
      </c>
      <c r="C2364" s="8">
        <v>1890</v>
      </c>
      <c r="D2364" s="9">
        <v>45449</v>
      </c>
      <c r="E2364" s="13">
        <f>+HYPERLINK("http://trademark.i-assist.jp/data/china/image_1890th/77336035.pdf",77336035)</f>
        <v>77336035</v>
      </c>
      <c r="F2364" s="7" t="s">
        <v>6598</v>
      </c>
      <c r="G2364" s="7" t="s">
        <v>6597</v>
      </c>
      <c r="H2364" s="7" t="s">
        <v>6599</v>
      </c>
      <c r="I2364" s="9">
        <v>45366</v>
      </c>
    </row>
    <row r="2365" spans="1:9" x14ac:dyDescent="0.15">
      <c r="A2365" s="6">
        <v>2364</v>
      </c>
      <c r="B2365" s="7" t="s">
        <v>7</v>
      </c>
      <c r="C2365" s="8">
        <v>1890</v>
      </c>
      <c r="D2365" s="9">
        <v>45449</v>
      </c>
      <c r="E2365" s="13">
        <f>+HYPERLINK("http://trademark.i-assist.jp/data/china/image_1890th/77336243.pdf",77336243)</f>
        <v>77336243</v>
      </c>
      <c r="F2365" s="7" t="s">
        <v>6600</v>
      </c>
      <c r="G2365" s="7" t="s">
        <v>4166</v>
      </c>
      <c r="H2365" s="7" t="s">
        <v>6601</v>
      </c>
      <c r="I2365" s="9">
        <v>45366</v>
      </c>
    </row>
    <row r="2366" spans="1:9" x14ac:dyDescent="0.15">
      <c r="A2366" s="6">
        <v>2365</v>
      </c>
      <c r="B2366" s="7" t="s">
        <v>7</v>
      </c>
      <c r="C2366" s="8">
        <v>1890</v>
      </c>
      <c r="D2366" s="9">
        <v>45449</v>
      </c>
      <c r="E2366" s="13">
        <f>+HYPERLINK("http://trademark.i-assist.jp/data/china/image_1890th/77336297.pdf",77336297)</f>
        <v>77336297</v>
      </c>
      <c r="F2366" s="7" t="s">
        <v>6602</v>
      </c>
      <c r="G2366" s="7" t="s">
        <v>1400</v>
      </c>
      <c r="H2366" s="7" t="s">
        <v>6603</v>
      </c>
      <c r="I2366" s="9">
        <v>45366</v>
      </c>
    </row>
    <row r="2367" spans="1:9" x14ac:dyDescent="0.15">
      <c r="A2367" s="6">
        <v>2366</v>
      </c>
      <c r="B2367" s="7" t="s">
        <v>7</v>
      </c>
      <c r="C2367" s="8">
        <v>1890</v>
      </c>
      <c r="D2367" s="9">
        <v>45449</v>
      </c>
      <c r="E2367" s="13">
        <f>+HYPERLINK("http://trademark.i-assist.jp/data/china/image_1890th/77336368.pdf",77336368)</f>
        <v>77336368</v>
      </c>
      <c r="F2367" s="7" t="s">
        <v>6605</v>
      </c>
      <c r="G2367" s="7" t="s">
        <v>6604</v>
      </c>
      <c r="H2367" s="7" t="s">
        <v>6606</v>
      </c>
      <c r="I2367" s="9">
        <v>45366</v>
      </c>
    </row>
    <row r="2368" spans="1:9" x14ac:dyDescent="0.15">
      <c r="A2368" s="6">
        <v>2367</v>
      </c>
      <c r="B2368" s="7" t="s">
        <v>7</v>
      </c>
      <c r="C2368" s="8">
        <v>1890</v>
      </c>
      <c r="D2368" s="9">
        <v>45449</v>
      </c>
      <c r="E2368" s="13">
        <f>+HYPERLINK("http://trademark.i-assist.jp/data/china/image_1890th/77336520.pdf",77336520)</f>
        <v>77336520</v>
      </c>
      <c r="F2368" s="7" t="s">
        <v>6608</v>
      </c>
      <c r="G2368" s="7" t="s">
        <v>6607</v>
      </c>
      <c r="H2368" s="7" t="s">
        <v>6609</v>
      </c>
      <c r="I2368" s="9">
        <v>45366</v>
      </c>
    </row>
    <row r="2369" spans="1:9" x14ac:dyDescent="0.15">
      <c r="A2369" s="6">
        <v>2368</v>
      </c>
      <c r="B2369" s="7" t="s">
        <v>7</v>
      </c>
      <c r="C2369" s="8">
        <v>1890</v>
      </c>
      <c r="D2369" s="9">
        <v>45449</v>
      </c>
      <c r="E2369" s="13">
        <f>+HYPERLINK("http://trademark.i-assist.jp/data/china/image_1890th/77336521.pdf",77336521)</f>
        <v>77336521</v>
      </c>
      <c r="F2369" s="7" t="s">
        <v>6610</v>
      </c>
      <c r="G2369" s="7" t="s">
        <v>2707</v>
      </c>
      <c r="H2369" s="7" t="s">
        <v>6611</v>
      </c>
      <c r="I2369" s="9">
        <v>45366</v>
      </c>
    </row>
    <row r="2370" spans="1:9" ht="27" x14ac:dyDescent="0.15">
      <c r="A2370" s="6">
        <v>2369</v>
      </c>
      <c r="B2370" s="7" t="s">
        <v>7</v>
      </c>
      <c r="C2370" s="8">
        <v>1890</v>
      </c>
      <c r="D2370" s="9">
        <v>45449</v>
      </c>
      <c r="E2370" s="13">
        <f>+HYPERLINK("http://trademark.i-assist.jp/data/china/image_1890th/77336669.pdf",77336669)</f>
        <v>77336669</v>
      </c>
      <c r="F2370" s="7" t="s">
        <v>6613</v>
      </c>
      <c r="G2370" s="7" t="s">
        <v>6612</v>
      </c>
      <c r="H2370" s="7" t="s">
        <v>6614</v>
      </c>
      <c r="I2370" s="9">
        <v>45366</v>
      </c>
    </row>
    <row r="2371" spans="1:9" x14ac:dyDescent="0.15">
      <c r="A2371" s="6">
        <v>2370</v>
      </c>
      <c r="B2371" s="7" t="s">
        <v>7</v>
      </c>
      <c r="C2371" s="8">
        <v>1890</v>
      </c>
      <c r="D2371" s="9">
        <v>45449</v>
      </c>
      <c r="E2371" s="13">
        <f>+HYPERLINK("http://trademark.i-assist.jp/data/china/image_1890th/77336678.pdf",77336678)</f>
        <v>77336678</v>
      </c>
      <c r="F2371" s="7" t="s">
        <v>6615</v>
      </c>
      <c r="G2371" s="7" t="s">
        <v>4074</v>
      </c>
      <c r="H2371" s="7" t="s">
        <v>6616</v>
      </c>
      <c r="I2371" s="9">
        <v>45366</v>
      </c>
    </row>
    <row r="2372" spans="1:9" x14ac:dyDescent="0.15">
      <c r="A2372" s="6">
        <v>2371</v>
      </c>
      <c r="B2372" s="7" t="s">
        <v>7</v>
      </c>
      <c r="C2372" s="8">
        <v>1890</v>
      </c>
      <c r="D2372" s="9">
        <v>45449</v>
      </c>
      <c r="E2372" s="13">
        <f>+HYPERLINK("http://trademark.i-assist.jp/data/china/image_1890th/77336831.pdf",77336831)</f>
        <v>77336831</v>
      </c>
      <c r="F2372" s="7" t="s">
        <v>6618</v>
      </c>
      <c r="G2372" s="7" t="s">
        <v>6617</v>
      </c>
      <c r="H2372" s="7" t="s">
        <v>6619</v>
      </c>
      <c r="I2372" s="9">
        <v>45366</v>
      </c>
    </row>
    <row r="2373" spans="1:9" x14ac:dyDescent="0.15">
      <c r="A2373" s="6">
        <v>2372</v>
      </c>
      <c r="B2373" s="7" t="s">
        <v>7</v>
      </c>
      <c r="C2373" s="8">
        <v>1890</v>
      </c>
      <c r="D2373" s="9">
        <v>45449</v>
      </c>
      <c r="E2373" s="13">
        <f>+HYPERLINK("http://trademark.i-assist.jp/data/china/image_1890th/77336882.pdf",77336882)</f>
        <v>77336882</v>
      </c>
      <c r="F2373" s="7" t="s">
        <v>6620</v>
      </c>
      <c r="G2373" s="7" t="s">
        <v>4080</v>
      </c>
      <c r="H2373" s="7" t="s">
        <v>6621</v>
      </c>
      <c r="I2373" s="9">
        <v>45366</v>
      </c>
    </row>
    <row r="2374" spans="1:9" x14ac:dyDescent="0.15">
      <c r="A2374" s="6">
        <v>2373</v>
      </c>
      <c r="B2374" s="7" t="s">
        <v>7</v>
      </c>
      <c r="C2374" s="8">
        <v>1890</v>
      </c>
      <c r="D2374" s="9">
        <v>45449</v>
      </c>
      <c r="E2374" s="13">
        <f>+HYPERLINK("http://trademark.i-assist.jp/data/china/image_1890th/77337033.pdf",77337033)</f>
        <v>77337033</v>
      </c>
      <c r="F2374" s="7" t="s">
        <v>6623</v>
      </c>
      <c r="G2374" s="7" t="s">
        <v>6622</v>
      </c>
      <c r="H2374" s="7" t="s">
        <v>6624</v>
      </c>
      <c r="I2374" s="9">
        <v>45366</v>
      </c>
    </row>
    <row r="2375" spans="1:9" x14ac:dyDescent="0.15">
      <c r="A2375" s="6">
        <v>2374</v>
      </c>
      <c r="B2375" s="7" t="s">
        <v>7</v>
      </c>
      <c r="C2375" s="8">
        <v>1890</v>
      </c>
      <c r="D2375" s="9">
        <v>45449</v>
      </c>
      <c r="E2375" s="13">
        <f>+HYPERLINK("http://trademark.i-assist.jp/data/china/image_1890th/77337132.pdf",77337132)</f>
        <v>77337132</v>
      </c>
      <c r="F2375" s="7" t="s">
        <v>6626</v>
      </c>
      <c r="G2375" s="7" t="s">
        <v>6625</v>
      </c>
      <c r="H2375" s="7" t="s">
        <v>6627</v>
      </c>
      <c r="I2375" s="9">
        <v>45366</v>
      </c>
    </row>
    <row r="2376" spans="1:9" ht="27" x14ac:dyDescent="0.15">
      <c r="A2376" s="6">
        <v>2375</v>
      </c>
      <c r="B2376" s="7" t="s">
        <v>7</v>
      </c>
      <c r="C2376" s="8">
        <v>1890</v>
      </c>
      <c r="D2376" s="9">
        <v>45449</v>
      </c>
      <c r="E2376" s="13">
        <f>+HYPERLINK("http://trademark.i-assist.jp/data/china/image_1890th/77337173.pdf",77337173)</f>
        <v>77337173</v>
      </c>
      <c r="F2376" s="7" t="s">
        <v>6629</v>
      </c>
      <c r="G2376" s="7" t="s">
        <v>6628</v>
      </c>
      <c r="H2376" s="7" t="s">
        <v>6630</v>
      </c>
      <c r="I2376" s="9">
        <v>45366</v>
      </c>
    </row>
    <row r="2377" spans="1:9" x14ac:dyDescent="0.15">
      <c r="A2377" s="6">
        <v>2376</v>
      </c>
      <c r="B2377" s="7" t="s">
        <v>7</v>
      </c>
      <c r="C2377" s="8">
        <v>1890</v>
      </c>
      <c r="D2377" s="9">
        <v>45449</v>
      </c>
      <c r="E2377" s="13">
        <f>+HYPERLINK("http://trademark.i-assist.jp/data/china/image_1890th/77337580.pdf",77337580)</f>
        <v>77337580</v>
      </c>
      <c r="F2377" s="7" t="s">
        <v>6632</v>
      </c>
      <c r="G2377" s="7" t="s">
        <v>6631</v>
      </c>
      <c r="H2377" s="7" t="s">
        <v>6633</v>
      </c>
      <c r="I2377" s="9">
        <v>45366</v>
      </c>
    </row>
    <row r="2378" spans="1:9" x14ac:dyDescent="0.15">
      <c r="A2378" s="6">
        <v>2377</v>
      </c>
      <c r="B2378" s="7" t="s">
        <v>7</v>
      </c>
      <c r="C2378" s="8">
        <v>1890</v>
      </c>
      <c r="D2378" s="9">
        <v>45449</v>
      </c>
      <c r="E2378" s="13">
        <f>+HYPERLINK("http://trademark.i-assist.jp/data/china/image_1890th/77337586.pdf",77337586)</f>
        <v>77337586</v>
      </c>
      <c r="F2378" s="7" t="s">
        <v>6634</v>
      </c>
      <c r="G2378" s="7" t="s">
        <v>6579</v>
      </c>
      <c r="H2378" s="7" t="s">
        <v>6635</v>
      </c>
      <c r="I2378" s="9">
        <v>45366</v>
      </c>
    </row>
    <row r="2379" spans="1:9" x14ac:dyDescent="0.15">
      <c r="A2379" s="6">
        <v>2378</v>
      </c>
      <c r="B2379" s="7" t="s">
        <v>7</v>
      </c>
      <c r="C2379" s="8">
        <v>1890</v>
      </c>
      <c r="D2379" s="9">
        <v>45449</v>
      </c>
      <c r="E2379" s="13">
        <f>+HYPERLINK("http://trademark.i-assist.jp/data/china/image_1890th/77337622.pdf",77337622)</f>
        <v>77337622</v>
      </c>
      <c r="F2379" s="7" t="s">
        <v>6636</v>
      </c>
      <c r="G2379" s="7" t="s">
        <v>6592</v>
      </c>
      <c r="H2379" s="7" t="s">
        <v>6637</v>
      </c>
      <c r="I2379" s="9">
        <v>45366</v>
      </c>
    </row>
    <row r="2380" spans="1:9" x14ac:dyDescent="0.15">
      <c r="A2380" s="6">
        <v>2379</v>
      </c>
      <c r="B2380" s="7" t="s">
        <v>7</v>
      </c>
      <c r="C2380" s="8">
        <v>1890</v>
      </c>
      <c r="D2380" s="9">
        <v>45449</v>
      </c>
      <c r="E2380" s="13">
        <f>+HYPERLINK("http://trademark.i-assist.jp/data/china/image_1890th/77337644.pdf",77337644)</f>
        <v>77337644</v>
      </c>
      <c r="F2380" s="7" t="s">
        <v>6639</v>
      </c>
      <c r="G2380" s="7" t="s">
        <v>6638</v>
      </c>
      <c r="H2380" s="7" t="s">
        <v>6640</v>
      </c>
      <c r="I2380" s="9">
        <v>45366</v>
      </c>
    </row>
    <row r="2381" spans="1:9" x14ac:dyDescent="0.15">
      <c r="A2381" s="6">
        <v>2380</v>
      </c>
      <c r="B2381" s="7" t="s">
        <v>7</v>
      </c>
      <c r="C2381" s="8">
        <v>1890</v>
      </c>
      <c r="D2381" s="9">
        <v>45449</v>
      </c>
      <c r="E2381" s="13">
        <f>+HYPERLINK("http://trademark.i-assist.jp/data/china/image_1890th/77337702.pdf",77337702)</f>
        <v>77337702</v>
      </c>
      <c r="F2381" s="7" t="s">
        <v>6642</v>
      </c>
      <c r="G2381" s="7" t="s">
        <v>6641</v>
      </c>
      <c r="H2381" s="7" t="s">
        <v>6643</v>
      </c>
      <c r="I2381" s="9">
        <v>45366</v>
      </c>
    </row>
    <row r="2382" spans="1:9" x14ac:dyDescent="0.15">
      <c r="A2382" s="6">
        <v>2381</v>
      </c>
      <c r="B2382" s="7" t="s">
        <v>7</v>
      </c>
      <c r="C2382" s="8">
        <v>1890</v>
      </c>
      <c r="D2382" s="9">
        <v>45449</v>
      </c>
      <c r="E2382" s="13">
        <f>+HYPERLINK("http://trademark.i-assist.jp/data/china/image_1890th/77337734.pdf",77337734)</f>
        <v>77337734</v>
      </c>
      <c r="F2382" s="7" t="s">
        <v>6644</v>
      </c>
      <c r="G2382" s="7" t="s">
        <v>4160</v>
      </c>
      <c r="H2382" s="7" t="s">
        <v>6645</v>
      </c>
      <c r="I2382" s="9">
        <v>45366</v>
      </c>
    </row>
    <row r="2383" spans="1:9" ht="27" x14ac:dyDescent="0.15">
      <c r="A2383" s="6">
        <v>2382</v>
      </c>
      <c r="B2383" s="7" t="s">
        <v>7</v>
      </c>
      <c r="C2383" s="8">
        <v>1890</v>
      </c>
      <c r="D2383" s="9">
        <v>45449</v>
      </c>
      <c r="E2383" s="13">
        <f>+HYPERLINK("http://trademark.i-assist.jp/data/china/image_1890th/77338049.pdf",77338049)</f>
        <v>77338049</v>
      </c>
      <c r="F2383" s="7" t="s">
        <v>6647</v>
      </c>
      <c r="G2383" s="7" t="s">
        <v>6646</v>
      </c>
      <c r="H2383" s="7" t="s">
        <v>6648</v>
      </c>
      <c r="I2383" s="9">
        <v>45366</v>
      </c>
    </row>
    <row r="2384" spans="1:9" ht="27" x14ac:dyDescent="0.15">
      <c r="A2384" s="6">
        <v>2383</v>
      </c>
      <c r="B2384" s="7" t="s">
        <v>7</v>
      </c>
      <c r="C2384" s="8">
        <v>1890</v>
      </c>
      <c r="D2384" s="9">
        <v>45449</v>
      </c>
      <c r="E2384" s="13">
        <f>+HYPERLINK("http://trademark.i-assist.jp/data/china/image_1890th/77338053.pdf",77338053)</f>
        <v>77338053</v>
      </c>
      <c r="F2384" s="7" t="s">
        <v>6649</v>
      </c>
      <c r="G2384" s="7" t="s">
        <v>6646</v>
      </c>
      <c r="H2384" s="7" t="s">
        <v>6650</v>
      </c>
      <c r="I2384" s="9">
        <v>45366</v>
      </c>
    </row>
    <row r="2385" spans="1:9" x14ac:dyDescent="0.15">
      <c r="A2385" s="6">
        <v>2384</v>
      </c>
      <c r="B2385" s="7" t="s">
        <v>7</v>
      </c>
      <c r="C2385" s="8">
        <v>1890</v>
      </c>
      <c r="D2385" s="9">
        <v>45449</v>
      </c>
      <c r="E2385" s="13">
        <f>+HYPERLINK("http://trademark.i-assist.jp/data/china/image_1890th/77338740.pdf",77338740)</f>
        <v>77338740</v>
      </c>
      <c r="F2385" s="7" t="s">
        <v>6652</v>
      </c>
      <c r="G2385" s="7" t="s">
        <v>6651</v>
      </c>
      <c r="H2385" s="7" t="s">
        <v>6653</v>
      </c>
      <c r="I2385" s="9">
        <v>45366</v>
      </c>
    </row>
    <row r="2386" spans="1:9" x14ac:dyDescent="0.15">
      <c r="A2386" s="6">
        <v>2385</v>
      </c>
      <c r="B2386" s="7" t="s">
        <v>7</v>
      </c>
      <c r="C2386" s="8">
        <v>1890</v>
      </c>
      <c r="D2386" s="9">
        <v>45449</v>
      </c>
      <c r="E2386" s="13">
        <f>+HYPERLINK("http://trademark.i-assist.jp/data/china/image_1890th/77338879.pdf",77338879)</f>
        <v>77338879</v>
      </c>
      <c r="F2386" s="7" t="s">
        <v>6655</v>
      </c>
      <c r="G2386" s="7" t="s">
        <v>6654</v>
      </c>
      <c r="H2386" s="7" t="s">
        <v>6656</v>
      </c>
      <c r="I2386" s="9">
        <v>45366</v>
      </c>
    </row>
    <row r="2387" spans="1:9" x14ac:dyDescent="0.15">
      <c r="A2387" s="6">
        <v>2386</v>
      </c>
      <c r="B2387" s="7" t="s">
        <v>7</v>
      </c>
      <c r="C2387" s="8">
        <v>1890</v>
      </c>
      <c r="D2387" s="9">
        <v>45449</v>
      </c>
      <c r="E2387" s="13">
        <f>+HYPERLINK("http://trademark.i-assist.jp/data/china/image_1890th/77339026.pdf",77339026)</f>
        <v>77339026</v>
      </c>
      <c r="F2387" s="7" t="s">
        <v>6658</v>
      </c>
      <c r="G2387" s="7" t="s">
        <v>6657</v>
      </c>
      <c r="H2387" s="7" t="s">
        <v>6659</v>
      </c>
      <c r="I2387" s="9">
        <v>45366</v>
      </c>
    </row>
    <row r="2388" spans="1:9" x14ac:dyDescent="0.15">
      <c r="A2388" s="6">
        <v>2387</v>
      </c>
      <c r="B2388" s="7" t="s">
        <v>7</v>
      </c>
      <c r="C2388" s="8">
        <v>1890</v>
      </c>
      <c r="D2388" s="9">
        <v>45449</v>
      </c>
      <c r="E2388" s="13">
        <f>+HYPERLINK("http://trademark.i-assist.jp/data/china/image_1890th/77339440.pdf",77339440)</f>
        <v>77339440</v>
      </c>
      <c r="F2388" s="7" t="s">
        <v>6660</v>
      </c>
      <c r="G2388" s="7" t="s">
        <v>5161</v>
      </c>
      <c r="H2388" s="7" t="s">
        <v>6661</v>
      </c>
      <c r="I2388" s="9">
        <v>45366</v>
      </c>
    </row>
    <row r="2389" spans="1:9" x14ac:dyDescent="0.15">
      <c r="A2389" s="6">
        <v>2388</v>
      </c>
      <c r="B2389" s="7" t="s">
        <v>7</v>
      </c>
      <c r="C2389" s="8">
        <v>1890</v>
      </c>
      <c r="D2389" s="9">
        <v>45449</v>
      </c>
      <c r="E2389" s="13">
        <f>+HYPERLINK("http://trademark.i-assist.jp/data/china/image_1890th/77339485.pdf",77339485)</f>
        <v>77339485</v>
      </c>
      <c r="F2389" s="7" t="s">
        <v>6662</v>
      </c>
      <c r="G2389" s="7" t="s">
        <v>4074</v>
      </c>
      <c r="H2389" s="7" t="s">
        <v>6663</v>
      </c>
      <c r="I2389" s="9">
        <v>45366</v>
      </c>
    </row>
    <row r="2390" spans="1:9" x14ac:dyDescent="0.15">
      <c r="A2390" s="6">
        <v>2389</v>
      </c>
      <c r="B2390" s="7" t="s">
        <v>7</v>
      </c>
      <c r="C2390" s="8">
        <v>1890</v>
      </c>
      <c r="D2390" s="9">
        <v>45449</v>
      </c>
      <c r="E2390" s="13">
        <f>+HYPERLINK("http://trademark.i-assist.jp/data/china/image_1890th/77339502.pdf",77339502)</f>
        <v>77339502</v>
      </c>
      <c r="F2390" s="7" t="s">
        <v>6665</v>
      </c>
      <c r="G2390" s="7" t="s">
        <v>6664</v>
      </c>
      <c r="H2390" s="7" t="s">
        <v>6666</v>
      </c>
      <c r="I2390" s="9">
        <v>45366</v>
      </c>
    </row>
    <row r="2391" spans="1:9" x14ac:dyDescent="0.15">
      <c r="A2391" s="6">
        <v>2390</v>
      </c>
      <c r="B2391" s="7" t="s">
        <v>7</v>
      </c>
      <c r="C2391" s="8">
        <v>1890</v>
      </c>
      <c r="D2391" s="9">
        <v>45449</v>
      </c>
      <c r="E2391" s="13">
        <f>+HYPERLINK("http://trademark.i-assist.jp/data/china/image_1890th/77339543.pdf",77339543)</f>
        <v>77339543</v>
      </c>
      <c r="F2391" s="7" t="s">
        <v>6668</v>
      </c>
      <c r="G2391" s="7" t="s">
        <v>6667</v>
      </c>
      <c r="H2391" s="7" t="s">
        <v>6669</v>
      </c>
      <c r="I2391" s="9">
        <v>45366</v>
      </c>
    </row>
    <row r="2392" spans="1:9" ht="27" x14ac:dyDescent="0.15">
      <c r="A2392" s="6">
        <v>2391</v>
      </c>
      <c r="B2392" s="7" t="s">
        <v>7</v>
      </c>
      <c r="C2392" s="8">
        <v>1890</v>
      </c>
      <c r="D2392" s="9">
        <v>45449</v>
      </c>
      <c r="E2392" s="13">
        <f>+HYPERLINK("http://trademark.i-assist.jp/data/china/image_1890th/77339779.pdf",77339779)</f>
        <v>77339779</v>
      </c>
      <c r="F2392" s="7" t="s">
        <v>4096</v>
      </c>
      <c r="G2392" s="7" t="s">
        <v>4095</v>
      </c>
      <c r="H2392" s="7" t="s">
        <v>6670</v>
      </c>
      <c r="I2392" s="9">
        <v>45366</v>
      </c>
    </row>
    <row r="2393" spans="1:9" x14ac:dyDescent="0.15">
      <c r="A2393" s="6">
        <v>2392</v>
      </c>
      <c r="B2393" s="7" t="s">
        <v>7</v>
      </c>
      <c r="C2393" s="8">
        <v>1890</v>
      </c>
      <c r="D2393" s="9">
        <v>45449</v>
      </c>
      <c r="E2393" s="13">
        <f>+HYPERLINK("http://trademark.i-assist.jp/data/china/image_1890th/77339835.pdf",77339835)</f>
        <v>77339835</v>
      </c>
      <c r="F2393" s="7" t="s">
        <v>6672</v>
      </c>
      <c r="G2393" s="7" t="s">
        <v>6671</v>
      </c>
      <c r="H2393" s="7" t="s">
        <v>6673</v>
      </c>
      <c r="I2393" s="9">
        <v>45366</v>
      </c>
    </row>
    <row r="2394" spans="1:9" x14ac:dyDescent="0.15">
      <c r="A2394" s="6">
        <v>2393</v>
      </c>
      <c r="B2394" s="7" t="s">
        <v>7</v>
      </c>
      <c r="C2394" s="8">
        <v>1890</v>
      </c>
      <c r="D2394" s="9">
        <v>45449</v>
      </c>
      <c r="E2394" s="13">
        <f>+HYPERLINK("http://trademark.i-assist.jp/data/china/image_1890th/77339914.pdf",77339914)</f>
        <v>77339914</v>
      </c>
      <c r="F2394" s="7" t="s">
        <v>6675</v>
      </c>
      <c r="G2394" s="7" t="s">
        <v>6674</v>
      </c>
      <c r="H2394" s="7" t="s">
        <v>6676</v>
      </c>
      <c r="I2394" s="9">
        <v>45366</v>
      </c>
    </row>
    <row r="2395" spans="1:9" x14ac:dyDescent="0.15">
      <c r="A2395" s="6">
        <v>2394</v>
      </c>
      <c r="B2395" s="7" t="s">
        <v>7</v>
      </c>
      <c r="C2395" s="8">
        <v>1890</v>
      </c>
      <c r="D2395" s="9">
        <v>45449</v>
      </c>
      <c r="E2395" s="13">
        <f>+HYPERLINK("http://trademark.i-assist.jp/data/china/image_1890th/77340034.pdf",77340034)</f>
        <v>77340034</v>
      </c>
      <c r="F2395" s="7" t="s">
        <v>183</v>
      </c>
      <c r="G2395" s="7" t="s">
        <v>6677</v>
      </c>
      <c r="H2395" s="7" t="s">
        <v>6678</v>
      </c>
      <c r="I2395" s="9">
        <v>45366</v>
      </c>
    </row>
    <row r="2396" spans="1:9" x14ac:dyDescent="0.15">
      <c r="A2396" s="6">
        <v>2395</v>
      </c>
      <c r="B2396" s="7" t="s">
        <v>7</v>
      </c>
      <c r="C2396" s="8">
        <v>1890</v>
      </c>
      <c r="D2396" s="9">
        <v>45449</v>
      </c>
      <c r="E2396" s="13">
        <f>+HYPERLINK("http://trademark.i-assist.jp/data/china/image_1890th/77340059.pdf",77340059)</f>
        <v>77340059</v>
      </c>
      <c r="F2396" s="7" t="s">
        <v>6679</v>
      </c>
      <c r="G2396" s="7" t="s">
        <v>4354</v>
      </c>
      <c r="H2396" s="7" t="s">
        <v>6680</v>
      </c>
      <c r="I2396" s="9">
        <v>45366</v>
      </c>
    </row>
    <row r="2397" spans="1:9" x14ac:dyDescent="0.15">
      <c r="A2397" s="6">
        <v>2396</v>
      </c>
      <c r="B2397" s="7" t="s">
        <v>7</v>
      </c>
      <c r="C2397" s="8">
        <v>1890</v>
      </c>
      <c r="D2397" s="9">
        <v>45449</v>
      </c>
      <c r="E2397" s="13">
        <f>+HYPERLINK("http://trademark.i-assist.jp/data/china/image_1890th/77340069.pdf",77340069)</f>
        <v>77340069</v>
      </c>
      <c r="F2397" s="7" t="s">
        <v>6681</v>
      </c>
      <c r="G2397" s="7" t="s">
        <v>4354</v>
      </c>
      <c r="H2397" s="7" t="s">
        <v>6682</v>
      </c>
      <c r="I2397" s="9">
        <v>45366</v>
      </c>
    </row>
    <row r="2398" spans="1:9" x14ac:dyDescent="0.15">
      <c r="A2398" s="6">
        <v>2397</v>
      </c>
      <c r="B2398" s="7" t="s">
        <v>7</v>
      </c>
      <c r="C2398" s="8">
        <v>1890</v>
      </c>
      <c r="D2398" s="9">
        <v>45449</v>
      </c>
      <c r="E2398" s="13">
        <f>+HYPERLINK("http://trademark.i-assist.jp/data/china/image_1890th/77340161.pdf",77340161)</f>
        <v>77340161</v>
      </c>
      <c r="F2398" s="7" t="s">
        <v>6684</v>
      </c>
      <c r="G2398" s="7" t="s">
        <v>6683</v>
      </c>
      <c r="H2398" s="7" t="s">
        <v>6685</v>
      </c>
      <c r="I2398" s="9">
        <v>45366</v>
      </c>
    </row>
    <row r="2399" spans="1:9" x14ac:dyDescent="0.15">
      <c r="A2399" s="6">
        <v>2398</v>
      </c>
      <c r="B2399" s="7" t="s">
        <v>7</v>
      </c>
      <c r="C2399" s="8">
        <v>1890</v>
      </c>
      <c r="D2399" s="9">
        <v>45449</v>
      </c>
      <c r="E2399" s="13">
        <f>+HYPERLINK("http://trademark.i-assist.jp/data/china/image_1890th/77340228.pdf",77340228)</f>
        <v>77340228</v>
      </c>
      <c r="F2399" s="7" t="s">
        <v>6687</v>
      </c>
      <c r="G2399" s="7" t="s">
        <v>6686</v>
      </c>
      <c r="H2399" s="7" t="s">
        <v>6688</v>
      </c>
      <c r="I2399" s="9">
        <v>45366</v>
      </c>
    </row>
    <row r="2400" spans="1:9" ht="27" x14ac:dyDescent="0.15">
      <c r="A2400" s="6">
        <v>2399</v>
      </c>
      <c r="B2400" s="7" t="s">
        <v>7</v>
      </c>
      <c r="C2400" s="8">
        <v>1890</v>
      </c>
      <c r="D2400" s="9">
        <v>45449</v>
      </c>
      <c r="E2400" s="13">
        <f>+HYPERLINK("http://trademark.i-assist.jp/data/china/image_1890th/77340673.pdf",77340673)</f>
        <v>77340673</v>
      </c>
      <c r="F2400" s="7" t="s">
        <v>6689</v>
      </c>
      <c r="G2400" s="7" t="s">
        <v>19</v>
      </c>
      <c r="H2400" s="7" t="s">
        <v>6690</v>
      </c>
      <c r="I2400" s="9">
        <v>45366</v>
      </c>
    </row>
    <row r="2401" spans="1:9" x14ac:dyDescent="0.15">
      <c r="A2401" s="6">
        <v>2400</v>
      </c>
      <c r="B2401" s="7" t="s">
        <v>7</v>
      </c>
      <c r="C2401" s="8">
        <v>1890</v>
      </c>
      <c r="D2401" s="9">
        <v>45449</v>
      </c>
      <c r="E2401" s="13">
        <f>+HYPERLINK("http://trademark.i-assist.jp/data/china/image_1890th/77340753.pdf",77340753)</f>
        <v>77340753</v>
      </c>
      <c r="F2401" s="7" t="s">
        <v>6691</v>
      </c>
      <c r="G2401" s="7" t="s">
        <v>3307</v>
      </c>
      <c r="H2401" s="7" t="s">
        <v>6692</v>
      </c>
      <c r="I2401" s="9">
        <v>45366</v>
      </c>
    </row>
    <row r="2402" spans="1:9" x14ac:dyDescent="0.15">
      <c r="A2402" s="6">
        <v>2401</v>
      </c>
      <c r="B2402" s="7" t="s">
        <v>7</v>
      </c>
      <c r="C2402" s="8">
        <v>1890</v>
      </c>
      <c r="D2402" s="9">
        <v>45449</v>
      </c>
      <c r="E2402" s="13">
        <f>+HYPERLINK("http://trademark.i-assist.jp/data/china/image_1890th/77340763.pdf",77340763)</f>
        <v>77340763</v>
      </c>
      <c r="F2402" s="7" t="s">
        <v>6694</v>
      </c>
      <c r="G2402" s="7" t="s">
        <v>6693</v>
      </c>
      <c r="H2402" s="7" t="s">
        <v>6695</v>
      </c>
      <c r="I2402" s="9">
        <v>45366</v>
      </c>
    </row>
    <row r="2403" spans="1:9" ht="27" x14ac:dyDescent="0.15">
      <c r="A2403" s="6">
        <v>2402</v>
      </c>
      <c r="B2403" s="7" t="s">
        <v>7</v>
      </c>
      <c r="C2403" s="8">
        <v>1890</v>
      </c>
      <c r="D2403" s="9">
        <v>45449</v>
      </c>
      <c r="E2403" s="13">
        <f>+HYPERLINK("http://trademark.i-assist.jp/data/china/image_1890th/77340771.pdf",77340771)</f>
        <v>77340771</v>
      </c>
      <c r="F2403" s="7" t="s">
        <v>6696</v>
      </c>
      <c r="G2403" s="7" t="s">
        <v>6584</v>
      </c>
      <c r="H2403" s="7" t="s">
        <v>6697</v>
      </c>
      <c r="I2403" s="9">
        <v>45366</v>
      </c>
    </row>
    <row r="2404" spans="1:9" ht="27" x14ac:dyDescent="0.15">
      <c r="A2404" s="6">
        <v>2403</v>
      </c>
      <c r="B2404" s="7" t="s">
        <v>7</v>
      </c>
      <c r="C2404" s="8">
        <v>1890</v>
      </c>
      <c r="D2404" s="9">
        <v>45449</v>
      </c>
      <c r="E2404" s="13">
        <f>+HYPERLINK("http://trademark.i-assist.jp/data/china/image_1890th/77340779.pdf",77340779)</f>
        <v>77340779</v>
      </c>
      <c r="F2404" s="7" t="s">
        <v>6698</v>
      </c>
      <c r="G2404" s="7" t="s">
        <v>6584</v>
      </c>
      <c r="H2404" s="7" t="s">
        <v>6699</v>
      </c>
      <c r="I2404" s="9">
        <v>45366</v>
      </c>
    </row>
    <row r="2405" spans="1:9" x14ac:dyDescent="0.15">
      <c r="A2405" s="6">
        <v>2404</v>
      </c>
      <c r="B2405" s="7" t="s">
        <v>7</v>
      </c>
      <c r="C2405" s="8">
        <v>1890</v>
      </c>
      <c r="D2405" s="9">
        <v>45449</v>
      </c>
      <c r="E2405" s="13">
        <f>+HYPERLINK("http://trademark.i-assist.jp/data/china/image_1890th/77340785.pdf",77340785)</f>
        <v>77340785</v>
      </c>
      <c r="F2405" s="7" t="s">
        <v>6700</v>
      </c>
      <c r="G2405" s="7" t="s">
        <v>4163</v>
      </c>
      <c r="H2405" s="7" t="s">
        <v>6701</v>
      </c>
      <c r="I2405" s="9">
        <v>45366</v>
      </c>
    </row>
    <row r="2406" spans="1:9" x14ac:dyDescent="0.15">
      <c r="A2406" s="6">
        <v>2405</v>
      </c>
      <c r="B2406" s="7" t="s">
        <v>7</v>
      </c>
      <c r="C2406" s="8">
        <v>1890</v>
      </c>
      <c r="D2406" s="9">
        <v>45449</v>
      </c>
      <c r="E2406" s="13">
        <f>+HYPERLINK("http://trademark.i-assist.jp/data/china/image_1890th/77341089.pdf",77341089)</f>
        <v>77341089</v>
      </c>
      <c r="F2406" s="7" t="s">
        <v>6703</v>
      </c>
      <c r="G2406" s="7" t="s">
        <v>6702</v>
      </c>
      <c r="H2406" s="7" t="s">
        <v>6704</v>
      </c>
      <c r="I2406" s="9">
        <v>45366</v>
      </c>
    </row>
    <row r="2407" spans="1:9" x14ac:dyDescent="0.15">
      <c r="A2407" s="6">
        <v>2406</v>
      </c>
      <c r="B2407" s="7" t="s">
        <v>7</v>
      </c>
      <c r="C2407" s="8">
        <v>1890</v>
      </c>
      <c r="D2407" s="9">
        <v>45449</v>
      </c>
      <c r="E2407" s="13">
        <f>+HYPERLINK("http://trademark.i-assist.jp/data/china/image_1890th/77341106.pdf",77341106)</f>
        <v>77341106</v>
      </c>
      <c r="F2407" s="7" t="s">
        <v>6705</v>
      </c>
      <c r="G2407" s="7" t="s">
        <v>6540</v>
      </c>
      <c r="H2407" s="7" t="s">
        <v>6706</v>
      </c>
      <c r="I2407" s="9">
        <v>45366</v>
      </c>
    </row>
    <row r="2408" spans="1:9" x14ac:dyDescent="0.15">
      <c r="A2408" s="6">
        <v>2407</v>
      </c>
      <c r="B2408" s="7" t="s">
        <v>7</v>
      </c>
      <c r="C2408" s="8">
        <v>1890</v>
      </c>
      <c r="D2408" s="9">
        <v>45449</v>
      </c>
      <c r="E2408" s="13">
        <f>+HYPERLINK("http://trademark.i-assist.jp/data/china/image_1890th/77341246.pdf",77341246)</f>
        <v>77341246</v>
      </c>
      <c r="F2408" s="7" t="s">
        <v>6708</v>
      </c>
      <c r="G2408" s="7" t="s">
        <v>6707</v>
      </c>
      <c r="H2408" s="7" t="s">
        <v>6709</v>
      </c>
      <c r="I2408" s="9">
        <v>45366</v>
      </c>
    </row>
    <row r="2409" spans="1:9" x14ac:dyDescent="0.15">
      <c r="A2409" s="6">
        <v>2408</v>
      </c>
      <c r="B2409" s="7" t="s">
        <v>7</v>
      </c>
      <c r="C2409" s="8">
        <v>1890</v>
      </c>
      <c r="D2409" s="9">
        <v>45449</v>
      </c>
      <c r="E2409" s="13">
        <f>+HYPERLINK("http://trademark.i-assist.jp/data/china/image_1890th/77341536.pdf",77341536)</f>
        <v>77341536</v>
      </c>
      <c r="F2409" s="7" t="s">
        <v>183</v>
      </c>
      <c r="G2409" s="7" t="s">
        <v>6710</v>
      </c>
      <c r="H2409" s="7" t="s">
        <v>6711</v>
      </c>
      <c r="I2409" s="9">
        <v>45366</v>
      </c>
    </row>
    <row r="2410" spans="1:9" x14ac:dyDescent="0.15">
      <c r="A2410" s="6">
        <v>2409</v>
      </c>
      <c r="B2410" s="7" t="s">
        <v>7</v>
      </c>
      <c r="C2410" s="8">
        <v>1890</v>
      </c>
      <c r="D2410" s="9">
        <v>45449</v>
      </c>
      <c r="E2410" s="13">
        <f>+HYPERLINK("http://trademark.i-assist.jp/data/china/image_1890th/77341541.pdf",77341541)</f>
        <v>77341541</v>
      </c>
      <c r="F2410" s="7" t="s">
        <v>6713</v>
      </c>
      <c r="G2410" s="7" t="s">
        <v>6712</v>
      </c>
      <c r="H2410" s="7" t="s">
        <v>6714</v>
      </c>
      <c r="I2410" s="9">
        <v>45366</v>
      </c>
    </row>
    <row r="2411" spans="1:9" x14ac:dyDescent="0.15">
      <c r="A2411" s="6">
        <v>2410</v>
      </c>
      <c r="B2411" s="7" t="s">
        <v>7</v>
      </c>
      <c r="C2411" s="8">
        <v>1890</v>
      </c>
      <c r="D2411" s="9">
        <v>45449</v>
      </c>
      <c r="E2411" s="13">
        <f>+HYPERLINK("http://trademark.i-assist.jp/data/china/image_1890th/77341570.pdf",77341570)</f>
        <v>77341570</v>
      </c>
      <c r="F2411" s="7" t="s">
        <v>6716</v>
      </c>
      <c r="G2411" s="7" t="s">
        <v>6715</v>
      </c>
      <c r="H2411" s="7" t="s">
        <v>6717</v>
      </c>
      <c r="I2411" s="9">
        <v>45366</v>
      </c>
    </row>
    <row r="2412" spans="1:9" x14ac:dyDescent="0.15">
      <c r="A2412" s="6">
        <v>2411</v>
      </c>
      <c r="B2412" s="7" t="s">
        <v>7</v>
      </c>
      <c r="C2412" s="8">
        <v>1890</v>
      </c>
      <c r="D2412" s="9">
        <v>45449</v>
      </c>
      <c r="E2412" s="13">
        <f>+HYPERLINK("http://trademark.i-assist.jp/data/china/image_1890th/77341637.pdf",77341637)</f>
        <v>77341637</v>
      </c>
      <c r="F2412" s="7" t="s">
        <v>6719</v>
      </c>
      <c r="G2412" s="7" t="s">
        <v>6718</v>
      </c>
      <c r="H2412" s="7" t="s">
        <v>6720</v>
      </c>
      <c r="I2412" s="9">
        <v>45366</v>
      </c>
    </row>
    <row r="2413" spans="1:9" x14ac:dyDescent="0.15">
      <c r="A2413" s="6">
        <v>2412</v>
      </c>
      <c r="B2413" s="7" t="s">
        <v>7</v>
      </c>
      <c r="C2413" s="8">
        <v>1890</v>
      </c>
      <c r="D2413" s="9">
        <v>45449</v>
      </c>
      <c r="E2413" s="13">
        <f>+HYPERLINK("http://trademark.i-assist.jp/data/china/image_1890th/77341704.pdf",77341704)</f>
        <v>77341704</v>
      </c>
      <c r="F2413" s="7" t="s">
        <v>6722</v>
      </c>
      <c r="G2413" s="7" t="s">
        <v>6721</v>
      </c>
      <c r="H2413" s="7" t="s">
        <v>6723</v>
      </c>
      <c r="I2413" s="9">
        <v>45366</v>
      </c>
    </row>
    <row r="2414" spans="1:9" x14ac:dyDescent="0.15">
      <c r="A2414" s="6">
        <v>2413</v>
      </c>
      <c r="B2414" s="7" t="s">
        <v>7</v>
      </c>
      <c r="C2414" s="8">
        <v>1890</v>
      </c>
      <c r="D2414" s="9">
        <v>45449</v>
      </c>
      <c r="E2414" s="13">
        <f>+HYPERLINK("http://trademark.i-assist.jp/data/china/image_1890th/77341783.pdf",77341783)</f>
        <v>77341783</v>
      </c>
      <c r="F2414" s="7" t="s">
        <v>6725</v>
      </c>
      <c r="G2414" s="7" t="s">
        <v>6724</v>
      </c>
      <c r="H2414" s="7" t="s">
        <v>6726</v>
      </c>
      <c r="I2414" s="9">
        <v>45366</v>
      </c>
    </row>
    <row r="2415" spans="1:9" x14ac:dyDescent="0.15">
      <c r="A2415" s="6">
        <v>2414</v>
      </c>
      <c r="B2415" s="7" t="s">
        <v>7</v>
      </c>
      <c r="C2415" s="8">
        <v>1890</v>
      </c>
      <c r="D2415" s="9">
        <v>45449</v>
      </c>
      <c r="E2415" s="13">
        <f>+HYPERLINK("http://trademark.i-assist.jp/data/china/image_1890th/77342563.pdf",77342563)</f>
        <v>77342563</v>
      </c>
      <c r="F2415" s="7" t="s">
        <v>6728</v>
      </c>
      <c r="G2415" s="7" t="s">
        <v>6727</v>
      </c>
      <c r="H2415" s="7" t="s">
        <v>6729</v>
      </c>
      <c r="I2415" s="9">
        <v>45367</v>
      </c>
    </row>
    <row r="2416" spans="1:9" x14ac:dyDescent="0.15">
      <c r="A2416" s="6">
        <v>2415</v>
      </c>
      <c r="B2416" s="7" t="s">
        <v>7</v>
      </c>
      <c r="C2416" s="8">
        <v>1890</v>
      </c>
      <c r="D2416" s="9">
        <v>45449</v>
      </c>
      <c r="E2416" s="13">
        <f>+HYPERLINK("http://trademark.i-assist.jp/data/china/image_1890th/77342981.pdf",77342981)</f>
        <v>77342981</v>
      </c>
      <c r="F2416" s="7" t="s">
        <v>6731</v>
      </c>
      <c r="G2416" s="7" t="s">
        <v>6730</v>
      </c>
      <c r="H2416" s="7" t="s">
        <v>6732</v>
      </c>
      <c r="I2416" s="9">
        <v>45367</v>
      </c>
    </row>
    <row r="2417" spans="1:9" x14ac:dyDescent="0.15">
      <c r="A2417" s="6">
        <v>2416</v>
      </c>
      <c r="B2417" s="7" t="s">
        <v>7</v>
      </c>
      <c r="C2417" s="8">
        <v>1890</v>
      </c>
      <c r="D2417" s="9">
        <v>45449</v>
      </c>
      <c r="E2417" s="13">
        <f>+HYPERLINK("http://trademark.i-assist.jp/data/china/image_1890th/77343434.pdf",77343434)</f>
        <v>77343434</v>
      </c>
      <c r="F2417" s="7" t="s">
        <v>6734</v>
      </c>
      <c r="G2417" s="7" t="s">
        <v>6733</v>
      </c>
      <c r="H2417" s="7" t="s">
        <v>6735</v>
      </c>
      <c r="I2417" s="9">
        <v>45367</v>
      </c>
    </row>
    <row r="2418" spans="1:9" ht="27" x14ac:dyDescent="0.15">
      <c r="A2418" s="6">
        <v>2417</v>
      </c>
      <c r="B2418" s="7" t="s">
        <v>7</v>
      </c>
      <c r="C2418" s="8">
        <v>1890</v>
      </c>
      <c r="D2418" s="9">
        <v>45449</v>
      </c>
      <c r="E2418" s="13">
        <f>+HYPERLINK("http://trademark.i-assist.jp/data/china/image_1890th/77343533.pdf",77343533)</f>
        <v>77343533</v>
      </c>
      <c r="F2418" s="7" t="s">
        <v>6737</v>
      </c>
      <c r="G2418" s="7" t="s">
        <v>6736</v>
      </c>
      <c r="H2418" s="7" t="s">
        <v>6738</v>
      </c>
      <c r="I2418" s="9">
        <v>45367</v>
      </c>
    </row>
    <row r="2419" spans="1:9" x14ac:dyDescent="0.15">
      <c r="A2419" s="6">
        <v>2418</v>
      </c>
      <c r="B2419" s="7" t="s">
        <v>7</v>
      </c>
      <c r="C2419" s="8">
        <v>1890</v>
      </c>
      <c r="D2419" s="9">
        <v>45449</v>
      </c>
      <c r="E2419" s="13">
        <f>+HYPERLINK("http://trademark.i-assist.jp/data/china/image_1890th/77343550.pdf",77343550)</f>
        <v>77343550</v>
      </c>
      <c r="F2419" s="7" t="s">
        <v>6740</v>
      </c>
      <c r="G2419" s="7" t="s">
        <v>6739</v>
      </c>
      <c r="H2419" s="7" t="s">
        <v>6741</v>
      </c>
      <c r="I2419" s="9">
        <v>45367</v>
      </c>
    </row>
    <row r="2420" spans="1:9" x14ac:dyDescent="0.15">
      <c r="A2420" s="6">
        <v>2419</v>
      </c>
      <c r="B2420" s="7" t="s">
        <v>7</v>
      </c>
      <c r="C2420" s="8">
        <v>1890</v>
      </c>
      <c r="D2420" s="9">
        <v>45449</v>
      </c>
      <c r="E2420" s="13">
        <f>+HYPERLINK("http://trademark.i-assist.jp/data/china/image_1890th/77343600.pdf",77343600)</f>
        <v>77343600</v>
      </c>
      <c r="F2420" s="7" t="s">
        <v>6742</v>
      </c>
      <c r="G2420" s="7" t="s">
        <v>2460</v>
      </c>
      <c r="H2420" s="7" t="s">
        <v>6743</v>
      </c>
      <c r="I2420" s="9">
        <v>45367</v>
      </c>
    </row>
    <row r="2421" spans="1:9" ht="27" x14ac:dyDescent="0.15">
      <c r="A2421" s="6">
        <v>2420</v>
      </c>
      <c r="B2421" s="7" t="s">
        <v>7</v>
      </c>
      <c r="C2421" s="8">
        <v>1890</v>
      </c>
      <c r="D2421" s="9">
        <v>45449</v>
      </c>
      <c r="E2421" s="13">
        <f>+HYPERLINK("http://trademark.i-assist.jp/data/china/image_1890th/77343752.pdf",77343752)</f>
        <v>77343752</v>
      </c>
      <c r="F2421" s="7" t="s">
        <v>6745</v>
      </c>
      <c r="G2421" s="7" t="s">
        <v>6744</v>
      </c>
      <c r="H2421" s="7" t="s">
        <v>6746</v>
      </c>
      <c r="I2421" s="9">
        <v>45367</v>
      </c>
    </row>
    <row r="2422" spans="1:9" x14ac:dyDescent="0.15">
      <c r="A2422" s="6">
        <v>2421</v>
      </c>
      <c r="B2422" s="7" t="s">
        <v>7</v>
      </c>
      <c r="C2422" s="8">
        <v>1890</v>
      </c>
      <c r="D2422" s="9">
        <v>45449</v>
      </c>
      <c r="E2422" s="13">
        <f>+HYPERLINK("http://trademark.i-assist.jp/data/china/image_1890th/77343780.pdf",77343780)</f>
        <v>77343780</v>
      </c>
      <c r="F2422" s="7" t="s">
        <v>6748</v>
      </c>
      <c r="G2422" s="7" t="s">
        <v>6747</v>
      </c>
      <c r="H2422" s="7" t="s">
        <v>6749</v>
      </c>
      <c r="I2422" s="9">
        <v>45367</v>
      </c>
    </row>
    <row r="2423" spans="1:9" x14ac:dyDescent="0.15">
      <c r="A2423" s="6">
        <v>2422</v>
      </c>
      <c r="B2423" s="7" t="s">
        <v>7</v>
      </c>
      <c r="C2423" s="8">
        <v>1890</v>
      </c>
      <c r="D2423" s="9">
        <v>45449</v>
      </c>
      <c r="E2423" s="13">
        <f>+HYPERLINK("http://trademark.i-assist.jp/data/china/image_1890th/77344005.pdf",77344005)</f>
        <v>77344005</v>
      </c>
      <c r="F2423" s="7" t="s">
        <v>6751</v>
      </c>
      <c r="G2423" s="7" t="s">
        <v>6750</v>
      </c>
      <c r="H2423" s="7" t="s">
        <v>6752</v>
      </c>
      <c r="I2423" s="9">
        <v>45367</v>
      </c>
    </row>
    <row r="2424" spans="1:9" x14ac:dyDescent="0.15">
      <c r="A2424" s="6">
        <v>2423</v>
      </c>
      <c r="B2424" s="7" t="s">
        <v>7</v>
      </c>
      <c r="C2424" s="8">
        <v>1890</v>
      </c>
      <c r="D2424" s="9">
        <v>45449</v>
      </c>
      <c r="E2424" s="13">
        <f>+HYPERLINK("http://trademark.i-assist.jp/data/china/image_1890th/77344010.pdf",77344010)</f>
        <v>77344010</v>
      </c>
      <c r="F2424" s="7" t="s">
        <v>6754</v>
      </c>
      <c r="G2424" s="7" t="s">
        <v>6753</v>
      </c>
      <c r="H2424" s="7" t="s">
        <v>6755</v>
      </c>
      <c r="I2424" s="9">
        <v>45367</v>
      </c>
    </row>
    <row r="2425" spans="1:9" x14ac:dyDescent="0.15">
      <c r="A2425" s="6">
        <v>2424</v>
      </c>
      <c r="B2425" s="7" t="s">
        <v>7</v>
      </c>
      <c r="C2425" s="8">
        <v>1890</v>
      </c>
      <c r="D2425" s="9">
        <v>45449</v>
      </c>
      <c r="E2425" s="13">
        <f>+HYPERLINK("http://trademark.i-assist.jp/data/china/image_1890th/77344127.pdf",77344127)</f>
        <v>77344127</v>
      </c>
      <c r="F2425" s="7" t="s">
        <v>6757</v>
      </c>
      <c r="G2425" s="7" t="s">
        <v>6756</v>
      </c>
      <c r="H2425" s="7" t="s">
        <v>6758</v>
      </c>
      <c r="I2425" s="9">
        <v>45367</v>
      </c>
    </row>
    <row r="2426" spans="1:9" x14ac:dyDescent="0.15">
      <c r="A2426" s="6">
        <v>2425</v>
      </c>
      <c r="B2426" s="7" t="s">
        <v>7</v>
      </c>
      <c r="C2426" s="8">
        <v>1890</v>
      </c>
      <c r="D2426" s="9">
        <v>45449</v>
      </c>
      <c r="E2426" s="13">
        <f>+HYPERLINK("http://trademark.i-assist.jp/data/china/image_1890th/77344134.pdf",77344134)</f>
        <v>77344134</v>
      </c>
      <c r="F2426" s="7" t="s">
        <v>6760</v>
      </c>
      <c r="G2426" s="7" t="s">
        <v>6759</v>
      </c>
      <c r="H2426" s="7" t="s">
        <v>6761</v>
      </c>
      <c r="I2426" s="9">
        <v>45367</v>
      </c>
    </row>
    <row r="2427" spans="1:9" x14ac:dyDescent="0.15">
      <c r="A2427" s="6">
        <v>2426</v>
      </c>
      <c r="B2427" s="7" t="s">
        <v>7</v>
      </c>
      <c r="C2427" s="8">
        <v>1890</v>
      </c>
      <c r="D2427" s="9">
        <v>45449</v>
      </c>
      <c r="E2427" s="13">
        <f>+HYPERLINK("http://trademark.i-assist.jp/data/china/image_1890th/77344298.pdf",77344298)</f>
        <v>77344298</v>
      </c>
      <c r="F2427" s="7" t="s">
        <v>6763</v>
      </c>
      <c r="G2427" s="7" t="s">
        <v>6762</v>
      </c>
      <c r="H2427" s="7" t="s">
        <v>6764</v>
      </c>
      <c r="I2427" s="9">
        <v>45367</v>
      </c>
    </row>
    <row r="2428" spans="1:9" x14ac:dyDescent="0.15">
      <c r="A2428" s="6">
        <v>2427</v>
      </c>
      <c r="B2428" s="7" t="s">
        <v>7</v>
      </c>
      <c r="C2428" s="8">
        <v>1890</v>
      </c>
      <c r="D2428" s="9">
        <v>45449</v>
      </c>
      <c r="E2428" s="13">
        <f>+HYPERLINK("http://trademark.i-assist.jp/data/china/image_1890th/77344420.pdf",77344420)</f>
        <v>77344420</v>
      </c>
      <c r="F2428" s="7" t="s">
        <v>6766</v>
      </c>
      <c r="G2428" s="7" t="s">
        <v>6765</v>
      </c>
      <c r="H2428" s="7" t="s">
        <v>6767</v>
      </c>
      <c r="I2428" s="9">
        <v>45367</v>
      </c>
    </row>
    <row r="2429" spans="1:9" ht="27" x14ac:dyDescent="0.15">
      <c r="A2429" s="6">
        <v>2428</v>
      </c>
      <c r="B2429" s="7" t="s">
        <v>7</v>
      </c>
      <c r="C2429" s="8">
        <v>1890</v>
      </c>
      <c r="D2429" s="9">
        <v>45449</v>
      </c>
      <c r="E2429" s="13">
        <f>+HYPERLINK("http://trademark.i-assist.jp/data/china/image_1890th/77344429.pdf",77344429)</f>
        <v>77344429</v>
      </c>
      <c r="F2429" s="7" t="s">
        <v>6769</v>
      </c>
      <c r="G2429" s="7" t="s">
        <v>6768</v>
      </c>
      <c r="H2429" s="7" t="s">
        <v>6770</v>
      </c>
      <c r="I2429" s="9">
        <v>45367</v>
      </c>
    </row>
    <row r="2430" spans="1:9" x14ac:dyDescent="0.15">
      <c r="A2430" s="6">
        <v>2429</v>
      </c>
      <c r="B2430" s="7" t="s">
        <v>7</v>
      </c>
      <c r="C2430" s="8">
        <v>1890</v>
      </c>
      <c r="D2430" s="9">
        <v>45449</v>
      </c>
      <c r="E2430" s="13">
        <f>+HYPERLINK("http://trademark.i-assist.jp/data/china/image_1890th/77344576.pdf",77344576)</f>
        <v>77344576</v>
      </c>
      <c r="F2430" s="7" t="s">
        <v>6771</v>
      </c>
      <c r="G2430" s="7" t="s">
        <v>5144</v>
      </c>
      <c r="H2430" s="7" t="s">
        <v>6772</v>
      </c>
      <c r="I2430" s="9">
        <v>45367</v>
      </c>
    </row>
    <row r="2431" spans="1:9" x14ac:dyDescent="0.15">
      <c r="A2431" s="6">
        <v>2430</v>
      </c>
      <c r="B2431" s="7" t="s">
        <v>7</v>
      </c>
      <c r="C2431" s="8">
        <v>1890</v>
      </c>
      <c r="D2431" s="9">
        <v>45449</v>
      </c>
      <c r="E2431" s="13">
        <f>+HYPERLINK("http://trademark.i-assist.jp/data/china/image_1890th/77344634.pdf",77344634)</f>
        <v>77344634</v>
      </c>
      <c r="F2431" s="7" t="s">
        <v>183</v>
      </c>
      <c r="G2431" s="7" t="s">
        <v>6773</v>
      </c>
      <c r="H2431" s="7" t="s">
        <v>6774</v>
      </c>
      <c r="I2431" s="9">
        <v>45367</v>
      </c>
    </row>
    <row r="2432" spans="1:9" x14ac:dyDescent="0.15">
      <c r="A2432" s="6">
        <v>2431</v>
      </c>
      <c r="B2432" s="7" t="s">
        <v>7</v>
      </c>
      <c r="C2432" s="8">
        <v>1890</v>
      </c>
      <c r="D2432" s="9">
        <v>45449</v>
      </c>
      <c r="E2432" s="13">
        <f>+HYPERLINK("http://trademark.i-assist.jp/data/china/image_1890th/77345200.pdf",77345200)</f>
        <v>77345200</v>
      </c>
      <c r="F2432" s="7" t="s">
        <v>6775</v>
      </c>
      <c r="G2432" s="7" t="s">
        <v>2460</v>
      </c>
      <c r="H2432" s="7" t="s">
        <v>6776</v>
      </c>
      <c r="I2432" s="9">
        <v>45367</v>
      </c>
    </row>
    <row r="2433" spans="1:9" x14ac:dyDescent="0.15">
      <c r="A2433" s="6">
        <v>2432</v>
      </c>
      <c r="B2433" s="7" t="s">
        <v>7</v>
      </c>
      <c r="C2433" s="8">
        <v>1890</v>
      </c>
      <c r="D2433" s="9">
        <v>45449</v>
      </c>
      <c r="E2433" s="13">
        <f>+HYPERLINK("http://trademark.i-assist.jp/data/china/image_1890th/77345307.pdf",77345307)</f>
        <v>77345307</v>
      </c>
      <c r="F2433" s="7" t="s">
        <v>6778</v>
      </c>
      <c r="G2433" s="7" t="s">
        <v>6777</v>
      </c>
      <c r="H2433" s="7" t="s">
        <v>6779</v>
      </c>
      <c r="I2433" s="9">
        <v>45367</v>
      </c>
    </row>
    <row r="2434" spans="1:9" x14ac:dyDescent="0.15">
      <c r="A2434" s="6">
        <v>2433</v>
      </c>
      <c r="B2434" s="7" t="s">
        <v>7</v>
      </c>
      <c r="C2434" s="8">
        <v>1890</v>
      </c>
      <c r="D2434" s="9">
        <v>45449</v>
      </c>
      <c r="E2434" s="13">
        <f>+HYPERLINK("http://trademark.i-assist.jp/data/china/image_1890th/77345333.pdf",77345333)</f>
        <v>77345333</v>
      </c>
      <c r="F2434" s="7" t="s">
        <v>6781</v>
      </c>
      <c r="G2434" s="7" t="s">
        <v>6780</v>
      </c>
      <c r="H2434" s="7" t="s">
        <v>6782</v>
      </c>
      <c r="I2434" s="9">
        <v>45367</v>
      </c>
    </row>
    <row r="2435" spans="1:9" x14ac:dyDescent="0.15">
      <c r="A2435" s="6">
        <v>2434</v>
      </c>
      <c r="B2435" s="7" t="s">
        <v>7</v>
      </c>
      <c r="C2435" s="8">
        <v>1890</v>
      </c>
      <c r="D2435" s="9">
        <v>45449</v>
      </c>
      <c r="E2435" s="13">
        <f>+HYPERLINK("http://trademark.i-assist.jp/data/china/image_1890th/77345486.pdf",77345486)</f>
        <v>77345486</v>
      </c>
      <c r="F2435" s="7" t="s">
        <v>6784</v>
      </c>
      <c r="G2435" s="7" t="s">
        <v>6783</v>
      </c>
      <c r="H2435" s="7" t="s">
        <v>6785</v>
      </c>
      <c r="I2435" s="9">
        <v>45367</v>
      </c>
    </row>
    <row r="2436" spans="1:9" x14ac:dyDescent="0.15">
      <c r="A2436" s="6">
        <v>2435</v>
      </c>
      <c r="B2436" s="7" t="s">
        <v>7</v>
      </c>
      <c r="C2436" s="8">
        <v>1890</v>
      </c>
      <c r="D2436" s="9">
        <v>45449</v>
      </c>
      <c r="E2436" s="13">
        <f>+HYPERLINK("http://trademark.i-assist.jp/data/china/image_1890th/77345504.pdf",77345504)</f>
        <v>77345504</v>
      </c>
      <c r="F2436" s="7" t="s">
        <v>6787</v>
      </c>
      <c r="G2436" s="7" t="s">
        <v>6786</v>
      </c>
      <c r="H2436" s="7" t="s">
        <v>6788</v>
      </c>
      <c r="I2436" s="9">
        <v>45367</v>
      </c>
    </row>
    <row r="2437" spans="1:9" x14ac:dyDescent="0.15">
      <c r="A2437" s="6">
        <v>2436</v>
      </c>
      <c r="B2437" s="7" t="s">
        <v>7</v>
      </c>
      <c r="C2437" s="8">
        <v>1890</v>
      </c>
      <c r="D2437" s="9">
        <v>45449</v>
      </c>
      <c r="E2437" s="13">
        <f>+HYPERLINK("http://trademark.i-assist.jp/data/china/image_1890th/77345761.pdf",77345761)</f>
        <v>77345761</v>
      </c>
      <c r="F2437" s="7" t="s">
        <v>6790</v>
      </c>
      <c r="G2437" s="7" t="s">
        <v>6789</v>
      </c>
      <c r="H2437" s="7" t="s">
        <v>6791</v>
      </c>
      <c r="I2437" s="9">
        <v>45367</v>
      </c>
    </row>
    <row r="2438" spans="1:9" ht="27" x14ac:dyDescent="0.15">
      <c r="A2438" s="6">
        <v>2437</v>
      </c>
      <c r="B2438" s="7" t="s">
        <v>7</v>
      </c>
      <c r="C2438" s="8">
        <v>1890</v>
      </c>
      <c r="D2438" s="9">
        <v>45449</v>
      </c>
      <c r="E2438" s="13">
        <f>+HYPERLINK("http://trademark.i-assist.jp/data/china/image_1890th/77345793.pdf",77345793)</f>
        <v>77345793</v>
      </c>
      <c r="F2438" s="7" t="s">
        <v>6793</v>
      </c>
      <c r="G2438" s="7" t="s">
        <v>6792</v>
      </c>
      <c r="H2438" s="7" t="s">
        <v>6794</v>
      </c>
      <c r="I2438" s="9">
        <v>45367</v>
      </c>
    </row>
    <row r="2439" spans="1:9" x14ac:dyDescent="0.15">
      <c r="A2439" s="6">
        <v>2438</v>
      </c>
      <c r="B2439" s="7" t="s">
        <v>7</v>
      </c>
      <c r="C2439" s="8">
        <v>1890</v>
      </c>
      <c r="D2439" s="9">
        <v>45449</v>
      </c>
      <c r="E2439" s="13">
        <f>+HYPERLINK("http://trademark.i-assist.jp/data/china/image_1890th/77345904.pdf",77345904)</f>
        <v>77345904</v>
      </c>
      <c r="F2439" s="7" t="s">
        <v>6796</v>
      </c>
      <c r="G2439" s="7" t="s">
        <v>6795</v>
      </c>
      <c r="H2439" s="7" t="s">
        <v>6797</v>
      </c>
      <c r="I2439" s="9">
        <v>45367</v>
      </c>
    </row>
    <row r="2440" spans="1:9" x14ac:dyDescent="0.15">
      <c r="A2440" s="6">
        <v>2439</v>
      </c>
      <c r="B2440" s="7" t="s">
        <v>7</v>
      </c>
      <c r="C2440" s="8">
        <v>1890</v>
      </c>
      <c r="D2440" s="9">
        <v>45449</v>
      </c>
      <c r="E2440" s="13">
        <f>+HYPERLINK("http://trademark.i-assist.jp/data/china/image_1890th/77346058.pdf",77346058)</f>
        <v>77346058</v>
      </c>
      <c r="F2440" s="7" t="s">
        <v>6799</v>
      </c>
      <c r="G2440" s="7" t="s">
        <v>6798</v>
      </c>
      <c r="H2440" s="7" t="s">
        <v>6800</v>
      </c>
      <c r="I2440" s="9">
        <v>45367</v>
      </c>
    </row>
    <row r="2441" spans="1:9" x14ac:dyDescent="0.15">
      <c r="A2441" s="6">
        <v>2440</v>
      </c>
      <c r="B2441" s="7" t="s">
        <v>7</v>
      </c>
      <c r="C2441" s="8">
        <v>1890</v>
      </c>
      <c r="D2441" s="9">
        <v>45449</v>
      </c>
      <c r="E2441" s="13">
        <f>+HYPERLINK("http://trademark.i-assist.jp/data/china/image_1890th/77346105.pdf",77346105)</f>
        <v>77346105</v>
      </c>
      <c r="F2441" s="7" t="s">
        <v>6802</v>
      </c>
      <c r="G2441" s="7" t="s">
        <v>6801</v>
      </c>
      <c r="H2441" s="7" t="s">
        <v>6803</v>
      </c>
      <c r="I2441" s="9">
        <v>45367</v>
      </c>
    </row>
    <row r="2442" spans="1:9" ht="27" x14ac:dyDescent="0.15">
      <c r="A2442" s="6">
        <v>2441</v>
      </c>
      <c r="B2442" s="7" t="s">
        <v>7</v>
      </c>
      <c r="C2442" s="8">
        <v>1890</v>
      </c>
      <c r="D2442" s="9">
        <v>45449</v>
      </c>
      <c r="E2442" s="13">
        <f>+HYPERLINK("http://trademark.i-assist.jp/data/china/image_1890th/77346261.pdf",77346261)</f>
        <v>77346261</v>
      </c>
      <c r="F2442" s="7" t="s">
        <v>183</v>
      </c>
      <c r="G2442" s="7" t="s">
        <v>6804</v>
      </c>
      <c r="H2442" s="7" t="s">
        <v>6805</v>
      </c>
      <c r="I2442" s="9">
        <v>45367</v>
      </c>
    </row>
    <row r="2443" spans="1:9" ht="27" x14ac:dyDescent="0.15">
      <c r="A2443" s="6">
        <v>2442</v>
      </c>
      <c r="B2443" s="7" t="s">
        <v>7</v>
      </c>
      <c r="C2443" s="8">
        <v>1890</v>
      </c>
      <c r="D2443" s="9">
        <v>45449</v>
      </c>
      <c r="E2443" s="13">
        <f>+HYPERLINK("http://trademark.i-assist.jp/data/china/image_1890th/77346356.pdf",77346356)</f>
        <v>77346356</v>
      </c>
      <c r="F2443" s="7" t="s">
        <v>6806</v>
      </c>
      <c r="G2443" s="7" t="s">
        <v>6424</v>
      </c>
      <c r="H2443" s="7" t="s">
        <v>6807</v>
      </c>
      <c r="I2443" s="9">
        <v>45367</v>
      </c>
    </row>
    <row r="2444" spans="1:9" x14ac:dyDescent="0.15">
      <c r="A2444" s="6">
        <v>2443</v>
      </c>
      <c r="B2444" s="7" t="s">
        <v>7</v>
      </c>
      <c r="C2444" s="8">
        <v>1890</v>
      </c>
      <c r="D2444" s="9">
        <v>45449</v>
      </c>
      <c r="E2444" s="13">
        <f>+HYPERLINK("http://trademark.i-assist.jp/data/china/image_1890th/77346439.pdf",77346439)</f>
        <v>77346439</v>
      </c>
      <c r="F2444" s="7" t="s">
        <v>6808</v>
      </c>
      <c r="G2444" s="7" t="s">
        <v>6142</v>
      </c>
      <c r="H2444" s="7" t="s">
        <v>6809</v>
      </c>
      <c r="I2444" s="9">
        <v>45367</v>
      </c>
    </row>
    <row r="2445" spans="1:9" x14ac:dyDescent="0.15">
      <c r="A2445" s="6">
        <v>2444</v>
      </c>
      <c r="B2445" s="7" t="s">
        <v>7</v>
      </c>
      <c r="C2445" s="8">
        <v>1890</v>
      </c>
      <c r="D2445" s="9">
        <v>45449</v>
      </c>
      <c r="E2445" s="13">
        <f>+HYPERLINK("http://trademark.i-assist.jp/data/china/image_1890th/77346442.pdf",77346442)</f>
        <v>77346442</v>
      </c>
      <c r="F2445" s="7" t="s">
        <v>6811</v>
      </c>
      <c r="G2445" s="7" t="s">
        <v>6810</v>
      </c>
      <c r="H2445" s="7" t="s">
        <v>6812</v>
      </c>
      <c r="I2445" s="9">
        <v>45367</v>
      </c>
    </row>
    <row r="2446" spans="1:9" x14ac:dyDescent="0.15">
      <c r="A2446" s="6">
        <v>2445</v>
      </c>
      <c r="B2446" s="7" t="s">
        <v>7</v>
      </c>
      <c r="C2446" s="8">
        <v>1890</v>
      </c>
      <c r="D2446" s="9">
        <v>45449</v>
      </c>
      <c r="E2446" s="13">
        <f>+HYPERLINK("http://trademark.i-assist.jp/data/china/image_1890th/77346522.pdf",77346522)</f>
        <v>77346522</v>
      </c>
      <c r="F2446" s="7" t="s">
        <v>6814</v>
      </c>
      <c r="G2446" s="7" t="s">
        <v>6813</v>
      </c>
      <c r="H2446" s="7" t="s">
        <v>6815</v>
      </c>
      <c r="I2446" s="9">
        <v>45367</v>
      </c>
    </row>
    <row r="2447" spans="1:9" x14ac:dyDescent="0.15">
      <c r="A2447" s="6">
        <v>2446</v>
      </c>
      <c r="B2447" s="7" t="s">
        <v>7</v>
      </c>
      <c r="C2447" s="8">
        <v>1890</v>
      </c>
      <c r="D2447" s="9">
        <v>45449</v>
      </c>
      <c r="E2447" s="13">
        <f>+HYPERLINK("http://trademark.i-assist.jp/data/china/image_1890th/77346537.pdf",77346537)</f>
        <v>77346537</v>
      </c>
      <c r="F2447" s="7" t="s">
        <v>6817</v>
      </c>
      <c r="G2447" s="7" t="s">
        <v>6816</v>
      </c>
      <c r="H2447" s="7" t="s">
        <v>6818</v>
      </c>
      <c r="I2447" s="9">
        <v>45367</v>
      </c>
    </row>
    <row r="2448" spans="1:9" x14ac:dyDescent="0.15">
      <c r="A2448" s="6">
        <v>2447</v>
      </c>
      <c r="B2448" s="7" t="s">
        <v>7</v>
      </c>
      <c r="C2448" s="8">
        <v>1890</v>
      </c>
      <c r="D2448" s="9">
        <v>45449</v>
      </c>
      <c r="E2448" s="13">
        <f>+HYPERLINK("http://trademark.i-assist.jp/data/china/image_1890th/77346543.pdf",77346543)</f>
        <v>77346543</v>
      </c>
      <c r="F2448" s="7" t="s">
        <v>6820</v>
      </c>
      <c r="G2448" s="7" t="s">
        <v>6819</v>
      </c>
      <c r="H2448" s="7" t="s">
        <v>6821</v>
      </c>
      <c r="I2448" s="9">
        <v>45367</v>
      </c>
    </row>
    <row r="2449" spans="1:9" x14ac:dyDescent="0.15">
      <c r="A2449" s="6">
        <v>2448</v>
      </c>
      <c r="B2449" s="7" t="s">
        <v>7</v>
      </c>
      <c r="C2449" s="8">
        <v>1890</v>
      </c>
      <c r="D2449" s="9">
        <v>45449</v>
      </c>
      <c r="E2449" s="13">
        <f>+HYPERLINK("http://trademark.i-assist.jp/data/china/image_1890th/77346651.pdf",77346651)</f>
        <v>77346651</v>
      </c>
      <c r="F2449" s="7" t="s">
        <v>6823</v>
      </c>
      <c r="G2449" s="7" t="s">
        <v>6822</v>
      </c>
      <c r="H2449" s="7" t="s">
        <v>6824</v>
      </c>
      <c r="I2449" s="9">
        <v>45367</v>
      </c>
    </row>
    <row r="2450" spans="1:9" ht="27" x14ac:dyDescent="0.15">
      <c r="A2450" s="6">
        <v>2449</v>
      </c>
      <c r="B2450" s="7" t="s">
        <v>7</v>
      </c>
      <c r="C2450" s="8">
        <v>1890</v>
      </c>
      <c r="D2450" s="9">
        <v>45449</v>
      </c>
      <c r="E2450" s="13">
        <f>+HYPERLINK("http://trademark.i-assist.jp/data/china/image_1890th/77346695.pdf",77346695)</f>
        <v>77346695</v>
      </c>
      <c r="F2450" s="7" t="s">
        <v>6825</v>
      </c>
      <c r="G2450" s="7" t="s">
        <v>6744</v>
      </c>
      <c r="H2450" s="7" t="s">
        <v>6826</v>
      </c>
      <c r="I2450" s="9">
        <v>45367</v>
      </c>
    </row>
    <row r="2451" spans="1:9" x14ac:dyDescent="0.15">
      <c r="A2451" s="6">
        <v>2450</v>
      </c>
      <c r="B2451" s="7" t="s">
        <v>7</v>
      </c>
      <c r="C2451" s="8">
        <v>1890</v>
      </c>
      <c r="D2451" s="9">
        <v>45449</v>
      </c>
      <c r="E2451" s="13">
        <f>+HYPERLINK("http://trademark.i-assist.jp/data/china/image_1890th/77346720.pdf",77346720)</f>
        <v>77346720</v>
      </c>
      <c r="F2451" s="7" t="s">
        <v>6828</v>
      </c>
      <c r="G2451" s="7" t="s">
        <v>6827</v>
      </c>
      <c r="H2451" s="7" t="s">
        <v>6829</v>
      </c>
      <c r="I2451" s="9">
        <v>45367</v>
      </c>
    </row>
    <row r="2452" spans="1:9" x14ac:dyDescent="0.15">
      <c r="A2452" s="6">
        <v>2451</v>
      </c>
      <c r="B2452" s="7" t="s">
        <v>7</v>
      </c>
      <c r="C2452" s="8">
        <v>1890</v>
      </c>
      <c r="D2452" s="9">
        <v>45449</v>
      </c>
      <c r="E2452" s="13">
        <f>+HYPERLINK("http://trademark.i-assist.jp/data/china/image_1890th/77346727.pdf",77346727)</f>
        <v>77346727</v>
      </c>
      <c r="F2452" s="7" t="s">
        <v>6831</v>
      </c>
      <c r="G2452" s="7" t="s">
        <v>6830</v>
      </c>
      <c r="H2452" s="7" t="s">
        <v>6832</v>
      </c>
      <c r="I2452" s="9">
        <v>45367</v>
      </c>
    </row>
    <row r="2453" spans="1:9" ht="27" x14ac:dyDescent="0.15">
      <c r="A2453" s="6">
        <v>2452</v>
      </c>
      <c r="B2453" s="7" t="s">
        <v>7</v>
      </c>
      <c r="C2453" s="8">
        <v>1890</v>
      </c>
      <c r="D2453" s="9">
        <v>45449</v>
      </c>
      <c r="E2453" s="13">
        <f>+HYPERLINK("http://trademark.i-assist.jp/data/china/image_1890th/77346762.pdf",77346762)</f>
        <v>77346762</v>
      </c>
      <c r="F2453" s="7" t="s">
        <v>6737</v>
      </c>
      <c r="G2453" s="7" t="s">
        <v>6736</v>
      </c>
      <c r="H2453" s="7" t="s">
        <v>6833</v>
      </c>
      <c r="I2453" s="9">
        <v>45367</v>
      </c>
    </row>
    <row r="2454" spans="1:9" x14ac:dyDescent="0.15">
      <c r="A2454" s="6">
        <v>2453</v>
      </c>
      <c r="B2454" s="7" t="s">
        <v>7</v>
      </c>
      <c r="C2454" s="8">
        <v>1890</v>
      </c>
      <c r="D2454" s="9">
        <v>45449</v>
      </c>
      <c r="E2454" s="13">
        <f>+HYPERLINK("http://trademark.i-assist.jp/data/china/image_1890th/77346775.pdf",77346775)</f>
        <v>77346775</v>
      </c>
      <c r="F2454" s="7" t="s">
        <v>6835</v>
      </c>
      <c r="G2454" s="7" t="s">
        <v>6834</v>
      </c>
      <c r="H2454" s="7" t="s">
        <v>6836</v>
      </c>
      <c r="I2454" s="9">
        <v>45367</v>
      </c>
    </row>
    <row r="2455" spans="1:9" ht="27" x14ac:dyDescent="0.15">
      <c r="A2455" s="6">
        <v>2454</v>
      </c>
      <c r="B2455" s="7" t="s">
        <v>7</v>
      </c>
      <c r="C2455" s="8">
        <v>1890</v>
      </c>
      <c r="D2455" s="9">
        <v>45449</v>
      </c>
      <c r="E2455" s="13">
        <f>+HYPERLINK("http://trademark.i-assist.jp/data/china/image_1890th/77346993.pdf",77346993)</f>
        <v>77346993</v>
      </c>
      <c r="F2455" s="7" t="s">
        <v>6838</v>
      </c>
      <c r="G2455" s="7" t="s">
        <v>6837</v>
      </c>
      <c r="H2455" s="7" t="s">
        <v>6839</v>
      </c>
      <c r="I2455" s="9">
        <v>45367</v>
      </c>
    </row>
    <row r="2456" spans="1:9" ht="27" x14ac:dyDescent="0.15">
      <c r="A2456" s="6">
        <v>2455</v>
      </c>
      <c r="B2456" s="7" t="s">
        <v>7</v>
      </c>
      <c r="C2456" s="8">
        <v>1890</v>
      </c>
      <c r="D2456" s="9">
        <v>45449</v>
      </c>
      <c r="E2456" s="13">
        <f>+HYPERLINK("http://trademark.i-assist.jp/data/china/image_1890th/77347439.pdf",77347439)</f>
        <v>77347439</v>
      </c>
      <c r="F2456" s="7" t="s">
        <v>6841</v>
      </c>
      <c r="G2456" s="7" t="s">
        <v>6840</v>
      </c>
      <c r="H2456" s="7" t="s">
        <v>6842</v>
      </c>
      <c r="I2456" s="9">
        <v>45367</v>
      </c>
    </row>
    <row r="2457" spans="1:9" x14ac:dyDescent="0.15">
      <c r="A2457" s="6">
        <v>2456</v>
      </c>
      <c r="B2457" s="7" t="s">
        <v>7</v>
      </c>
      <c r="C2457" s="8">
        <v>1890</v>
      </c>
      <c r="D2457" s="9">
        <v>45449</v>
      </c>
      <c r="E2457" s="13">
        <f>+HYPERLINK("http://trademark.i-assist.jp/data/china/image_1890th/77347448.pdf",77347448)</f>
        <v>77347448</v>
      </c>
      <c r="F2457" s="7" t="s">
        <v>6844</v>
      </c>
      <c r="G2457" s="7" t="s">
        <v>6843</v>
      </c>
      <c r="H2457" s="7" t="s">
        <v>6845</v>
      </c>
      <c r="I2457" s="9">
        <v>45367</v>
      </c>
    </row>
    <row r="2458" spans="1:9" x14ac:dyDescent="0.15">
      <c r="A2458" s="6">
        <v>2457</v>
      </c>
      <c r="B2458" s="7" t="s">
        <v>7</v>
      </c>
      <c r="C2458" s="8">
        <v>1890</v>
      </c>
      <c r="D2458" s="9">
        <v>45449</v>
      </c>
      <c r="E2458" s="13">
        <f>+HYPERLINK("http://trademark.i-assist.jp/data/china/image_1890th/77347541.pdf",77347541)</f>
        <v>77347541</v>
      </c>
      <c r="F2458" s="7" t="s">
        <v>6847</v>
      </c>
      <c r="G2458" s="7" t="s">
        <v>6846</v>
      </c>
      <c r="H2458" s="7" t="s">
        <v>6848</v>
      </c>
      <c r="I2458" s="9">
        <v>45367</v>
      </c>
    </row>
    <row r="2459" spans="1:9" x14ac:dyDescent="0.15">
      <c r="A2459" s="6">
        <v>2458</v>
      </c>
      <c r="B2459" s="7" t="s">
        <v>7</v>
      </c>
      <c r="C2459" s="8">
        <v>1890</v>
      </c>
      <c r="D2459" s="9">
        <v>45449</v>
      </c>
      <c r="E2459" s="13">
        <f>+HYPERLINK("http://trademark.i-assist.jp/data/china/image_1890th/77347666.pdf",77347666)</f>
        <v>77347666</v>
      </c>
      <c r="F2459" s="7" t="s">
        <v>6849</v>
      </c>
      <c r="G2459" s="7" t="s">
        <v>2460</v>
      </c>
      <c r="H2459" s="7" t="s">
        <v>6850</v>
      </c>
      <c r="I2459" s="9">
        <v>45367</v>
      </c>
    </row>
    <row r="2460" spans="1:9" x14ac:dyDescent="0.15">
      <c r="A2460" s="6">
        <v>2459</v>
      </c>
      <c r="B2460" s="7" t="s">
        <v>7</v>
      </c>
      <c r="C2460" s="8">
        <v>1890</v>
      </c>
      <c r="D2460" s="9">
        <v>45449</v>
      </c>
      <c r="E2460" s="13">
        <f>+HYPERLINK("http://trademark.i-assist.jp/data/china/image_1890th/77347669.pdf",77347669)</f>
        <v>77347669</v>
      </c>
      <c r="F2460" s="7" t="s">
        <v>6851</v>
      </c>
      <c r="G2460" s="7" t="s">
        <v>2460</v>
      </c>
      <c r="H2460" s="7" t="s">
        <v>6852</v>
      </c>
      <c r="I2460" s="9">
        <v>45367</v>
      </c>
    </row>
    <row r="2461" spans="1:9" x14ac:dyDescent="0.15">
      <c r="A2461" s="6">
        <v>2460</v>
      </c>
      <c r="B2461" s="7" t="s">
        <v>7</v>
      </c>
      <c r="C2461" s="8">
        <v>1890</v>
      </c>
      <c r="D2461" s="9">
        <v>45449</v>
      </c>
      <c r="E2461" s="13">
        <f>+HYPERLINK("http://trademark.i-assist.jp/data/china/image_1890th/77347968.pdf",77347968)</f>
        <v>77347968</v>
      </c>
      <c r="F2461" s="7" t="s">
        <v>6853</v>
      </c>
      <c r="G2461" s="7" t="s">
        <v>6631</v>
      </c>
      <c r="H2461" s="7" t="s">
        <v>6854</v>
      </c>
      <c r="I2461" s="9">
        <v>45367</v>
      </c>
    </row>
    <row r="2462" spans="1:9" x14ac:dyDescent="0.15">
      <c r="A2462" s="6">
        <v>2461</v>
      </c>
      <c r="B2462" s="7" t="s">
        <v>7</v>
      </c>
      <c r="C2462" s="8">
        <v>1890</v>
      </c>
      <c r="D2462" s="9">
        <v>45449</v>
      </c>
      <c r="E2462" s="13">
        <f>+HYPERLINK("http://trademark.i-assist.jp/data/china/image_1890th/77347999.pdf",77347999)</f>
        <v>77347999</v>
      </c>
      <c r="F2462" s="7" t="s">
        <v>183</v>
      </c>
      <c r="G2462" s="7" t="s">
        <v>6855</v>
      </c>
      <c r="H2462" s="7" t="s">
        <v>6856</v>
      </c>
      <c r="I2462" s="9">
        <v>45367</v>
      </c>
    </row>
    <row r="2463" spans="1:9" x14ac:dyDescent="0.15">
      <c r="A2463" s="6">
        <v>2462</v>
      </c>
      <c r="B2463" s="7" t="s">
        <v>7</v>
      </c>
      <c r="C2463" s="8">
        <v>1890</v>
      </c>
      <c r="D2463" s="9">
        <v>45449</v>
      </c>
      <c r="E2463" s="13">
        <f>+HYPERLINK("http://trademark.i-assist.jp/data/china/image_1890th/77348100.pdf",77348100)</f>
        <v>77348100</v>
      </c>
      <c r="F2463" s="7" t="s">
        <v>6857</v>
      </c>
      <c r="G2463" s="7" t="s">
        <v>622</v>
      </c>
      <c r="H2463" s="7" t="s">
        <v>6858</v>
      </c>
      <c r="I2463" s="9">
        <v>45367</v>
      </c>
    </row>
    <row r="2464" spans="1:9" ht="27" x14ac:dyDescent="0.15">
      <c r="A2464" s="6">
        <v>2463</v>
      </c>
      <c r="B2464" s="7" t="s">
        <v>7</v>
      </c>
      <c r="C2464" s="8">
        <v>1890</v>
      </c>
      <c r="D2464" s="9">
        <v>45449</v>
      </c>
      <c r="E2464" s="13">
        <f>+HYPERLINK("http://trademark.i-assist.jp/data/china/image_1890th/77348120.pdf",77348120)</f>
        <v>77348120</v>
      </c>
      <c r="F2464" s="7" t="s">
        <v>6859</v>
      </c>
      <c r="G2464" s="7" t="s">
        <v>6744</v>
      </c>
      <c r="H2464" s="7" t="s">
        <v>6860</v>
      </c>
      <c r="I2464" s="9">
        <v>45367</v>
      </c>
    </row>
    <row r="2465" spans="1:9" x14ac:dyDescent="0.15">
      <c r="A2465" s="6">
        <v>2464</v>
      </c>
      <c r="B2465" s="7" t="s">
        <v>7</v>
      </c>
      <c r="C2465" s="8">
        <v>1890</v>
      </c>
      <c r="D2465" s="9">
        <v>45449</v>
      </c>
      <c r="E2465" s="13">
        <f>+HYPERLINK("http://trademark.i-assist.jp/data/china/image_1890th/77348300.pdf",77348300)</f>
        <v>77348300</v>
      </c>
      <c r="F2465" s="7" t="s">
        <v>6862</v>
      </c>
      <c r="G2465" s="7" t="s">
        <v>6861</v>
      </c>
      <c r="H2465" s="7" t="s">
        <v>6863</v>
      </c>
      <c r="I2465" s="9">
        <v>45367</v>
      </c>
    </row>
    <row r="2466" spans="1:9" ht="27" x14ac:dyDescent="0.15">
      <c r="A2466" s="6">
        <v>2465</v>
      </c>
      <c r="B2466" s="7" t="s">
        <v>7</v>
      </c>
      <c r="C2466" s="8">
        <v>1890</v>
      </c>
      <c r="D2466" s="9">
        <v>45449</v>
      </c>
      <c r="E2466" s="13">
        <f>+HYPERLINK("http://trademark.i-assist.jp/data/china/image_1890th/77348344.pdf",77348344)</f>
        <v>77348344</v>
      </c>
      <c r="F2466" s="7" t="s">
        <v>6865</v>
      </c>
      <c r="G2466" s="7" t="s">
        <v>6864</v>
      </c>
      <c r="H2466" s="7" t="s">
        <v>6866</v>
      </c>
      <c r="I2466" s="9">
        <v>45367</v>
      </c>
    </row>
    <row r="2467" spans="1:9" x14ac:dyDescent="0.15">
      <c r="A2467" s="6">
        <v>2466</v>
      </c>
      <c r="B2467" s="7" t="s">
        <v>7</v>
      </c>
      <c r="C2467" s="8">
        <v>1890</v>
      </c>
      <c r="D2467" s="9">
        <v>45449</v>
      </c>
      <c r="E2467" s="13">
        <f>+HYPERLINK("http://trademark.i-assist.jp/data/china/image_1890th/77348369.pdf",77348369)</f>
        <v>77348369</v>
      </c>
      <c r="F2467" s="7" t="s">
        <v>6868</v>
      </c>
      <c r="G2467" s="7" t="s">
        <v>6867</v>
      </c>
      <c r="H2467" s="7" t="s">
        <v>6869</v>
      </c>
      <c r="I2467" s="9">
        <v>45367</v>
      </c>
    </row>
    <row r="2468" spans="1:9" x14ac:dyDescent="0.15">
      <c r="A2468" s="6">
        <v>2467</v>
      </c>
      <c r="B2468" s="7" t="s">
        <v>7</v>
      </c>
      <c r="C2468" s="8">
        <v>1890</v>
      </c>
      <c r="D2468" s="9">
        <v>45449</v>
      </c>
      <c r="E2468" s="13">
        <f>+HYPERLINK("http://trademark.i-assist.jp/data/china/image_1890th/77348484.pdf",77348484)</f>
        <v>77348484</v>
      </c>
      <c r="F2468" s="7" t="s">
        <v>6871</v>
      </c>
      <c r="G2468" s="7" t="s">
        <v>6870</v>
      </c>
      <c r="H2468" s="7" t="s">
        <v>6872</v>
      </c>
      <c r="I2468" s="9">
        <v>45367</v>
      </c>
    </row>
    <row r="2469" spans="1:9" ht="27" x14ac:dyDescent="0.15">
      <c r="A2469" s="6">
        <v>2468</v>
      </c>
      <c r="B2469" s="7" t="s">
        <v>7</v>
      </c>
      <c r="C2469" s="8">
        <v>1890</v>
      </c>
      <c r="D2469" s="9">
        <v>45449</v>
      </c>
      <c r="E2469" s="13">
        <f>+HYPERLINK("http://trademark.i-assist.jp/data/china/image_1890th/77348544.pdf",77348544)</f>
        <v>77348544</v>
      </c>
      <c r="F2469" s="7" t="s">
        <v>6874</v>
      </c>
      <c r="G2469" s="7" t="s">
        <v>6873</v>
      </c>
      <c r="H2469" s="7" t="s">
        <v>6875</v>
      </c>
      <c r="I2469" s="9">
        <v>45367</v>
      </c>
    </row>
    <row r="2470" spans="1:9" ht="27" x14ac:dyDescent="0.15">
      <c r="A2470" s="6">
        <v>2469</v>
      </c>
      <c r="B2470" s="7" t="s">
        <v>7</v>
      </c>
      <c r="C2470" s="8">
        <v>1890</v>
      </c>
      <c r="D2470" s="9">
        <v>45449</v>
      </c>
      <c r="E2470" s="13">
        <f>+HYPERLINK("http://trademark.i-assist.jp/data/china/image_1890th/77348560.pdf",77348560)</f>
        <v>77348560</v>
      </c>
      <c r="F2470" s="7" t="s">
        <v>6877</v>
      </c>
      <c r="G2470" s="7" t="s">
        <v>6876</v>
      </c>
      <c r="H2470" s="7" t="s">
        <v>6878</v>
      </c>
      <c r="I2470" s="9">
        <v>45367</v>
      </c>
    </row>
    <row r="2471" spans="1:9" x14ac:dyDescent="0.15">
      <c r="A2471" s="6">
        <v>2470</v>
      </c>
      <c r="B2471" s="7" t="s">
        <v>7</v>
      </c>
      <c r="C2471" s="8">
        <v>1890</v>
      </c>
      <c r="D2471" s="9">
        <v>45449</v>
      </c>
      <c r="E2471" s="13">
        <f>+HYPERLINK("http://trademark.i-assist.jp/data/china/image_1890th/77348563.pdf",77348563)</f>
        <v>77348563</v>
      </c>
      <c r="F2471" s="7" t="s">
        <v>6879</v>
      </c>
      <c r="G2471" s="7" t="s">
        <v>2460</v>
      </c>
      <c r="H2471" s="7" t="s">
        <v>6880</v>
      </c>
      <c r="I2471" s="9">
        <v>45367</v>
      </c>
    </row>
    <row r="2472" spans="1:9" x14ac:dyDescent="0.15">
      <c r="A2472" s="6">
        <v>2471</v>
      </c>
      <c r="B2472" s="7" t="s">
        <v>7</v>
      </c>
      <c r="C2472" s="8">
        <v>1890</v>
      </c>
      <c r="D2472" s="9">
        <v>45449</v>
      </c>
      <c r="E2472" s="13">
        <f>+HYPERLINK("http://trademark.i-assist.jp/data/china/image_1890th/77348582.pdf",77348582)</f>
        <v>77348582</v>
      </c>
      <c r="F2472" s="7" t="s">
        <v>6882</v>
      </c>
      <c r="G2472" s="7" t="s">
        <v>6881</v>
      </c>
      <c r="H2472" s="7" t="s">
        <v>6883</v>
      </c>
      <c r="I2472" s="9">
        <v>45367</v>
      </c>
    </row>
    <row r="2473" spans="1:9" x14ac:dyDescent="0.15">
      <c r="A2473" s="6">
        <v>2472</v>
      </c>
      <c r="B2473" s="7" t="s">
        <v>7</v>
      </c>
      <c r="C2473" s="8">
        <v>1890</v>
      </c>
      <c r="D2473" s="9">
        <v>45449</v>
      </c>
      <c r="E2473" s="13">
        <f>+HYPERLINK("http://trademark.i-assist.jp/data/china/image_1890th/77348675.pdf",77348675)</f>
        <v>77348675</v>
      </c>
      <c r="F2473" s="7" t="s">
        <v>6885</v>
      </c>
      <c r="G2473" s="7" t="s">
        <v>6884</v>
      </c>
      <c r="H2473" s="7" t="s">
        <v>6886</v>
      </c>
      <c r="I2473" s="9">
        <v>45367</v>
      </c>
    </row>
    <row r="2474" spans="1:9" x14ac:dyDescent="0.15">
      <c r="A2474" s="6">
        <v>2473</v>
      </c>
      <c r="B2474" s="7" t="s">
        <v>7</v>
      </c>
      <c r="C2474" s="8">
        <v>1890</v>
      </c>
      <c r="D2474" s="9">
        <v>45449</v>
      </c>
      <c r="E2474" s="13">
        <f>+HYPERLINK("http://trademark.i-assist.jp/data/china/image_1890th/77348823.pdf",77348823)</f>
        <v>77348823</v>
      </c>
      <c r="F2474" s="7" t="s">
        <v>6888</v>
      </c>
      <c r="G2474" s="7" t="s">
        <v>6887</v>
      </c>
      <c r="H2474" s="7" t="s">
        <v>6889</v>
      </c>
      <c r="I2474" s="9">
        <v>45367</v>
      </c>
    </row>
    <row r="2475" spans="1:9" x14ac:dyDescent="0.15">
      <c r="A2475" s="6">
        <v>2474</v>
      </c>
      <c r="B2475" s="7" t="s">
        <v>7</v>
      </c>
      <c r="C2475" s="8">
        <v>1890</v>
      </c>
      <c r="D2475" s="9">
        <v>45449</v>
      </c>
      <c r="E2475" s="13">
        <f>+HYPERLINK("http://trademark.i-assist.jp/data/china/image_1890th/77349014.pdf",77349014)</f>
        <v>77349014</v>
      </c>
      <c r="F2475" s="7" t="s">
        <v>6891</v>
      </c>
      <c r="G2475" s="7" t="s">
        <v>6890</v>
      </c>
      <c r="H2475" s="7" t="s">
        <v>6892</v>
      </c>
      <c r="I2475" s="9">
        <v>45367</v>
      </c>
    </row>
    <row r="2476" spans="1:9" x14ac:dyDescent="0.15">
      <c r="A2476" s="6">
        <v>2475</v>
      </c>
      <c r="B2476" s="7" t="s">
        <v>7</v>
      </c>
      <c r="C2476" s="8">
        <v>1890</v>
      </c>
      <c r="D2476" s="9">
        <v>45449</v>
      </c>
      <c r="E2476" s="13">
        <f>+HYPERLINK("http://trademark.i-assist.jp/data/china/image_1890th/77349254.pdf",77349254)</f>
        <v>77349254</v>
      </c>
      <c r="F2476" s="7" t="s">
        <v>6893</v>
      </c>
      <c r="G2476" s="7" t="s">
        <v>6798</v>
      </c>
      <c r="H2476" s="7" t="s">
        <v>6894</v>
      </c>
      <c r="I2476" s="9">
        <v>45367</v>
      </c>
    </row>
    <row r="2477" spans="1:9" x14ac:dyDescent="0.15">
      <c r="A2477" s="6">
        <v>2476</v>
      </c>
      <c r="B2477" s="7" t="s">
        <v>7</v>
      </c>
      <c r="C2477" s="8">
        <v>1890</v>
      </c>
      <c r="D2477" s="9">
        <v>45449</v>
      </c>
      <c r="E2477" s="13">
        <f>+HYPERLINK("http://trademark.i-assist.jp/data/china/image_1890th/77349258.pdf",77349258)</f>
        <v>77349258</v>
      </c>
      <c r="F2477" s="7" t="s">
        <v>6895</v>
      </c>
      <c r="G2477" s="7" t="s">
        <v>6798</v>
      </c>
      <c r="H2477" s="7" t="s">
        <v>6896</v>
      </c>
      <c r="I2477" s="9">
        <v>45367</v>
      </c>
    </row>
    <row r="2478" spans="1:9" x14ac:dyDescent="0.15">
      <c r="A2478" s="6">
        <v>2477</v>
      </c>
      <c r="B2478" s="7" t="s">
        <v>7</v>
      </c>
      <c r="C2478" s="8">
        <v>1890</v>
      </c>
      <c r="D2478" s="9">
        <v>45449</v>
      </c>
      <c r="E2478" s="13">
        <f>+HYPERLINK("http://trademark.i-assist.jp/data/china/image_1890th/77349316.pdf",77349316)</f>
        <v>77349316</v>
      </c>
      <c r="F2478" s="7" t="s">
        <v>6897</v>
      </c>
      <c r="G2478" s="7" t="s">
        <v>6846</v>
      </c>
      <c r="H2478" s="7" t="s">
        <v>6898</v>
      </c>
      <c r="I2478" s="9">
        <v>45367</v>
      </c>
    </row>
    <row r="2479" spans="1:9" ht="27" x14ac:dyDescent="0.15">
      <c r="A2479" s="6">
        <v>2478</v>
      </c>
      <c r="B2479" s="7" t="s">
        <v>7</v>
      </c>
      <c r="C2479" s="8">
        <v>1890</v>
      </c>
      <c r="D2479" s="9">
        <v>45449</v>
      </c>
      <c r="E2479" s="13">
        <f>+HYPERLINK("http://trademark.i-assist.jp/data/china/image_1890th/77349322.pdf",77349322)</f>
        <v>77349322</v>
      </c>
      <c r="F2479" s="7" t="s">
        <v>6899</v>
      </c>
      <c r="G2479" s="7" t="s">
        <v>6873</v>
      </c>
      <c r="H2479" s="7" t="s">
        <v>6900</v>
      </c>
      <c r="I2479" s="9">
        <v>45367</v>
      </c>
    </row>
    <row r="2480" spans="1:9" x14ac:dyDescent="0.15">
      <c r="A2480" s="6">
        <v>2479</v>
      </c>
      <c r="B2480" s="7" t="s">
        <v>7</v>
      </c>
      <c r="C2480" s="8">
        <v>1890</v>
      </c>
      <c r="D2480" s="9">
        <v>45449</v>
      </c>
      <c r="E2480" s="13">
        <f>+HYPERLINK("http://trademark.i-assist.jp/data/china/image_1890th/77349523.pdf",77349523)</f>
        <v>77349523</v>
      </c>
      <c r="F2480" s="7" t="s">
        <v>6902</v>
      </c>
      <c r="G2480" s="7" t="s">
        <v>6901</v>
      </c>
      <c r="H2480" s="7" t="s">
        <v>6903</v>
      </c>
      <c r="I2480" s="9">
        <v>45367</v>
      </c>
    </row>
    <row r="2481" spans="1:9" x14ac:dyDescent="0.15">
      <c r="A2481" s="6">
        <v>2480</v>
      </c>
      <c r="B2481" s="7" t="s">
        <v>7</v>
      </c>
      <c r="C2481" s="8">
        <v>1890</v>
      </c>
      <c r="D2481" s="9">
        <v>45449</v>
      </c>
      <c r="E2481" s="13">
        <f>+HYPERLINK("http://trademark.i-assist.jp/data/china/image_1890th/77349585.pdf",77349585)</f>
        <v>77349585</v>
      </c>
      <c r="F2481" s="7" t="s">
        <v>6905</v>
      </c>
      <c r="G2481" s="7" t="s">
        <v>6904</v>
      </c>
      <c r="H2481" s="7" t="s">
        <v>6906</v>
      </c>
      <c r="I2481" s="9">
        <v>45367</v>
      </c>
    </row>
    <row r="2482" spans="1:9" x14ac:dyDescent="0.15">
      <c r="A2482" s="6">
        <v>2481</v>
      </c>
      <c r="B2482" s="7" t="s">
        <v>7</v>
      </c>
      <c r="C2482" s="8">
        <v>1890</v>
      </c>
      <c r="D2482" s="9">
        <v>45449</v>
      </c>
      <c r="E2482" s="13">
        <f>+HYPERLINK("http://trademark.i-assist.jp/data/china/image_1890th/77349721.pdf",77349721)</f>
        <v>77349721</v>
      </c>
      <c r="F2482" s="7" t="s">
        <v>6908</v>
      </c>
      <c r="G2482" s="7" t="s">
        <v>6907</v>
      </c>
      <c r="H2482" s="7" t="s">
        <v>6909</v>
      </c>
      <c r="I2482" s="9">
        <v>45367</v>
      </c>
    </row>
    <row r="2483" spans="1:9" x14ac:dyDescent="0.15">
      <c r="A2483" s="6">
        <v>2482</v>
      </c>
      <c r="B2483" s="7" t="s">
        <v>7</v>
      </c>
      <c r="C2483" s="8">
        <v>1890</v>
      </c>
      <c r="D2483" s="9">
        <v>45449</v>
      </c>
      <c r="E2483" s="13">
        <f>+HYPERLINK("http://trademark.i-assist.jp/data/china/image_1890th/77349890.pdf",77349890)</f>
        <v>77349890</v>
      </c>
      <c r="F2483" s="7" t="s">
        <v>6910</v>
      </c>
      <c r="G2483" s="7" t="s">
        <v>6739</v>
      </c>
      <c r="H2483" s="7" t="s">
        <v>6911</v>
      </c>
      <c r="I2483" s="9">
        <v>45367</v>
      </c>
    </row>
    <row r="2484" spans="1:9" x14ac:dyDescent="0.15">
      <c r="A2484" s="6">
        <v>2483</v>
      </c>
      <c r="B2484" s="7" t="s">
        <v>7</v>
      </c>
      <c r="C2484" s="8">
        <v>1890</v>
      </c>
      <c r="D2484" s="9">
        <v>45449</v>
      </c>
      <c r="E2484" s="13">
        <f>+HYPERLINK("http://trademark.i-assist.jp/data/china/image_1890th/77349979.pdf",77349979)</f>
        <v>77349979</v>
      </c>
      <c r="F2484" s="7" t="s">
        <v>6913</v>
      </c>
      <c r="G2484" s="7" t="s">
        <v>6912</v>
      </c>
      <c r="H2484" s="7" t="s">
        <v>6914</v>
      </c>
      <c r="I2484" s="9">
        <v>45367</v>
      </c>
    </row>
    <row r="2485" spans="1:9" x14ac:dyDescent="0.15">
      <c r="A2485" s="6">
        <v>2484</v>
      </c>
      <c r="B2485" s="7" t="s">
        <v>7</v>
      </c>
      <c r="C2485" s="8">
        <v>1890</v>
      </c>
      <c r="D2485" s="9">
        <v>45449</v>
      </c>
      <c r="E2485" s="13">
        <f>+HYPERLINK("http://trademark.i-assist.jp/data/china/image_1890th/77350135.pdf",77350135)</f>
        <v>77350135</v>
      </c>
      <c r="F2485" s="7" t="s">
        <v>183</v>
      </c>
      <c r="G2485" s="7" t="s">
        <v>6804</v>
      </c>
      <c r="H2485" s="7" t="s">
        <v>6915</v>
      </c>
      <c r="I2485" s="9">
        <v>45367</v>
      </c>
    </row>
    <row r="2486" spans="1:9" x14ac:dyDescent="0.15">
      <c r="A2486" s="6">
        <v>2485</v>
      </c>
      <c r="B2486" s="7" t="s">
        <v>7</v>
      </c>
      <c r="C2486" s="8">
        <v>1890</v>
      </c>
      <c r="D2486" s="9">
        <v>45449</v>
      </c>
      <c r="E2486" s="13">
        <f>+HYPERLINK("http://trademark.i-assist.jp/data/china/image_1890th/77414022.pdf",77414022)</f>
        <v>77414022</v>
      </c>
      <c r="F2486" s="7" t="s">
        <v>6917</v>
      </c>
      <c r="G2486" s="7" t="s">
        <v>6916</v>
      </c>
      <c r="H2486" s="7" t="s">
        <v>6918</v>
      </c>
      <c r="I2486" s="9">
        <v>45370</v>
      </c>
    </row>
    <row r="2487" spans="1:9" x14ac:dyDescent="0.15">
      <c r="A2487" s="6">
        <v>2486</v>
      </c>
      <c r="B2487" s="7" t="s">
        <v>7</v>
      </c>
      <c r="C2487" s="8">
        <v>1890</v>
      </c>
      <c r="D2487" s="9">
        <v>45449</v>
      </c>
      <c r="E2487" s="13">
        <f>+HYPERLINK("http://trademark.i-assist.jp/data/china/image_1890th/77414064.pdf",77414064)</f>
        <v>77414064</v>
      </c>
      <c r="F2487" s="7" t="s">
        <v>6919</v>
      </c>
      <c r="G2487" s="7" t="s">
        <v>39</v>
      </c>
      <c r="H2487" s="7" t="s">
        <v>6920</v>
      </c>
      <c r="I2487" s="9">
        <v>45370</v>
      </c>
    </row>
    <row r="2488" spans="1:9" x14ac:dyDescent="0.15">
      <c r="A2488" s="6">
        <v>2487</v>
      </c>
      <c r="B2488" s="7" t="s">
        <v>7</v>
      </c>
      <c r="C2488" s="8">
        <v>1890</v>
      </c>
      <c r="D2488" s="9">
        <v>45449</v>
      </c>
      <c r="E2488" s="13">
        <f>+HYPERLINK("http://trademark.i-assist.jp/data/china/image_1890th/77414069.pdf",77414069)</f>
        <v>77414069</v>
      </c>
      <c r="F2488" s="7" t="s">
        <v>6921</v>
      </c>
      <c r="G2488" s="7" t="s">
        <v>39</v>
      </c>
      <c r="H2488" s="7" t="s">
        <v>6922</v>
      </c>
      <c r="I2488" s="9">
        <v>45370</v>
      </c>
    </row>
    <row r="2489" spans="1:9" ht="27" x14ac:dyDescent="0.15">
      <c r="A2489" s="6">
        <v>2488</v>
      </c>
      <c r="B2489" s="7" t="s">
        <v>7</v>
      </c>
      <c r="C2489" s="8">
        <v>1890</v>
      </c>
      <c r="D2489" s="9">
        <v>45449</v>
      </c>
      <c r="E2489" s="13">
        <f>+HYPERLINK("http://trademark.i-assist.jp/data/china/image_1890th/77414098.pdf",77414098)</f>
        <v>77414098</v>
      </c>
      <c r="F2489" s="7" t="s">
        <v>6924</v>
      </c>
      <c r="G2489" s="7" t="s">
        <v>6923</v>
      </c>
      <c r="H2489" s="7" t="s">
        <v>6925</v>
      </c>
      <c r="I2489" s="9">
        <v>45370</v>
      </c>
    </row>
    <row r="2490" spans="1:9" ht="27" x14ac:dyDescent="0.15">
      <c r="A2490" s="6">
        <v>2489</v>
      </c>
      <c r="B2490" s="7" t="s">
        <v>7</v>
      </c>
      <c r="C2490" s="8">
        <v>1890</v>
      </c>
      <c r="D2490" s="9">
        <v>45449</v>
      </c>
      <c r="E2490" s="13">
        <f>+HYPERLINK("http://trademark.i-assist.jp/data/china/image_1890th/77414186.pdf",77414186)</f>
        <v>77414186</v>
      </c>
      <c r="F2490" s="7" t="s">
        <v>6927</v>
      </c>
      <c r="G2490" s="7" t="s">
        <v>6926</v>
      </c>
      <c r="H2490" s="7" t="s">
        <v>6928</v>
      </c>
      <c r="I2490" s="9">
        <v>45370</v>
      </c>
    </row>
    <row r="2491" spans="1:9" ht="27" x14ac:dyDescent="0.15">
      <c r="A2491" s="6">
        <v>2490</v>
      </c>
      <c r="B2491" s="7" t="s">
        <v>7</v>
      </c>
      <c r="C2491" s="8">
        <v>1890</v>
      </c>
      <c r="D2491" s="9">
        <v>45449</v>
      </c>
      <c r="E2491" s="13">
        <f>+HYPERLINK("http://trademark.i-assist.jp/data/china/image_1890th/77414195.pdf",77414195)</f>
        <v>77414195</v>
      </c>
      <c r="F2491" s="7" t="s">
        <v>6929</v>
      </c>
      <c r="G2491" s="7" t="s">
        <v>6926</v>
      </c>
      <c r="H2491" s="7" t="s">
        <v>6930</v>
      </c>
      <c r="I2491" s="9">
        <v>45370</v>
      </c>
    </row>
    <row r="2492" spans="1:9" x14ac:dyDescent="0.15">
      <c r="A2492" s="6">
        <v>2491</v>
      </c>
      <c r="B2492" s="7" t="s">
        <v>7</v>
      </c>
      <c r="C2492" s="8">
        <v>1890</v>
      </c>
      <c r="D2492" s="9">
        <v>45449</v>
      </c>
      <c r="E2492" s="13">
        <f>+HYPERLINK("http://trademark.i-assist.jp/data/china/image_1890th/77414213.pdf",77414213)</f>
        <v>77414213</v>
      </c>
      <c r="F2492" s="7" t="s">
        <v>6932</v>
      </c>
      <c r="G2492" s="7" t="s">
        <v>6931</v>
      </c>
      <c r="H2492" s="7" t="s">
        <v>6933</v>
      </c>
      <c r="I2492" s="9">
        <v>45370</v>
      </c>
    </row>
    <row r="2493" spans="1:9" x14ac:dyDescent="0.15">
      <c r="A2493" s="6">
        <v>2492</v>
      </c>
      <c r="B2493" s="7" t="s">
        <v>7</v>
      </c>
      <c r="C2493" s="8">
        <v>1890</v>
      </c>
      <c r="D2493" s="9">
        <v>45449</v>
      </c>
      <c r="E2493" s="13">
        <f>+HYPERLINK("http://trademark.i-assist.jp/data/china/image_1890th/77414361.pdf",77414361)</f>
        <v>77414361</v>
      </c>
      <c r="F2493" s="7" t="s">
        <v>6935</v>
      </c>
      <c r="G2493" s="7" t="s">
        <v>6934</v>
      </c>
      <c r="H2493" s="7" t="s">
        <v>6936</v>
      </c>
      <c r="I2493" s="9">
        <v>45370</v>
      </c>
    </row>
    <row r="2494" spans="1:9" x14ac:dyDescent="0.15">
      <c r="A2494" s="6">
        <v>2493</v>
      </c>
      <c r="B2494" s="7" t="s">
        <v>7</v>
      </c>
      <c r="C2494" s="8">
        <v>1890</v>
      </c>
      <c r="D2494" s="9">
        <v>45449</v>
      </c>
      <c r="E2494" s="13">
        <f>+HYPERLINK("http://trademark.i-assist.jp/data/china/image_1890th/77414540.pdf",77414540)</f>
        <v>77414540</v>
      </c>
      <c r="F2494" s="7" t="s">
        <v>183</v>
      </c>
      <c r="G2494" s="7" t="s">
        <v>6937</v>
      </c>
      <c r="H2494" s="7" t="s">
        <v>6938</v>
      </c>
      <c r="I2494" s="9">
        <v>45370</v>
      </c>
    </row>
    <row r="2495" spans="1:9" x14ac:dyDescent="0.15">
      <c r="A2495" s="6">
        <v>2494</v>
      </c>
      <c r="B2495" s="7" t="s">
        <v>7</v>
      </c>
      <c r="C2495" s="8">
        <v>1890</v>
      </c>
      <c r="D2495" s="9">
        <v>45449</v>
      </c>
      <c r="E2495" s="13">
        <f>+HYPERLINK("http://trademark.i-assist.jp/data/china/image_1890th/77414558.pdf",77414558)</f>
        <v>77414558</v>
      </c>
      <c r="F2495" s="7" t="s">
        <v>6940</v>
      </c>
      <c r="G2495" s="7" t="s">
        <v>6939</v>
      </c>
      <c r="H2495" s="7" t="s">
        <v>6941</v>
      </c>
      <c r="I2495" s="9">
        <v>45370</v>
      </c>
    </row>
    <row r="2496" spans="1:9" x14ac:dyDescent="0.15">
      <c r="A2496" s="6">
        <v>2495</v>
      </c>
      <c r="B2496" s="7" t="s">
        <v>7</v>
      </c>
      <c r="C2496" s="8">
        <v>1890</v>
      </c>
      <c r="D2496" s="9">
        <v>45449</v>
      </c>
      <c r="E2496" s="13">
        <f>+HYPERLINK("http://trademark.i-assist.jp/data/china/image_1890th/77414622.pdf",77414622)</f>
        <v>77414622</v>
      </c>
      <c r="F2496" s="7" t="s">
        <v>6943</v>
      </c>
      <c r="G2496" s="7" t="s">
        <v>6942</v>
      </c>
      <c r="H2496" s="7" t="s">
        <v>6944</v>
      </c>
      <c r="I2496" s="9">
        <v>45370</v>
      </c>
    </row>
    <row r="2497" spans="1:9" x14ac:dyDescent="0.15">
      <c r="A2497" s="6">
        <v>2496</v>
      </c>
      <c r="B2497" s="7" t="s">
        <v>7</v>
      </c>
      <c r="C2497" s="8">
        <v>1890</v>
      </c>
      <c r="D2497" s="9">
        <v>45449</v>
      </c>
      <c r="E2497" s="13">
        <f>+HYPERLINK("http://trademark.i-assist.jp/data/china/image_1890th/77414634.pdf",77414634)</f>
        <v>77414634</v>
      </c>
      <c r="F2497" s="7" t="s">
        <v>6945</v>
      </c>
      <c r="G2497" s="7" t="s">
        <v>5164</v>
      </c>
      <c r="H2497" s="7" t="s">
        <v>6946</v>
      </c>
      <c r="I2497" s="9">
        <v>45370</v>
      </c>
    </row>
    <row r="2498" spans="1:9" x14ac:dyDescent="0.15">
      <c r="A2498" s="6">
        <v>2497</v>
      </c>
      <c r="B2498" s="7" t="s">
        <v>7</v>
      </c>
      <c r="C2498" s="8">
        <v>1890</v>
      </c>
      <c r="D2498" s="9">
        <v>45449</v>
      </c>
      <c r="E2498" s="13">
        <f>+HYPERLINK("http://trademark.i-assist.jp/data/china/image_1890th/77414686.pdf",77414686)</f>
        <v>77414686</v>
      </c>
      <c r="F2498" s="7" t="s">
        <v>6948</v>
      </c>
      <c r="G2498" s="7" t="s">
        <v>6947</v>
      </c>
      <c r="H2498" s="7" t="s">
        <v>6949</v>
      </c>
      <c r="I2498" s="9">
        <v>45370</v>
      </c>
    </row>
    <row r="2499" spans="1:9" x14ac:dyDescent="0.15">
      <c r="A2499" s="6">
        <v>2498</v>
      </c>
      <c r="B2499" s="7" t="s">
        <v>7</v>
      </c>
      <c r="C2499" s="8">
        <v>1890</v>
      </c>
      <c r="D2499" s="9">
        <v>45449</v>
      </c>
      <c r="E2499" s="13">
        <f>+HYPERLINK("http://trademark.i-assist.jp/data/china/image_1890th/77414746.pdf",77414746)</f>
        <v>77414746</v>
      </c>
      <c r="F2499" s="7" t="s">
        <v>6951</v>
      </c>
      <c r="G2499" s="7" t="s">
        <v>6950</v>
      </c>
      <c r="H2499" s="7" t="s">
        <v>6952</v>
      </c>
      <c r="I2499" s="9">
        <v>45370</v>
      </c>
    </row>
    <row r="2500" spans="1:9" x14ac:dyDescent="0.15">
      <c r="A2500" s="6">
        <v>2499</v>
      </c>
      <c r="B2500" s="7" t="s">
        <v>7</v>
      </c>
      <c r="C2500" s="8">
        <v>1890</v>
      </c>
      <c r="D2500" s="9">
        <v>45449</v>
      </c>
      <c r="E2500" s="13">
        <f>+HYPERLINK("http://trademark.i-assist.jp/data/china/image_1890th/77415043.pdf",77415043)</f>
        <v>77415043</v>
      </c>
      <c r="F2500" s="7" t="s">
        <v>6953</v>
      </c>
      <c r="G2500" s="7" t="s">
        <v>1943</v>
      </c>
      <c r="H2500" s="7" t="s">
        <v>6954</v>
      </c>
      <c r="I2500" s="9">
        <v>45370</v>
      </c>
    </row>
    <row r="2501" spans="1:9" x14ac:dyDescent="0.15">
      <c r="A2501" s="6">
        <v>2500</v>
      </c>
      <c r="B2501" s="7" t="s">
        <v>7</v>
      </c>
      <c r="C2501" s="8">
        <v>1890</v>
      </c>
      <c r="D2501" s="9">
        <v>45449</v>
      </c>
      <c r="E2501" s="13">
        <f>+HYPERLINK("http://trademark.i-assist.jp/data/china/image_1890th/77449329.pdf",77449329)</f>
        <v>77449329</v>
      </c>
      <c r="F2501" s="7" t="s">
        <v>6956</v>
      </c>
      <c r="G2501" s="7" t="s">
        <v>6955</v>
      </c>
      <c r="H2501" s="7" t="s">
        <v>6957</v>
      </c>
      <c r="I2501" s="9">
        <v>45372</v>
      </c>
    </row>
    <row r="2502" spans="1:9" ht="27" x14ac:dyDescent="0.15">
      <c r="A2502" s="6">
        <v>2501</v>
      </c>
      <c r="B2502" s="7" t="s">
        <v>7</v>
      </c>
      <c r="C2502" s="8">
        <v>1890</v>
      </c>
      <c r="D2502" s="9">
        <v>45449</v>
      </c>
      <c r="E2502" s="13">
        <f>+HYPERLINK("http://trademark.i-assist.jp/data/china/image_1890th/77449343.pdf",77449343)</f>
        <v>77449343</v>
      </c>
      <c r="F2502" s="7" t="s">
        <v>6959</v>
      </c>
      <c r="G2502" s="7" t="s">
        <v>6958</v>
      </c>
      <c r="H2502" s="7" t="s">
        <v>6960</v>
      </c>
      <c r="I2502" s="9">
        <v>45372</v>
      </c>
    </row>
    <row r="2503" spans="1:9" x14ac:dyDescent="0.15">
      <c r="A2503" s="6">
        <v>2502</v>
      </c>
      <c r="B2503" s="7" t="s">
        <v>7</v>
      </c>
      <c r="C2503" s="8">
        <v>1890</v>
      </c>
      <c r="D2503" s="9">
        <v>45449</v>
      </c>
      <c r="E2503" s="13">
        <f>+HYPERLINK("http://trademark.i-assist.jp/data/china/image_1890th/77449421.pdf",77449421)</f>
        <v>77449421</v>
      </c>
      <c r="F2503" s="7" t="s">
        <v>6962</v>
      </c>
      <c r="G2503" s="7" t="s">
        <v>6961</v>
      </c>
      <c r="H2503" s="7" t="s">
        <v>6963</v>
      </c>
      <c r="I2503" s="9">
        <v>45372</v>
      </c>
    </row>
    <row r="2504" spans="1:9" ht="27" x14ac:dyDescent="0.15">
      <c r="A2504" s="6">
        <v>2503</v>
      </c>
      <c r="B2504" s="7" t="s">
        <v>7</v>
      </c>
      <c r="C2504" s="8">
        <v>1890</v>
      </c>
      <c r="D2504" s="9">
        <v>45449</v>
      </c>
      <c r="E2504" s="13">
        <f>+HYPERLINK("http://trademark.i-assist.jp/data/china/image_1890th/77449422.pdf",77449422)</f>
        <v>77449422</v>
      </c>
      <c r="F2504" s="7" t="s">
        <v>6965</v>
      </c>
      <c r="G2504" s="7" t="s">
        <v>6964</v>
      </c>
      <c r="H2504" s="7" t="s">
        <v>6966</v>
      </c>
      <c r="I2504" s="9">
        <v>45372</v>
      </c>
    </row>
    <row r="2505" spans="1:9" x14ac:dyDescent="0.15">
      <c r="A2505" s="6">
        <v>2504</v>
      </c>
      <c r="B2505" s="7" t="s">
        <v>7</v>
      </c>
      <c r="C2505" s="8">
        <v>1890</v>
      </c>
      <c r="D2505" s="9">
        <v>45449</v>
      </c>
      <c r="E2505" s="13">
        <f>+HYPERLINK("http://trademark.i-assist.jp/data/china/image_1890th/77449471.pdf",77449471)</f>
        <v>77449471</v>
      </c>
      <c r="F2505" s="7" t="s">
        <v>6968</v>
      </c>
      <c r="G2505" s="7" t="s">
        <v>6967</v>
      </c>
      <c r="H2505" s="7" t="s">
        <v>6969</v>
      </c>
      <c r="I2505" s="9">
        <v>45372</v>
      </c>
    </row>
    <row r="2506" spans="1:9" x14ac:dyDescent="0.15">
      <c r="A2506" s="6">
        <v>2505</v>
      </c>
      <c r="B2506" s="7" t="s">
        <v>7</v>
      </c>
      <c r="C2506" s="8">
        <v>1890</v>
      </c>
      <c r="D2506" s="9">
        <v>45449</v>
      </c>
      <c r="E2506" s="13">
        <f>+HYPERLINK("http://trademark.i-assist.jp/data/china/image_1890th/77449501.pdf",77449501)</f>
        <v>77449501</v>
      </c>
      <c r="F2506" s="7" t="s">
        <v>6971</v>
      </c>
      <c r="G2506" s="7" t="s">
        <v>6970</v>
      </c>
      <c r="H2506" s="7" t="s">
        <v>6972</v>
      </c>
      <c r="I2506" s="9">
        <v>45372</v>
      </c>
    </row>
    <row r="2507" spans="1:9" x14ac:dyDescent="0.15">
      <c r="A2507" s="6">
        <v>2506</v>
      </c>
      <c r="B2507" s="7" t="s">
        <v>7</v>
      </c>
      <c r="C2507" s="8">
        <v>1890</v>
      </c>
      <c r="D2507" s="9">
        <v>45449</v>
      </c>
      <c r="E2507" s="13">
        <f>+HYPERLINK("http://trademark.i-assist.jp/data/china/image_1890th/77449588.pdf",77449588)</f>
        <v>77449588</v>
      </c>
      <c r="F2507" s="7" t="s">
        <v>6973</v>
      </c>
      <c r="G2507" s="7" t="s">
        <v>1489</v>
      </c>
      <c r="H2507" s="7" t="s">
        <v>6974</v>
      </c>
      <c r="I2507" s="9">
        <v>45372</v>
      </c>
    </row>
    <row r="2508" spans="1:9" x14ac:dyDescent="0.15">
      <c r="A2508" s="6">
        <v>2507</v>
      </c>
      <c r="B2508" s="7" t="s">
        <v>7</v>
      </c>
      <c r="C2508" s="8">
        <v>1890</v>
      </c>
      <c r="D2508" s="9">
        <v>45449</v>
      </c>
      <c r="E2508" s="13">
        <f>+HYPERLINK("http://trademark.i-assist.jp/data/china/image_1890th/77449652.pdf",77449652)</f>
        <v>77449652</v>
      </c>
      <c r="F2508" s="7" t="s">
        <v>6976</v>
      </c>
      <c r="G2508" s="7" t="s">
        <v>6975</v>
      </c>
      <c r="H2508" s="7" t="s">
        <v>6977</v>
      </c>
      <c r="I2508" s="9">
        <v>45372</v>
      </c>
    </row>
    <row r="2509" spans="1:9" ht="27" x14ac:dyDescent="0.15">
      <c r="A2509" s="6">
        <v>2508</v>
      </c>
      <c r="B2509" s="7" t="s">
        <v>7</v>
      </c>
      <c r="C2509" s="8">
        <v>1890</v>
      </c>
      <c r="D2509" s="9">
        <v>45449</v>
      </c>
      <c r="E2509" s="13">
        <f>+HYPERLINK("http://trademark.i-assist.jp/data/china/image_1890th/77449721.pdf",77449721)</f>
        <v>77449721</v>
      </c>
      <c r="F2509" s="7" t="s">
        <v>6979</v>
      </c>
      <c r="G2509" s="7" t="s">
        <v>6978</v>
      </c>
      <c r="H2509" s="7" t="s">
        <v>6980</v>
      </c>
      <c r="I2509" s="9">
        <v>45372</v>
      </c>
    </row>
    <row r="2510" spans="1:9" x14ac:dyDescent="0.15">
      <c r="A2510" s="6">
        <v>2509</v>
      </c>
      <c r="B2510" s="7" t="s">
        <v>7</v>
      </c>
      <c r="C2510" s="8">
        <v>1890</v>
      </c>
      <c r="D2510" s="9">
        <v>45449</v>
      </c>
      <c r="E2510" s="13">
        <f>+HYPERLINK("http://trademark.i-assist.jp/data/china/image_1890th/77449771.pdf",77449771)</f>
        <v>77449771</v>
      </c>
      <c r="F2510" s="7" t="s">
        <v>6982</v>
      </c>
      <c r="G2510" s="7" t="s">
        <v>6981</v>
      </c>
      <c r="H2510" s="7" t="s">
        <v>6983</v>
      </c>
      <c r="I2510" s="9">
        <v>45372</v>
      </c>
    </row>
    <row r="2511" spans="1:9" x14ac:dyDescent="0.15">
      <c r="A2511" s="6">
        <v>2510</v>
      </c>
      <c r="B2511" s="7" t="s">
        <v>7</v>
      </c>
      <c r="C2511" s="8">
        <v>1890</v>
      </c>
      <c r="D2511" s="9">
        <v>45449</v>
      </c>
      <c r="E2511" s="13">
        <f>+HYPERLINK("http://trademark.i-assist.jp/data/china/image_1890th/77449789.pdf",77449789)</f>
        <v>77449789</v>
      </c>
      <c r="F2511" s="7" t="s">
        <v>6985</v>
      </c>
      <c r="G2511" s="7" t="s">
        <v>6984</v>
      </c>
      <c r="H2511" s="7" t="s">
        <v>6986</v>
      </c>
      <c r="I2511" s="9">
        <v>45372</v>
      </c>
    </row>
    <row r="2512" spans="1:9" x14ac:dyDescent="0.15">
      <c r="A2512" s="6">
        <v>2511</v>
      </c>
      <c r="B2512" s="7" t="s">
        <v>7</v>
      </c>
      <c r="C2512" s="8">
        <v>1890</v>
      </c>
      <c r="D2512" s="9">
        <v>45449</v>
      </c>
      <c r="E2512" s="13">
        <f>+HYPERLINK("http://trademark.i-assist.jp/data/china/image_1890th/77449940.pdf",77449940)</f>
        <v>77449940</v>
      </c>
      <c r="F2512" s="7" t="s">
        <v>6988</v>
      </c>
      <c r="G2512" s="7" t="s">
        <v>6987</v>
      </c>
      <c r="H2512" s="7" t="s">
        <v>6989</v>
      </c>
      <c r="I2512" s="9">
        <v>45372</v>
      </c>
    </row>
    <row r="2513" spans="1:9" x14ac:dyDescent="0.15">
      <c r="A2513" s="6">
        <v>2512</v>
      </c>
      <c r="B2513" s="7" t="s">
        <v>7</v>
      </c>
      <c r="C2513" s="8">
        <v>1890</v>
      </c>
      <c r="D2513" s="9">
        <v>45449</v>
      </c>
      <c r="E2513" s="13">
        <f>+HYPERLINK("http://trademark.i-assist.jp/data/china/image_1890th/77449960.pdf",77449960)</f>
        <v>77449960</v>
      </c>
      <c r="F2513" s="7" t="s">
        <v>6991</v>
      </c>
      <c r="G2513" s="7" t="s">
        <v>6990</v>
      </c>
      <c r="H2513" s="7" t="s">
        <v>6992</v>
      </c>
      <c r="I2513" s="9">
        <v>45372</v>
      </c>
    </row>
    <row r="2514" spans="1:9" x14ac:dyDescent="0.15">
      <c r="A2514" s="6">
        <v>2513</v>
      </c>
      <c r="B2514" s="7" t="s">
        <v>7</v>
      </c>
      <c r="C2514" s="8">
        <v>1890</v>
      </c>
      <c r="D2514" s="9">
        <v>45449</v>
      </c>
      <c r="E2514" s="13">
        <f>+HYPERLINK("http://trademark.i-assist.jp/data/china/image_1890th/77449962.pdf",77449962)</f>
        <v>77449962</v>
      </c>
      <c r="F2514" s="7" t="s">
        <v>6994</v>
      </c>
      <c r="G2514" s="7" t="s">
        <v>6993</v>
      </c>
      <c r="H2514" s="7" t="s">
        <v>6995</v>
      </c>
      <c r="I2514" s="9">
        <v>45372</v>
      </c>
    </row>
    <row r="2515" spans="1:9" x14ac:dyDescent="0.15">
      <c r="A2515" s="6">
        <v>2514</v>
      </c>
      <c r="B2515" s="7" t="s">
        <v>7</v>
      </c>
      <c r="C2515" s="8">
        <v>1890</v>
      </c>
      <c r="D2515" s="9">
        <v>45449</v>
      </c>
      <c r="E2515" s="13">
        <f>+HYPERLINK("http://trademark.i-assist.jp/data/china/image_1890th/77450114.pdf",77450114)</f>
        <v>77450114</v>
      </c>
      <c r="F2515" s="7" t="s">
        <v>6996</v>
      </c>
      <c r="G2515" s="7" t="s">
        <v>6996</v>
      </c>
      <c r="H2515" s="7" t="s">
        <v>6997</v>
      </c>
      <c r="I2515" s="9">
        <v>45372</v>
      </c>
    </row>
    <row r="2516" spans="1:9" x14ac:dyDescent="0.15">
      <c r="A2516" s="6">
        <v>2515</v>
      </c>
      <c r="B2516" s="7" t="s">
        <v>7</v>
      </c>
      <c r="C2516" s="8">
        <v>1890</v>
      </c>
      <c r="D2516" s="9">
        <v>45449</v>
      </c>
      <c r="E2516" s="13">
        <f>+HYPERLINK("http://trademark.i-assist.jp/data/china/image_1890th/77450301.pdf",77450301)</f>
        <v>77450301</v>
      </c>
      <c r="F2516" s="7" t="s">
        <v>6999</v>
      </c>
      <c r="G2516" s="7" t="s">
        <v>6998</v>
      </c>
      <c r="H2516" s="7" t="s">
        <v>7000</v>
      </c>
      <c r="I2516" s="9">
        <v>45372</v>
      </c>
    </row>
    <row r="2517" spans="1:9" x14ac:dyDescent="0.15">
      <c r="A2517" s="6">
        <v>2516</v>
      </c>
      <c r="B2517" s="7" t="s">
        <v>7</v>
      </c>
      <c r="C2517" s="8">
        <v>1890</v>
      </c>
      <c r="D2517" s="9">
        <v>45449</v>
      </c>
      <c r="E2517" s="13">
        <f>+HYPERLINK("http://trademark.i-assist.jp/data/china/image_1890th/77450535.pdf",77450535)</f>
        <v>77450535</v>
      </c>
      <c r="F2517" s="7" t="s">
        <v>7002</v>
      </c>
      <c r="G2517" s="7" t="s">
        <v>7001</v>
      </c>
      <c r="H2517" s="7" t="s">
        <v>7003</v>
      </c>
      <c r="I2517" s="9">
        <v>45372</v>
      </c>
    </row>
    <row r="2518" spans="1:9" x14ac:dyDescent="0.15">
      <c r="A2518" s="6">
        <v>2517</v>
      </c>
      <c r="B2518" s="7" t="s">
        <v>7</v>
      </c>
      <c r="C2518" s="8">
        <v>1890</v>
      </c>
      <c r="D2518" s="9">
        <v>45449</v>
      </c>
      <c r="E2518" s="13">
        <f>+HYPERLINK("http://trademark.i-assist.jp/data/china/image_1890th/77450704.pdf",77450704)</f>
        <v>77450704</v>
      </c>
      <c r="F2518" s="7" t="s">
        <v>7005</v>
      </c>
      <c r="G2518" s="7" t="s">
        <v>7004</v>
      </c>
      <c r="H2518" s="7" t="s">
        <v>7006</v>
      </c>
      <c r="I2518" s="9">
        <v>45372</v>
      </c>
    </row>
    <row r="2519" spans="1:9" x14ac:dyDescent="0.15">
      <c r="A2519" s="6">
        <v>2518</v>
      </c>
      <c r="B2519" s="7" t="s">
        <v>7</v>
      </c>
      <c r="C2519" s="8">
        <v>1890</v>
      </c>
      <c r="D2519" s="9">
        <v>45449</v>
      </c>
      <c r="E2519" s="13">
        <f>+HYPERLINK("http://trademark.i-assist.jp/data/china/image_1890th/77450931.pdf",77450931)</f>
        <v>77450931</v>
      </c>
      <c r="F2519" s="7" t="s">
        <v>7008</v>
      </c>
      <c r="G2519" s="7" t="s">
        <v>7007</v>
      </c>
      <c r="H2519" s="7" t="s">
        <v>7009</v>
      </c>
      <c r="I2519" s="9">
        <v>45372</v>
      </c>
    </row>
    <row r="2520" spans="1:9" x14ac:dyDescent="0.15">
      <c r="A2520" s="6">
        <v>2519</v>
      </c>
      <c r="B2520" s="7" t="s">
        <v>7</v>
      </c>
      <c r="C2520" s="8">
        <v>1890</v>
      </c>
      <c r="D2520" s="9">
        <v>45449</v>
      </c>
      <c r="E2520" s="13">
        <f>+HYPERLINK("http://trademark.i-assist.jp/data/china/image_1890th/77450981.pdf",77450981)</f>
        <v>77450981</v>
      </c>
      <c r="F2520" s="7" t="s">
        <v>7011</v>
      </c>
      <c r="G2520" s="7" t="s">
        <v>7010</v>
      </c>
      <c r="H2520" s="7" t="s">
        <v>7012</v>
      </c>
      <c r="I2520" s="9">
        <v>45372</v>
      </c>
    </row>
    <row r="2521" spans="1:9" x14ac:dyDescent="0.15">
      <c r="A2521" s="6">
        <v>2520</v>
      </c>
      <c r="B2521" s="7" t="s">
        <v>7</v>
      </c>
      <c r="C2521" s="8">
        <v>1890</v>
      </c>
      <c r="D2521" s="9">
        <v>45449</v>
      </c>
      <c r="E2521" s="13">
        <f>+HYPERLINK("http://trademark.i-assist.jp/data/china/image_1890th/77451132.pdf",77451132)</f>
        <v>77451132</v>
      </c>
      <c r="F2521" s="7" t="s">
        <v>7014</v>
      </c>
      <c r="G2521" s="7" t="s">
        <v>7013</v>
      </c>
      <c r="H2521" s="7" t="s">
        <v>7015</v>
      </c>
      <c r="I2521" s="9">
        <v>45372</v>
      </c>
    </row>
    <row r="2522" spans="1:9" ht="27" x14ac:dyDescent="0.15">
      <c r="A2522" s="6">
        <v>2521</v>
      </c>
      <c r="B2522" s="7" t="s">
        <v>7</v>
      </c>
      <c r="C2522" s="8">
        <v>1890</v>
      </c>
      <c r="D2522" s="9">
        <v>45449</v>
      </c>
      <c r="E2522" s="13">
        <f>+HYPERLINK("http://trademark.i-assist.jp/data/china/image_1890th/77451347.pdf",77451347)</f>
        <v>77451347</v>
      </c>
      <c r="F2522" s="7" t="s">
        <v>7017</v>
      </c>
      <c r="G2522" s="7" t="s">
        <v>7016</v>
      </c>
      <c r="H2522" s="7" t="s">
        <v>7018</v>
      </c>
      <c r="I2522" s="9">
        <v>45372</v>
      </c>
    </row>
    <row r="2523" spans="1:9" x14ac:dyDescent="0.15">
      <c r="A2523" s="6">
        <v>2522</v>
      </c>
      <c r="B2523" s="7" t="s">
        <v>7</v>
      </c>
      <c r="C2523" s="8">
        <v>1890</v>
      </c>
      <c r="D2523" s="9">
        <v>45449</v>
      </c>
      <c r="E2523" s="13">
        <f>+HYPERLINK("http://trademark.i-assist.jp/data/china/image_1890th/77451444.pdf",77451444)</f>
        <v>77451444</v>
      </c>
      <c r="F2523" s="7" t="s">
        <v>7020</v>
      </c>
      <c r="G2523" s="7" t="s">
        <v>7019</v>
      </c>
      <c r="H2523" s="7" t="s">
        <v>7021</v>
      </c>
      <c r="I2523" s="9">
        <v>45372</v>
      </c>
    </row>
    <row r="2524" spans="1:9" x14ac:dyDescent="0.15">
      <c r="A2524" s="6">
        <v>2523</v>
      </c>
      <c r="B2524" s="7" t="s">
        <v>7</v>
      </c>
      <c r="C2524" s="8">
        <v>1890</v>
      </c>
      <c r="D2524" s="9">
        <v>45449</v>
      </c>
      <c r="E2524" s="13">
        <f>+HYPERLINK("http://trademark.i-assist.jp/data/china/image_1890th/77451574.pdf",77451574)</f>
        <v>77451574</v>
      </c>
      <c r="F2524" s="7" t="s">
        <v>7023</v>
      </c>
      <c r="G2524" s="7" t="s">
        <v>7022</v>
      </c>
      <c r="H2524" s="7" t="s">
        <v>7024</v>
      </c>
      <c r="I2524" s="9">
        <v>45372</v>
      </c>
    </row>
    <row r="2525" spans="1:9" x14ac:dyDescent="0.15">
      <c r="A2525" s="6">
        <v>2524</v>
      </c>
      <c r="B2525" s="7" t="s">
        <v>7</v>
      </c>
      <c r="C2525" s="8">
        <v>1890</v>
      </c>
      <c r="D2525" s="9">
        <v>45449</v>
      </c>
      <c r="E2525" s="13">
        <f>+HYPERLINK("http://trademark.i-assist.jp/data/china/image_1890th/77451685.pdf",77451685)</f>
        <v>77451685</v>
      </c>
      <c r="F2525" s="7" t="s">
        <v>7026</v>
      </c>
      <c r="G2525" s="7" t="s">
        <v>7025</v>
      </c>
      <c r="H2525" s="7" t="s">
        <v>7027</v>
      </c>
      <c r="I2525" s="9">
        <v>45372</v>
      </c>
    </row>
    <row r="2526" spans="1:9" x14ac:dyDescent="0.15">
      <c r="A2526" s="6">
        <v>2525</v>
      </c>
      <c r="B2526" s="7" t="s">
        <v>7</v>
      </c>
      <c r="C2526" s="8">
        <v>1890</v>
      </c>
      <c r="D2526" s="9">
        <v>45449</v>
      </c>
      <c r="E2526" s="13">
        <f>+HYPERLINK("http://trademark.i-assist.jp/data/china/image_1890th/77451805.pdf",77451805)</f>
        <v>77451805</v>
      </c>
      <c r="F2526" s="7" t="s">
        <v>7029</v>
      </c>
      <c r="G2526" s="7" t="s">
        <v>7028</v>
      </c>
      <c r="H2526" s="7" t="s">
        <v>7030</v>
      </c>
      <c r="I2526" s="9">
        <v>45372</v>
      </c>
    </row>
    <row r="2527" spans="1:9" ht="27" x14ac:dyDescent="0.15">
      <c r="A2527" s="6">
        <v>2526</v>
      </c>
      <c r="B2527" s="7" t="s">
        <v>7</v>
      </c>
      <c r="C2527" s="8">
        <v>1890</v>
      </c>
      <c r="D2527" s="9">
        <v>45449</v>
      </c>
      <c r="E2527" s="13">
        <f>+HYPERLINK("http://trademark.i-assist.jp/data/china/image_1890th/77451830.pdf",77451830)</f>
        <v>77451830</v>
      </c>
      <c r="F2527" s="7" t="s">
        <v>7032</v>
      </c>
      <c r="G2527" s="7" t="s">
        <v>7031</v>
      </c>
      <c r="H2527" s="7" t="s">
        <v>7033</v>
      </c>
      <c r="I2527" s="9">
        <v>45372</v>
      </c>
    </row>
    <row r="2528" spans="1:9" ht="27" x14ac:dyDescent="0.15">
      <c r="A2528" s="6">
        <v>2527</v>
      </c>
      <c r="B2528" s="7" t="s">
        <v>7</v>
      </c>
      <c r="C2528" s="8">
        <v>1890</v>
      </c>
      <c r="D2528" s="9">
        <v>45449</v>
      </c>
      <c r="E2528" s="13">
        <f>+HYPERLINK("http://trademark.i-assist.jp/data/china/image_1890th/77451878.pdf",77451878)</f>
        <v>77451878</v>
      </c>
      <c r="F2528" s="7" t="s">
        <v>7035</v>
      </c>
      <c r="G2528" s="7" t="s">
        <v>7034</v>
      </c>
      <c r="H2528" s="7" t="s">
        <v>7036</v>
      </c>
      <c r="I2528" s="9">
        <v>45372</v>
      </c>
    </row>
    <row r="2529" spans="1:9" x14ac:dyDescent="0.15">
      <c r="A2529" s="6">
        <v>2528</v>
      </c>
      <c r="B2529" s="7" t="s">
        <v>7</v>
      </c>
      <c r="C2529" s="8">
        <v>1890</v>
      </c>
      <c r="D2529" s="9">
        <v>45449</v>
      </c>
      <c r="E2529" s="13">
        <f>+HYPERLINK("http://trademark.i-assist.jp/data/china/image_1890th/77451958.pdf",77451958)</f>
        <v>77451958</v>
      </c>
      <c r="F2529" s="7" t="s">
        <v>7038</v>
      </c>
      <c r="G2529" s="7" t="s">
        <v>7037</v>
      </c>
      <c r="H2529" s="7" t="s">
        <v>7039</v>
      </c>
      <c r="I2529" s="9">
        <v>45372</v>
      </c>
    </row>
    <row r="2530" spans="1:9" x14ac:dyDescent="0.15">
      <c r="A2530" s="6">
        <v>2529</v>
      </c>
      <c r="B2530" s="7" t="s">
        <v>7</v>
      </c>
      <c r="C2530" s="8">
        <v>1890</v>
      </c>
      <c r="D2530" s="9">
        <v>45449</v>
      </c>
      <c r="E2530" s="13">
        <f>+HYPERLINK("http://trademark.i-assist.jp/data/china/image_1890th/77452020.pdf",77452020)</f>
        <v>77452020</v>
      </c>
      <c r="F2530" s="7" t="s">
        <v>7041</v>
      </c>
      <c r="G2530" s="7" t="s">
        <v>7040</v>
      </c>
      <c r="H2530" s="7" t="s">
        <v>7042</v>
      </c>
      <c r="I2530" s="9">
        <v>45372</v>
      </c>
    </row>
    <row r="2531" spans="1:9" ht="27" x14ac:dyDescent="0.15">
      <c r="A2531" s="6">
        <v>2530</v>
      </c>
      <c r="B2531" s="7" t="s">
        <v>7</v>
      </c>
      <c r="C2531" s="8">
        <v>1890</v>
      </c>
      <c r="D2531" s="9">
        <v>45449</v>
      </c>
      <c r="E2531" s="13">
        <f>+HYPERLINK("http://trademark.i-assist.jp/data/china/image_1890th/77452060.pdf",77452060)</f>
        <v>77452060</v>
      </c>
      <c r="F2531" s="7" t="s">
        <v>7044</v>
      </c>
      <c r="G2531" s="7" t="s">
        <v>7043</v>
      </c>
      <c r="H2531" s="7" t="s">
        <v>7045</v>
      </c>
      <c r="I2531" s="9">
        <v>45372</v>
      </c>
    </row>
    <row r="2532" spans="1:9" x14ac:dyDescent="0.15">
      <c r="A2532" s="6">
        <v>2531</v>
      </c>
      <c r="B2532" s="7" t="s">
        <v>7</v>
      </c>
      <c r="C2532" s="8">
        <v>1890</v>
      </c>
      <c r="D2532" s="9">
        <v>45449</v>
      </c>
      <c r="E2532" s="13">
        <f>+HYPERLINK("http://trademark.i-assist.jp/data/china/image_1890th/77452256.pdf",77452256)</f>
        <v>77452256</v>
      </c>
      <c r="F2532" s="7" t="s">
        <v>7047</v>
      </c>
      <c r="G2532" s="7" t="s">
        <v>7046</v>
      </c>
      <c r="H2532" s="7" t="s">
        <v>7048</v>
      </c>
      <c r="I2532" s="9">
        <v>45372</v>
      </c>
    </row>
    <row r="2533" spans="1:9" x14ac:dyDescent="0.15">
      <c r="A2533" s="6">
        <v>2532</v>
      </c>
      <c r="B2533" s="7" t="s">
        <v>7</v>
      </c>
      <c r="C2533" s="8">
        <v>1890</v>
      </c>
      <c r="D2533" s="9">
        <v>45449</v>
      </c>
      <c r="E2533" s="13">
        <f>+HYPERLINK("http://trademark.i-assist.jp/data/china/image_1890th/77452348.pdf",77452348)</f>
        <v>77452348</v>
      </c>
      <c r="F2533" s="7" t="s">
        <v>7050</v>
      </c>
      <c r="G2533" s="7" t="s">
        <v>7049</v>
      </c>
      <c r="H2533" s="7" t="s">
        <v>7051</v>
      </c>
      <c r="I2533" s="9">
        <v>45372</v>
      </c>
    </row>
    <row r="2534" spans="1:9" x14ac:dyDescent="0.15">
      <c r="A2534" s="6">
        <v>2533</v>
      </c>
      <c r="B2534" s="7" t="s">
        <v>7</v>
      </c>
      <c r="C2534" s="8">
        <v>1890</v>
      </c>
      <c r="D2534" s="9">
        <v>45449</v>
      </c>
      <c r="E2534" s="13">
        <f>+HYPERLINK("http://trademark.i-assist.jp/data/china/image_1890th/77452418.pdf",77452418)</f>
        <v>77452418</v>
      </c>
      <c r="F2534" s="7" t="s">
        <v>7053</v>
      </c>
      <c r="G2534" s="7" t="s">
        <v>7052</v>
      </c>
      <c r="H2534" s="7" t="s">
        <v>7054</v>
      </c>
      <c r="I2534" s="9">
        <v>45372</v>
      </c>
    </row>
    <row r="2535" spans="1:9" ht="27" x14ac:dyDescent="0.15">
      <c r="A2535" s="6">
        <v>2534</v>
      </c>
      <c r="B2535" s="7" t="s">
        <v>7</v>
      </c>
      <c r="C2535" s="8">
        <v>1890</v>
      </c>
      <c r="D2535" s="9">
        <v>45449</v>
      </c>
      <c r="E2535" s="13">
        <f>+HYPERLINK("http://trademark.i-assist.jp/data/china/image_1890th/77452486.pdf",77452486)</f>
        <v>77452486</v>
      </c>
      <c r="F2535" s="7" t="s">
        <v>7056</v>
      </c>
      <c r="G2535" s="7" t="s">
        <v>7055</v>
      </c>
      <c r="H2535" s="7" t="s">
        <v>7057</v>
      </c>
      <c r="I2535" s="9">
        <v>45372</v>
      </c>
    </row>
    <row r="2536" spans="1:9" ht="27" x14ac:dyDescent="0.15">
      <c r="A2536" s="6">
        <v>2535</v>
      </c>
      <c r="B2536" s="7" t="s">
        <v>7</v>
      </c>
      <c r="C2536" s="8">
        <v>1890</v>
      </c>
      <c r="D2536" s="9">
        <v>45449</v>
      </c>
      <c r="E2536" s="13">
        <f>+HYPERLINK("http://trademark.i-assist.jp/data/china/image_1890th/77452535.pdf",77452535)</f>
        <v>77452535</v>
      </c>
      <c r="F2536" s="7" t="s">
        <v>7059</v>
      </c>
      <c r="G2536" s="7" t="s">
        <v>7058</v>
      </c>
      <c r="H2536" s="7" t="s">
        <v>7060</v>
      </c>
      <c r="I2536" s="9">
        <v>45372</v>
      </c>
    </row>
    <row r="2537" spans="1:9" ht="27" x14ac:dyDescent="0.15">
      <c r="A2537" s="6">
        <v>2536</v>
      </c>
      <c r="B2537" s="7" t="s">
        <v>7</v>
      </c>
      <c r="C2537" s="8">
        <v>1890</v>
      </c>
      <c r="D2537" s="9">
        <v>45449</v>
      </c>
      <c r="E2537" s="13">
        <f>+HYPERLINK("http://trademark.i-assist.jp/data/china/image_1890th/77452667.pdf",77452667)</f>
        <v>77452667</v>
      </c>
      <c r="F2537" s="7" t="s">
        <v>7062</v>
      </c>
      <c r="G2537" s="7" t="s">
        <v>7061</v>
      </c>
      <c r="H2537" s="7" t="s">
        <v>7063</v>
      </c>
      <c r="I2537" s="9">
        <v>45372</v>
      </c>
    </row>
    <row r="2538" spans="1:9" x14ac:dyDescent="0.15">
      <c r="A2538" s="6">
        <v>2537</v>
      </c>
      <c r="B2538" s="7" t="s">
        <v>7</v>
      </c>
      <c r="C2538" s="8">
        <v>1890</v>
      </c>
      <c r="D2538" s="9">
        <v>45449</v>
      </c>
      <c r="E2538" s="13">
        <f>+HYPERLINK("http://trademark.i-assist.jp/data/china/image_1890th/77452682.pdf",77452682)</f>
        <v>77452682</v>
      </c>
      <c r="F2538" s="7" t="s">
        <v>7065</v>
      </c>
      <c r="G2538" s="7" t="s">
        <v>7064</v>
      </c>
      <c r="H2538" s="7" t="s">
        <v>7066</v>
      </c>
      <c r="I2538" s="9">
        <v>45372</v>
      </c>
    </row>
    <row r="2539" spans="1:9" x14ac:dyDescent="0.15">
      <c r="A2539" s="6">
        <v>2538</v>
      </c>
      <c r="B2539" s="7" t="s">
        <v>7</v>
      </c>
      <c r="C2539" s="8">
        <v>1890</v>
      </c>
      <c r="D2539" s="9">
        <v>45449</v>
      </c>
      <c r="E2539" s="13">
        <f>+HYPERLINK("http://trademark.i-assist.jp/data/china/image_1890th/77452690.pdf",77452690)</f>
        <v>77452690</v>
      </c>
      <c r="F2539" s="7" t="s">
        <v>7068</v>
      </c>
      <c r="G2539" s="7" t="s">
        <v>7067</v>
      </c>
      <c r="H2539" s="7" t="s">
        <v>7069</v>
      </c>
      <c r="I2539" s="9">
        <v>45372</v>
      </c>
    </row>
    <row r="2540" spans="1:9" x14ac:dyDescent="0.15">
      <c r="A2540" s="6">
        <v>2539</v>
      </c>
      <c r="B2540" s="7" t="s">
        <v>7</v>
      </c>
      <c r="C2540" s="8">
        <v>1890</v>
      </c>
      <c r="D2540" s="9">
        <v>45449</v>
      </c>
      <c r="E2540" s="13">
        <f>+HYPERLINK("http://trademark.i-assist.jp/data/china/image_1890th/77452928.pdf",77452928)</f>
        <v>77452928</v>
      </c>
      <c r="F2540" s="7" t="s">
        <v>7071</v>
      </c>
      <c r="G2540" s="7" t="s">
        <v>7070</v>
      </c>
      <c r="H2540" s="7" t="s">
        <v>7072</v>
      </c>
      <c r="I2540" s="9">
        <v>45372</v>
      </c>
    </row>
    <row r="2541" spans="1:9" x14ac:dyDescent="0.15">
      <c r="A2541" s="6">
        <v>2540</v>
      </c>
      <c r="B2541" s="7" t="s">
        <v>7</v>
      </c>
      <c r="C2541" s="8">
        <v>1890</v>
      </c>
      <c r="D2541" s="9">
        <v>45449</v>
      </c>
      <c r="E2541" s="13">
        <f>+HYPERLINK("http://trademark.i-assist.jp/data/china/image_1890th/77452953.pdf",77452953)</f>
        <v>77452953</v>
      </c>
      <c r="F2541" s="7" t="s">
        <v>7074</v>
      </c>
      <c r="G2541" s="7" t="s">
        <v>7073</v>
      </c>
      <c r="H2541" s="7" t="s">
        <v>7075</v>
      </c>
      <c r="I2541" s="9">
        <v>45372</v>
      </c>
    </row>
    <row r="2542" spans="1:9" x14ac:dyDescent="0.15">
      <c r="A2542" s="6">
        <v>2541</v>
      </c>
      <c r="B2542" s="7" t="s">
        <v>7</v>
      </c>
      <c r="C2542" s="8">
        <v>1890</v>
      </c>
      <c r="D2542" s="9">
        <v>45449</v>
      </c>
      <c r="E2542" s="13">
        <f>+HYPERLINK("http://trademark.i-assist.jp/data/china/image_1890th/77453143.pdf",77453143)</f>
        <v>77453143</v>
      </c>
      <c r="F2542" s="7" t="s">
        <v>7077</v>
      </c>
      <c r="G2542" s="7" t="s">
        <v>7076</v>
      </c>
      <c r="H2542" s="7" t="s">
        <v>7078</v>
      </c>
      <c r="I2542" s="9">
        <v>45372</v>
      </c>
    </row>
    <row r="2543" spans="1:9" x14ac:dyDescent="0.15">
      <c r="A2543" s="6">
        <v>2542</v>
      </c>
      <c r="B2543" s="7" t="s">
        <v>7</v>
      </c>
      <c r="C2543" s="8">
        <v>1890</v>
      </c>
      <c r="D2543" s="9">
        <v>45449</v>
      </c>
      <c r="E2543" s="13">
        <f>+HYPERLINK("http://trademark.i-assist.jp/data/china/image_1890th/77453441.pdf",77453441)</f>
        <v>77453441</v>
      </c>
      <c r="F2543" s="7" t="s">
        <v>7080</v>
      </c>
      <c r="G2543" s="7" t="s">
        <v>7079</v>
      </c>
      <c r="H2543" s="7" t="s">
        <v>7081</v>
      </c>
      <c r="I2543" s="9">
        <v>45372</v>
      </c>
    </row>
    <row r="2544" spans="1:9" x14ac:dyDescent="0.15">
      <c r="A2544" s="6">
        <v>2543</v>
      </c>
      <c r="B2544" s="7" t="s">
        <v>7</v>
      </c>
      <c r="C2544" s="8">
        <v>1890</v>
      </c>
      <c r="D2544" s="9">
        <v>45449</v>
      </c>
      <c r="E2544" s="13">
        <f>+HYPERLINK("http://trademark.i-assist.jp/data/china/image_1890th/77453480.pdf",77453480)</f>
        <v>77453480</v>
      </c>
      <c r="F2544" s="7" t="s">
        <v>7083</v>
      </c>
      <c r="G2544" s="7" t="s">
        <v>7082</v>
      </c>
      <c r="H2544" s="7" t="s">
        <v>7084</v>
      </c>
      <c r="I2544" s="9">
        <v>45372</v>
      </c>
    </row>
    <row r="2545" spans="1:9" x14ac:dyDescent="0.15">
      <c r="A2545" s="6">
        <v>2544</v>
      </c>
      <c r="B2545" s="7" t="s">
        <v>7</v>
      </c>
      <c r="C2545" s="8">
        <v>1890</v>
      </c>
      <c r="D2545" s="9">
        <v>45449</v>
      </c>
      <c r="E2545" s="13">
        <f>+HYPERLINK("http://trademark.i-assist.jp/data/china/image_1890th/77490532.pdf",77490532)</f>
        <v>77490532</v>
      </c>
      <c r="F2545" s="7" t="s">
        <v>7086</v>
      </c>
      <c r="G2545" s="7" t="s">
        <v>7085</v>
      </c>
      <c r="H2545" s="7" t="s">
        <v>7087</v>
      </c>
      <c r="I2545" s="9">
        <v>45376</v>
      </c>
    </row>
    <row r="2546" spans="1:9" x14ac:dyDescent="0.15">
      <c r="A2546" s="6">
        <v>2545</v>
      </c>
      <c r="B2546" s="7" t="s">
        <v>7</v>
      </c>
      <c r="C2546" s="8">
        <v>1890</v>
      </c>
      <c r="D2546" s="9">
        <v>45449</v>
      </c>
      <c r="E2546" s="13">
        <f>+HYPERLINK("http://trademark.i-assist.jp/data/china/image_1890th/77490543.pdf",77490543)</f>
        <v>77490543</v>
      </c>
      <c r="F2546" s="7" t="s">
        <v>7089</v>
      </c>
      <c r="G2546" s="7" t="s">
        <v>7088</v>
      </c>
      <c r="H2546" s="7" t="s">
        <v>7090</v>
      </c>
      <c r="I2546" s="9">
        <v>45376</v>
      </c>
    </row>
    <row r="2547" spans="1:9" x14ac:dyDescent="0.15">
      <c r="A2547" s="6">
        <v>2546</v>
      </c>
      <c r="B2547" s="7" t="s">
        <v>7</v>
      </c>
      <c r="C2547" s="8">
        <v>1890</v>
      </c>
      <c r="D2547" s="9">
        <v>45449</v>
      </c>
      <c r="E2547" s="13">
        <f>+HYPERLINK("http://trademark.i-assist.jp/data/china/image_1890th/77490614.pdf",77490614)</f>
        <v>77490614</v>
      </c>
      <c r="F2547" s="7" t="s">
        <v>7092</v>
      </c>
      <c r="G2547" s="7" t="s">
        <v>7091</v>
      </c>
      <c r="H2547" s="7" t="s">
        <v>7093</v>
      </c>
      <c r="I2547" s="9">
        <v>45376</v>
      </c>
    </row>
    <row r="2548" spans="1:9" x14ac:dyDescent="0.15">
      <c r="A2548" s="6">
        <v>2547</v>
      </c>
      <c r="B2548" s="7" t="s">
        <v>7</v>
      </c>
      <c r="C2548" s="8">
        <v>1890</v>
      </c>
      <c r="D2548" s="9">
        <v>45449</v>
      </c>
      <c r="E2548" s="13">
        <f>+HYPERLINK("http://trademark.i-assist.jp/data/china/image_1890th/77490719.pdf",77490719)</f>
        <v>77490719</v>
      </c>
      <c r="F2548" s="7" t="s">
        <v>7095</v>
      </c>
      <c r="G2548" s="7" t="s">
        <v>7094</v>
      </c>
      <c r="H2548" s="7" t="s">
        <v>7096</v>
      </c>
      <c r="I2548" s="9">
        <v>45376</v>
      </c>
    </row>
    <row r="2549" spans="1:9" x14ac:dyDescent="0.15">
      <c r="A2549" s="6">
        <v>2548</v>
      </c>
      <c r="B2549" s="7" t="s">
        <v>7</v>
      </c>
      <c r="C2549" s="8">
        <v>1890</v>
      </c>
      <c r="D2549" s="9">
        <v>45449</v>
      </c>
      <c r="E2549" s="13">
        <f>+HYPERLINK("http://trademark.i-assist.jp/data/china/image_1890th/77490887.pdf",77490887)</f>
        <v>77490887</v>
      </c>
      <c r="F2549" s="7" t="s">
        <v>7098</v>
      </c>
      <c r="G2549" s="7" t="s">
        <v>7097</v>
      </c>
      <c r="H2549" s="7" t="s">
        <v>7099</v>
      </c>
      <c r="I2549" s="9">
        <v>45376</v>
      </c>
    </row>
    <row r="2550" spans="1:9" x14ac:dyDescent="0.15">
      <c r="A2550" s="6">
        <v>2549</v>
      </c>
      <c r="B2550" s="7" t="s">
        <v>7</v>
      </c>
      <c r="C2550" s="8">
        <v>1890</v>
      </c>
      <c r="D2550" s="9">
        <v>45449</v>
      </c>
      <c r="E2550" s="13">
        <f>+HYPERLINK("http://trademark.i-assist.jp/data/china/image_1890th/77491036.pdf",77491036)</f>
        <v>77491036</v>
      </c>
      <c r="F2550" s="7" t="s">
        <v>7101</v>
      </c>
      <c r="G2550" s="7" t="s">
        <v>7100</v>
      </c>
      <c r="H2550" s="7" t="s">
        <v>7102</v>
      </c>
      <c r="I2550" s="9">
        <v>45376</v>
      </c>
    </row>
    <row r="2551" spans="1:9" x14ac:dyDescent="0.15">
      <c r="A2551" s="6">
        <v>2550</v>
      </c>
      <c r="B2551" s="7" t="s">
        <v>7</v>
      </c>
      <c r="C2551" s="8">
        <v>1890</v>
      </c>
      <c r="D2551" s="9">
        <v>45449</v>
      </c>
      <c r="E2551" s="13">
        <f>+HYPERLINK("http://trademark.i-assist.jp/data/china/image_1890th/77491166.pdf",77491166)</f>
        <v>77491166</v>
      </c>
      <c r="F2551" s="7" t="s">
        <v>7104</v>
      </c>
      <c r="G2551" s="7" t="s">
        <v>7103</v>
      </c>
      <c r="H2551" s="7" t="s">
        <v>7105</v>
      </c>
      <c r="I2551" s="9">
        <v>45376</v>
      </c>
    </row>
    <row r="2552" spans="1:9" ht="27" x14ac:dyDescent="0.15">
      <c r="A2552" s="6">
        <v>2551</v>
      </c>
      <c r="B2552" s="7" t="s">
        <v>7</v>
      </c>
      <c r="C2552" s="8">
        <v>1890</v>
      </c>
      <c r="D2552" s="9">
        <v>45449</v>
      </c>
      <c r="E2552" s="13">
        <f>+HYPERLINK("http://trademark.i-assist.jp/data/china/image_1890th/77491178.pdf",77491178)</f>
        <v>77491178</v>
      </c>
      <c r="F2552" s="7" t="s">
        <v>7106</v>
      </c>
      <c r="G2552" s="7" t="s">
        <v>1579</v>
      </c>
      <c r="H2552" s="7" t="s">
        <v>7107</v>
      </c>
      <c r="I2552" s="9">
        <v>45376</v>
      </c>
    </row>
    <row r="2553" spans="1:9" x14ac:dyDescent="0.15">
      <c r="A2553" s="6">
        <v>2552</v>
      </c>
      <c r="B2553" s="7" t="s">
        <v>7</v>
      </c>
      <c r="C2553" s="8">
        <v>1890</v>
      </c>
      <c r="D2553" s="9">
        <v>45449</v>
      </c>
      <c r="E2553" s="13">
        <f>+HYPERLINK("http://trademark.i-assist.jp/data/china/image_1890th/77491276.pdf",77491276)</f>
        <v>77491276</v>
      </c>
      <c r="F2553" s="7" t="s">
        <v>7108</v>
      </c>
      <c r="G2553" s="7" t="s">
        <v>1983</v>
      </c>
      <c r="H2553" s="7" t="s">
        <v>7109</v>
      </c>
      <c r="I2553" s="9">
        <v>45376</v>
      </c>
    </row>
    <row r="2554" spans="1:9" x14ac:dyDescent="0.15">
      <c r="A2554" s="6">
        <v>2553</v>
      </c>
      <c r="B2554" s="7" t="s">
        <v>7</v>
      </c>
      <c r="C2554" s="8">
        <v>1890</v>
      </c>
      <c r="D2554" s="9">
        <v>45449</v>
      </c>
      <c r="E2554" s="13">
        <f>+HYPERLINK("http://trademark.i-assist.jp/data/china/image_1890th/77491363.pdf",77491363)</f>
        <v>77491363</v>
      </c>
      <c r="F2554" s="7" t="s">
        <v>7111</v>
      </c>
      <c r="G2554" s="7" t="s">
        <v>7110</v>
      </c>
      <c r="H2554" s="7" t="s">
        <v>7112</v>
      </c>
      <c r="I2554" s="9">
        <v>45376</v>
      </c>
    </row>
    <row r="2555" spans="1:9" x14ac:dyDescent="0.15">
      <c r="A2555" s="6">
        <v>2554</v>
      </c>
      <c r="B2555" s="7" t="s">
        <v>7</v>
      </c>
      <c r="C2555" s="8">
        <v>1890</v>
      </c>
      <c r="D2555" s="9">
        <v>45449</v>
      </c>
      <c r="E2555" s="13">
        <f>+HYPERLINK("http://trademark.i-assist.jp/data/china/image_1890th/77491519.pdf",77491519)</f>
        <v>77491519</v>
      </c>
      <c r="F2555" s="7" t="s">
        <v>7114</v>
      </c>
      <c r="G2555" s="7" t="s">
        <v>7113</v>
      </c>
      <c r="H2555" s="7" t="s">
        <v>7115</v>
      </c>
      <c r="I2555" s="9">
        <v>45376</v>
      </c>
    </row>
    <row r="2556" spans="1:9" x14ac:dyDescent="0.15">
      <c r="A2556" s="6">
        <v>2555</v>
      </c>
      <c r="B2556" s="7" t="s">
        <v>7</v>
      </c>
      <c r="C2556" s="8">
        <v>1890</v>
      </c>
      <c r="D2556" s="9">
        <v>45449</v>
      </c>
      <c r="E2556" s="13">
        <f>+HYPERLINK("http://trademark.i-assist.jp/data/china/image_1890th/77491549.pdf",77491549)</f>
        <v>77491549</v>
      </c>
      <c r="F2556" s="7" t="s">
        <v>7117</v>
      </c>
      <c r="G2556" s="7" t="s">
        <v>7116</v>
      </c>
      <c r="H2556" s="7" t="s">
        <v>7118</v>
      </c>
      <c r="I2556" s="9">
        <v>45376</v>
      </c>
    </row>
    <row r="2557" spans="1:9" x14ac:dyDescent="0.15">
      <c r="A2557" s="6">
        <v>2556</v>
      </c>
      <c r="B2557" s="7" t="s">
        <v>7</v>
      </c>
      <c r="C2557" s="8">
        <v>1890</v>
      </c>
      <c r="D2557" s="9">
        <v>45449</v>
      </c>
      <c r="E2557" s="13">
        <f>+HYPERLINK("http://trademark.i-assist.jp/data/china/image_1890th/77491589.pdf",77491589)</f>
        <v>77491589</v>
      </c>
      <c r="F2557" s="7" t="s">
        <v>7120</v>
      </c>
      <c r="G2557" s="7" t="s">
        <v>7119</v>
      </c>
      <c r="H2557" s="7" t="s">
        <v>7121</v>
      </c>
      <c r="I2557" s="9">
        <v>45376</v>
      </c>
    </row>
    <row r="2558" spans="1:9" ht="27" x14ac:dyDescent="0.15">
      <c r="A2558" s="6">
        <v>2557</v>
      </c>
      <c r="B2558" s="7" t="s">
        <v>7</v>
      </c>
      <c r="C2558" s="8">
        <v>1890</v>
      </c>
      <c r="D2558" s="9">
        <v>45449</v>
      </c>
      <c r="E2558" s="13">
        <f>+HYPERLINK("http://trademark.i-assist.jp/data/china/image_1890th/77491851.pdf",77491851)</f>
        <v>77491851</v>
      </c>
      <c r="F2558" s="7" t="s">
        <v>7123</v>
      </c>
      <c r="G2558" s="7" t="s">
        <v>7122</v>
      </c>
      <c r="H2558" s="7" t="s">
        <v>7124</v>
      </c>
      <c r="I2558" s="9">
        <v>45376</v>
      </c>
    </row>
    <row r="2559" spans="1:9" x14ac:dyDescent="0.15">
      <c r="A2559" s="6">
        <v>2558</v>
      </c>
      <c r="B2559" s="7" t="s">
        <v>7</v>
      </c>
      <c r="C2559" s="8">
        <v>1890</v>
      </c>
      <c r="D2559" s="9">
        <v>45449</v>
      </c>
      <c r="E2559" s="13">
        <f>+HYPERLINK("http://trademark.i-assist.jp/data/china/image_1890th/77491936.pdf",77491936)</f>
        <v>77491936</v>
      </c>
      <c r="F2559" s="7" t="s">
        <v>7126</v>
      </c>
      <c r="G2559" s="7" t="s">
        <v>7125</v>
      </c>
      <c r="H2559" s="7" t="s">
        <v>7127</v>
      </c>
      <c r="I2559" s="9">
        <v>45376</v>
      </c>
    </row>
    <row r="2560" spans="1:9" x14ac:dyDescent="0.15">
      <c r="A2560" s="6">
        <v>2559</v>
      </c>
      <c r="B2560" s="7" t="s">
        <v>7</v>
      </c>
      <c r="C2560" s="8">
        <v>1890</v>
      </c>
      <c r="D2560" s="9">
        <v>45449</v>
      </c>
      <c r="E2560" s="13">
        <f>+HYPERLINK("http://trademark.i-assist.jp/data/china/image_1890th/77350217.pdf",77350217)</f>
        <v>77350217</v>
      </c>
      <c r="F2560" s="7" t="s">
        <v>7128</v>
      </c>
      <c r="G2560" s="7" t="s">
        <v>622</v>
      </c>
      <c r="H2560" s="7" t="s">
        <v>7129</v>
      </c>
      <c r="I2560" s="9">
        <v>45367</v>
      </c>
    </row>
    <row r="2561" spans="1:9" x14ac:dyDescent="0.15">
      <c r="A2561" s="6">
        <v>2560</v>
      </c>
      <c r="B2561" s="7" t="s">
        <v>7</v>
      </c>
      <c r="C2561" s="8">
        <v>1890</v>
      </c>
      <c r="D2561" s="9">
        <v>45449</v>
      </c>
      <c r="E2561" s="13">
        <f>+HYPERLINK("http://trademark.i-assist.jp/data/china/image_1890th/77350264.pdf",77350264)</f>
        <v>77350264</v>
      </c>
      <c r="F2561" s="7" t="s">
        <v>183</v>
      </c>
      <c r="G2561" s="7" t="s">
        <v>7130</v>
      </c>
      <c r="H2561" s="7" t="s">
        <v>7131</v>
      </c>
      <c r="I2561" s="9">
        <v>45367</v>
      </c>
    </row>
    <row r="2562" spans="1:9" x14ac:dyDescent="0.15">
      <c r="A2562" s="6">
        <v>2561</v>
      </c>
      <c r="B2562" s="7" t="s">
        <v>7</v>
      </c>
      <c r="C2562" s="8">
        <v>1890</v>
      </c>
      <c r="D2562" s="9">
        <v>45449</v>
      </c>
      <c r="E2562" s="13">
        <f>+HYPERLINK("http://trademark.i-assist.jp/data/china/image_1890th/77350456.pdf",77350456)</f>
        <v>77350456</v>
      </c>
      <c r="F2562" s="7" t="s">
        <v>7133</v>
      </c>
      <c r="G2562" s="7" t="s">
        <v>7132</v>
      </c>
      <c r="H2562" s="7" t="s">
        <v>7134</v>
      </c>
      <c r="I2562" s="9">
        <v>45367</v>
      </c>
    </row>
    <row r="2563" spans="1:9" x14ac:dyDescent="0.15">
      <c r="A2563" s="6">
        <v>2562</v>
      </c>
      <c r="B2563" s="7" t="s">
        <v>7</v>
      </c>
      <c r="C2563" s="8">
        <v>1890</v>
      </c>
      <c r="D2563" s="9">
        <v>45449</v>
      </c>
      <c r="E2563" s="13">
        <f>+HYPERLINK("http://trademark.i-assist.jp/data/china/image_1890th/77350613.pdf",77350613)</f>
        <v>77350613</v>
      </c>
      <c r="F2563" s="7" t="s">
        <v>7136</v>
      </c>
      <c r="G2563" s="7" t="s">
        <v>7135</v>
      </c>
      <c r="H2563" s="7" t="s">
        <v>7137</v>
      </c>
      <c r="I2563" s="9">
        <v>45367</v>
      </c>
    </row>
    <row r="2564" spans="1:9" x14ac:dyDescent="0.15">
      <c r="A2564" s="6">
        <v>2563</v>
      </c>
      <c r="B2564" s="7" t="s">
        <v>7</v>
      </c>
      <c r="C2564" s="8">
        <v>1890</v>
      </c>
      <c r="D2564" s="9">
        <v>45449</v>
      </c>
      <c r="E2564" s="13">
        <f>+HYPERLINK("http://trademark.i-assist.jp/data/china/image_1890th/77350818.pdf",77350818)</f>
        <v>77350818</v>
      </c>
      <c r="F2564" s="7" t="s">
        <v>6739</v>
      </c>
      <c r="G2564" s="7" t="s">
        <v>6739</v>
      </c>
      <c r="H2564" s="7" t="s">
        <v>7138</v>
      </c>
      <c r="I2564" s="9">
        <v>45367</v>
      </c>
    </row>
    <row r="2565" spans="1:9" x14ac:dyDescent="0.15">
      <c r="A2565" s="6">
        <v>2564</v>
      </c>
      <c r="B2565" s="7" t="s">
        <v>7</v>
      </c>
      <c r="C2565" s="8">
        <v>1890</v>
      </c>
      <c r="D2565" s="9">
        <v>45449</v>
      </c>
      <c r="E2565" s="13">
        <f>+HYPERLINK("http://trademark.i-assist.jp/data/china/image_1890th/77350821.pdf",77350821)</f>
        <v>77350821</v>
      </c>
      <c r="F2565" s="7" t="s">
        <v>7139</v>
      </c>
      <c r="G2565" s="7" t="s">
        <v>6739</v>
      </c>
      <c r="H2565" s="7" t="s">
        <v>7140</v>
      </c>
      <c r="I2565" s="9">
        <v>45367</v>
      </c>
    </row>
    <row r="2566" spans="1:9" x14ac:dyDescent="0.15">
      <c r="A2566" s="6">
        <v>2565</v>
      </c>
      <c r="B2566" s="7" t="s">
        <v>7</v>
      </c>
      <c r="C2566" s="8">
        <v>1890</v>
      </c>
      <c r="D2566" s="9">
        <v>45449</v>
      </c>
      <c r="E2566" s="13">
        <f>+HYPERLINK("http://trademark.i-assist.jp/data/china/image_1890th/77350960.pdf",77350960)</f>
        <v>77350960</v>
      </c>
      <c r="F2566" s="7" t="s">
        <v>7141</v>
      </c>
      <c r="G2566" s="7" t="s">
        <v>6134</v>
      </c>
      <c r="H2566" s="7" t="s">
        <v>7142</v>
      </c>
      <c r="I2566" s="9">
        <v>45367</v>
      </c>
    </row>
    <row r="2567" spans="1:9" x14ac:dyDescent="0.15">
      <c r="A2567" s="6">
        <v>2566</v>
      </c>
      <c r="B2567" s="7" t="s">
        <v>7</v>
      </c>
      <c r="C2567" s="8">
        <v>1890</v>
      </c>
      <c r="D2567" s="9">
        <v>45449</v>
      </c>
      <c r="E2567" s="13">
        <f>+HYPERLINK("http://trademark.i-assist.jp/data/china/image_1890th/77351155.pdf",77351155)</f>
        <v>77351155</v>
      </c>
      <c r="F2567" s="7" t="s">
        <v>7143</v>
      </c>
      <c r="G2567" s="7" t="s">
        <v>6798</v>
      </c>
      <c r="H2567" s="7" t="s">
        <v>7144</v>
      </c>
      <c r="I2567" s="9">
        <v>45367</v>
      </c>
    </row>
    <row r="2568" spans="1:9" x14ac:dyDescent="0.15">
      <c r="A2568" s="6">
        <v>2567</v>
      </c>
      <c r="B2568" s="7" t="s">
        <v>7</v>
      </c>
      <c r="C2568" s="8">
        <v>1890</v>
      </c>
      <c r="D2568" s="9">
        <v>45449</v>
      </c>
      <c r="E2568" s="13">
        <f>+HYPERLINK("http://trademark.i-assist.jp/data/china/image_1890th/77351377.pdf",77351377)</f>
        <v>77351377</v>
      </c>
      <c r="F2568" s="7" t="s">
        <v>7145</v>
      </c>
      <c r="G2568" s="7" t="s">
        <v>2293</v>
      </c>
      <c r="H2568" s="7" t="s">
        <v>7146</v>
      </c>
      <c r="I2568" s="9">
        <v>45367</v>
      </c>
    </row>
    <row r="2569" spans="1:9" ht="27" x14ac:dyDescent="0.15">
      <c r="A2569" s="6">
        <v>2568</v>
      </c>
      <c r="B2569" s="7" t="s">
        <v>7</v>
      </c>
      <c r="C2569" s="8">
        <v>1890</v>
      </c>
      <c r="D2569" s="9">
        <v>45449</v>
      </c>
      <c r="E2569" s="13">
        <f>+HYPERLINK("http://trademark.i-assist.jp/data/china/image_1890th/77351399.pdf",77351399)</f>
        <v>77351399</v>
      </c>
      <c r="F2569" s="7" t="s">
        <v>7148</v>
      </c>
      <c r="G2569" s="7" t="s">
        <v>7147</v>
      </c>
      <c r="H2569" s="7" t="s">
        <v>7149</v>
      </c>
      <c r="I2569" s="9">
        <v>45368</v>
      </c>
    </row>
    <row r="2570" spans="1:9" x14ac:dyDescent="0.15">
      <c r="A2570" s="6">
        <v>2569</v>
      </c>
      <c r="B2570" s="7" t="s">
        <v>7</v>
      </c>
      <c r="C2570" s="8">
        <v>1890</v>
      </c>
      <c r="D2570" s="9">
        <v>45449</v>
      </c>
      <c r="E2570" s="13">
        <f>+HYPERLINK("http://trademark.i-assist.jp/data/china/image_1890th/77351494.pdf",77351494)</f>
        <v>77351494</v>
      </c>
      <c r="F2570" s="7" t="s">
        <v>7151</v>
      </c>
      <c r="G2570" s="7" t="s">
        <v>7150</v>
      </c>
      <c r="H2570" s="7" t="s">
        <v>7152</v>
      </c>
      <c r="I2570" s="9">
        <v>45368</v>
      </c>
    </row>
    <row r="2571" spans="1:9" ht="27" x14ac:dyDescent="0.15">
      <c r="A2571" s="6">
        <v>2570</v>
      </c>
      <c r="B2571" s="7" t="s">
        <v>7</v>
      </c>
      <c r="C2571" s="8">
        <v>1890</v>
      </c>
      <c r="D2571" s="9">
        <v>45449</v>
      </c>
      <c r="E2571" s="13">
        <f>+HYPERLINK("http://trademark.i-assist.jp/data/china/image_1890th/77351610.pdf",77351610)</f>
        <v>77351610</v>
      </c>
      <c r="F2571" s="7" t="s">
        <v>7154</v>
      </c>
      <c r="G2571" s="7" t="s">
        <v>7153</v>
      </c>
      <c r="H2571" s="7" t="s">
        <v>7155</v>
      </c>
      <c r="I2571" s="9">
        <v>45368</v>
      </c>
    </row>
    <row r="2572" spans="1:9" x14ac:dyDescent="0.15">
      <c r="A2572" s="6">
        <v>2571</v>
      </c>
      <c r="B2572" s="7" t="s">
        <v>7</v>
      </c>
      <c r="C2572" s="8">
        <v>1890</v>
      </c>
      <c r="D2572" s="9">
        <v>45449</v>
      </c>
      <c r="E2572" s="13">
        <f>+HYPERLINK("http://trademark.i-assist.jp/data/china/image_1890th/77351947.pdf",77351947)</f>
        <v>77351947</v>
      </c>
      <c r="F2572" s="7" t="s">
        <v>7157</v>
      </c>
      <c r="G2572" s="7" t="s">
        <v>7156</v>
      </c>
      <c r="H2572" s="7" t="s">
        <v>7158</v>
      </c>
      <c r="I2572" s="9">
        <v>45368</v>
      </c>
    </row>
    <row r="2573" spans="1:9" x14ac:dyDescent="0.15">
      <c r="A2573" s="6">
        <v>2572</v>
      </c>
      <c r="B2573" s="7" t="s">
        <v>7</v>
      </c>
      <c r="C2573" s="8">
        <v>1890</v>
      </c>
      <c r="D2573" s="9">
        <v>45449</v>
      </c>
      <c r="E2573" s="13">
        <f>+HYPERLINK("http://trademark.i-assist.jp/data/china/image_1890th/77351974.pdf",77351974)</f>
        <v>77351974</v>
      </c>
      <c r="F2573" s="7" t="s">
        <v>7160</v>
      </c>
      <c r="G2573" s="7" t="s">
        <v>7159</v>
      </c>
      <c r="H2573" s="7" t="s">
        <v>7161</v>
      </c>
      <c r="I2573" s="9">
        <v>45368</v>
      </c>
    </row>
    <row r="2574" spans="1:9" x14ac:dyDescent="0.15">
      <c r="A2574" s="6">
        <v>2573</v>
      </c>
      <c r="B2574" s="7" t="s">
        <v>7</v>
      </c>
      <c r="C2574" s="8">
        <v>1890</v>
      </c>
      <c r="D2574" s="9">
        <v>45449</v>
      </c>
      <c r="E2574" s="13">
        <f>+HYPERLINK("http://trademark.i-assist.jp/data/china/image_1890th/77351983.pdf",77351983)</f>
        <v>77351983</v>
      </c>
      <c r="F2574" s="7" t="s">
        <v>7163</v>
      </c>
      <c r="G2574" s="7" t="s">
        <v>7162</v>
      </c>
      <c r="H2574" s="7" t="s">
        <v>7164</v>
      </c>
      <c r="I2574" s="9">
        <v>45368</v>
      </c>
    </row>
    <row r="2575" spans="1:9" x14ac:dyDescent="0.15">
      <c r="A2575" s="6">
        <v>2574</v>
      </c>
      <c r="B2575" s="7" t="s">
        <v>7</v>
      </c>
      <c r="C2575" s="8">
        <v>1890</v>
      </c>
      <c r="D2575" s="9">
        <v>45449</v>
      </c>
      <c r="E2575" s="13">
        <f>+HYPERLINK("http://trademark.i-assist.jp/data/china/image_1890th/77352034.pdf",77352034)</f>
        <v>77352034</v>
      </c>
      <c r="F2575" s="7" t="s">
        <v>7166</v>
      </c>
      <c r="G2575" s="7" t="s">
        <v>7165</v>
      </c>
      <c r="H2575" s="7" t="s">
        <v>7167</v>
      </c>
      <c r="I2575" s="9">
        <v>45368</v>
      </c>
    </row>
    <row r="2576" spans="1:9" x14ac:dyDescent="0.15">
      <c r="A2576" s="6">
        <v>2575</v>
      </c>
      <c r="B2576" s="7" t="s">
        <v>7</v>
      </c>
      <c r="C2576" s="8">
        <v>1890</v>
      </c>
      <c r="D2576" s="9">
        <v>45449</v>
      </c>
      <c r="E2576" s="13">
        <f>+HYPERLINK("http://trademark.i-assist.jp/data/china/image_1890th/77352223.pdf",77352223)</f>
        <v>77352223</v>
      </c>
      <c r="F2576" s="7" t="s">
        <v>7168</v>
      </c>
      <c r="G2576" s="7" t="s">
        <v>361</v>
      </c>
      <c r="H2576" s="7" t="s">
        <v>7169</v>
      </c>
      <c r="I2576" s="9">
        <v>45368</v>
      </c>
    </row>
    <row r="2577" spans="1:9" x14ac:dyDescent="0.15">
      <c r="A2577" s="6">
        <v>2576</v>
      </c>
      <c r="B2577" s="7" t="s">
        <v>7</v>
      </c>
      <c r="C2577" s="8">
        <v>1890</v>
      </c>
      <c r="D2577" s="9">
        <v>45449</v>
      </c>
      <c r="E2577" s="13">
        <f>+HYPERLINK("http://trademark.i-assist.jp/data/china/image_1890th/77352371.pdf",77352371)</f>
        <v>77352371</v>
      </c>
      <c r="F2577" s="7" t="s">
        <v>7171</v>
      </c>
      <c r="G2577" s="7" t="s">
        <v>7170</v>
      </c>
      <c r="H2577" s="7" t="s">
        <v>7172</v>
      </c>
      <c r="I2577" s="9">
        <v>45368</v>
      </c>
    </row>
    <row r="2578" spans="1:9" x14ac:dyDescent="0.15">
      <c r="A2578" s="6">
        <v>2577</v>
      </c>
      <c r="B2578" s="7" t="s">
        <v>7</v>
      </c>
      <c r="C2578" s="8">
        <v>1890</v>
      </c>
      <c r="D2578" s="9">
        <v>45449</v>
      </c>
      <c r="E2578" s="13">
        <f>+HYPERLINK("http://trademark.i-assist.jp/data/china/image_1890th/77352523.pdf",77352523)</f>
        <v>77352523</v>
      </c>
      <c r="F2578" s="7" t="s">
        <v>7174</v>
      </c>
      <c r="G2578" s="7" t="s">
        <v>7173</v>
      </c>
      <c r="H2578" s="7" t="s">
        <v>7175</v>
      </c>
      <c r="I2578" s="9">
        <v>45368</v>
      </c>
    </row>
    <row r="2579" spans="1:9" x14ac:dyDescent="0.15">
      <c r="A2579" s="6">
        <v>2578</v>
      </c>
      <c r="B2579" s="7" t="s">
        <v>7</v>
      </c>
      <c r="C2579" s="8">
        <v>1890</v>
      </c>
      <c r="D2579" s="9">
        <v>45449</v>
      </c>
      <c r="E2579" s="13">
        <f>+HYPERLINK("http://trademark.i-assist.jp/data/china/image_1890th/77352544.pdf",77352544)</f>
        <v>77352544</v>
      </c>
      <c r="F2579" s="7" t="s">
        <v>7177</v>
      </c>
      <c r="G2579" s="7" t="s">
        <v>7176</v>
      </c>
      <c r="H2579" s="7" t="s">
        <v>7178</v>
      </c>
      <c r="I2579" s="9">
        <v>45368</v>
      </c>
    </row>
    <row r="2580" spans="1:9" x14ac:dyDescent="0.15">
      <c r="A2580" s="6">
        <v>2579</v>
      </c>
      <c r="B2580" s="7" t="s">
        <v>7</v>
      </c>
      <c r="C2580" s="8">
        <v>1890</v>
      </c>
      <c r="D2580" s="9">
        <v>45449</v>
      </c>
      <c r="E2580" s="13">
        <f>+HYPERLINK("http://trademark.i-assist.jp/data/china/image_1890th/77352553.pdf",77352553)</f>
        <v>77352553</v>
      </c>
      <c r="F2580" s="7" t="s">
        <v>7180</v>
      </c>
      <c r="G2580" s="7" t="s">
        <v>7179</v>
      </c>
      <c r="H2580" s="7" t="s">
        <v>7181</v>
      </c>
      <c r="I2580" s="9">
        <v>45368</v>
      </c>
    </row>
    <row r="2581" spans="1:9" x14ac:dyDescent="0.15">
      <c r="A2581" s="6">
        <v>2580</v>
      </c>
      <c r="B2581" s="7" t="s">
        <v>7</v>
      </c>
      <c r="C2581" s="8">
        <v>1890</v>
      </c>
      <c r="D2581" s="9">
        <v>45449</v>
      </c>
      <c r="E2581" s="13">
        <f>+HYPERLINK("http://trademark.i-assist.jp/data/china/image_1890th/77352637.pdf",77352637)</f>
        <v>77352637</v>
      </c>
      <c r="F2581" s="7" t="s">
        <v>7183</v>
      </c>
      <c r="G2581" s="7" t="s">
        <v>7182</v>
      </c>
      <c r="H2581" s="7" t="s">
        <v>7184</v>
      </c>
      <c r="I2581" s="9">
        <v>45368</v>
      </c>
    </row>
    <row r="2582" spans="1:9" x14ac:dyDescent="0.15">
      <c r="A2582" s="6">
        <v>2581</v>
      </c>
      <c r="B2582" s="7" t="s">
        <v>7</v>
      </c>
      <c r="C2582" s="8">
        <v>1890</v>
      </c>
      <c r="D2582" s="9">
        <v>45449</v>
      </c>
      <c r="E2582" s="13">
        <f>+HYPERLINK("http://trademark.i-assist.jp/data/china/image_1890th/77352681.pdf",77352681)</f>
        <v>77352681</v>
      </c>
      <c r="F2582" s="7" t="s">
        <v>7185</v>
      </c>
      <c r="G2582" s="7" t="s">
        <v>7150</v>
      </c>
      <c r="H2582" s="7" t="s">
        <v>7186</v>
      </c>
      <c r="I2582" s="9">
        <v>45368</v>
      </c>
    </row>
    <row r="2583" spans="1:9" x14ac:dyDescent="0.15">
      <c r="A2583" s="6">
        <v>2582</v>
      </c>
      <c r="B2583" s="7" t="s">
        <v>7</v>
      </c>
      <c r="C2583" s="8">
        <v>1890</v>
      </c>
      <c r="D2583" s="9">
        <v>45449</v>
      </c>
      <c r="E2583" s="13">
        <f>+HYPERLINK("http://trademark.i-assist.jp/data/china/image_1890th/77352791.pdf",77352791)</f>
        <v>77352791</v>
      </c>
      <c r="F2583" s="7" t="s">
        <v>7188</v>
      </c>
      <c r="G2583" s="7" t="s">
        <v>7187</v>
      </c>
      <c r="H2583" s="7" t="s">
        <v>7189</v>
      </c>
      <c r="I2583" s="9">
        <v>45368</v>
      </c>
    </row>
    <row r="2584" spans="1:9" ht="27" x14ac:dyDescent="0.15">
      <c r="A2584" s="6">
        <v>2583</v>
      </c>
      <c r="B2584" s="7" t="s">
        <v>7</v>
      </c>
      <c r="C2584" s="8">
        <v>1890</v>
      </c>
      <c r="D2584" s="9">
        <v>45449</v>
      </c>
      <c r="E2584" s="13">
        <f>+HYPERLINK("http://trademark.i-assist.jp/data/china/image_1890th/77352845.pdf",77352845)</f>
        <v>77352845</v>
      </c>
      <c r="F2584" s="7" t="s">
        <v>7191</v>
      </c>
      <c r="G2584" s="7" t="s">
        <v>7190</v>
      </c>
      <c r="H2584" s="7" t="s">
        <v>7192</v>
      </c>
      <c r="I2584" s="9">
        <v>45368</v>
      </c>
    </row>
    <row r="2585" spans="1:9" x14ac:dyDescent="0.15">
      <c r="A2585" s="6">
        <v>2584</v>
      </c>
      <c r="B2585" s="7" t="s">
        <v>7</v>
      </c>
      <c r="C2585" s="8">
        <v>1890</v>
      </c>
      <c r="D2585" s="9">
        <v>45449</v>
      </c>
      <c r="E2585" s="13">
        <f>+HYPERLINK("http://trademark.i-assist.jp/data/china/image_1890th/77352887.pdf",77352887)</f>
        <v>77352887</v>
      </c>
      <c r="F2585" s="7" t="s">
        <v>7194</v>
      </c>
      <c r="G2585" s="7" t="s">
        <v>7193</v>
      </c>
      <c r="H2585" s="7" t="s">
        <v>7195</v>
      </c>
      <c r="I2585" s="9">
        <v>45368</v>
      </c>
    </row>
    <row r="2586" spans="1:9" x14ac:dyDescent="0.15">
      <c r="A2586" s="6">
        <v>2585</v>
      </c>
      <c r="B2586" s="7" t="s">
        <v>7</v>
      </c>
      <c r="C2586" s="8">
        <v>1890</v>
      </c>
      <c r="D2586" s="9">
        <v>45449</v>
      </c>
      <c r="E2586" s="13">
        <f>+HYPERLINK("http://trademark.i-assist.jp/data/china/image_1890th/77352901.pdf",77352901)</f>
        <v>77352901</v>
      </c>
      <c r="F2586" s="7" t="s">
        <v>7197</v>
      </c>
      <c r="G2586" s="7" t="s">
        <v>7196</v>
      </c>
      <c r="H2586" s="7" t="s">
        <v>7198</v>
      </c>
      <c r="I2586" s="9">
        <v>45368</v>
      </c>
    </row>
    <row r="2587" spans="1:9" x14ac:dyDescent="0.15">
      <c r="A2587" s="6">
        <v>2586</v>
      </c>
      <c r="B2587" s="7" t="s">
        <v>7</v>
      </c>
      <c r="C2587" s="8">
        <v>1890</v>
      </c>
      <c r="D2587" s="9">
        <v>45449</v>
      </c>
      <c r="E2587" s="13">
        <f>+HYPERLINK("http://trademark.i-assist.jp/data/china/image_1890th/77352970.pdf",77352970)</f>
        <v>77352970</v>
      </c>
      <c r="F2587" s="7" t="s">
        <v>7200</v>
      </c>
      <c r="G2587" s="7" t="s">
        <v>7199</v>
      </c>
      <c r="H2587" s="7" t="s">
        <v>7201</v>
      </c>
      <c r="I2587" s="9">
        <v>45368</v>
      </c>
    </row>
    <row r="2588" spans="1:9" x14ac:dyDescent="0.15">
      <c r="A2588" s="6">
        <v>2587</v>
      </c>
      <c r="B2588" s="7" t="s">
        <v>7</v>
      </c>
      <c r="C2588" s="8">
        <v>1890</v>
      </c>
      <c r="D2588" s="9">
        <v>45449</v>
      </c>
      <c r="E2588" s="13">
        <f>+HYPERLINK("http://trademark.i-assist.jp/data/china/image_1890th/77353329.pdf",77353329)</f>
        <v>77353329</v>
      </c>
      <c r="F2588" s="7" t="s">
        <v>7203</v>
      </c>
      <c r="G2588" s="7" t="s">
        <v>7202</v>
      </c>
      <c r="H2588" s="7" t="s">
        <v>7204</v>
      </c>
      <c r="I2588" s="9">
        <v>45368</v>
      </c>
    </row>
    <row r="2589" spans="1:9" x14ac:dyDescent="0.15">
      <c r="A2589" s="6">
        <v>2588</v>
      </c>
      <c r="B2589" s="7" t="s">
        <v>7</v>
      </c>
      <c r="C2589" s="8">
        <v>1890</v>
      </c>
      <c r="D2589" s="9">
        <v>45449</v>
      </c>
      <c r="E2589" s="13">
        <f>+HYPERLINK("http://trademark.i-assist.jp/data/china/image_1890th/77353366.pdf",77353366)</f>
        <v>77353366</v>
      </c>
      <c r="F2589" s="7" t="s">
        <v>183</v>
      </c>
      <c r="G2589" s="7" t="s">
        <v>7205</v>
      </c>
      <c r="H2589" s="7" t="s">
        <v>7206</v>
      </c>
      <c r="I2589" s="9">
        <v>45368</v>
      </c>
    </row>
    <row r="2590" spans="1:9" ht="27" x14ac:dyDescent="0.15">
      <c r="A2590" s="6">
        <v>2589</v>
      </c>
      <c r="B2590" s="7" t="s">
        <v>7</v>
      </c>
      <c r="C2590" s="8">
        <v>1890</v>
      </c>
      <c r="D2590" s="9">
        <v>45449</v>
      </c>
      <c r="E2590" s="13">
        <f>+HYPERLINK("http://trademark.i-assist.jp/data/china/image_1890th/77353431.pdf",77353431)</f>
        <v>77353431</v>
      </c>
      <c r="F2590" s="7" t="s">
        <v>7208</v>
      </c>
      <c r="G2590" s="7" t="s">
        <v>7207</v>
      </c>
      <c r="H2590" s="7" t="s">
        <v>7209</v>
      </c>
      <c r="I2590" s="9">
        <v>45368</v>
      </c>
    </row>
    <row r="2591" spans="1:9" x14ac:dyDescent="0.15">
      <c r="A2591" s="6">
        <v>2590</v>
      </c>
      <c r="B2591" s="7" t="s">
        <v>7</v>
      </c>
      <c r="C2591" s="8">
        <v>1890</v>
      </c>
      <c r="D2591" s="9">
        <v>45449</v>
      </c>
      <c r="E2591" s="13">
        <f>+HYPERLINK("http://trademark.i-assist.jp/data/china/image_1890th/77353466.pdf",77353466)</f>
        <v>77353466</v>
      </c>
      <c r="F2591" s="7" t="s">
        <v>7210</v>
      </c>
      <c r="G2591" s="7" t="s">
        <v>41</v>
      </c>
      <c r="H2591" s="7" t="s">
        <v>7211</v>
      </c>
      <c r="I2591" s="9">
        <v>45368</v>
      </c>
    </row>
    <row r="2592" spans="1:9" ht="27" x14ac:dyDescent="0.15">
      <c r="A2592" s="6">
        <v>2591</v>
      </c>
      <c r="B2592" s="7" t="s">
        <v>7</v>
      </c>
      <c r="C2592" s="8">
        <v>1890</v>
      </c>
      <c r="D2592" s="9">
        <v>45449</v>
      </c>
      <c r="E2592" s="13">
        <f>+HYPERLINK("http://trademark.i-assist.jp/data/china/image_1890th/77353635.pdf",77353635)</f>
        <v>77353635</v>
      </c>
      <c r="F2592" s="7" t="s">
        <v>7213</v>
      </c>
      <c r="G2592" s="7" t="s">
        <v>7212</v>
      </c>
      <c r="H2592" s="7" t="s">
        <v>7214</v>
      </c>
      <c r="I2592" s="9">
        <v>45368</v>
      </c>
    </row>
    <row r="2593" spans="1:9" ht="27" x14ac:dyDescent="0.15">
      <c r="A2593" s="6">
        <v>2592</v>
      </c>
      <c r="B2593" s="7" t="s">
        <v>7</v>
      </c>
      <c r="C2593" s="8">
        <v>1890</v>
      </c>
      <c r="D2593" s="9">
        <v>45449</v>
      </c>
      <c r="E2593" s="13">
        <f>+HYPERLINK("http://trademark.i-assist.jp/data/china/image_1890th/77353637.pdf",77353637)</f>
        <v>77353637</v>
      </c>
      <c r="F2593" s="7" t="s">
        <v>7215</v>
      </c>
      <c r="G2593" s="7" t="s">
        <v>7190</v>
      </c>
      <c r="H2593" s="7" t="s">
        <v>7216</v>
      </c>
      <c r="I2593" s="9">
        <v>45368</v>
      </c>
    </row>
    <row r="2594" spans="1:9" ht="27" x14ac:dyDescent="0.15">
      <c r="A2594" s="6">
        <v>2593</v>
      </c>
      <c r="B2594" s="7" t="s">
        <v>7</v>
      </c>
      <c r="C2594" s="8">
        <v>1890</v>
      </c>
      <c r="D2594" s="9">
        <v>45449</v>
      </c>
      <c r="E2594" s="13">
        <f>+HYPERLINK("http://trademark.i-assist.jp/data/china/image_1890th/77353839.pdf",77353839)</f>
        <v>77353839</v>
      </c>
      <c r="F2594" s="7" t="s">
        <v>7217</v>
      </c>
      <c r="G2594" s="7" t="s">
        <v>7173</v>
      </c>
      <c r="H2594" s="7" t="s">
        <v>7218</v>
      </c>
      <c r="I2594" s="9">
        <v>45368</v>
      </c>
    </row>
    <row r="2595" spans="1:9" ht="27" x14ac:dyDescent="0.15">
      <c r="A2595" s="6">
        <v>2594</v>
      </c>
      <c r="B2595" s="7" t="s">
        <v>7</v>
      </c>
      <c r="C2595" s="8">
        <v>1890</v>
      </c>
      <c r="D2595" s="9">
        <v>45449</v>
      </c>
      <c r="E2595" s="13">
        <f>+HYPERLINK("http://trademark.i-assist.jp/data/china/image_1890th/77353933.pdf",77353933)</f>
        <v>77353933</v>
      </c>
      <c r="F2595" s="7" t="s">
        <v>7219</v>
      </c>
      <c r="G2595" s="7" t="s">
        <v>7190</v>
      </c>
      <c r="H2595" s="7" t="s">
        <v>7220</v>
      </c>
      <c r="I2595" s="9">
        <v>45368</v>
      </c>
    </row>
    <row r="2596" spans="1:9" x14ac:dyDescent="0.15">
      <c r="A2596" s="6">
        <v>2595</v>
      </c>
      <c r="B2596" s="7" t="s">
        <v>7</v>
      </c>
      <c r="C2596" s="8">
        <v>1890</v>
      </c>
      <c r="D2596" s="9">
        <v>45449</v>
      </c>
      <c r="E2596" s="13">
        <f>+HYPERLINK("http://trademark.i-assist.jp/data/china/image_1890th/77354336.pdf",77354336)</f>
        <v>77354336</v>
      </c>
      <c r="F2596" s="7" t="s">
        <v>7222</v>
      </c>
      <c r="G2596" s="7" t="s">
        <v>7221</v>
      </c>
      <c r="H2596" s="7" t="s">
        <v>7223</v>
      </c>
      <c r="I2596" s="9">
        <v>45368</v>
      </c>
    </row>
    <row r="2597" spans="1:9" x14ac:dyDescent="0.15">
      <c r="A2597" s="6">
        <v>2596</v>
      </c>
      <c r="B2597" s="7" t="s">
        <v>7</v>
      </c>
      <c r="C2597" s="8">
        <v>1890</v>
      </c>
      <c r="D2597" s="9">
        <v>45449</v>
      </c>
      <c r="E2597" s="13">
        <f>+HYPERLINK("http://trademark.i-assist.jp/data/china/image_1890th/77354363.pdf",77354363)</f>
        <v>77354363</v>
      </c>
      <c r="F2597" s="7" t="s">
        <v>7225</v>
      </c>
      <c r="G2597" s="7" t="s">
        <v>7224</v>
      </c>
      <c r="H2597" s="7" t="s">
        <v>7226</v>
      </c>
      <c r="I2597" s="9">
        <v>45368</v>
      </c>
    </row>
    <row r="2598" spans="1:9" x14ac:dyDescent="0.15">
      <c r="A2598" s="6">
        <v>2597</v>
      </c>
      <c r="B2598" s="7" t="s">
        <v>7</v>
      </c>
      <c r="C2598" s="8">
        <v>1890</v>
      </c>
      <c r="D2598" s="9">
        <v>45449</v>
      </c>
      <c r="E2598" s="13">
        <f>+HYPERLINK("http://trademark.i-assist.jp/data/china/image_1890th/77354386.pdf",77354386)</f>
        <v>77354386</v>
      </c>
      <c r="F2598" s="7" t="s">
        <v>7228</v>
      </c>
      <c r="G2598" s="7" t="s">
        <v>7227</v>
      </c>
      <c r="H2598" s="7" t="s">
        <v>7229</v>
      </c>
      <c r="I2598" s="9">
        <v>45368</v>
      </c>
    </row>
    <row r="2599" spans="1:9" x14ac:dyDescent="0.15">
      <c r="A2599" s="6">
        <v>2598</v>
      </c>
      <c r="B2599" s="7" t="s">
        <v>7</v>
      </c>
      <c r="C2599" s="8">
        <v>1890</v>
      </c>
      <c r="D2599" s="9">
        <v>45449</v>
      </c>
      <c r="E2599" s="13">
        <f>+HYPERLINK("http://trademark.i-assist.jp/data/china/image_1890th/77354686.pdf",77354686)</f>
        <v>77354686</v>
      </c>
      <c r="F2599" s="7" t="s">
        <v>183</v>
      </c>
      <c r="G2599" s="7" t="s">
        <v>7230</v>
      </c>
      <c r="H2599" s="7" t="s">
        <v>7231</v>
      </c>
      <c r="I2599" s="9">
        <v>45368</v>
      </c>
    </row>
    <row r="2600" spans="1:9" x14ac:dyDescent="0.15">
      <c r="A2600" s="6">
        <v>2599</v>
      </c>
      <c r="B2600" s="7" t="s">
        <v>7</v>
      </c>
      <c r="C2600" s="8">
        <v>1890</v>
      </c>
      <c r="D2600" s="9">
        <v>45449</v>
      </c>
      <c r="E2600" s="13">
        <f>+HYPERLINK("http://trademark.i-assist.jp/data/china/image_1890th/77354698.pdf",77354698)</f>
        <v>77354698</v>
      </c>
      <c r="F2600" s="7" t="s">
        <v>7233</v>
      </c>
      <c r="G2600" s="7" t="s">
        <v>7232</v>
      </c>
      <c r="H2600" s="7" t="s">
        <v>7234</v>
      </c>
      <c r="I2600" s="9">
        <v>45368</v>
      </c>
    </row>
    <row r="2601" spans="1:9" x14ac:dyDescent="0.15">
      <c r="A2601" s="6">
        <v>2600</v>
      </c>
      <c r="B2601" s="7" t="s">
        <v>7</v>
      </c>
      <c r="C2601" s="8">
        <v>1890</v>
      </c>
      <c r="D2601" s="9">
        <v>45449</v>
      </c>
      <c r="E2601" s="13">
        <f>+HYPERLINK("http://trademark.i-assist.jp/data/china/image_1890th/77354721.pdf",77354721)</f>
        <v>77354721</v>
      </c>
      <c r="F2601" s="7" t="s">
        <v>7236</v>
      </c>
      <c r="G2601" s="7" t="s">
        <v>7235</v>
      </c>
      <c r="H2601" s="7" t="s">
        <v>7237</v>
      </c>
      <c r="I2601" s="9">
        <v>45368</v>
      </c>
    </row>
    <row r="2602" spans="1:9" x14ac:dyDescent="0.15">
      <c r="A2602" s="6">
        <v>2601</v>
      </c>
      <c r="B2602" s="7" t="s">
        <v>7</v>
      </c>
      <c r="C2602" s="8">
        <v>1890</v>
      </c>
      <c r="D2602" s="9">
        <v>45449</v>
      </c>
      <c r="E2602" s="13">
        <f>+HYPERLINK("http://trademark.i-assist.jp/data/china/image_1890th/77354728.pdf",77354728)</f>
        <v>77354728</v>
      </c>
      <c r="F2602" s="7" t="s">
        <v>7239</v>
      </c>
      <c r="G2602" s="7" t="s">
        <v>7238</v>
      </c>
      <c r="H2602" s="7" t="s">
        <v>7240</v>
      </c>
      <c r="I2602" s="9">
        <v>45368</v>
      </c>
    </row>
    <row r="2603" spans="1:9" x14ac:dyDescent="0.15">
      <c r="A2603" s="6">
        <v>2602</v>
      </c>
      <c r="B2603" s="7" t="s">
        <v>7</v>
      </c>
      <c r="C2603" s="8">
        <v>1890</v>
      </c>
      <c r="D2603" s="9">
        <v>45449</v>
      </c>
      <c r="E2603" s="13">
        <f>+HYPERLINK("http://trademark.i-assist.jp/data/china/image_1890th/77419932.pdf",77419932)</f>
        <v>77419932</v>
      </c>
      <c r="F2603" s="7" t="s">
        <v>7242</v>
      </c>
      <c r="G2603" s="7" t="s">
        <v>7241</v>
      </c>
      <c r="H2603" s="7" t="s">
        <v>7243</v>
      </c>
      <c r="I2603" s="9">
        <v>45371</v>
      </c>
    </row>
    <row r="2604" spans="1:9" x14ac:dyDescent="0.15">
      <c r="A2604" s="6">
        <v>2603</v>
      </c>
      <c r="B2604" s="7" t="s">
        <v>7</v>
      </c>
      <c r="C2604" s="8">
        <v>1890</v>
      </c>
      <c r="D2604" s="9">
        <v>45449</v>
      </c>
      <c r="E2604" s="13">
        <f>+HYPERLINK("http://trademark.i-assist.jp/data/china/image_1890th/77420003.pdf",77420003)</f>
        <v>77420003</v>
      </c>
      <c r="F2604" s="7" t="s">
        <v>7244</v>
      </c>
      <c r="G2604" s="7" t="s">
        <v>2199</v>
      </c>
      <c r="H2604" s="7" t="s">
        <v>7245</v>
      </c>
      <c r="I2604" s="9">
        <v>45371</v>
      </c>
    </row>
    <row r="2605" spans="1:9" x14ac:dyDescent="0.15">
      <c r="A2605" s="6">
        <v>2604</v>
      </c>
      <c r="B2605" s="7" t="s">
        <v>7</v>
      </c>
      <c r="C2605" s="8">
        <v>1890</v>
      </c>
      <c r="D2605" s="9">
        <v>45449</v>
      </c>
      <c r="E2605" s="13">
        <f>+HYPERLINK("http://trademark.i-assist.jp/data/china/image_1890th/77420113.pdf",77420113)</f>
        <v>77420113</v>
      </c>
      <c r="F2605" s="7" t="s">
        <v>7247</v>
      </c>
      <c r="G2605" s="7" t="s">
        <v>7246</v>
      </c>
      <c r="H2605" s="7" t="s">
        <v>7248</v>
      </c>
      <c r="I2605" s="9">
        <v>45371</v>
      </c>
    </row>
    <row r="2606" spans="1:9" x14ac:dyDescent="0.15">
      <c r="A2606" s="6">
        <v>2605</v>
      </c>
      <c r="B2606" s="7" t="s">
        <v>7</v>
      </c>
      <c r="C2606" s="8">
        <v>1890</v>
      </c>
      <c r="D2606" s="9">
        <v>45449</v>
      </c>
      <c r="E2606" s="13">
        <f>+HYPERLINK("http://trademark.i-assist.jp/data/china/image_1890th/77420200.pdf",77420200)</f>
        <v>77420200</v>
      </c>
      <c r="F2606" s="7" t="s">
        <v>7249</v>
      </c>
      <c r="G2606" s="7" t="s">
        <v>3310</v>
      </c>
      <c r="H2606" s="7" t="s">
        <v>7250</v>
      </c>
      <c r="I2606" s="9">
        <v>45371</v>
      </c>
    </row>
    <row r="2607" spans="1:9" x14ac:dyDescent="0.15">
      <c r="A2607" s="6">
        <v>2606</v>
      </c>
      <c r="B2607" s="7" t="s">
        <v>7</v>
      </c>
      <c r="C2607" s="8">
        <v>1890</v>
      </c>
      <c r="D2607" s="9">
        <v>45449</v>
      </c>
      <c r="E2607" s="13">
        <f>+HYPERLINK("http://trademark.i-assist.jp/data/china/image_1890th/77420246.pdf",77420246)</f>
        <v>77420246</v>
      </c>
      <c r="F2607" s="7" t="s">
        <v>7252</v>
      </c>
      <c r="G2607" s="7" t="s">
        <v>7251</v>
      </c>
      <c r="H2607" s="7" t="s">
        <v>7253</v>
      </c>
      <c r="I2607" s="9">
        <v>45371</v>
      </c>
    </row>
    <row r="2608" spans="1:9" x14ac:dyDescent="0.15">
      <c r="A2608" s="6">
        <v>2607</v>
      </c>
      <c r="B2608" s="7" t="s">
        <v>7</v>
      </c>
      <c r="C2608" s="8">
        <v>1890</v>
      </c>
      <c r="D2608" s="9">
        <v>45449</v>
      </c>
      <c r="E2608" s="13">
        <f>+HYPERLINK("http://trademark.i-assist.jp/data/china/image_1890th/77420329.pdf",77420329)</f>
        <v>77420329</v>
      </c>
      <c r="F2608" s="7" t="s">
        <v>7255</v>
      </c>
      <c r="G2608" s="7" t="s">
        <v>7254</v>
      </c>
      <c r="H2608" s="7" t="s">
        <v>7256</v>
      </c>
      <c r="I2608" s="9">
        <v>45371</v>
      </c>
    </row>
    <row r="2609" spans="1:9" x14ac:dyDescent="0.15">
      <c r="A2609" s="6">
        <v>2608</v>
      </c>
      <c r="B2609" s="7" t="s">
        <v>7</v>
      </c>
      <c r="C2609" s="8">
        <v>1890</v>
      </c>
      <c r="D2609" s="9">
        <v>45449</v>
      </c>
      <c r="E2609" s="13">
        <f>+HYPERLINK("http://trademark.i-assist.jp/data/china/image_1890th/77420591.pdf",77420591)</f>
        <v>77420591</v>
      </c>
      <c r="F2609" s="7" t="s">
        <v>7257</v>
      </c>
      <c r="G2609" s="7" t="s">
        <v>5389</v>
      </c>
      <c r="H2609" s="7" t="s">
        <v>7258</v>
      </c>
      <c r="I2609" s="9">
        <v>45371</v>
      </c>
    </row>
    <row r="2610" spans="1:9" x14ac:dyDescent="0.15">
      <c r="A2610" s="6">
        <v>2609</v>
      </c>
      <c r="B2610" s="7" t="s">
        <v>7</v>
      </c>
      <c r="C2610" s="8">
        <v>1890</v>
      </c>
      <c r="D2610" s="9">
        <v>45449</v>
      </c>
      <c r="E2610" s="13">
        <f>+HYPERLINK("http://trademark.i-assist.jp/data/china/image_1890th/77420738.pdf",77420738)</f>
        <v>77420738</v>
      </c>
      <c r="F2610" s="7" t="s">
        <v>7260</v>
      </c>
      <c r="G2610" s="7" t="s">
        <v>7259</v>
      </c>
      <c r="H2610" s="7" t="s">
        <v>7261</v>
      </c>
      <c r="I2610" s="9">
        <v>45371</v>
      </c>
    </row>
    <row r="2611" spans="1:9" x14ac:dyDescent="0.15">
      <c r="A2611" s="6">
        <v>2610</v>
      </c>
      <c r="B2611" s="7" t="s">
        <v>7</v>
      </c>
      <c r="C2611" s="8">
        <v>1890</v>
      </c>
      <c r="D2611" s="9">
        <v>45449</v>
      </c>
      <c r="E2611" s="13">
        <f>+HYPERLINK("http://trademark.i-assist.jp/data/china/image_1890th/77420802.pdf",77420802)</f>
        <v>77420802</v>
      </c>
      <c r="F2611" s="7" t="s">
        <v>7263</v>
      </c>
      <c r="G2611" s="7" t="s">
        <v>7262</v>
      </c>
      <c r="H2611" s="7" t="s">
        <v>7264</v>
      </c>
      <c r="I2611" s="9">
        <v>45371</v>
      </c>
    </row>
    <row r="2612" spans="1:9" ht="27" x14ac:dyDescent="0.15">
      <c r="A2612" s="6">
        <v>2611</v>
      </c>
      <c r="B2612" s="7" t="s">
        <v>7</v>
      </c>
      <c r="C2612" s="8">
        <v>1890</v>
      </c>
      <c r="D2612" s="9">
        <v>45449</v>
      </c>
      <c r="E2612" s="13">
        <f>+HYPERLINK("http://trademark.i-assist.jp/data/china/image_1890th/77420855.pdf",77420855)</f>
        <v>77420855</v>
      </c>
      <c r="F2612" s="7" t="s">
        <v>7266</v>
      </c>
      <c r="G2612" s="7" t="s">
        <v>7265</v>
      </c>
      <c r="H2612" s="7" t="s">
        <v>7267</v>
      </c>
      <c r="I2612" s="9">
        <v>45371</v>
      </c>
    </row>
    <row r="2613" spans="1:9" x14ac:dyDescent="0.15">
      <c r="A2613" s="6">
        <v>2612</v>
      </c>
      <c r="B2613" s="7" t="s">
        <v>7</v>
      </c>
      <c r="C2613" s="8">
        <v>1890</v>
      </c>
      <c r="D2613" s="9">
        <v>45449</v>
      </c>
      <c r="E2613" s="13">
        <f>+HYPERLINK("http://trademark.i-assist.jp/data/china/image_1890th/77421039.pdf",77421039)</f>
        <v>77421039</v>
      </c>
      <c r="F2613" s="7" t="s">
        <v>7268</v>
      </c>
      <c r="G2613" s="7" t="s">
        <v>7251</v>
      </c>
      <c r="H2613" s="7" t="s">
        <v>7269</v>
      </c>
      <c r="I2613" s="9">
        <v>45371</v>
      </c>
    </row>
    <row r="2614" spans="1:9" x14ac:dyDescent="0.15">
      <c r="A2614" s="6">
        <v>2613</v>
      </c>
      <c r="B2614" s="7" t="s">
        <v>7</v>
      </c>
      <c r="C2614" s="8">
        <v>1890</v>
      </c>
      <c r="D2614" s="9">
        <v>45449</v>
      </c>
      <c r="E2614" s="13">
        <f>+HYPERLINK("http://trademark.i-assist.jp/data/china/image_1890th/77421052.pdf",77421052)</f>
        <v>77421052</v>
      </c>
      <c r="F2614" s="7" t="s">
        <v>7270</v>
      </c>
      <c r="G2614" s="7" t="s">
        <v>282</v>
      </c>
      <c r="H2614" s="7" t="s">
        <v>7271</v>
      </c>
      <c r="I2614" s="9">
        <v>45371</v>
      </c>
    </row>
    <row r="2615" spans="1:9" x14ac:dyDescent="0.15">
      <c r="A2615" s="6">
        <v>2614</v>
      </c>
      <c r="B2615" s="7" t="s">
        <v>7</v>
      </c>
      <c r="C2615" s="8">
        <v>1890</v>
      </c>
      <c r="D2615" s="9">
        <v>45449</v>
      </c>
      <c r="E2615" s="13">
        <f>+HYPERLINK("http://trademark.i-assist.jp/data/china/image_1890th/77421112.pdf",77421112)</f>
        <v>77421112</v>
      </c>
      <c r="F2615" s="7" t="s">
        <v>7273</v>
      </c>
      <c r="G2615" s="7" t="s">
        <v>7272</v>
      </c>
      <c r="H2615" s="7" t="s">
        <v>7274</v>
      </c>
      <c r="I2615" s="9">
        <v>45371</v>
      </c>
    </row>
    <row r="2616" spans="1:9" x14ac:dyDescent="0.15">
      <c r="A2616" s="6">
        <v>2615</v>
      </c>
      <c r="B2616" s="7" t="s">
        <v>7</v>
      </c>
      <c r="C2616" s="8">
        <v>1890</v>
      </c>
      <c r="D2616" s="9">
        <v>45449</v>
      </c>
      <c r="E2616" s="13">
        <f>+HYPERLINK("http://trademark.i-assist.jp/data/china/image_1890th/77421224.pdf",77421224)</f>
        <v>77421224</v>
      </c>
      <c r="F2616" s="7" t="s">
        <v>7276</v>
      </c>
      <c r="G2616" s="7" t="s">
        <v>7275</v>
      </c>
      <c r="H2616" s="7" t="s">
        <v>7277</v>
      </c>
      <c r="I2616" s="9">
        <v>45371</v>
      </c>
    </row>
    <row r="2617" spans="1:9" x14ac:dyDescent="0.15">
      <c r="A2617" s="6">
        <v>2616</v>
      </c>
      <c r="B2617" s="7" t="s">
        <v>7</v>
      </c>
      <c r="C2617" s="8">
        <v>1890</v>
      </c>
      <c r="D2617" s="9">
        <v>45449</v>
      </c>
      <c r="E2617" s="13">
        <f>+HYPERLINK("http://trademark.i-assist.jp/data/china/image_1890th/77468621.pdf",77468621)</f>
        <v>77468621</v>
      </c>
      <c r="F2617" s="7" t="s">
        <v>7279</v>
      </c>
      <c r="G2617" s="7" t="s">
        <v>7278</v>
      </c>
      <c r="H2617" s="7" t="s">
        <v>7280</v>
      </c>
      <c r="I2617" s="9">
        <v>45372</v>
      </c>
    </row>
    <row r="2618" spans="1:9" x14ac:dyDescent="0.15">
      <c r="A2618" s="6">
        <v>2617</v>
      </c>
      <c r="B2618" s="7" t="s">
        <v>7</v>
      </c>
      <c r="C2618" s="8">
        <v>1890</v>
      </c>
      <c r="D2618" s="9">
        <v>45449</v>
      </c>
      <c r="E2618" s="13">
        <f>+HYPERLINK("http://trademark.i-assist.jp/data/china/image_1890th/77468644.pdf",77468644)</f>
        <v>77468644</v>
      </c>
      <c r="F2618" s="7" t="s">
        <v>7281</v>
      </c>
      <c r="G2618" s="7" t="s">
        <v>4684</v>
      </c>
      <c r="H2618" s="7" t="s">
        <v>7282</v>
      </c>
      <c r="I2618" s="9">
        <v>45372</v>
      </c>
    </row>
    <row r="2619" spans="1:9" x14ac:dyDescent="0.15">
      <c r="A2619" s="6">
        <v>2618</v>
      </c>
      <c r="B2619" s="7" t="s">
        <v>7</v>
      </c>
      <c r="C2619" s="8">
        <v>1890</v>
      </c>
      <c r="D2619" s="9">
        <v>45449</v>
      </c>
      <c r="E2619" s="13">
        <f>+HYPERLINK("http://trademark.i-assist.jp/data/china/image_1890th/77468662.pdf",77468662)</f>
        <v>77468662</v>
      </c>
      <c r="F2619" s="7" t="s">
        <v>7284</v>
      </c>
      <c r="G2619" s="7" t="s">
        <v>7283</v>
      </c>
      <c r="H2619" s="7" t="s">
        <v>7285</v>
      </c>
      <c r="I2619" s="9">
        <v>45372</v>
      </c>
    </row>
    <row r="2620" spans="1:9" x14ac:dyDescent="0.15">
      <c r="A2620" s="6">
        <v>2619</v>
      </c>
      <c r="B2620" s="7" t="s">
        <v>7</v>
      </c>
      <c r="C2620" s="8">
        <v>1890</v>
      </c>
      <c r="D2620" s="9">
        <v>45449</v>
      </c>
      <c r="E2620" s="13">
        <f>+HYPERLINK("http://trademark.i-assist.jp/data/china/image_1890th/77468666.pdf",77468666)</f>
        <v>77468666</v>
      </c>
      <c r="F2620" s="7" t="s">
        <v>7287</v>
      </c>
      <c r="G2620" s="7" t="s">
        <v>7286</v>
      </c>
      <c r="H2620" s="7" t="s">
        <v>7288</v>
      </c>
      <c r="I2620" s="9">
        <v>45372</v>
      </c>
    </row>
    <row r="2621" spans="1:9" x14ac:dyDescent="0.15">
      <c r="A2621" s="6">
        <v>2620</v>
      </c>
      <c r="B2621" s="7" t="s">
        <v>7</v>
      </c>
      <c r="C2621" s="8">
        <v>1890</v>
      </c>
      <c r="D2621" s="9">
        <v>45449</v>
      </c>
      <c r="E2621" s="13">
        <f>+HYPERLINK("http://trademark.i-assist.jp/data/china/image_1890th/77468926.pdf",77468926)</f>
        <v>77468926</v>
      </c>
      <c r="F2621" s="7" t="s">
        <v>7290</v>
      </c>
      <c r="G2621" s="7" t="s">
        <v>7289</v>
      </c>
      <c r="H2621" s="7" t="s">
        <v>7291</v>
      </c>
      <c r="I2621" s="9">
        <v>45372</v>
      </c>
    </row>
    <row r="2622" spans="1:9" ht="27" x14ac:dyDescent="0.15">
      <c r="A2622" s="6">
        <v>2621</v>
      </c>
      <c r="B2622" s="7" t="s">
        <v>7</v>
      </c>
      <c r="C2622" s="8">
        <v>1890</v>
      </c>
      <c r="D2622" s="9">
        <v>45449</v>
      </c>
      <c r="E2622" s="13">
        <f>+HYPERLINK("http://trademark.i-assist.jp/data/china/image_1890th/77468983.pdf",77468983)</f>
        <v>77468983</v>
      </c>
      <c r="F2622" s="7" t="s">
        <v>7292</v>
      </c>
      <c r="G2622" s="7" t="s">
        <v>1328</v>
      </c>
      <c r="H2622" s="7" t="s">
        <v>7293</v>
      </c>
      <c r="I2622" s="9">
        <v>45372</v>
      </c>
    </row>
    <row r="2623" spans="1:9" x14ac:dyDescent="0.15">
      <c r="A2623" s="6">
        <v>2622</v>
      </c>
      <c r="B2623" s="7" t="s">
        <v>7</v>
      </c>
      <c r="C2623" s="8">
        <v>1890</v>
      </c>
      <c r="D2623" s="9">
        <v>45449</v>
      </c>
      <c r="E2623" s="13">
        <f>+HYPERLINK("http://trademark.i-assist.jp/data/china/image_1890th/77469105.pdf",77469105)</f>
        <v>77469105</v>
      </c>
      <c r="F2623" s="7" t="s">
        <v>7295</v>
      </c>
      <c r="G2623" s="7" t="s">
        <v>7294</v>
      </c>
      <c r="H2623" s="7" t="s">
        <v>7296</v>
      </c>
      <c r="I2623" s="9">
        <v>45372</v>
      </c>
    </row>
    <row r="2624" spans="1:9" x14ac:dyDescent="0.15">
      <c r="A2624" s="6">
        <v>2623</v>
      </c>
      <c r="B2624" s="7" t="s">
        <v>7</v>
      </c>
      <c r="C2624" s="8">
        <v>1890</v>
      </c>
      <c r="D2624" s="9">
        <v>45449</v>
      </c>
      <c r="E2624" s="13">
        <f>+HYPERLINK("http://trademark.i-assist.jp/data/china/image_1890th/77469131.pdf",77469131)</f>
        <v>77469131</v>
      </c>
      <c r="F2624" s="7" t="s">
        <v>7298</v>
      </c>
      <c r="G2624" s="7" t="s">
        <v>7297</v>
      </c>
      <c r="H2624" s="7" t="s">
        <v>7299</v>
      </c>
      <c r="I2624" s="9">
        <v>45372</v>
      </c>
    </row>
    <row r="2625" spans="1:9" ht="27" x14ac:dyDescent="0.15">
      <c r="A2625" s="6">
        <v>2624</v>
      </c>
      <c r="B2625" s="7" t="s">
        <v>7</v>
      </c>
      <c r="C2625" s="8">
        <v>1890</v>
      </c>
      <c r="D2625" s="9">
        <v>45449</v>
      </c>
      <c r="E2625" s="13">
        <f>+HYPERLINK("http://trademark.i-assist.jp/data/china/image_1890th/77469199.pdf",77469199)</f>
        <v>77469199</v>
      </c>
      <c r="F2625" s="7" t="s">
        <v>7301</v>
      </c>
      <c r="G2625" s="7" t="s">
        <v>7300</v>
      </c>
      <c r="H2625" s="7" t="s">
        <v>7302</v>
      </c>
      <c r="I2625" s="9">
        <v>45372</v>
      </c>
    </row>
    <row r="2626" spans="1:9" x14ac:dyDescent="0.15">
      <c r="A2626" s="6">
        <v>2625</v>
      </c>
      <c r="B2626" s="7" t="s">
        <v>7</v>
      </c>
      <c r="C2626" s="8">
        <v>1890</v>
      </c>
      <c r="D2626" s="9">
        <v>45449</v>
      </c>
      <c r="E2626" s="13">
        <f>+HYPERLINK("http://trademark.i-assist.jp/data/china/image_1890th/77469386.pdf",77469386)</f>
        <v>77469386</v>
      </c>
      <c r="F2626" s="7" t="s">
        <v>7304</v>
      </c>
      <c r="G2626" s="7" t="s">
        <v>7303</v>
      </c>
      <c r="H2626" s="7" t="s">
        <v>7305</v>
      </c>
      <c r="I2626" s="9">
        <v>45372</v>
      </c>
    </row>
    <row r="2627" spans="1:9" x14ac:dyDescent="0.15">
      <c r="A2627" s="6">
        <v>2626</v>
      </c>
      <c r="B2627" s="7" t="s">
        <v>7</v>
      </c>
      <c r="C2627" s="8">
        <v>1890</v>
      </c>
      <c r="D2627" s="9">
        <v>45449</v>
      </c>
      <c r="E2627" s="13">
        <f>+HYPERLINK("http://trademark.i-assist.jp/data/china/image_1890th/77469534.pdf",77469534)</f>
        <v>77469534</v>
      </c>
      <c r="F2627" s="7" t="s">
        <v>7306</v>
      </c>
      <c r="G2627" s="7" t="s">
        <v>7064</v>
      </c>
      <c r="H2627" s="7" t="s">
        <v>7307</v>
      </c>
      <c r="I2627" s="9">
        <v>45372</v>
      </c>
    </row>
    <row r="2628" spans="1:9" x14ac:dyDescent="0.15">
      <c r="A2628" s="6">
        <v>2627</v>
      </c>
      <c r="B2628" s="7" t="s">
        <v>7</v>
      </c>
      <c r="C2628" s="8">
        <v>1890</v>
      </c>
      <c r="D2628" s="9">
        <v>45449</v>
      </c>
      <c r="E2628" s="13">
        <f>+HYPERLINK("http://trademark.i-assist.jp/data/china/image_1890th/77469779.pdf",77469779)</f>
        <v>77469779</v>
      </c>
      <c r="F2628" s="7" t="s">
        <v>7309</v>
      </c>
      <c r="G2628" s="7" t="s">
        <v>7308</v>
      </c>
      <c r="H2628" s="7" t="s">
        <v>7310</v>
      </c>
      <c r="I2628" s="9">
        <v>45372</v>
      </c>
    </row>
    <row r="2629" spans="1:9" x14ac:dyDescent="0.15">
      <c r="A2629" s="6">
        <v>2628</v>
      </c>
      <c r="B2629" s="7" t="s">
        <v>7</v>
      </c>
      <c r="C2629" s="8">
        <v>1890</v>
      </c>
      <c r="D2629" s="9">
        <v>45449</v>
      </c>
      <c r="E2629" s="13">
        <f>+HYPERLINK("http://trademark.i-assist.jp/data/china/image_1890th/77469818.pdf",77469818)</f>
        <v>77469818</v>
      </c>
      <c r="F2629" s="7" t="s">
        <v>7312</v>
      </c>
      <c r="G2629" s="7" t="s">
        <v>7311</v>
      </c>
      <c r="H2629" s="7" t="s">
        <v>7313</v>
      </c>
      <c r="I2629" s="9">
        <v>45372</v>
      </c>
    </row>
    <row r="2630" spans="1:9" x14ac:dyDescent="0.15">
      <c r="A2630" s="6">
        <v>2629</v>
      </c>
      <c r="B2630" s="7" t="s">
        <v>7</v>
      </c>
      <c r="C2630" s="8">
        <v>1890</v>
      </c>
      <c r="D2630" s="9">
        <v>45449</v>
      </c>
      <c r="E2630" s="13">
        <f>+HYPERLINK("http://trademark.i-assist.jp/data/china/image_1890th/77469896.pdf",77469896)</f>
        <v>77469896</v>
      </c>
      <c r="F2630" s="7" t="s">
        <v>7315</v>
      </c>
      <c r="G2630" s="7" t="s">
        <v>7314</v>
      </c>
      <c r="H2630" s="7" t="s">
        <v>7316</v>
      </c>
      <c r="I2630" s="9">
        <v>45372</v>
      </c>
    </row>
    <row r="2631" spans="1:9" x14ac:dyDescent="0.15">
      <c r="A2631" s="6">
        <v>2630</v>
      </c>
      <c r="B2631" s="7" t="s">
        <v>7</v>
      </c>
      <c r="C2631" s="8">
        <v>1890</v>
      </c>
      <c r="D2631" s="9">
        <v>45449</v>
      </c>
      <c r="E2631" s="13">
        <f>+HYPERLINK("http://trademark.i-assist.jp/data/china/image_1890th/77475138.pdf",77475138)</f>
        <v>77475138</v>
      </c>
      <c r="F2631" s="7" t="s">
        <v>7318</v>
      </c>
      <c r="G2631" s="7" t="s">
        <v>7317</v>
      </c>
      <c r="H2631" s="7" t="s">
        <v>7319</v>
      </c>
      <c r="I2631" s="9">
        <v>45373</v>
      </c>
    </row>
    <row r="2632" spans="1:9" x14ac:dyDescent="0.15">
      <c r="A2632" s="6">
        <v>2631</v>
      </c>
      <c r="B2632" s="7" t="s">
        <v>7</v>
      </c>
      <c r="C2632" s="8">
        <v>1890</v>
      </c>
      <c r="D2632" s="9">
        <v>45449</v>
      </c>
      <c r="E2632" s="13">
        <f>+HYPERLINK("http://trademark.i-assist.jp/data/china/image_1890th/77475244.pdf",77475244)</f>
        <v>77475244</v>
      </c>
      <c r="F2632" s="7" t="s">
        <v>7320</v>
      </c>
      <c r="G2632" s="7" t="s">
        <v>5289</v>
      </c>
      <c r="H2632" s="7" t="s">
        <v>7321</v>
      </c>
      <c r="I2632" s="9">
        <v>45373</v>
      </c>
    </row>
    <row r="2633" spans="1:9" x14ac:dyDescent="0.15">
      <c r="A2633" s="6">
        <v>2632</v>
      </c>
      <c r="B2633" s="7" t="s">
        <v>7</v>
      </c>
      <c r="C2633" s="8">
        <v>1890</v>
      </c>
      <c r="D2633" s="9">
        <v>45449</v>
      </c>
      <c r="E2633" s="13">
        <f>+HYPERLINK("http://trademark.i-assist.jp/data/china/image_1890th/77475247.pdf",77475247)</f>
        <v>77475247</v>
      </c>
      <c r="F2633" s="7" t="s">
        <v>7322</v>
      </c>
      <c r="G2633" s="7" t="s">
        <v>5289</v>
      </c>
      <c r="H2633" s="7" t="s">
        <v>7323</v>
      </c>
      <c r="I2633" s="9">
        <v>45373</v>
      </c>
    </row>
    <row r="2634" spans="1:9" x14ac:dyDescent="0.15">
      <c r="A2634" s="6">
        <v>2633</v>
      </c>
      <c r="B2634" s="7" t="s">
        <v>7</v>
      </c>
      <c r="C2634" s="8">
        <v>1890</v>
      </c>
      <c r="D2634" s="9">
        <v>45449</v>
      </c>
      <c r="E2634" s="13">
        <f>+HYPERLINK("http://trademark.i-assist.jp/data/china/image_1890th/77475315.pdf",77475315)</f>
        <v>77475315</v>
      </c>
      <c r="F2634" s="7" t="s">
        <v>7324</v>
      </c>
      <c r="G2634" s="7" t="s">
        <v>5301</v>
      </c>
      <c r="H2634" s="7" t="s">
        <v>7325</v>
      </c>
      <c r="I2634" s="9">
        <v>45373</v>
      </c>
    </row>
    <row r="2635" spans="1:9" x14ac:dyDescent="0.15">
      <c r="A2635" s="6">
        <v>2634</v>
      </c>
      <c r="B2635" s="7" t="s">
        <v>7</v>
      </c>
      <c r="C2635" s="8">
        <v>1890</v>
      </c>
      <c r="D2635" s="9">
        <v>45449</v>
      </c>
      <c r="E2635" s="13">
        <f>+HYPERLINK("http://trademark.i-assist.jp/data/china/image_1890th/77475473.pdf",77475473)</f>
        <v>77475473</v>
      </c>
      <c r="F2635" s="7" t="s">
        <v>7327</v>
      </c>
      <c r="G2635" s="7" t="s">
        <v>7326</v>
      </c>
      <c r="H2635" s="7" t="s">
        <v>7328</v>
      </c>
      <c r="I2635" s="9">
        <v>45373</v>
      </c>
    </row>
    <row r="2636" spans="1:9" x14ac:dyDescent="0.15">
      <c r="A2636" s="6">
        <v>2635</v>
      </c>
      <c r="B2636" s="7" t="s">
        <v>7</v>
      </c>
      <c r="C2636" s="8">
        <v>1890</v>
      </c>
      <c r="D2636" s="9">
        <v>45449</v>
      </c>
      <c r="E2636" s="13">
        <f>+HYPERLINK("http://trademark.i-assist.jp/data/china/image_1890th/77475497.pdf",77475497)</f>
        <v>77475497</v>
      </c>
      <c r="F2636" s="7" t="s">
        <v>7330</v>
      </c>
      <c r="G2636" s="7" t="s">
        <v>7329</v>
      </c>
      <c r="H2636" s="7" t="s">
        <v>7331</v>
      </c>
      <c r="I2636" s="9">
        <v>45373</v>
      </c>
    </row>
    <row r="2637" spans="1:9" x14ac:dyDescent="0.15">
      <c r="A2637" s="6">
        <v>2636</v>
      </c>
      <c r="B2637" s="7" t="s">
        <v>7</v>
      </c>
      <c r="C2637" s="8">
        <v>1890</v>
      </c>
      <c r="D2637" s="9">
        <v>45449</v>
      </c>
      <c r="E2637" s="13">
        <f>+HYPERLINK("http://trademark.i-assist.jp/data/china/image_1890th/77475515.pdf",77475515)</f>
        <v>77475515</v>
      </c>
      <c r="F2637" s="7" t="s">
        <v>7333</v>
      </c>
      <c r="G2637" s="7" t="s">
        <v>7332</v>
      </c>
      <c r="H2637" s="7" t="s">
        <v>7334</v>
      </c>
      <c r="I2637" s="9">
        <v>45373</v>
      </c>
    </row>
    <row r="2638" spans="1:9" x14ac:dyDescent="0.15">
      <c r="A2638" s="6">
        <v>2637</v>
      </c>
      <c r="B2638" s="7" t="s">
        <v>7</v>
      </c>
      <c r="C2638" s="8">
        <v>1890</v>
      </c>
      <c r="D2638" s="9">
        <v>45449</v>
      </c>
      <c r="E2638" s="13">
        <f>+HYPERLINK("http://trademark.i-assist.jp/data/china/image_1890th/77476091.pdf",77476091)</f>
        <v>77476091</v>
      </c>
      <c r="F2638" s="7" t="s">
        <v>7336</v>
      </c>
      <c r="G2638" s="7" t="s">
        <v>7335</v>
      </c>
      <c r="H2638" s="7" t="s">
        <v>7337</v>
      </c>
      <c r="I2638" s="9">
        <v>45375</v>
      </c>
    </row>
    <row r="2639" spans="1:9" x14ac:dyDescent="0.15">
      <c r="A2639" s="6">
        <v>2638</v>
      </c>
      <c r="B2639" s="7" t="s">
        <v>7</v>
      </c>
      <c r="C2639" s="8">
        <v>1890</v>
      </c>
      <c r="D2639" s="9">
        <v>45449</v>
      </c>
      <c r="E2639" s="13">
        <f>+HYPERLINK("http://trademark.i-assist.jp/data/china/image_1890th/77476122.pdf",77476122)</f>
        <v>77476122</v>
      </c>
      <c r="F2639" s="7" t="s">
        <v>7339</v>
      </c>
      <c r="G2639" s="7" t="s">
        <v>7338</v>
      </c>
      <c r="H2639" s="7" t="s">
        <v>7340</v>
      </c>
      <c r="I2639" s="9">
        <v>45375</v>
      </c>
    </row>
    <row r="2640" spans="1:9" x14ac:dyDescent="0.15">
      <c r="A2640" s="6">
        <v>2639</v>
      </c>
      <c r="B2640" s="7" t="s">
        <v>7</v>
      </c>
      <c r="C2640" s="8">
        <v>1890</v>
      </c>
      <c r="D2640" s="9">
        <v>45449</v>
      </c>
      <c r="E2640" s="13">
        <f>+HYPERLINK("http://trademark.i-assist.jp/data/china/image_1890th/77476237.pdf",77476237)</f>
        <v>77476237</v>
      </c>
      <c r="F2640" s="7" t="s">
        <v>7342</v>
      </c>
      <c r="G2640" s="7" t="s">
        <v>7341</v>
      </c>
      <c r="H2640" s="7" t="s">
        <v>7343</v>
      </c>
      <c r="I2640" s="9">
        <v>45375</v>
      </c>
    </row>
    <row r="2641" spans="1:9" x14ac:dyDescent="0.15">
      <c r="A2641" s="6">
        <v>2640</v>
      </c>
      <c r="B2641" s="7" t="s">
        <v>7</v>
      </c>
      <c r="C2641" s="8">
        <v>1890</v>
      </c>
      <c r="D2641" s="9">
        <v>45449</v>
      </c>
      <c r="E2641" s="13">
        <f>+HYPERLINK("http://trademark.i-assist.jp/data/china/image_1890th/77476287.pdf",77476287)</f>
        <v>77476287</v>
      </c>
      <c r="F2641" s="7" t="s">
        <v>7345</v>
      </c>
      <c r="G2641" s="7" t="s">
        <v>7344</v>
      </c>
      <c r="H2641" s="7" t="s">
        <v>7346</v>
      </c>
      <c r="I2641" s="9">
        <v>45375</v>
      </c>
    </row>
    <row r="2642" spans="1:9" ht="27" x14ac:dyDescent="0.15">
      <c r="A2642" s="6">
        <v>2641</v>
      </c>
      <c r="B2642" s="7" t="s">
        <v>7</v>
      </c>
      <c r="C2642" s="8">
        <v>1890</v>
      </c>
      <c r="D2642" s="9">
        <v>45449</v>
      </c>
      <c r="E2642" s="13">
        <f>+HYPERLINK("http://trademark.i-assist.jp/data/china/image_1890th/77476365.pdf",77476365)</f>
        <v>77476365</v>
      </c>
      <c r="F2642" s="7" t="s">
        <v>7348</v>
      </c>
      <c r="G2642" s="7" t="s">
        <v>7347</v>
      </c>
      <c r="H2642" s="7" t="s">
        <v>7349</v>
      </c>
      <c r="I2642" s="9">
        <v>45375</v>
      </c>
    </row>
    <row r="2643" spans="1:9" x14ac:dyDescent="0.15">
      <c r="A2643" s="6">
        <v>2642</v>
      </c>
      <c r="B2643" s="7" t="s">
        <v>7</v>
      </c>
      <c r="C2643" s="8">
        <v>1890</v>
      </c>
      <c r="D2643" s="9">
        <v>45449</v>
      </c>
      <c r="E2643" s="13">
        <f>+HYPERLINK("http://trademark.i-assist.jp/data/china/image_1890th/77476422.pdf",77476422)</f>
        <v>77476422</v>
      </c>
      <c r="F2643" s="7" t="s">
        <v>7351</v>
      </c>
      <c r="G2643" s="7" t="s">
        <v>7350</v>
      </c>
      <c r="H2643" s="7" t="s">
        <v>7352</v>
      </c>
      <c r="I2643" s="9">
        <v>45375</v>
      </c>
    </row>
    <row r="2644" spans="1:9" x14ac:dyDescent="0.15">
      <c r="A2644" s="6">
        <v>2643</v>
      </c>
      <c r="B2644" s="7" t="s">
        <v>7</v>
      </c>
      <c r="C2644" s="8">
        <v>1890</v>
      </c>
      <c r="D2644" s="9">
        <v>45449</v>
      </c>
      <c r="E2644" s="13">
        <f>+HYPERLINK("http://trademark.i-assist.jp/data/china/image_1890th/77476504.pdf",77476504)</f>
        <v>77476504</v>
      </c>
      <c r="F2644" s="7" t="s">
        <v>7354</v>
      </c>
      <c r="G2644" s="7" t="s">
        <v>7353</v>
      </c>
      <c r="H2644" s="7" t="s">
        <v>7355</v>
      </c>
      <c r="I2644" s="9">
        <v>45375</v>
      </c>
    </row>
    <row r="2645" spans="1:9" x14ac:dyDescent="0.15">
      <c r="A2645" s="6">
        <v>2644</v>
      </c>
      <c r="B2645" s="7" t="s">
        <v>7</v>
      </c>
      <c r="C2645" s="8">
        <v>1890</v>
      </c>
      <c r="D2645" s="9">
        <v>45449</v>
      </c>
      <c r="E2645" s="13">
        <f>+HYPERLINK("http://trademark.i-assist.jp/data/china/image_1890th/77626349.pdf",77626349)</f>
        <v>77626349</v>
      </c>
      <c r="F2645" s="7" t="s">
        <v>7357</v>
      </c>
      <c r="G2645" s="7" t="s">
        <v>7356</v>
      </c>
      <c r="H2645" s="7" t="s">
        <v>7358</v>
      </c>
      <c r="I2645" s="9">
        <v>45379</v>
      </c>
    </row>
    <row r="2646" spans="1:9" x14ac:dyDescent="0.15">
      <c r="A2646" s="6">
        <v>2645</v>
      </c>
      <c r="B2646" s="7" t="s">
        <v>7</v>
      </c>
      <c r="C2646" s="8">
        <v>1890</v>
      </c>
      <c r="D2646" s="9">
        <v>45449</v>
      </c>
      <c r="E2646" s="13">
        <f>+HYPERLINK("http://trademark.i-assist.jp/data/china/image_1890th/77626958.pdf",77626958)</f>
        <v>77626958</v>
      </c>
      <c r="F2646" s="7" t="s">
        <v>7360</v>
      </c>
      <c r="G2646" s="7" t="s">
        <v>7359</v>
      </c>
      <c r="H2646" s="7" t="s">
        <v>7361</v>
      </c>
      <c r="I2646" s="9">
        <v>45379</v>
      </c>
    </row>
    <row r="2647" spans="1:9" x14ac:dyDescent="0.15">
      <c r="A2647" s="6">
        <v>2646</v>
      </c>
      <c r="B2647" s="7" t="s">
        <v>7</v>
      </c>
      <c r="C2647" s="8">
        <v>1890</v>
      </c>
      <c r="D2647" s="9">
        <v>45449</v>
      </c>
      <c r="E2647" s="13">
        <f>+HYPERLINK("http://trademark.i-assist.jp/data/china/image_1890th/77627600.pdf",77627600)</f>
        <v>77627600</v>
      </c>
      <c r="F2647" s="7" t="s">
        <v>7363</v>
      </c>
      <c r="G2647" s="7" t="s">
        <v>7362</v>
      </c>
      <c r="H2647" s="7" t="s">
        <v>7364</v>
      </c>
      <c r="I2647" s="9">
        <v>45379</v>
      </c>
    </row>
    <row r="2648" spans="1:9" x14ac:dyDescent="0.15">
      <c r="A2648" s="6">
        <v>2647</v>
      </c>
      <c r="B2648" s="7" t="s">
        <v>7</v>
      </c>
      <c r="C2648" s="8">
        <v>1890</v>
      </c>
      <c r="D2648" s="9">
        <v>45449</v>
      </c>
      <c r="E2648" s="13">
        <f>+HYPERLINK("http://trademark.i-assist.jp/data/china/image_1890th/77627731.pdf",77627731)</f>
        <v>77627731</v>
      </c>
      <c r="F2648" s="7" t="s">
        <v>7366</v>
      </c>
      <c r="G2648" s="7" t="s">
        <v>7365</v>
      </c>
      <c r="H2648" s="7" t="s">
        <v>7367</v>
      </c>
      <c r="I2648" s="9">
        <v>45379</v>
      </c>
    </row>
    <row r="2649" spans="1:9" x14ac:dyDescent="0.15">
      <c r="A2649" s="6">
        <v>2648</v>
      </c>
      <c r="B2649" s="7" t="s">
        <v>7</v>
      </c>
      <c r="C2649" s="8">
        <v>1890</v>
      </c>
      <c r="D2649" s="9">
        <v>45449</v>
      </c>
      <c r="E2649" s="13">
        <f>+HYPERLINK("http://trademark.i-assist.jp/data/china/image_1890th/77627912.pdf",77627912)</f>
        <v>77627912</v>
      </c>
      <c r="F2649" s="7" t="s">
        <v>7369</v>
      </c>
      <c r="G2649" s="7" t="s">
        <v>7368</v>
      </c>
      <c r="H2649" s="7" t="s">
        <v>7370</v>
      </c>
      <c r="I2649" s="9">
        <v>45379</v>
      </c>
    </row>
    <row r="2650" spans="1:9" x14ac:dyDescent="0.15">
      <c r="A2650" s="6">
        <v>2649</v>
      </c>
      <c r="B2650" s="7" t="s">
        <v>7</v>
      </c>
      <c r="C2650" s="8">
        <v>1890</v>
      </c>
      <c r="D2650" s="9">
        <v>45449</v>
      </c>
      <c r="E2650" s="13">
        <f>+HYPERLINK("http://trademark.i-assist.jp/data/china/image_1890th/77628300.pdf",77628300)</f>
        <v>77628300</v>
      </c>
      <c r="F2650" s="7" t="s">
        <v>7372</v>
      </c>
      <c r="G2650" s="7" t="s">
        <v>7371</v>
      </c>
      <c r="H2650" s="7" t="s">
        <v>7373</v>
      </c>
      <c r="I2650" s="9">
        <v>45379</v>
      </c>
    </row>
    <row r="2651" spans="1:9" x14ac:dyDescent="0.15">
      <c r="A2651" s="6">
        <v>2650</v>
      </c>
      <c r="B2651" s="7" t="s">
        <v>7</v>
      </c>
      <c r="C2651" s="8">
        <v>1890</v>
      </c>
      <c r="D2651" s="9">
        <v>45449</v>
      </c>
      <c r="E2651" s="13">
        <f>+HYPERLINK("http://trademark.i-assist.jp/data/china/image_1890th/77629284.pdf",77629284)</f>
        <v>77629284</v>
      </c>
      <c r="F2651" s="7" t="s">
        <v>7374</v>
      </c>
      <c r="G2651" s="7" t="s">
        <v>2122</v>
      </c>
      <c r="H2651" s="7" t="s">
        <v>7375</v>
      </c>
      <c r="I2651" s="9">
        <v>45379</v>
      </c>
    </row>
    <row r="2652" spans="1:9" x14ac:dyDescent="0.15">
      <c r="A2652" s="6">
        <v>2651</v>
      </c>
      <c r="B2652" s="7" t="s">
        <v>7</v>
      </c>
      <c r="C2652" s="8">
        <v>1890</v>
      </c>
      <c r="D2652" s="9">
        <v>45449</v>
      </c>
      <c r="E2652" s="13">
        <f>+HYPERLINK("http://trademark.i-assist.jp/data/china/image_1890th/77629325.pdf",77629325)</f>
        <v>77629325</v>
      </c>
      <c r="F2652" s="7" t="s">
        <v>7377</v>
      </c>
      <c r="G2652" s="7" t="s">
        <v>7376</v>
      </c>
      <c r="H2652" s="7" t="s">
        <v>7378</v>
      </c>
      <c r="I2652" s="9">
        <v>45379</v>
      </c>
    </row>
    <row r="2653" spans="1:9" x14ac:dyDescent="0.15">
      <c r="A2653" s="6">
        <v>2652</v>
      </c>
      <c r="B2653" s="7" t="s">
        <v>7</v>
      </c>
      <c r="C2653" s="8">
        <v>1890</v>
      </c>
      <c r="D2653" s="9">
        <v>45449</v>
      </c>
      <c r="E2653" s="13">
        <f>+HYPERLINK("http://trademark.i-assist.jp/data/china/image_1890th/77629326.pdf",77629326)</f>
        <v>77629326</v>
      </c>
      <c r="F2653" s="7" t="s">
        <v>7380</v>
      </c>
      <c r="G2653" s="7" t="s">
        <v>7379</v>
      </c>
      <c r="H2653" s="7" t="s">
        <v>7381</v>
      </c>
      <c r="I2653" s="9">
        <v>45379</v>
      </c>
    </row>
    <row r="2654" spans="1:9" x14ac:dyDescent="0.15">
      <c r="A2654" s="6">
        <v>2653</v>
      </c>
      <c r="B2654" s="7" t="s">
        <v>7</v>
      </c>
      <c r="C2654" s="8">
        <v>1890</v>
      </c>
      <c r="D2654" s="9">
        <v>45449</v>
      </c>
      <c r="E2654" s="13">
        <f>+HYPERLINK("http://trademark.i-assist.jp/data/china/image_1890th/77639271.pdf",77639271)</f>
        <v>77639271</v>
      </c>
      <c r="F2654" s="7" t="s">
        <v>7383</v>
      </c>
      <c r="G2654" s="7" t="s">
        <v>7382</v>
      </c>
      <c r="H2654" s="7" t="s">
        <v>7384</v>
      </c>
      <c r="I2654" s="9">
        <v>45380</v>
      </c>
    </row>
    <row r="2655" spans="1:9" x14ac:dyDescent="0.15">
      <c r="A2655" s="6">
        <v>2654</v>
      </c>
      <c r="B2655" s="7" t="s">
        <v>7</v>
      </c>
      <c r="C2655" s="8">
        <v>1890</v>
      </c>
      <c r="D2655" s="9">
        <v>45449</v>
      </c>
      <c r="E2655" s="13">
        <f>+HYPERLINK("http://trademark.i-assist.jp/data/china/image_1890th/77705954.pdf",77705954)</f>
        <v>77705954</v>
      </c>
      <c r="F2655" s="7" t="s">
        <v>7385</v>
      </c>
      <c r="G2655" s="7" t="s">
        <v>376</v>
      </c>
      <c r="H2655" s="7" t="s">
        <v>7386</v>
      </c>
      <c r="I2655" s="9">
        <v>45384</v>
      </c>
    </row>
    <row r="2656" spans="1:9" x14ac:dyDescent="0.15">
      <c r="A2656" s="6">
        <v>2655</v>
      </c>
      <c r="B2656" s="7" t="s">
        <v>7</v>
      </c>
      <c r="C2656" s="8">
        <v>1890</v>
      </c>
      <c r="D2656" s="9">
        <v>45449</v>
      </c>
      <c r="E2656" s="13">
        <f>+HYPERLINK("http://trademark.i-assist.jp/data/china/image_1890th/77542446.pdf",77542446)</f>
        <v>77542446</v>
      </c>
      <c r="F2656" s="7" t="s">
        <v>7388</v>
      </c>
      <c r="G2656" s="7" t="s">
        <v>7387</v>
      </c>
      <c r="H2656" s="7" t="s">
        <v>7389</v>
      </c>
      <c r="I2656" s="9">
        <v>45377</v>
      </c>
    </row>
    <row r="2657" spans="1:9" x14ac:dyDescent="0.15">
      <c r="A2657" s="6">
        <v>2656</v>
      </c>
      <c r="B2657" s="7" t="s">
        <v>7</v>
      </c>
      <c r="C2657" s="8">
        <v>1890</v>
      </c>
      <c r="D2657" s="9">
        <v>45449</v>
      </c>
      <c r="E2657" s="13">
        <f>+HYPERLINK("http://trademark.i-assist.jp/data/china/image_1890th/77542607.pdf",77542607)</f>
        <v>77542607</v>
      </c>
      <c r="F2657" s="7" t="s">
        <v>7391</v>
      </c>
      <c r="G2657" s="7" t="s">
        <v>7390</v>
      </c>
      <c r="H2657" s="7" t="s">
        <v>7392</v>
      </c>
      <c r="I2657" s="9">
        <v>45377</v>
      </c>
    </row>
    <row r="2658" spans="1:9" x14ac:dyDescent="0.15">
      <c r="A2658" s="6">
        <v>2657</v>
      </c>
      <c r="B2658" s="7" t="s">
        <v>7</v>
      </c>
      <c r="C2658" s="8">
        <v>1890</v>
      </c>
      <c r="D2658" s="9">
        <v>45449</v>
      </c>
      <c r="E2658" s="13">
        <f>+HYPERLINK("http://trademark.i-assist.jp/data/china/image_1890th/77543351.pdf",77543351)</f>
        <v>77543351</v>
      </c>
      <c r="F2658" s="7" t="s">
        <v>7394</v>
      </c>
      <c r="G2658" s="7" t="s">
        <v>7393</v>
      </c>
      <c r="H2658" s="7" t="s">
        <v>7395</v>
      </c>
      <c r="I2658" s="9">
        <v>45377</v>
      </c>
    </row>
    <row r="2659" spans="1:9" x14ac:dyDescent="0.15">
      <c r="A2659" s="6">
        <v>2658</v>
      </c>
      <c r="B2659" s="7" t="s">
        <v>7</v>
      </c>
      <c r="C2659" s="8">
        <v>1890</v>
      </c>
      <c r="D2659" s="9">
        <v>45449</v>
      </c>
      <c r="E2659" s="13">
        <f>+HYPERLINK("http://trademark.i-assist.jp/data/china/image_1890th/77354783.pdf",77354783)</f>
        <v>77354783</v>
      </c>
      <c r="F2659" s="7" t="s">
        <v>7397</v>
      </c>
      <c r="G2659" s="7" t="s">
        <v>7396</v>
      </c>
      <c r="H2659" s="7" t="s">
        <v>7398</v>
      </c>
      <c r="I2659" s="9">
        <v>45368</v>
      </c>
    </row>
    <row r="2660" spans="1:9" x14ac:dyDescent="0.15">
      <c r="A2660" s="6">
        <v>2659</v>
      </c>
      <c r="B2660" s="7" t="s">
        <v>7</v>
      </c>
      <c r="C2660" s="8">
        <v>1890</v>
      </c>
      <c r="D2660" s="9">
        <v>45449</v>
      </c>
      <c r="E2660" s="13">
        <f>+HYPERLINK("http://trademark.i-assist.jp/data/china/image_1890th/77354822.pdf",77354822)</f>
        <v>77354822</v>
      </c>
      <c r="F2660" s="7" t="s">
        <v>7400</v>
      </c>
      <c r="G2660" s="7" t="s">
        <v>7399</v>
      </c>
      <c r="H2660" s="7" t="s">
        <v>7401</v>
      </c>
      <c r="I2660" s="9">
        <v>45368</v>
      </c>
    </row>
    <row r="2661" spans="1:9" x14ac:dyDescent="0.15">
      <c r="A2661" s="6">
        <v>2660</v>
      </c>
      <c r="B2661" s="7" t="s">
        <v>7</v>
      </c>
      <c r="C2661" s="8">
        <v>1890</v>
      </c>
      <c r="D2661" s="9">
        <v>45449</v>
      </c>
      <c r="E2661" s="13">
        <f>+HYPERLINK("http://trademark.i-assist.jp/data/china/image_1890th/77354934.pdf",77354934)</f>
        <v>77354934</v>
      </c>
      <c r="F2661" s="7" t="s">
        <v>7403</v>
      </c>
      <c r="G2661" s="7" t="s">
        <v>7402</v>
      </c>
      <c r="H2661" s="7" t="s">
        <v>7404</v>
      </c>
      <c r="I2661" s="9">
        <v>45368</v>
      </c>
    </row>
    <row r="2662" spans="1:9" x14ac:dyDescent="0.15">
      <c r="A2662" s="6">
        <v>2661</v>
      </c>
      <c r="B2662" s="7" t="s">
        <v>7</v>
      </c>
      <c r="C2662" s="8">
        <v>1890</v>
      </c>
      <c r="D2662" s="9">
        <v>45449</v>
      </c>
      <c r="E2662" s="13">
        <f>+HYPERLINK("http://trademark.i-assist.jp/data/china/image_1890th/77355014.pdf",77355014)</f>
        <v>77355014</v>
      </c>
      <c r="F2662" s="7" t="s">
        <v>7406</v>
      </c>
      <c r="G2662" s="7" t="s">
        <v>7405</v>
      </c>
      <c r="H2662" s="7" t="s">
        <v>7407</v>
      </c>
      <c r="I2662" s="9">
        <v>45368</v>
      </c>
    </row>
    <row r="2663" spans="1:9" x14ac:dyDescent="0.15">
      <c r="A2663" s="6">
        <v>2662</v>
      </c>
      <c r="B2663" s="7" t="s">
        <v>7</v>
      </c>
      <c r="C2663" s="8">
        <v>1890</v>
      </c>
      <c r="D2663" s="9">
        <v>45449</v>
      </c>
      <c r="E2663" s="13">
        <f>+HYPERLINK("http://trademark.i-assist.jp/data/china/image_1890th/77355094.pdf",77355094)</f>
        <v>77355094</v>
      </c>
      <c r="F2663" s="7" t="s">
        <v>7409</v>
      </c>
      <c r="G2663" s="7" t="s">
        <v>7408</v>
      </c>
      <c r="H2663" s="7" t="s">
        <v>7410</v>
      </c>
      <c r="I2663" s="9">
        <v>45368</v>
      </c>
    </row>
    <row r="2664" spans="1:9" x14ac:dyDescent="0.15">
      <c r="A2664" s="6">
        <v>2663</v>
      </c>
      <c r="B2664" s="7" t="s">
        <v>7</v>
      </c>
      <c r="C2664" s="8">
        <v>1890</v>
      </c>
      <c r="D2664" s="9">
        <v>45449</v>
      </c>
      <c r="E2664" s="13">
        <f>+HYPERLINK("http://trademark.i-assist.jp/data/china/image_1890th/77355171.pdf",77355171)</f>
        <v>77355171</v>
      </c>
      <c r="F2664" s="7" t="s">
        <v>7412</v>
      </c>
      <c r="G2664" s="7" t="s">
        <v>7411</v>
      </c>
      <c r="H2664" s="7" t="s">
        <v>7413</v>
      </c>
      <c r="I2664" s="9">
        <v>45368</v>
      </c>
    </row>
    <row r="2665" spans="1:9" x14ac:dyDescent="0.15">
      <c r="A2665" s="6">
        <v>2664</v>
      </c>
      <c r="B2665" s="7" t="s">
        <v>7</v>
      </c>
      <c r="C2665" s="8">
        <v>1890</v>
      </c>
      <c r="D2665" s="9">
        <v>45449</v>
      </c>
      <c r="E2665" s="13">
        <f>+HYPERLINK("http://trademark.i-assist.jp/data/china/image_1890th/77355338.pdf",77355338)</f>
        <v>77355338</v>
      </c>
      <c r="F2665" s="7" t="s">
        <v>7414</v>
      </c>
      <c r="G2665" s="7" t="s">
        <v>7230</v>
      </c>
      <c r="H2665" s="7" t="s">
        <v>7415</v>
      </c>
      <c r="I2665" s="9">
        <v>45368</v>
      </c>
    </row>
    <row r="2666" spans="1:9" x14ac:dyDescent="0.15">
      <c r="A2666" s="6">
        <v>2665</v>
      </c>
      <c r="B2666" s="7" t="s">
        <v>7</v>
      </c>
      <c r="C2666" s="8">
        <v>1890</v>
      </c>
      <c r="D2666" s="9">
        <v>45449</v>
      </c>
      <c r="E2666" s="13">
        <f>+HYPERLINK("http://trademark.i-assist.jp/data/china/image_1890th/77355386.pdf",77355386)</f>
        <v>77355386</v>
      </c>
      <c r="F2666" s="7" t="s">
        <v>7417</v>
      </c>
      <c r="G2666" s="7" t="s">
        <v>7416</v>
      </c>
      <c r="H2666" s="7" t="s">
        <v>7418</v>
      </c>
      <c r="I2666" s="9">
        <v>45368</v>
      </c>
    </row>
    <row r="2667" spans="1:9" x14ac:dyDescent="0.15">
      <c r="A2667" s="6">
        <v>2666</v>
      </c>
      <c r="B2667" s="7" t="s">
        <v>7</v>
      </c>
      <c r="C2667" s="8">
        <v>1890</v>
      </c>
      <c r="D2667" s="9">
        <v>45449</v>
      </c>
      <c r="E2667" s="13">
        <f>+HYPERLINK("http://trademark.i-assist.jp/data/china/image_1890th/77355447.pdf",77355447)</f>
        <v>77355447</v>
      </c>
      <c r="F2667" s="7" t="s">
        <v>7420</v>
      </c>
      <c r="G2667" s="7" t="s">
        <v>7419</v>
      </c>
      <c r="H2667" s="7" t="s">
        <v>7421</v>
      </c>
      <c r="I2667" s="9">
        <v>45368</v>
      </c>
    </row>
    <row r="2668" spans="1:9" x14ac:dyDescent="0.15">
      <c r="A2668" s="6">
        <v>2667</v>
      </c>
      <c r="B2668" s="7" t="s">
        <v>7</v>
      </c>
      <c r="C2668" s="8">
        <v>1890</v>
      </c>
      <c r="D2668" s="9">
        <v>45449</v>
      </c>
      <c r="E2668" s="13">
        <f>+HYPERLINK("http://trademark.i-assist.jp/data/china/image_1890th/77355830.pdf",77355830)</f>
        <v>77355830</v>
      </c>
      <c r="F2668" s="7" t="s">
        <v>7423</v>
      </c>
      <c r="G2668" s="7" t="s">
        <v>7422</v>
      </c>
      <c r="H2668" s="7" t="s">
        <v>7424</v>
      </c>
      <c r="I2668" s="9">
        <v>45369</v>
      </c>
    </row>
    <row r="2669" spans="1:9" x14ac:dyDescent="0.15">
      <c r="A2669" s="6">
        <v>2668</v>
      </c>
      <c r="B2669" s="7" t="s">
        <v>7</v>
      </c>
      <c r="C2669" s="8">
        <v>1890</v>
      </c>
      <c r="D2669" s="9">
        <v>45449</v>
      </c>
      <c r="E2669" s="13">
        <f>+HYPERLINK("http://trademark.i-assist.jp/data/china/image_1890th/77356003.pdf",77356003)</f>
        <v>77356003</v>
      </c>
      <c r="F2669" s="7" t="s">
        <v>7426</v>
      </c>
      <c r="G2669" s="7" t="s">
        <v>7425</v>
      </c>
      <c r="H2669" s="7" t="s">
        <v>7427</v>
      </c>
      <c r="I2669" s="9">
        <v>45369</v>
      </c>
    </row>
    <row r="2670" spans="1:9" ht="27" x14ac:dyDescent="0.15">
      <c r="A2670" s="6">
        <v>2669</v>
      </c>
      <c r="B2670" s="7" t="s">
        <v>7</v>
      </c>
      <c r="C2670" s="8">
        <v>1890</v>
      </c>
      <c r="D2670" s="9">
        <v>45449</v>
      </c>
      <c r="E2670" s="13">
        <f>+HYPERLINK("http://trademark.i-assist.jp/data/china/image_1890th/77356039.pdf",77356039)</f>
        <v>77356039</v>
      </c>
      <c r="F2670" s="7" t="s">
        <v>7429</v>
      </c>
      <c r="G2670" s="7" t="s">
        <v>7428</v>
      </c>
      <c r="H2670" s="7" t="s">
        <v>7430</v>
      </c>
      <c r="I2670" s="9">
        <v>45369</v>
      </c>
    </row>
    <row r="2671" spans="1:9" x14ac:dyDescent="0.15">
      <c r="A2671" s="6">
        <v>2670</v>
      </c>
      <c r="B2671" s="7" t="s">
        <v>7</v>
      </c>
      <c r="C2671" s="8">
        <v>1890</v>
      </c>
      <c r="D2671" s="9">
        <v>45449</v>
      </c>
      <c r="E2671" s="13">
        <f>+HYPERLINK("http://trademark.i-assist.jp/data/china/image_1890th/77356082.pdf",77356082)</f>
        <v>77356082</v>
      </c>
      <c r="F2671" s="7" t="s">
        <v>7432</v>
      </c>
      <c r="G2671" s="7" t="s">
        <v>7431</v>
      </c>
      <c r="H2671" s="7" t="s">
        <v>7433</v>
      </c>
      <c r="I2671" s="9">
        <v>45369</v>
      </c>
    </row>
    <row r="2672" spans="1:9" x14ac:dyDescent="0.15">
      <c r="A2672" s="6">
        <v>2671</v>
      </c>
      <c r="B2672" s="7" t="s">
        <v>7</v>
      </c>
      <c r="C2672" s="8">
        <v>1890</v>
      </c>
      <c r="D2672" s="9">
        <v>45449</v>
      </c>
      <c r="E2672" s="13">
        <f>+HYPERLINK("http://trademark.i-assist.jp/data/china/image_1890th/77356110.pdf",77356110)</f>
        <v>77356110</v>
      </c>
      <c r="F2672" s="7" t="s">
        <v>7435</v>
      </c>
      <c r="G2672" s="7" t="s">
        <v>7434</v>
      </c>
      <c r="H2672" s="7" t="s">
        <v>7436</v>
      </c>
      <c r="I2672" s="9">
        <v>45369</v>
      </c>
    </row>
    <row r="2673" spans="1:9" x14ac:dyDescent="0.15">
      <c r="A2673" s="6">
        <v>2672</v>
      </c>
      <c r="B2673" s="7" t="s">
        <v>7</v>
      </c>
      <c r="C2673" s="8">
        <v>1890</v>
      </c>
      <c r="D2673" s="9">
        <v>45449</v>
      </c>
      <c r="E2673" s="13">
        <f>+HYPERLINK("http://trademark.i-assist.jp/data/china/image_1890th/77356113.pdf",77356113)</f>
        <v>77356113</v>
      </c>
      <c r="F2673" s="7" t="s">
        <v>7438</v>
      </c>
      <c r="G2673" s="7" t="s">
        <v>7437</v>
      </c>
      <c r="H2673" s="7" t="s">
        <v>7439</v>
      </c>
      <c r="I2673" s="9">
        <v>45369</v>
      </c>
    </row>
    <row r="2674" spans="1:9" x14ac:dyDescent="0.15">
      <c r="A2674" s="6">
        <v>2673</v>
      </c>
      <c r="B2674" s="7" t="s">
        <v>7</v>
      </c>
      <c r="C2674" s="8">
        <v>1890</v>
      </c>
      <c r="D2674" s="9">
        <v>45449</v>
      </c>
      <c r="E2674" s="13">
        <f>+HYPERLINK("http://trademark.i-assist.jp/data/china/image_1890th/77356140.pdf",77356140)</f>
        <v>77356140</v>
      </c>
      <c r="F2674" s="7" t="s">
        <v>7441</v>
      </c>
      <c r="G2674" s="7" t="s">
        <v>7440</v>
      </c>
      <c r="H2674" s="7" t="s">
        <v>7442</v>
      </c>
      <c r="I2674" s="9">
        <v>45369</v>
      </c>
    </row>
    <row r="2675" spans="1:9" x14ac:dyDescent="0.15">
      <c r="A2675" s="6">
        <v>2674</v>
      </c>
      <c r="B2675" s="7" t="s">
        <v>7</v>
      </c>
      <c r="C2675" s="8">
        <v>1890</v>
      </c>
      <c r="D2675" s="9">
        <v>45449</v>
      </c>
      <c r="E2675" s="13">
        <f>+HYPERLINK("http://trademark.i-assist.jp/data/china/image_1890th/77356150.pdf",77356150)</f>
        <v>77356150</v>
      </c>
      <c r="F2675" s="7" t="s">
        <v>7443</v>
      </c>
      <c r="G2675" s="7" t="s">
        <v>7440</v>
      </c>
      <c r="H2675" s="7" t="s">
        <v>7444</v>
      </c>
      <c r="I2675" s="9">
        <v>45369</v>
      </c>
    </row>
    <row r="2676" spans="1:9" ht="27" x14ac:dyDescent="0.15">
      <c r="A2676" s="6">
        <v>2675</v>
      </c>
      <c r="B2676" s="7" t="s">
        <v>7</v>
      </c>
      <c r="C2676" s="8">
        <v>1890</v>
      </c>
      <c r="D2676" s="9">
        <v>45449</v>
      </c>
      <c r="E2676" s="13">
        <f>+HYPERLINK("http://trademark.i-assist.jp/data/china/image_1890th/77356660.pdf",77356660)</f>
        <v>77356660</v>
      </c>
      <c r="F2676" s="7" t="s">
        <v>7446</v>
      </c>
      <c r="G2676" s="7" t="s">
        <v>7445</v>
      </c>
      <c r="H2676" s="7" t="s">
        <v>7447</v>
      </c>
      <c r="I2676" s="9">
        <v>45369</v>
      </c>
    </row>
    <row r="2677" spans="1:9" x14ac:dyDescent="0.15">
      <c r="A2677" s="6">
        <v>2676</v>
      </c>
      <c r="B2677" s="7" t="s">
        <v>7</v>
      </c>
      <c r="C2677" s="8">
        <v>1890</v>
      </c>
      <c r="D2677" s="9">
        <v>45449</v>
      </c>
      <c r="E2677" s="13">
        <f>+HYPERLINK("http://trademark.i-assist.jp/data/china/image_1890th/77356724.pdf",77356724)</f>
        <v>77356724</v>
      </c>
      <c r="F2677" s="7" t="s">
        <v>7449</v>
      </c>
      <c r="G2677" s="7" t="s">
        <v>7448</v>
      </c>
      <c r="H2677" s="7" t="s">
        <v>7450</v>
      </c>
      <c r="I2677" s="9">
        <v>45369</v>
      </c>
    </row>
    <row r="2678" spans="1:9" x14ac:dyDescent="0.15">
      <c r="A2678" s="6">
        <v>2677</v>
      </c>
      <c r="B2678" s="7" t="s">
        <v>7</v>
      </c>
      <c r="C2678" s="8">
        <v>1890</v>
      </c>
      <c r="D2678" s="9">
        <v>45449</v>
      </c>
      <c r="E2678" s="13">
        <f>+HYPERLINK("http://trademark.i-assist.jp/data/china/image_1890th/77356867.pdf",77356867)</f>
        <v>77356867</v>
      </c>
      <c r="F2678" s="7" t="s">
        <v>7452</v>
      </c>
      <c r="G2678" s="7" t="s">
        <v>7451</v>
      </c>
      <c r="H2678" s="7" t="s">
        <v>7453</v>
      </c>
      <c r="I2678" s="9">
        <v>45369</v>
      </c>
    </row>
    <row r="2679" spans="1:9" x14ac:dyDescent="0.15">
      <c r="A2679" s="6">
        <v>2678</v>
      </c>
      <c r="B2679" s="7" t="s">
        <v>7</v>
      </c>
      <c r="C2679" s="8">
        <v>1890</v>
      </c>
      <c r="D2679" s="9">
        <v>45449</v>
      </c>
      <c r="E2679" s="13">
        <f>+HYPERLINK("http://trademark.i-assist.jp/data/china/image_1890th/77356897.pdf",77356897)</f>
        <v>77356897</v>
      </c>
      <c r="F2679" s="7" t="s">
        <v>7455</v>
      </c>
      <c r="G2679" s="7" t="s">
        <v>7454</v>
      </c>
      <c r="H2679" s="7" t="s">
        <v>7456</v>
      </c>
      <c r="I2679" s="9">
        <v>45369</v>
      </c>
    </row>
    <row r="2680" spans="1:9" ht="27" x14ac:dyDescent="0.15">
      <c r="A2680" s="6">
        <v>2679</v>
      </c>
      <c r="B2680" s="7" t="s">
        <v>7</v>
      </c>
      <c r="C2680" s="8">
        <v>1890</v>
      </c>
      <c r="D2680" s="9">
        <v>45449</v>
      </c>
      <c r="E2680" s="13">
        <f>+HYPERLINK("http://trademark.i-assist.jp/data/china/image_1890th/77356986.pdf",77356986)</f>
        <v>77356986</v>
      </c>
      <c r="F2680" s="7" t="s">
        <v>7458</v>
      </c>
      <c r="G2680" s="7" t="s">
        <v>7457</v>
      </c>
      <c r="H2680" s="7" t="s">
        <v>7459</v>
      </c>
      <c r="I2680" s="9">
        <v>45369</v>
      </c>
    </row>
    <row r="2681" spans="1:9" x14ac:dyDescent="0.15">
      <c r="A2681" s="6">
        <v>2680</v>
      </c>
      <c r="B2681" s="7" t="s">
        <v>7</v>
      </c>
      <c r="C2681" s="8">
        <v>1890</v>
      </c>
      <c r="D2681" s="9">
        <v>45449</v>
      </c>
      <c r="E2681" s="13">
        <f>+HYPERLINK("http://trademark.i-assist.jp/data/china/image_1890th/77357122.pdf",77357122)</f>
        <v>77357122</v>
      </c>
      <c r="F2681" s="7" t="s">
        <v>7461</v>
      </c>
      <c r="G2681" s="7" t="s">
        <v>7460</v>
      </c>
      <c r="H2681" s="7" t="s">
        <v>7462</v>
      </c>
      <c r="I2681" s="9">
        <v>45369</v>
      </c>
    </row>
    <row r="2682" spans="1:9" x14ac:dyDescent="0.15">
      <c r="A2682" s="6">
        <v>2681</v>
      </c>
      <c r="B2682" s="7" t="s">
        <v>7</v>
      </c>
      <c r="C2682" s="8">
        <v>1890</v>
      </c>
      <c r="D2682" s="9">
        <v>45449</v>
      </c>
      <c r="E2682" s="13">
        <f>+HYPERLINK("http://trademark.i-assist.jp/data/china/image_1890th/77357261.pdf",77357261)</f>
        <v>77357261</v>
      </c>
      <c r="F2682" s="7" t="s">
        <v>7463</v>
      </c>
      <c r="G2682" s="7" t="s">
        <v>6987</v>
      </c>
      <c r="H2682" s="7" t="s">
        <v>7464</v>
      </c>
      <c r="I2682" s="9">
        <v>45369</v>
      </c>
    </row>
    <row r="2683" spans="1:9" x14ac:dyDescent="0.15">
      <c r="A2683" s="6">
        <v>2682</v>
      </c>
      <c r="B2683" s="7" t="s">
        <v>7</v>
      </c>
      <c r="C2683" s="8">
        <v>1890</v>
      </c>
      <c r="D2683" s="9">
        <v>45449</v>
      </c>
      <c r="E2683" s="13">
        <f>+HYPERLINK("http://trademark.i-assist.jp/data/china/image_1890th/77357339.pdf",77357339)</f>
        <v>77357339</v>
      </c>
      <c r="F2683" s="7" t="s">
        <v>183</v>
      </c>
      <c r="G2683" s="7" t="s">
        <v>7465</v>
      </c>
      <c r="H2683" s="7" t="s">
        <v>7466</v>
      </c>
      <c r="I2683" s="9">
        <v>45369</v>
      </c>
    </row>
    <row r="2684" spans="1:9" ht="27" x14ac:dyDescent="0.15">
      <c r="A2684" s="6">
        <v>2683</v>
      </c>
      <c r="B2684" s="7" t="s">
        <v>7</v>
      </c>
      <c r="C2684" s="8">
        <v>1890</v>
      </c>
      <c r="D2684" s="9">
        <v>45449</v>
      </c>
      <c r="E2684" s="13">
        <f>+HYPERLINK("http://trademark.i-assist.jp/data/china/image_1890th/77357350.pdf",77357350)</f>
        <v>77357350</v>
      </c>
      <c r="F2684" s="7" t="s">
        <v>7468</v>
      </c>
      <c r="G2684" s="7" t="s">
        <v>7467</v>
      </c>
      <c r="H2684" s="7" t="s">
        <v>7469</v>
      </c>
      <c r="I2684" s="9">
        <v>45369</v>
      </c>
    </row>
    <row r="2685" spans="1:9" x14ac:dyDescent="0.15">
      <c r="A2685" s="6">
        <v>2684</v>
      </c>
      <c r="B2685" s="7" t="s">
        <v>7</v>
      </c>
      <c r="C2685" s="8">
        <v>1890</v>
      </c>
      <c r="D2685" s="9">
        <v>45449</v>
      </c>
      <c r="E2685" s="13">
        <f>+HYPERLINK("http://trademark.i-assist.jp/data/china/image_1890th/77357390.pdf",77357390)</f>
        <v>77357390</v>
      </c>
      <c r="F2685" s="7" t="s">
        <v>7471</v>
      </c>
      <c r="G2685" s="7" t="s">
        <v>7470</v>
      </c>
      <c r="H2685" s="7" t="s">
        <v>7472</v>
      </c>
      <c r="I2685" s="9">
        <v>45369</v>
      </c>
    </row>
    <row r="2686" spans="1:9" x14ac:dyDescent="0.15">
      <c r="A2686" s="6">
        <v>2685</v>
      </c>
      <c r="B2686" s="7" t="s">
        <v>7</v>
      </c>
      <c r="C2686" s="8">
        <v>1890</v>
      </c>
      <c r="D2686" s="9">
        <v>45449</v>
      </c>
      <c r="E2686" s="13">
        <f>+HYPERLINK("http://trademark.i-assist.jp/data/china/image_1890th/77357428.pdf",77357428)</f>
        <v>77357428</v>
      </c>
      <c r="F2686" s="7" t="s">
        <v>7474</v>
      </c>
      <c r="G2686" s="7" t="s">
        <v>7473</v>
      </c>
      <c r="H2686" s="7" t="s">
        <v>7475</v>
      </c>
      <c r="I2686" s="9">
        <v>45369</v>
      </c>
    </row>
    <row r="2687" spans="1:9" x14ac:dyDescent="0.15">
      <c r="A2687" s="6">
        <v>2686</v>
      </c>
      <c r="B2687" s="7" t="s">
        <v>7</v>
      </c>
      <c r="C2687" s="8">
        <v>1890</v>
      </c>
      <c r="D2687" s="9">
        <v>45449</v>
      </c>
      <c r="E2687" s="13">
        <f>+HYPERLINK("http://trademark.i-assist.jp/data/china/image_1890th/77357652.pdf",77357652)</f>
        <v>77357652</v>
      </c>
      <c r="F2687" s="7" t="s">
        <v>7477</v>
      </c>
      <c r="G2687" s="7" t="s">
        <v>7476</v>
      </c>
      <c r="H2687" s="7" t="s">
        <v>7478</v>
      </c>
      <c r="I2687" s="9">
        <v>45369</v>
      </c>
    </row>
    <row r="2688" spans="1:9" x14ac:dyDescent="0.15">
      <c r="A2688" s="6">
        <v>2687</v>
      </c>
      <c r="B2688" s="7" t="s">
        <v>7</v>
      </c>
      <c r="C2688" s="8">
        <v>1890</v>
      </c>
      <c r="D2688" s="9">
        <v>45449</v>
      </c>
      <c r="E2688" s="13">
        <f>+HYPERLINK("http://trademark.i-assist.jp/data/china/image_1890th/77357668.pdf",77357668)</f>
        <v>77357668</v>
      </c>
      <c r="F2688" s="7" t="s">
        <v>7479</v>
      </c>
      <c r="G2688" s="7" t="s">
        <v>7297</v>
      </c>
      <c r="H2688" s="7" t="s">
        <v>7480</v>
      </c>
      <c r="I2688" s="9">
        <v>45369</v>
      </c>
    </row>
    <row r="2689" spans="1:9" x14ac:dyDescent="0.15">
      <c r="A2689" s="6">
        <v>2688</v>
      </c>
      <c r="B2689" s="7" t="s">
        <v>7</v>
      </c>
      <c r="C2689" s="8">
        <v>1890</v>
      </c>
      <c r="D2689" s="9">
        <v>45449</v>
      </c>
      <c r="E2689" s="13">
        <f>+HYPERLINK("http://trademark.i-assist.jp/data/china/image_1890th/77357764.pdf",77357764)</f>
        <v>77357764</v>
      </c>
      <c r="F2689" s="7" t="s">
        <v>7482</v>
      </c>
      <c r="G2689" s="7" t="s">
        <v>7481</v>
      </c>
      <c r="H2689" s="7" t="s">
        <v>7483</v>
      </c>
      <c r="I2689" s="9">
        <v>45369</v>
      </c>
    </row>
    <row r="2690" spans="1:9" x14ac:dyDescent="0.15">
      <c r="A2690" s="6">
        <v>2689</v>
      </c>
      <c r="B2690" s="7" t="s">
        <v>7</v>
      </c>
      <c r="C2690" s="8">
        <v>1890</v>
      </c>
      <c r="D2690" s="9">
        <v>45449</v>
      </c>
      <c r="E2690" s="13">
        <f>+HYPERLINK("http://trademark.i-assist.jp/data/china/image_1890th/77357956.pdf",77357956)</f>
        <v>77357956</v>
      </c>
      <c r="F2690" s="7" t="s">
        <v>7485</v>
      </c>
      <c r="G2690" s="7" t="s">
        <v>7484</v>
      </c>
      <c r="H2690" s="7" t="s">
        <v>7486</v>
      </c>
      <c r="I2690" s="9">
        <v>45369</v>
      </c>
    </row>
    <row r="2691" spans="1:9" x14ac:dyDescent="0.15">
      <c r="A2691" s="6">
        <v>2690</v>
      </c>
      <c r="B2691" s="7" t="s">
        <v>7</v>
      </c>
      <c r="C2691" s="8">
        <v>1890</v>
      </c>
      <c r="D2691" s="9">
        <v>45449</v>
      </c>
      <c r="E2691" s="13">
        <f>+HYPERLINK("http://trademark.i-assist.jp/data/china/image_1890th/77357979.pdf",77357979)</f>
        <v>77357979</v>
      </c>
      <c r="F2691" s="7" t="s">
        <v>183</v>
      </c>
      <c r="G2691" s="7" t="s">
        <v>7487</v>
      </c>
      <c r="H2691" s="7" t="s">
        <v>7488</v>
      </c>
      <c r="I2691" s="9">
        <v>45369</v>
      </c>
    </row>
    <row r="2692" spans="1:9" x14ac:dyDescent="0.15">
      <c r="A2692" s="6">
        <v>2691</v>
      </c>
      <c r="B2692" s="7" t="s">
        <v>7</v>
      </c>
      <c r="C2692" s="8">
        <v>1890</v>
      </c>
      <c r="D2692" s="9">
        <v>45449</v>
      </c>
      <c r="E2692" s="13">
        <f>+HYPERLINK("http://trademark.i-assist.jp/data/china/image_1890th/77357990.pdf",77357990)</f>
        <v>77357990</v>
      </c>
      <c r="F2692" s="7" t="s">
        <v>7490</v>
      </c>
      <c r="G2692" s="7" t="s">
        <v>7489</v>
      </c>
      <c r="H2692" s="7" t="s">
        <v>7491</v>
      </c>
      <c r="I2692" s="9">
        <v>45369</v>
      </c>
    </row>
    <row r="2693" spans="1:9" x14ac:dyDescent="0.15">
      <c r="A2693" s="6">
        <v>2692</v>
      </c>
      <c r="B2693" s="7" t="s">
        <v>7</v>
      </c>
      <c r="C2693" s="8">
        <v>1890</v>
      </c>
      <c r="D2693" s="9">
        <v>45449</v>
      </c>
      <c r="E2693" s="13">
        <f>+HYPERLINK("http://trademark.i-assist.jp/data/china/image_1890th/77358099.pdf",77358099)</f>
        <v>77358099</v>
      </c>
      <c r="F2693" s="7" t="s">
        <v>7493</v>
      </c>
      <c r="G2693" s="7" t="s">
        <v>7492</v>
      </c>
      <c r="H2693" s="7" t="s">
        <v>7494</v>
      </c>
      <c r="I2693" s="9">
        <v>45369</v>
      </c>
    </row>
    <row r="2694" spans="1:9" x14ac:dyDescent="0.15">
      <c r="A2694" s="6">
        <v>2693</v>
      </c>
      <c r="B2694" s="7" t="s">
        <v>7</v>
      </c>
      <c r="C2694" s="8">
        <v>1890</v>
      </c>
      <c r="D2694" s="9">
        <v>45449</v>
      </c>
      <c r="E2694" s="13">
        <f>+HYPERLINK("http://trademark.i-assist.jp/data/china/image_1890th/77358170.pdf",77358170)</f>
        <v>77358170</v>
      </c>
      <c r="F2694" s="7" t="s">
        <v>7496</v>
      </c>
      <c r="G2694" s="7" t="s">
        <v>7495</v>
      </c>
      <c r="H2694" s="7" t="s">
        <v>7497</v>
      </c>
      <c r="I2694" s="9">
        <v>45369</v>
      </c>
    </row>
    <row r="2695" spans="1:9" x14ac:dyDescent="0.15">
      <c r="A2695" s="6">
        <v>2694</v>
      </c>
      <c r="B2695" s="7" t="s">
        <v>7</v>
      </c>
      <c r="C2695" s="8">
        <v>1890</v>
      </c>
      <c r="D2695" s="9">
        <v>45449</v>
      </c>
      <c r="E2695" s="13">
        <f>+HYPERLINK("http://trademark.i-assist.jp/data/china/image_1890th/77358217.pdf",77358217)</f>
        <v>77358217</v>
      </c>
      <c r="F2695" s="7" t="s">
        <v>7499</v>
      </c>
      <c r="G2695" s="7" t="s">
        <v>7498</v>
      </c>
      <c r="H2695" s="7" t="s">
        <v>7500</v>
      </c>
      <c r="I2695" s="9">
        <v>45369</v>
      </c>
    </row>
    <row r="2696" spans="1:9" x14ac:dyDescent="0.15">
      <c r="A2696" s="6">
        <v>2695</v>
      </c>
      <c r="B2696" s="7" t="s">
        <v>7</v>
      </c>
      <c r="C2696" s="8">
        <v>1890</v>
      </c>
      <c r="D2696" s="9">
        <v>45449</v>
      </c>
      <c r="E2696" s="13">
        <f>+HYPERLINK("http://trademark.i-assist.jp/data/china/image_1890th/77358392.pdf",77358392)</f>
        <v>77358392</v>
      </c>
      <c r="F2696" s="7" t="s">
        <v>7502</v>
      </c>
      <c r="G2696" s="7" t="s">
        <v>7501</v>
      </c>
      <c r="H2696" s="7" t="s">
        <v>7503</v>
      </c>
      <c r="I2696" s="9">
        <v>45369</v>
      </c>
    </row>
    <row r="2697" spans="1:9" x14ac:dyDescent="0.15">
      <c r="A2697" s="6">
        <v>2696</v>
      </c>
      <c r="B2697" s="7" t="s">
        <v>7</v>
      </c>
      <c r="C2697" s="8">
        <v>1890</v>
      </c>
      <c r="D2697" s="9">
        <v>45449</v>
      </c>
      <c r="E2697" s="13">
        <f>+HYPERLINK("http://trademark.i-assist.jp/data/china/image_1890th/77358575.pdf",77358575)</f>
        <v>77358575</v>
      </c>
      <c r="F2697" s="7" t="s">
        <v>7505</v>
      </c>
      <c r="G2697" s="7" t="s">
        <v>7504</v>
      </c>
      <c r="H2697" s="7" t="s">
        <v>7506</v>
      </c>
      <c r="I2697" s="9">
        <v>45369</v>
      </c>
    </row>
    <row r="2698" spans="1:9" ht="40.5" x14ac:dyDescent="0.15">
      <c r="A2698" s="6">
        <v>2697</v>
      </c>
      <c r="B2698" s="7" t="s">
        <v>7</v>
      </c>
      <c r="C2698" s="8">
        <v>1890</v>
      </c>
      <c r="D2698" s="9">
        <v>45449</v>
      </c>
      <c r="E2698" s="13">
        <f>+HYPERLINK("http://trademark.i-assist.jp/data/china/image_1890th/77358637.pdf",77358637)</f>
        <v>77358637</v>
      </c>
      <c r="F2698" s="7" t="s">
        <v>7507</v>
      </c>
      <c r="G2698" s="7" t="s">
        <v>5170</v>
      </c>
      <c r="H2698" s="7" t="s">
        <v>7508</v>
      </c>
      <c r="I2698" s="9">
        <v>45369</v>
      </c>
    </row>
    <row r="2699" spans="1:9" x14ac:dyDescent="0.15">
      <c r="A2699" s="6">
        <v>2698</v>
      </c>
      <c r="B2699" s="7" t="s">
        <v>7</v>
      </c>
      <c r="C2699" s="8">
        <v>1890</v>
      </c>
      <c r="D2699" s="9">
        <v>45449</v>
      </c>
      <c r="E2699" s="13">
        <f>+HYPERLINK("http://trademark.i-assist.jp/data/china/image_1890th/77358759.pdf",77358759)</f>
        <v>77358759</v>
      </c>
      <c r="F2699" s="7" t="s">
        <v>7510</v>
      </c>
      <c r="G2699" s="7" t="s">
        <v>7509</v>
      </c>
      <c r="H2699" s="7" t="s">
        <v>7511</v>
      </c>
      <c r="I2699" s="9">
        <v>45369</v>
      </c>
    </row>
    <row r="2700" spans="1:9" x14ac:dyDescent="0.15">
      <c r="A2700" s="6">
        <v>2699</v>
      </c>
      <c r="B2700" s="7" t="s">
        <v>7</v>
      </c>
      <c r="C2700" s="8">
        <v>1890</v>
      </c>
      <c r="D2700" s="9">
        <v>45449</v>
      </c>
      <c r="E2700" s="13">
        <f>+HYPERLINK("http://trademark.i-assist.jp/data/china/image_1890th/77358843.pdf",77358843)</f>
        <v>77358843</v>
      </c>
      <c r="F2700" s="7" t="s">
        <v>7513</v>
      </c>
      <c r="G2700" s="7" t="s">
        <v>7512</v>
      </c>
      <c r="H2700" s="7" t="s">
        <v>7514</v>
      </c>
      <c r="I2700" s="9">
        <v>45369</v>
      </c>
    </row>
    <row r="2701" spans="1:9" x14ac:dyDescent="0.15">
      <c r="A2701" s="6">
        <v>2700</v>
      </c>
      <c r="B2701" s="7" t="s">
        <v>7</v>
      </c>
      <c r="C2701" s="8">
        <v>1890</v>
      </c>
      <c r="D2701" s="9">
        <v>45449</v>
      </c>
      <c r="E2701" s="13">
        <f>+HYPERLINK("http://trademark.i-assist.jp/data/china/image_1890th/77358890.pdf",77358890)</f>
        <v>77358890</v>
      </c>
      <c r="F2701" s="7" t="s">
        <v>7516</v>
      </c>
      <c r="G2701" s="7" t="s">
        <v>7515</v>
      </c>
      <c r="H2701" s="7" t="s">
        <v>7517</v>
      </c>
      <c r="I2701" s="9">
        <v>45369</v>
      </c>
    </row>
    <row r="2702" spans="1:9" ht="27" x14ac:dyDescent="0.15">
      <c r="A2702" s="6">
        <v>2701</v>
      </c>
      <c r="B2702" s="7" t="s">
        <v>7</v>
      </c>
      <c r="C2702" s="8">
        <v>1890</v>
      </c>
      <c r="D2702" s="9">
        <v>45449</v>
      </c>
      <c r="E2702" s="13">
        <f>+HYPERLINK("http://trademark.i-assist.jp/data/china/image_1890th/77358949.pdf",77358949)</f>
        <v>77358949</v>
      </c>
      <c r="F2702" s="7" t="s">
        <v>7519</v>
      </c>
      <c r="G2702" s="7" t="s">
        <v>7518</v>
      </c>
      <c r="H2702" s="7" t="s">
        <v>7520</v>
      </c>
      <c r="I2702" s="9">
        <v>45369</v>
      </c>
    </row>
    <row r="2703" spans="1:9" x14ac:dyDescent="0.15">
      <c r="A2703" s="6">
        <v>2702</v>
      </c>
      <c r="B2703" s="7" t="s">
        <v>7</v>
      </c>
      <c r="C2703" s="8">
        <v>1890</v>
      </c>
      <c r="D2703" s="9">
        <v>45449</v>
      </c>
      <c r="E2703" s="13">
        <f>+HYPERLINK("http://trademark.i-assist.jp/data/china/image_1890th/77359044.pdf",77359044)</f>
        <v>77359044</v>
      </c>
      <c r="F2703" s="7" t="s">
        <v>7522</v>
      </c>
      <c r="G2703" s="7" t="s">
        <v>7521</v>
      </c>
      <c r="H2703" s="7" t="s">
        <v>7523</v>
      </c>
      <c r="I2703" s="9">
        <v>45369</v>
      </c>
    </row>
    <row r="2704" spans="1:9" x14ac:dyDescent="0.15">
      <c r="A2704" s="6">
        <v>2703</v>
      </c>
      <c r="B2704" s="7" t="s">
        <v>7</v>
      </c>
      <c r="C2704" s="8">
        <v>1890</v>
      </c>
      <c r="D2704" s="9">
        <v>45449</v>
      </c>
      <c r="E2704" s="13">
        <f>+HYPERLINK("http://trademark.i-assist.jp/data/china/image_1890th/77359051.pdf",77359051)</f>
        <v>77359051</v>
      </c>
      <c r="F2704" s="7" t="s">
        <v>7525</v>
      </c>
      <c r="G2704" s="7" t="s">
        <v>7524</v>
      </c>
      <c r="H2704" s="7" t="s">
        <v>7526</v>
      </c>
      <c r="I2704" s="9">
        <v>45369</v>
      </c>
    </row>
    <row r="2705" spans="1:9" x14ac:dyDescent="0.15">
      <c r="A2705" s="6">
        <v>2704</v>
      </c>
      <c r="B2705" s="7" t="s">
        <v>7</v>
      </c>
      <c r="C2705" s="8">
        <v>1890</v>
      </c>
      <c r="D2705" s="9">
        <v>45449</v>
      </c>
      <c r="E2705" s="13">
        <f>+HYPERLINK("http://trademark.i-assist.jp/data/china/image_1890th/77359364.pdf",77359364)</f>
        <v>77359364</v>
      </c>
      <c r="F2705" s="7" t="s">
        <v>7528</v>
      </c>
      <c r="G2705" s="7" t="s">
        <v>7527</v>
      </c>
      <c r="H2705" s="7" t="s">
        <v>7529</v>
      </c>
      <c r="I2705" s="9">
        <v>45369</v>
      </c>
    </row>
    <row r="2706" spans="1:9" x14ac:dyDescent="0.15">
      <c r="A2706" s="6">
        <v>2705</v>
      </c>
      <c r="B2706" s="7" t="s">
        <v>7</v>
      </c>
      <c r="C2706" s="8">
        <v>1890</v>
      </c>
      <c r="D2706" s="9">
        <v>45449</v>
      </c>
      <c r="E2706" s="13">
        <f>+HYPERLINK("http://trademark.i-assist.jp/data/china/image_1890th/77359438.pdf",77359438)</f>
        <v>77359438</v>
      </c>
      <c r="F2706" s="7" t="s">
        <v>7531</v>
      </c>
      <c r="G2706" s="7" t="s">
        <v>7530</v>
      </c>
      <c r="H2706" s="7" t="s">
        <v>7532</v>
      </c>
      <c r="I2706" s="9">
        <v>45369</v>
      </c>
    </row>
    <row r="2707" spans="1:9" x14ac:dyDescent="0.15">
      <c r="A2707" s="6">
        <v>2706</v>
      </c>
      <c r="B2707" s="7" t="s">
        <v>7</v>
      </c>
      <c r="C2707" s="8">
        <v>1890</v>
      </c>
      <c r="D2707" s="9">
        <v>45449</v>
      </c>
      <c r="E2707" s="13">
        <f>+HYPERLINK("http://trademark.i-assist.jp/data/china/image_1890th/77359539.pdf",77359539)</f>
        <v>77359539</v>
      </c>
      <c r="F2707" s="7" t="s">
        <v>7534</v>
      </c>
      <c r="G2707" s="7" t="s">
        <v>7533</v>
      </c>
      <c r="H2707" s="7" t="s">
        <v>7535</v>
      </c>
      <c r="I2707" s="9">
        <v>45369</v>
      </c>
    </row>
    <row r="2708" spans="1:9" x14ac:dyDescent="0.15">
      <c r="A2708" s="6">
        <v>2707</v>
      </c>
      <c r="B2708" s="7" t="s">
        <v>7</v>
      </c>
      <c r="C2708" s="8">
        <v>1890</v>
      </c>
      <c r="D2708" s="9">
        <v>45449</v>
      </c>
      <c r="E2708" s="13">
        <f>+HYPERLINK("http://trademark.i-assist.jp/data/china/image_1890th/77359574.pdf",77359574)</f>
        <v>77359574</v>
      </c>
      <c r="F2708" s="7" t="s">
        <v>7537</v>
      </c>
      <c r="G2708" s="7" t="s">
        <v>7536</v>
      </c>
      <c r="H2708" s="7" t="s">
        <v>7538</v>
      </c>
      <c r="I2708" s="9">
        <v>45369</v>
      </c>
    </row>
    <row r="2709" spans="1:9" x14ac:dyDescent="0.15">
      <c r="A2709" s="6">
        <v>2708</v>
      </c>
      <c r="B2709" s="7" t="s">
        <v>7</v>
      </c>
      <c r="C2709" s="8">
        <v>1890</v>
      </c>
      <c r="D2709" s="9">
        <v>45449</v>
      </c>
      <c r="E2709" s="13">
        <f>+HYPERLINK("http://trademark.i-assist.jp/data/china/image_1890th/77359630.pdf",77359630)</f>
        <v>77359630</v>
      </c>
      <c r="F2709" s="7" t="s">
        <v>7540</v>
      </c>
      <c r="G2709" s="7" t="s">
        <v>7539</v>
      </c>
      <c r="H2709" s="7" t="s">
        <v>7541</v>
      </c>
      <c r="I2709" s="9">
        <v>45369</v>
      </c>
    </row>
    <row r="2710" spans="1:9" x14ac:dyDescent="0.15">
      <c r="A2710" s="6">
        <v>2709</v>
      </c>
      <c r="B2710" s="7" t="s">
        <v>7</v>
      </c>
      <c r="C2710" s="8">
        <v>1890</v>
      </c>
      <c r="D2710" s="9">
        <v>45449</v>
      </c>
      <c r="E2710" s="13">
        <f>+HYPERLINK("http://trademark.i-assist.jp/data/china/image_1890th/77359822.pdf",77359822)</f>
        <v>77359822</v>
      </c>
      <c r="F2710" s="7" t="s">
        <v>7542</v>
      </c>
      <c r="G2710" s="7" t="s">
        <v>4550</v>
      </c>
      <c r="H2710" s="7" t="s">
        <v>7543</v>
      </c>
      <c r="I2710" s="9">
        <v>45369</v>
      </c>
    </row>
    <row r="2711" spans="1:9" x14ac:dyDescent="0.15">
      <c r="A2711" s="6">
        <v>2710</v>
      </c>
      <c r="B2711" s="7" t="s">
        <v>7</v>
      </c>
      <c r="C2711" s="8">
        <v>1890</v>
      </c>
      <c r="D2711" s="9">
        <v>45449</v>
      </c>
      <c r="E2711" s="13">
        <f>+HYPERLINK("http://trademark.i-assist.jp/data/china/image_1890th/77359900.pdf",77359900)</f>
        <v>77359900</v>
      </c>
      <c r="F2711" s="7" t="s">
        <v>7545</v>
      </c>
      <c r="G2711" s="7" t="s">
        <v>7544</v>
      </c>
      <c r="H2711" s="7" t="s">
        <v>7546</v>
      </c>
      <c r="I2711" s="9">
        <v>45369</v>
      </c>
    </row>
    <row r="2712" spans="1:9" x14ac:dyDescent="0.15">
      <c r="A2712" s="6">
        <v>2711</v>
      </c>
      <c r="B2712" s="7" t="s">
        <v>7</v>
      </c>
      <c r="C2712" s="8">
        <v>1890</v>
      </c>
      <c r="D2712" s="9">
        <v>45449</v>
      </c>
      <c r="E2712" s="13">
        <f>+HYPERLINK("http://trademark.i-assist.jp/data/china/image_1890th/77360029.pdf",77360029)</f>
        <v>77360029</v>
      </c>
      <c r="F2712" s="7" t="s">
        <v>7548</v>
      </c>
      <c r="G2712" s="7" t="s">
        <v>7547</v>
      </c>
      <c r="H2712" s="7" t="s">
        <v>7549</v>
      </c>
      <c r="I2712" s="9">
        <v>45369</v>
      </c>
    </row>
    <row r="2713" spans="1:9" x14ac:dyDescent="0.15">
      <c r="A2713" s="6">
        <v>2712</v>
      </c>
      <c r="B2713" s="7" t="s">
        <v>7</v>
      </c>
      <c r="C2713" s="8">
        <v>1890</v>
      </c>
      <c r="D2713" s="9">
        <v>45449</v>
      </c>
      <c r="E2713" s="13">
        <f>+HYPERLINK("http://trademark.i-assist.jp/data/china/image_1890th/77360137.pdf",77360137)</f>
        <v>77360137</v>
      </c>
      <c r="F2713" s="7" t="s">
        <v>7551</v>
      </c>
      <c r="G2713" s="7" t="s">
        <v>7550</v>
      </c>
      <c r="H2713" s="7" t="s">
        <v>7549</v>
      </c>
      <c r="I2713" s="9">
        <v>45369</v>
      </c>
    </row>
    <row r="2714" spans="1:9" x14ac:dyDescent="0.15">
      <c r="A2714" s="6">
        <v>2713</v>
      </c>
      <c r="B2714" s="7" t="s">
        <v>7</v>
      </c>
      <c r="C2714" s="8">
        <v>1890</v>
      </c>
      <c r="D2714" s="9">
        <v>45449</v>
      </c>
      <c r="E2714" s="13">
        <f>+HYPERLINK("http://trademark.i-assist.jp/data/china/image_1890th/77360178.pdf",77360178)</f>
        <v>77360178</v>
      </c>
      <c r="F2714" s="7" t="s">
        <v>7553</v>
      </c>
      <c r="G2714" s="7" t="s">
        <v>7552</v>
      </c>
      <c r="H2714" s="7" t="s">
        <v>7554</v>
      </c>
      <c r="I2714" s="9">
        <v>45369</v>
      </c>
    </row>
    <row r="2715" spans="1:9" x14ac:dyDescent="0.15">
      <c r="A2715" s="6">
        <v>2714</v>
      </c>
      <c r="B2715" s="7" t="s">
        <v>7</v>
      </c>
      <c r="C2715" s="8">
        <v>1890</v>
      </c>
      <c r="D2715" s="9">
        <v>45449</v>
      </c>
      <c r="E2715" s="13">
        <f>+HYPERLINK("http://trademark.i-assist.jp/data/china/image_1890th/77360225.pdf",77360225)</f>
        <v>77360225</v>
      </c>
      <c r="F2715" s="7" t="s">
        <v>7556</v>
      </c>
      <c r="G2715" s="7" t="s">
        <v>7555</v>
      </c>
      <c r="H2715" s="7" t="s">
        <v>7557</v>
      </c>
      <c r="I2715" s="9">
        <v>45369</v>
      </c>
    </row>
    <row r="2716" spans="1:9" x14ac:dyDescent="0.15">
      <c r="A2716" s="6">
        <v>2715</v>
      </c>
      <c r="B2716" s="7" t="s">
        <v>7</v>
      </c>
      <c r="C2716" s="8">
        <v>1890</v>
      </c>
      <c r="D2716" s="9">
        <v>45449</v>
      </c>
      <c r="E2716" s="13">
        <f>+HYPERLINK("http://trademark.i-assist.jp/data/china/image_1890th/77360279.pdf",77360279)</f>
        <v>77360279</v>
      </c>
      <c r="F2716" s="7" t="s">
        <v>7559</v>
      </c>
      <c r="G2716" s="7" t="s">
        <v>7558</v>
      </c>
      <c r="H2716" s="7" t="s">
        <v>7560</v>
      </c>
      <c r="I2716" s="9">
        <v>45369</v>
      </c>
    </row>
    <row r="2717" spans="1:9" x14ac:dyDescent="0.15">
      <c r="A2717" s="6">
        <v>2716</v>
      </c>
      <c r="B2717" s="7" t="s">
        <v>7</v>
      </c>
      <c r="C2717" s="8">
        <v>1890</v>
      </c>
      <c r="D2717" s="9">
        <v>45449</v>
      </c>
      <c r="E2717" s="13">
        <f>+HYPERLINK("http://trademark.i-assist.jp/data/china/image_1890th/77360439.pdf",77360439)</f>
        <v>77360439</v>
      </c>
      <c r="F2717" s="7" t="s">
        <v>7562</v>
      </c>
      <c r="G2717" s="7" t="s">
        <v>7561</v>
      </c>
      <c r="H2717" s="7" t="s">
        <v>7563</v>
      </c>
      <c r="I2717" s="9">
        <v>45369</v>
      </c>
    </row>
    <row r="2718" spans="1:9" x14ac:dyDescent="0.15">
      <c r="A2718" s="6">
        <v>2717</v>
      </c>
      <c r="B2718" s="7" t="s">
        <v>7</v>
      </c>
      <c r="C2718" s="8">
        <v>1890</v>
      </c>
      <c r="D2718" s="9">
        <v>45449</v>
      </c>
      <c r="E2718" s="13">
        <f>+HYPERLINK("http://trademark.i-assist.jp/data/china/image_1890th/77360544.pdf",77360544)</f>
        <v>77360544</v>
      </c>
      <c r="F2718" s="7" t="s">
        <v>7565</v>
      </c>
      <c r="G2718" s="7" t="s">
        <v>7564</v>
      </c>
      <c r="H2718" s="7" t="s">
        <v>7566</v>
      </c>
      <c r="I2718" s="9">
        <v>45369</v>
      </c>
    </row>
    <row r="2719" spans="1:9" x14ac:dyDescent="0.15">
      <c r="A2719" s="6">
        <v>2718</v>
      </c>
      <c r="B2719" s="7" t="s">
        <v>7</v>
      </c>
      <c r="C2719" s="8">
        <v>1890</v>
      </c>
      <c r="D2719" s="9">
        <v>45449</v>
      </c>
      <c r="E2719" s="13">
        <f>+HYPERLINK("http://trademark.i-assist.jp/data/china/image_1890th/77360750.pdf",77360750)</f>
        <v>77360750</v>
      </c>
      <c r="F2719" s="7" t="s">
        <v>7568</v>
      </c>
      <c r="G2719" s="7" t="s">
        <v>7567</v>
      </c>
      <c r="H2719" s="7" t="s">
        <v>7569</v>
      </c>
      <c r="I2719" s="9">
        <v>45369</v>
      </c>
    </row>
    <row r="2720" spans="1:9" x14ac:dyDescent="0.15">
      <c r="A2720" s="6">
        <v>2719</v>
      </c>
      <c r="B2720" s="7" t="s">
        <v>7</v>
      </c>
      <c r="C2720" s="8">
        <v>1890</v>
      </c>
      <c r="D2720" s="9">
        <v>45449</v>
      </c>
      <c r="E2720" s="13">
        <f>+HYPERLINK("http://trademark.i-assist.jp/data/china/image_1890th/77361178.pdf",77361178)</f>
        <v>77361178</v>
      </c>
      <c r="F2720" s="7" t="s">
        <v>7571</v>
      </c>
      <c r="G2720" s="7" t="s">
        <v>7570</v>
      </c>
      <c r="H2720" s="7" t="s">
        <v>7572</v>
      </c>
      <c r="I2720" s="9">
        <v>45369</v>
      </c>
    </row>
    <row r="2721" spans="1:9" x14ac:dyDescent="0.15">
      <c r="A2721" s="6">
        <v>2720</v>
      </c>
      <c r="B2721" s="7" t="s">
        <v>7</v>
      </c>
      <c r="C2721" s="8">
        <v>1890</v>
      </c>
      <c r="D2721" s="9">
        <v>45449</v>
      </c>
      <c r="E2721" s="13">
        <f>+HYPERLINK("http://trademark.i-assist.jp/data/china/image_1890th/77361247.pdf",77361247)</f>
        <v>77361247</v>
      </c>
      <c r="F2721" s="7" t="s">
        <v>7574</v>
      </c>
      <c r="G2721" s="7" t="s">
        <v>7573</v>
      </c>
      <c r="H2721" s="7" t="s">
        <v>7575</v>
      </c>
      <c r="I2721" s="9">
        <v>45369</v>
      </c>
    </row>
    <row r="2722" spans="1:9" x14ac:dyDescent="0.15">
      <c r="A2722" s="6">
        <v>2721</v>
      </c>
      <c r="B2722" s="7" t="s">
        <v>7</v>
      </c>
      <c r="C2722" s="8">
        <v>1890</v>
      </c>
      <c r="D2722" s="9">
        <v>45449</v>
      </c>
      <c r="E2722" s="13">
        <f>+HYPERLINK("http://trademark.i-assist.jp/data/china/image_1890th/77361268.pdf",77361268)</f>
        <v>77361268</v>
      </c>
      <c r="F2722" s="7" t="s">
        <v>7576</v>
      </c>
      <c r="G2722" s="7" t="s">
        <v>4539</v>
      </c>
      <c r="H2722" s="7" t="s">
        <v>7577</v>
      </c>
      <c r="I2722" s="9">
        <v>45369</v>
      </c>
    </row>
    <row r="2723" spans="1:9" x14ac:dyDescent="0.15">
      <c r="A2723" s="6">
        <v>2722</v>
      </c>
      <c r="B2723" s="7" t="s">
        <v>7</v>
      </c>
      <c r="C2723" s="8">
        <v>1890</v>
      </c>
      <c r="D2723" s="9">
        <v>45449</v>
      </c>
      <c r="E2723" s="13">
        <f>+HYPERLINK("http://trademark.i-assist.jp/data/china/image_1890th/77361365.pdf",77361365)</f>
        <v>77361365</v>
      </c>
      <c r="F2723" s="7" t="s">
        <v>7579</v>
      </c>
      <c r="G2723" s="7" t="s">
        <v>7578</v>
      </c>
      <c r="H2723" s="7" t="s">
        <v>7580</v>
      </c>
      <c r="I2723" s="9">
        <v>45369</v>
      </c>
    </row>
    <row r="2724" spans="1:9" x14ac:dyDescent="0.15">
      <c r="A2724" s="6">
        <v>2723</v>
      </c>
      <c r="B2724" s="7" t="s">
        <v>7</v>
      </c>
      <c r="C2724" s="8">
        <v>1890</v>
      </c>
      <c r="D2724" s="9">
        <v>45449</v>
      </c>
      <c r="E2724" s="13">
        <f>+HYPERLINK("http://trademark.i-assist.jp/data/china/image_1890th/77361527.pdf",77361527)</f>
        <v>77361527</v>
      </c>
      <c r="F2724" s="7" t="s">
        <v>7582</v>
      </c>
      <c r="G2724" s="7" t="s">
        <v>7581</v>
      </c>
      <c r="H2724" s="7" t="s">
        <v>7583</v>
      </c>
      <c r="I2724" s="9">
        <v>45369</v>
      </c>
    </row>
    <row r="2725" spans="1:9" x14ac:dyDescent="0.15">
      <c r="A2725" s="6">
        <v>2724</v>
      </c>
      <c r="B2725" s="7" t="s">
        <v>7</v>
      </c>
      <c r="C2725" s="8">
        <v>1890</v>
      </c>
      <c r="D2725" s="9">
        <v>45449</v>
      </c>
      <c r="E2725" s="13">
        <f>+HYPERLINK("http://trademark.i-assist.jp/data/china/image_1890th/77361733.pdf",77361733)</f>
        <v>77361733</v>
      </c>
      <c r="F2725" s="7" t="s">
        <v>183</v>
      </c>
      <c r="G2725" s="7" t="s">
        <v>7584</v>
      </c>
      <c r="H2725" s="7" t="s">
        <v>7585</v>
      </c>
      <c r="I2725" s="9">
        <v>45369</v>
      </c>
    </row>
    <row r="2726" spans="1:9" ht="27" x14ac:dyDescent="0.15">
      <c r="A2726" s="6">
        <v>2725</v>
      </c>
      <c r="B2726" s="7" t="s">
        <v>7</v>
      </c>
      <c r="C2726" s="8">
        <v>1890</v>
      </c>
      <c r="D2726" s="9">
        <v>45449</v>
      </c>
      <c r="E2726" s="13">
        <f>+HYPERLINK("http://trademark.i-assist.jp/data/china/image_1890th/77361744.pdf",77361744)</f>
        <v>77361744</v>
      </c>
      <c r="F2726" s="7" t="s">
        <v>7587</v>
      </c>
      <c r="G2726" s="7" t="s">
        <v>7586</v>
      </c>
      <c r="H2726" s="7" t="s">
        <v>7588</v>
      </c>
      <c r="I2726" s="9">
        <v>45369</v>
      </c>
    </row>
    <row r="2727" spans="1:9" x14ac:dyDescent="0.15">
      <c r="A2727" s="6">
        <v>2726</v>
      </c>
      <c r="B2727" s="7" t="s">
        <v>7</v>
      </c>
      <c r="C2727" s="8">
        <v>1890</v>
      </c>
      <c r="D2727" s="9">
        <v>45449</v>
      </c>
      <c r="E2727" s="13">
        <f>+HYPERLINK("http://trademark.i-assist.jp/data/china/image_1890th/77361794.pdf",77361794)</f>
        <v>77361794</v>
      </c>
      <c r="F2727" s="7" t="s">
        <v>7590</v>
      </c>
      <c r="G2727" s="7" t="s">
        <v>7589</v>
      </c>
      <c r="H2727" s="7" t="s">
        <v>7591</v>
      </c>
      <c r="I2727" s="9">
        <v>45369</v>
      </c>
    </row>
    <row r="2728" spans="1:9" x14ac:dyDescent="0.15">
      <c r="A2728" s="6">
        <v>2727</v>
      </c>
      <c r="B2728" s="7" t="s">
        <v>7</v>
      </c>
      <c r="C2728" s="8">
        <v>1890</v>
      </c>
      <c r="D2728" s="9">
        <v>45449</v>
      </c>
      <c r="E2728" s="13">
        <f>+HYPERLINK("http://trademark.i-assist.jp/data/china/image_1890th/77361882.pdf",77361882)</f>
        <v>77361882</v>
      </c>
      <c r="F2728" s="7" t="s">
        <v>7592</v>
      </c>
      <c r="G2728" s="7" t="s">
        <v>6592</v>
      </c>
      <c r="H2728" s="7" t="s">
        <v>7593</v>
      </c>
      <c r="I2728" s="9">
        <v>45369</v>
      </c>
    </row>
    <row r="2729" spans="1:9" x14ac:dyDescent="0.15">
      <c r="A2729" s="6">
        <v>2728</v>
      </c>
      <c r="B2729" s="7" t="s">
        <v>7</v>
      </c>
      <c r="C2729" s="8">
        <v>1890</v>
      </c>
      <c r="D2729" s="9">
        <v>45449</v>
      </c>
      <c r="E2729" s="13">
        <f>+HYPERLINK("http://trademark.i-assist.jp/data/china/image_1890th/77361949.pdf",77361949)</f>
        <v>77361949</v>
      </c>
      <c r="F2729" s="7" t="s">
        <v>7594</v>
      </c>
      <c r="G2729" s="7" t="s">
        <v>4041</v>
      </c>
      <c r="H2729" s="7" t="s">
        <v>7595</v>
      </c>
      <c r="I2729" s="9">
        <v>45369</v>
      </c>
    </row>
    <row r="2730" spans="1:9" x14ac:dyDescent="0.15">
      <c r="A2730" s="6">
        <v>2729</v>
      </c>
      <c r="B2730" s="7" t="s">
        <v>7</v>
      </c>
      <c r="C2730" s="8">
        <v>1890</v>
      </c>
      <c r="D2730" s="9">
        <v>45449</v>
      </c>
      <c r="E2730" s="13">
        <f>+HYPERLINK("http://trademark.i-assist.jp/data/china/image_1890th/77362068.pdf",77362068)</f>
        <v>77362068</v>
      </c>
      <c r="F2730" s="7" t="s">
        <v>7597</v>
      </c>
      <c r="G2730" s="7" t="s">
        <v>7596</v>
      </c>
      <c r="H2730" s="7" t="s">
        <v>7598</v>
      </c>
      <c r="I2730" s="9">
        <v>45369</v>
      </c>
    </row>
    <row r="2731" spans="1:9" x14ac:dyDescent="0.15">
      <c r="A2731" s="6">
        <v>2730</v>
      </c>
      <c r="B2731" s="7" t="s">
        <v>7</v>
      </c>
      <c r="C2731" s="8">
        <v>1890</v>
      </c>
      <c r="D2731" s="9">
        <v>45449</v>
      </c>
      <c r="E2731" s="13">
        <f>+HYPERLINK("http://trademark.i-assist.jp/data/china/image_1890th/77362075.pdf",77362075)</f>
        <v>77362075</v>
      </c>
      <c r="F2731" s="7" t="s">
        <v>7600</v>
      </c>
      <c r="G2731" s="7" t="s">
        <v>7599</v>
      </c>
      <c r="H2731" s="7" t="s">
        <v>7601</v>
      </c>
      <c r="I2731" s="9">
        <v>45369</v>
      </c>
    </row>
    <row r="2732" spans="1:9" x14ac:dyDescent="0.15">
      <c r="A2732" s="6">
        <v>2731</v>
      </c>
      <c r="B2732" s="7" t="s">
        <v>7</v>
      </c>
      <c r="C2732" s="8">
        <v>1890</v>
      </c>
      <c r="D2732" s="9">
        <v>45449</v>
      </c>
      <c r="E2732" s="13">
        <f>+HYPERLINK("http://trademark.i-assist.jp/data/china/image_1890th/77362078.pdf",77362078)</f>
        <v>77362078</v>
      </c>
      <c r="F2732" s="7" t="s">
        <v>7603</v>
      </c>
      <c r="G2732" s="7" t="s">
        <v>7602</v>
      </c>
      <c r="H2732" s="7" t="s">
        <v>7604</v>
      </c>
      <c r="I2732" s="9">
        <v>45369</v>
      </c>
    </row>
    <row r="2733" spans="1:9" x14ac:dyDescent="0.15">
      <c r="A2733" s="6">
        <v>2732</v>
      </c>
      <c r="B2733" s="7" t="s">
        <v>7</v>
      </c>
      <c r="C2733" s="8">
        <v>1890</v>
      </c>
      <c r="D2733" s="9">
        <v>45449</v>
      </c>
      <c r="E2733" s="13">
        <f>+HYPERLINK("http://trademark.i-assist.jp/data/china/image_1890th/77362138.pdf",77362138)</f>
        <v>77362138</v>
      </c>
      <c r="F2733" s="7" t="s">
        <v>7606</v>
      </c>
      <c r="G2733" s="7" t="s">
        <v>7605</v>
      </c>
      <c r="H2733" s="7" t="s">
        <v>7607</v>
      </c>
      <c r="I2733" s="9">
        <v>45369</v>
      </c>
    </row>
    <row r="2734" spans="1:9" x14ac:dyDescent="0.15">
      <c r="A2734" s="6">
        <v>2733</v>
      </c>
      <c r="B2734" s="7" t="s">
        <v>7</v>
      </c>
      <c r="C2734" s="8">
        <v>1890</v>
      </c>
      <c r="D2734" s="9">
        <v>45449</v>
      </c>
      <c r="E2734" s="13">
        <f>+HYPERLINK("http://trademark.i-assist.jp/data/china/image_1890th/77362149.pdf",77362149)</f>
        <v>77362149</v>
      </c>
      <c r="F2734" s="7" t="s">
        <v>7608</v>
      </c>
      <c r="G2734" s="7" t="s">
        <v>1915</v>
      </c>
      <c r="H2734" s="7" t="s">
        <v>7609</v>
      </c>
      <c r="I2734" s="9">
        <v>45369</v>
      </c>
    </row>
    <row r="2735" spans="1:9" ht="27" x14ac:dyDescent="0.15">
      <c r="A2735" s="6">
        <v>2734</v>
      </c>
      <c r="B2735" s="7" t="s">
        <v>7</v>
      </c>
      <c r="C2735" s="8">
        <v>1890</v>
      </c>
      <c r="D2735" s="9">
        <v>45449</v>
      </c>
      <c r="E2735" s="13">
        <f>+HYPERLINK("http://trademark.i-assist.jp/data/china/image_1890th/77362216.pdf",77362216)</f>
        <v>77362216</v>
      </c>
      <c r="F2735" s="7" t="s">
        <v>7610</v>
      </c>
      <c r="G2735" s="7" t="s">
        <v>7610</v>
      </c>
      <c r="H2735" s="7" t="s">
        <v>7611</v>
      </c>
      <c r="I2735" s="9">
        <v>45369</v>
      </c>
    </row>
    <row r="2736" spans="1:9" x14ac:dyDescent="0.15">
      <c r="A2736" s="6">
        <v>2735</v>
      </c>
      <c r="B2736" s="7" t="s">
        <v>7</v>
      </c>
      <c r="C2736" s="8">
        <v>1890</v>
      </c>
      <c r="D2736" s="9">
        <v>45449</v>
      </c>
      <c r="E2736" s="13">
        <f>+HYPERLINK("http://trademark.i-assist.jp/data/china/image_1890th/77362331.pdf",77362331)</f>
        <v>77362331</v>
      </c>
      <c r="F2736" s="7" t="s">
        <v>7613</v>
      </c>
      <c r="G2736" s="7" t="s">
        <v>7612</v>
      </c>
      <c r="H2736" s="7" t="s">
        <v>7614</v>
      </c>
      <c r="I2736" s="9">
        <v>45369</v>
      </c>
    </row>
    <row r="2737" spans="1:9" x14ac:dyDescent="0.15">
      <c r="A2737" s="6">
        <v>2736</v>
      </c>
      <c r="B2737" s="7" t="s">
        <v>7</v>
      </c>
      <c r="C2737" s="8">
        <v>1890</v>
      </c>
      <c r="D2737" s="9">
        <v>45449</v>
      </c>
      <c r="E2737" s="13">
        <f>+HYPERLINK("http://trademark.i-assist.jp/data/china/image_1890th/77362546.pdf",77362546)</f>
        <v>77362546</v>
      </c>
      <c r="F2737" s="7" t="s">
        <v>7616</v>
      </c>
      <c r="G2737" s="7" t="s">
        <v>7615</v>
      </c>
      <c r="H2737" s="7" t="s">
        <v>7617</v>
      </c>
      <c r="I2737" s="9">
        <v>45369</v>
      </c>
    </row>
    <row r="2738" spans="1:9" x14ac:dyDescent="0.15">
      <c r="A2738" s="6">
        <v>2737</v>
      </c>
      <c r="B2738" s="7" t="s">
        <v>7</v>
      </c>
      <c r="C2738" s="8">
        <v>1890</v>
      </c>
      <c r="D2738" s="9">
        <v>45449</v>
      </c>
      <c r="E2738" s="13">
        <f>+HYPERLINK("http://trademark.i-assist.jp/data/china/image_1890th/77362571.pdf",77362571)</f>
        <v>77362571</v>
      </c>
      <c r="F2738" s="7" t="s">
        <v>7619</v>
      </c>
      <c r="G2738" s="7" t="s">
        <v>7618</v>
      </c>
      <c r="H2738" s="7" t="s">
        <v>7620</v>
      </c>
      <c r="I2738" s="9">
        <v>45369</v>
      </c>
    </row>
    <row r="2739" spans="1:9" x14ac:dyDescent="0.15">
      <c r="A2739" s="6">
        <v>2738</v>
      </c>
      <c r="B2739" s="7" t="s">
        <v>7</v>
      </c>
      <c r="C2739" s="8">
        <v>1890</v>
      </c>
      <c r="D2739" s="9">
        <v>45449</v>
      </c>
      <c r="E2739" s="13">
        <f>+HYPERLINK("http://trademark.i-assist.jp/data/china/image_1890th/77362644.pdf",77362644)</f>
        <v>77362644</v>
      </c>
      <c r="F2739" s="7" t="s">
        <v>7622</v>
      </c>
      <c r="G2739" s="7" t="s">
        <v>7621</v>
      </c>
      <c r="H2739" s="7" t="s">
        <v>7623</v>
      </c>
      <c r="I2739" s="9">
        <v>45369</v>
      </c>
    </row>
    <row r="2740" spans="1:9" ht="27" x14ac:dyDescent="0.15">
      <c r="A2740" s="6">
        <v>2739</v>
      </c>
      <c r="B2740" s="7" t="s">
        <v>7</v>
      </c>
      <c r="C2740" s="8">
        <v>1890</v>
      </c>
      <c r="D2740" s="9">
        <v>45449</v>
      </c>
      <c r="E2740" s="13">
        <f>+HYPERLINK("http://trademark.i-assist.jp/data/china/image_1890th/77362709.pdf",77362709)</f>
        <v>77362709</v>
      </c>
      <c r="F2740" s="7" t="s">
        <v>183</v>
      </c>
      <c r="G2740" s="7" t="s">
        <v>7624</v>
      </c>
      <c r="H2740" s="7" t="s">
        <v>7625</v>
      </c>
      <c r="I2740" s="9">
        <v>45369</v>
      </c>
    </row>
    <row r="2741" spans="1:9" x14ac:dyDescent="0.15">
      <c r="A2741" s="6">
        <v>2740</v>
      </c>
      <c r="B2741" s="7" t="s">
        <v>7</v>
      </c>
      <c r="C2741" s="8">
        <v>1890</v>
      </c>
      <c r="D2741" s="9">
        <v>45449</v>
      </c>
      <c r="E2741" s="13">
        <f>+HYPERLINK("http://trademark.i-assist.jp/data/china/image_1890th/77362719.pdf",77362719)</f>
        <v>77362719</v>
      </c>
      <c r="F2741" s="7" t="s">
        <v>7627</v>
      </c>
      <c r="G2741" s="7" t="s">
        <v>7626</v>
      </c>
      <c r="H2741" s="7" t="s">
        <v>7628</v>
      </c>
      <c r="I2741" s="9">
        <v>45369</v>
      </c>
    </row>
    <row r="2742" spans="1:9" x14ac:dyDescent="0.15">
      <c r="A2742" s="6">
        <v>2741</v>
      </c>
      <c r="B2742" s="7" t="s">
        <v>7</v>
      </c>
      <c r="C2742" s="8">
        <v>1890</v>
      </c>
      <c r="D2742" s="9">
        <v>45449</v>
      </c>
      <c r="E2742" s="13">
        <f>+HYPERLINK("http://trademark.i-assist.jp/data/china/image_1890th/77362733.pdf",77362733)</f>
        <v>77362733</v>
      </c>
      <c r="F2742" s="7" t="s">
        <v>7630</v>
      </c>
      <c r="G2742" s="7" t="s">
        <v>7629</v>
      </c>
      <c r="H2742" s="7" t="s">
        <v>7631</v>
      </c>
      <c r="I2742" s="9">
        <v>45369</v>
      </c>
    </row>
    <row r="2743" spans="1:9" x14ac:dyDescent="0.15">
      <c r="A2743" s="6">
        <v>2742</v>
      </c>
      <c r="B2743" s="7" t="s">
        <v>7</v>
      </c>
      <c r="C2743" s="8">
        <v>1890</v>
      </c>
      <c r="D2743" s="9">
        <v>45449</v>
      </c>
      <c r="E2743" s="13">
        <f>+HYPERLINK("http://trademark.i-assist.jp/data/china/image_1890th/77362858.pdf",77362858)</f>
        <v>77362858</v>
      </c>
      <c r="F2743" s="7" t="s">
        <v>7633</v>
      </c>
      <c r="G2743" s="7" t="s">
        <v>7632</v>
      </c>
      <c r="H2743" s="7" t="s">
        <v>7634</v>
      </c>
      <c r="I2743" s="9">
        <v>45369</v>
      </c>
    </row>
    <row r="2744" spans="1:9" x14ac:dyDescent="0.15">
      <c r="A2744" s="6">
        <v>2743</v>
      </c>
      <c r="B2744" s="7" t="s">
        <v>7</v>
      </c>
      <c r="C2744" s="8">
        <v>1890</v>
      </c>
      <c r="D2744" s="9">
        <v>45449</v>
      </c>
      <c r="E2744" s="13">
        <f>+HYPERLINK("http://trademark.i-assist.jp/data/china/image_1890th/77363114.pdf",77363114)</f>
        <v>77363114</v>
      </c>
      <c r="F2744" s="7" t="s">
        <v>7636</v>
      </c>
      <c r="G2744" s="7" t="s">
        <v>7635</v>
      </c>
      <c r="H2744" s="7" t="s">
        <v>7637</v>
      </c>
      <c r="I2744" s="9">
        <v>45369</v>
      </c>
    </row>
    <row r="2745" spans="1:9" x14ac:dyDescent="0.15">
      <c r="A2745" s="6">
        <v>2744</v>
      </c>
      <c r="B2745" s="7" t="s">
        <v>7</v>
      </c>
      <c r="C2745" s="8">
        <v>1890</v>
      </c>
      <c r="D2745" s="9">
        <v>45449</v>
      </c>
      <c r="E2745" s="13">
        <f>+HYPERLINK("http://trademark.i-assist.jp/data/china/image_1890th/77363203.pdf",77363203)</f>
        <v>77363203</v>
      </c>
      <c r="F2745" s="7" t="s">
        <v>7638</v>
      </c>
      <c r="G2745" s="7" t="s">
        <v>4604</v>
      </c>
      <c r="H2745" s="7" t="s">
        <v>7639</v>
      </c>
      <c r="I2745" s="9">
        <v>45369</v>
      </c>
    </row>
    <row r="2746" spans="1:9" x14ac:dyDescent="0.15">
      <c r="A2746" s="6">
        <v>2745</v>
      </c>
      <c r="B2746" s="7" t="s">
        <v>7</v>
      </c>
      <c r="C2746" s="8">
        <v>1890</v>
      </c>
      <c r="D2746" s="9">
        <v>45449</v>
      </c>
      <c r="E2746" s="13">
        <f>+HYPERLINK("http://trademark.i-assist.jp/data/china/image_1890th/77363285.pdf",77363285)</f>
        <v>77363285</v>
      </c>
      <c r="F2746" s="7" t="s">
        <v>7641</v>
      </c>
      <c r="G2746" s="7" t="s">
        <v>7640</v>
      </c>
      <c r="H2746" s="7" t="s">
        <v>7642</v>
      </c>
      <c r="I2746" s="9">
        <v>45369</v>
      </c>
    </row>
    <row r="2747" spans="1:9" x14ac:dyDescent="0.15">
      <c r="A2747" s="6">
        <v>2746</v>
      </c>
      <c r="B2747" s="7" t="s">
        <v>7</v>
      </c>
      <c r="C2747" s="8">
        <v>1890</v>
      </c>
      <c r="D2747" s="9">
        <v>45449</v>
      </c>
      <c r="E2747" s="13">
        <f>+HYPERLINK("http://trademark.i-assist.jp/data/china/image_1890th/77363354.pdf",77363354)</f>
        <v>77363354</v>
      </c>
      <c r="F2747" s="7" t="s">
        <v>7644</v>
      </c>
      <c r="G2747" s="7" t="s">
        <v>7643</v>
      </c>
      <c r="H2747" s="7" t="s">
        <v>7645</v>
      </c>
      <c r="I2747" s="9">
        <v>45369</v>
      </c>
    </row>
    <row r="2748" spans="1:9" x14ac:dyDescent="0.15">
      <c r="A2748" s="6">
        <v>2747</v>
      </c>
      <c r="B2748" s="7" t="s">
        <v>7</v>
      </c>
      <c r="C2748" s="8">
        <v>1890</v>
      </c>
      <c r="D2748" s="9">
        <v>45449</v>
      </c>
      <c r="E2748" s="13">
        <f>+HYPERLINK("http://trademark.i-assist.jp/data/china/image_1890th/77363379.pdf",77363379)</f>
        <v>77363379</v>
      </c>
      <c r="F2748" s="7" t="s">
        <v>7646</v>
      </c>
      <c r="G2748" s="7" t="s">
        <v>7451</v>
      </c>
      <c r="H2748" s="7" t="s">
        <v>7647</v>
      </c>
      <c r="I2748" s="9">
        <v>45369</v>
      </c>
    </row>
    <row r="2749" spans="1:9" x14ac:dyDescent="0.15">
      <c r="A2749" s="6">
        <v>2748</v>
      </c>
      <c r="B2749" s="7" t="s">
        <v>7</v>
      </c>
      <c r="C2749" s="8">
        <v>1890</v>
      </c>
      <c r="D2749" s="9">
        <v>45449</v>
      </c>
      <c r="E2749" s="13">
        <f>+HYPERLINK("http://trademark.i-assist.jp/data/china/image_1890th/77363399.pdf",77363399)</f>
        <v>77363399</v>
      </c>
      <c r="F2749" s="7" t="s">
        <v>7649</v>
      </c>
      <c r="G2749" s="7" t="s">
        <v>7648</v>
      </c>
      <c r="H2749" s="7" t="s">
        <v>7650</v>
      </c>
      <c r="I2749" s="9">
        <v>45369</v>
      </c>
    </row>
    <row r="2750" spans="1:9" x14ac:dyDescent="0.15">
      <c r="A2750" s="6">
        <v>2749</v>
      </c>
      <c r="B2750" s="7" t="s">
        <v>7</v>
      </c>
      <c r="C2750" s="8">
        <v>1890</v>
      </c>
      <c r="D2750" s="9">
        <v>45449</v>
      </c>
      <c r="E2750" s="13">
        <f>+HYPERLINK("http://trademark.i-assist.jp/data/china/image_1890th/77363587.pdf",77363587)</f>
        <v>77363587</v>
      </c>
      <c r="F2750" s="7" t="s">
        <v>7652</v>
      </c>
      <c r="G2750" s="7" t="s">
        <v>7651</v>
      </c>
      <c r="H2750" s="7" t="s">
        <v>7653</v>
      </c>
      <c r="I2750" s="9">
        <v>45369</v>
      </c>
    </row>
    <row r="2751" spans="1:9" x14ac:dyDescent="0.15">
      <c r="A2751" s="6">
        <v>2750</v>
      </c>
      <c r="B2751" s="7" t="s">
        <v>7</v>
      </c>
      <c r="C2751" s="8">
        <v>1890</v>
      </c>
      <c r="D2751" s="9">
        <v>45449</v>
      </c>
      <c r="E2751" s="13">
        <f>+HYPERLINK("http://trademark.i-assist.jp/data/china/image_1890th/77363796.pdf",77363796)</f>
        <v>77363796</v>
      </c>
      <c r="F2751" s="7" t="s">
        <v>7655</v>
      </c>
      <c r="G2751" s="7" t="s">
        <v>7654</v>
      </c>
      <c r="H2751" s="7" t="s">
        <v>7656</v>
      </c>
      <c r="I2751" s="9">
        <v>45369</v>
      </c>
    </row>
    <row r="2752" spans="1:9" x14ac:dyDescent="0.15">
      <c r="A2752" s="6">
        <v>2751</v>
      </c>
      <c r="B2752" s="7" t="s">
        <v>7</v>
      </c>
      <c r="C2752" s="8">
        <v>1890</v>
      </c>
      <c r="D2752" s="9">
        <v>45449</v>
      </c>
      <c r="E2752" s="13">
        <f>+HYPERLINK("http://trademark.i-assist.jp/data/china/image_1890th/77363917.pdf",77363917)</f>
        <v>77363917</v>
      </c>
      <c r="F2752" s="7" t="s">
        <v>7657</v>
      </c>
      <c r="G2752" s="7" t="s">
        <v>7626</v>
      </c>
      <c r="H2752" s="7" t="s">
        <v>7658</v>
      </c>
      <c r="I2752" s="9">
        <v>45369</v>
      </c>
    </row>
    <row r="2753" spans="1:9" x14ac:dyDescent="0.15">
      <c r="A2753" s="6">
        <v>2752</v>
      </c>
      <c r="B2753" s="7" t="s">
        <v>7</v>
      </c>
      <c r="C2753" s="8">
        <v>1890</v>
      </c>
      <c r="D2753" s="9">
        <v>45449</v>
      </c>
      <c r="E2753" s="13">
        <f>+HYPERLINK("http://trademark.i-assist.jp/data/china/image_1890th/77363960.pdf",77363960)</f>
        <v>77363960</v>
      </c>
      <c r="F2753" s="7" t="s">
        <v>7660</v>
      </c>
      <c r="G2753" s="7" t="s">
        <v>7659</v>
      </c>
      <c r="H2753" s="7" t="s">
        <v>7661</v>
      </c>
      <c r="I2753" s="9">
        <v>45369</v>
      </c>
    </row>
    <row r="2754" spans="1:9" x14ac:dyDescent="0.15">
      <c r="A2754" s="6">
        <v>2753</v>
      </c>
      <c r="B2754" s="7" t="s">
        <v>7</v>
      </c>
      <c r="C2754" s="8">
        <v>1890</v>
      </c>
      <c r="D2754" s="9">
        <v>45449</v>
      </c>
      <c r="E2754" s="13">
        <f>+HYPERLINK("http://trademark.i-assist.jp/data/china/image_1890th/77364021.pdf",77364021)</f>
        <v>77364021</v>
      </c>
      <c r="F2754" s="7" t="s">
        <v>7663</v>
      </c>
      <c r="G2754" s="7" t="s">
        <v>7662</v>
      </c>
      <c r="H2754" s="7" t="s">
        <v>7664</v>
      </c>
      <c r="I2754" s="9">
        <v>45369</v>
      </c>
    </row>
    <row r="2755" spans="1:9" x14ac:dyDescent="0.15">
      <c r="A2755" s="6">
        <v>2754</v>
      </c>
      <c r="B2755" s="7" t="s">
        <v>7</v>
      </c>
      <c r="C2755" s="8">
        <v>1890</v>
      </c>
      <c r="D2755" s="9">
        <v>45449</v>
      </c>
      <c r="E2755" s="13">
        <f>+HYPERLINK("http://trademark.i-assist.jp/data/china/image_1890th/77364100.pdf",77364100)</f>
        <v>77364100</v>
      </c>
      <c r="F2755" s="7" t="s">
        <v>7666</v>
      </c>
      <c r="G2755" s="7" t="s">
        <v>7665</v>
      </c>
      <c r="H2755" s="7" t="s">
        <v>7667</v>
      </c>
      <c r="I2755" s="9">
        <v>45369</v>
      </c>
    </row>
    <row r="2756" spans="1:9" x14ac:dyDescent="0.15">
      <c r="A2756" s="6">
        <v>2755</v>
      </c>
      <c r="B2756" s="7" t="s">
        <v>7</v>
      </c>
      <c r="C2756" s="8">
        <v>1890</v>
      </c>
      <c r="D2756" s="9">
        <v>45449</v>
      </c>
      <c r="E2756" s="13">
        <f>+HYPERLINK("http://trademark.i-assist.jp/data/china/image_1890th/77364291.pdf",77364291)</f>
        <v>77364291</v>
      </c>
      <c r="F2756" s="7" t="s">
        <v>7669</v>
      </c>
      <c r="G2756" s="7" t="s">
        <v>7668</v>
      </c>
      <c r="H2756" s="7" t="s">
        <v>7670</v>
      </c>
      <c r="I2756" s="9">
        <v>45369</v>
      </c>
    </row>
    <row r="2757" spans="1:9" x14ac:dyDescent="0.15">
      <c r="A2757" s="6">
        <v>2756</v>
      </c>
      <c r="B2757" s="7" t="s">
        <v>7</v>
      </c>
      <c r="C2757" s="8">
        <v>1890</v>
      </c>
      <c r="D2757" s="9">
        <v>45449</v>
      </c>
      <c r="E2757" s="13">
        <f>+HYPERLINK("http://trademark.i-assist.jp/data/china/image_1890th/77364302.pdf",77364302)</f>
        <v>77364302</v>
      </c>
      <c r="F2757" s="7" t="s">
        <v>7672</v>
      </c>
      <c r="G2757" s="7" t="s">
        <v>7671</v>
      </c>
      <c r="H2757" s="7" t="s">
        <v>7673</v>
      </c>
      <c r="I2757" s="9">
        <v>45369</v>
      </c>
    </row>
    <row r="2758" spans="1:9" x14ac:dyDescent="0.15">
      <c r="A2758" s="6">
        <v>2757</v>
      </c>
      <c r="B2758" s="7" t="s">
        <v>7</v>
      </c>
      <c r="C2758" s="8">
        <v>1890</v>
      </c>
      <c r="D2758" s="9">
        <v>45449</v>
      </c>
      <c r="E2758" s="13">
        <f>+HYPERLINK("http://trademark.i-assist.jp/data/china/image_1890th/77364327.pdf",77364327)</f>
        <v>77364327</v>
      </c>
      <c r="F2758" s="7" t="s">
        <v>7675</v>
      </c>
      <c r="G2758" s="7" t="s">
        <v>7674</v>
      </c>
      <c r="H2758" s="7" t="s">
        <v>7676</v>
      </c>
      <c r="I2758" s="9">
        <v>45369</v>
      </c>
    </row>
    <row r="2759" spans="1:9" x14ac:dyDescent="0.15">
      <c r="A2759" s="6">
        <v>2758</v>
      </c>
      <c r="B2759" s="7" t="s">
        <v>7</v>
      </c>
      <c r="C2759" s="8">
        <v>1890</v>
      </c>
      <c r="D2759" s="9">
        <v>45449</v>
      </c>
      <c r="E2759" s="13">
        <f>+HYPERLINK("http://trademark.i-assist.jp/data/china/image_1890th/77364701.pdf",77364701)</f>
        <v>77364701</v>
      </c>
      <c r="F2759" s="7" t="s">
        <v>7678</v>
      </c>
      <c r="G2759" s="7" t="s">
        <v>7677</v>
      </c>
      <c r="H2759" s="7" t="s">
        <v>7679</v>
      </c>
      <c r="I2759" s="9">
        <v>45369</v>
      </c>
    </row>
    <row r="2760" spans="1:9" x14ac:dyDescent="0.15">
      <c r="A2760" s="6">
        <v>2759</v>
      </c>
      <c r="B2760" s="7" t="s">
        <v>7</v>
      </c>
      <c r="C2760" s="8">
        <v>1890</v>
      </c>
      <c r="D2760" s="9">
        <v>45449</v>
      </c>
      <c r="E2760" s="13">
        <f>+HYPERLINK("http://trademark.i-assist.jp/data/china/image_1890th/77364920.pdf",77364920)</f>
        <v>77364920</v>
      </c>
      <c r="F2760" s="7" t="s">
        <v>7680</v>
      </c>
      <c r="G2760" s="7" t="s">
        <v>7665</v>
      </c>
      <c r="H2760" s="7" t="s">
        <v>7681</v>
      </c>
      <c r="I2760" s="9">
        <v>45369</v>
      </c>
    </row>
    <row r="2761" spans="1:9" x14ac:dyDescent="0.15">
      <c r="A2761" s="6">
        <v>2760</v>
      </c>
      <c r="B2761" s="7" t="s">
        <v>7</v>
      </c>
      <c r="C2761" s="8">
        <v>1890</v>
      </c>
      <c r="D2761" s="9">
        <v>45449</v>
      </c>
      <c r="E2761" s="13">
        <f>+HYPERLINK("http://trademark.i-assist.jp/data/china/image_1890th/77365047.pdf",77365047)</f>
        <v>77365047</v>
      </c>
      <c r="F2761" s="7" t="s">
        <v>7683</v>
      </c>
      <c r="G2761" s="7" t="s">
        <v>7682</v>
      </c>
      <c r="H2761" s="7" t="s">
        <v>7684</v>
      </c>
      <c r="I2761" s="9">
        <v>45369</v>
      </c>
    </row>
    <row r="2762" spans="1:9" x14ac:dyDescent="0.15">
      <c r="A2762" s="6">
        <v>2761</v>
      </c>
      <c r="B2762" s="7" t="s">
        <v>7</v>
      </c>
      <c r="C2762" s="8">
        <v>1890</v>
      </c>
      <c r="D2762" s="9">
        <v>45449</v>
      </c>
      <c r="E2762" s="13">
        <f>+HYPERLINK("http://trademark.i-assist.jp/data/china/image_1890th/77365229.pdf",77365229)</f>
        <v>77365229</v>
      </c>
      <c r="F2762" s="7" t="s">
        <v>183</v>
      </c>
      <c r="G2762" s="7" t="s">
        <v>7685</v>
      </c>
      <c r="H2762" s="7" t="s">
        <v>7686</v>
      </c>
      <c r="I2762" s="9">
        <v>45369</v>
      </c>
    </row>
    <row r="2763" spans="1:9" x14ac:dyDescent="0.15">
      <c r="A2763" s="6">
        <v>2762</v>
      </c>
      <c r="B2763" s="7" t="s">
        <v>7</v>
      </c>
      <c r="C2763" s="8">
        <v>1890</v>
      </c>
      <c r="D2763" s="9">
        <v>45449</v>
      </c>
      <c r="E2763" s="13">
        <f>+HYPERLINK("http://trademark.i-assist.jp/data/china/image_1890th/77365369.pdf",77365369)</f>
        <v>77365369</v>
      </c>
      <c r="F2763" s="7" t="s">
        <v>7688</v>
      </c>
      <c r="G2763" s="7" t="s">
        <v>7687</v>
      </c>
      <c r="H2763" s="7" t="s">
        <v>7689</v>
      </c>
      <c r="I2763" s="9">
        <v>45369</v>
      </c>
    </row>
    <row r="2764" spans="1:9" x14ac:dyDescent="0.15">
      <c r="A2764" s="6">
        <v>2763</v>
      </c>
      <c r="B2764" s="7" t="s">
        <v>7</v>
      </c>
      <c r="C2764" s="8">
        <v>1890</v>
      </c>
      <c r="D2764" s="9">
        <v>45449</v>
      </c>
      <c r="E2764" s="13">
        <f>+HYPERLINK("http://trademark.i-assist.jp/data/china/image_1890th/77365394.pdf",77365394)</f>
        <v>77365394</v>
      </c>
      <c r="F2764" s="7" t="s">
        <v>7691</v>
      </c>
      <c r="G2764" s="7" t="s">
        <v>7690</v>
      </c>
      <c r="H2764" s="7" t="s">
        <v>7692</v>
      </c>
      <c r="I2764" s="9">
        <v>45369</v>
      </c>
    </row>
    <row r="2765" spans="1:9" x14ac:dyDescent="0.15">
      <c r="A2765" s="6">
        <v>2764</v>
      </c>
      <c r="B2765" s="7" t="s">
        <v>7</v>
      </c>
      <c r="C2765" s="8">
        <v>1890</v>
      </c>
      <c r="D2765" s="9">
        <v>45449</v>
      </c>
      <c r="E2765" s="13">
        <f>+HYPERLINK("http://trademark.i-assist.jp/data/china/image_1890th/77365402.pdf",77365402)</f>
        <v>77365402</v>
      </c>
      <c r="F2765" s="7" t="s">
        <v>7694</v>
      </c>
      <c r="G2765" s="7" t="s">
        <v>7693</v>
      </c>
      <c r="H2765" s="7" t="s">
        <v>7695</v>
      </c>
      <c r="I2765" s="9">
        <v>45369</v>
      </c>
    </row>
    <row r="2766" spans="1:9" ht="27" x14ac:dyDescent="0.15">
      <c r="A2766" s="6">
        <v>2765</v>
      </c>
      <c r="B2766" s="7" t="s">
        <v>7</v>
      </c>
      <c r="C2766" s="8">
        <v>1890</v>
      </c>
      <c r="D2766" s="9">
        <v>45449</v>
      </c>
      <c r="E2766" s="13">
        <f>+HYPERLINK("http://trademark.i-assist.jp/data/china/image_1890th/77365443.pdf",77365443)</f>
        <v>77365443</v>
      </c>
      <c r="F2766" s="7" t="s">
        <v>7696</v>
      </c>
      <c r="G2766" s="7" t="s">
        <v>4542</v>
      </c>
      <c r="H2766" s="7" t="s">
        <v>7697</v>
      </c>
      <c r="I2766" s="9">
        <v>45369</v>
      </c>
    </row>
    <row r="2767" spans="1:9" x14ac:dyDescent="0.15">
      <c r="A2767" s="6">
        <v>2766</v>
      </c>
      <c r="B2767" s="7" t="s">
        <v>7</v>
      </c>
      <c r="C2767" s="8">
        <v>1890</v>
      </c>
      <c r="D2767" s="9">
        <v>45449</v>
      </c>
      <c r="E2767" s="13">
        <f>+HYPERLINK("http://trademark.i-assist.jp/data/china/image_1890th/77365460.pdf",77365460)</f>
        <v>77365460</v>
      </c>
      <c r="F2767" s="7" t="s">
        <v>7698</v>
      </c>
      <c r="G2767" s="7" t="s">
        <v>4550</v>
      </c>
      <c r="H2767" s="7" t="s">
        <v>7699</v>
      </c>
      <c r="I2767" s="9">
        <v>45369</v>
      </c>
    </row>
    <row r="2768" spans="1:9" x14ac:dyDescent="0.15">
      <c r="A2768" s="6">
        <v>2767</v>
      </c>
      <c r="B2768" s="7" t="s">
        <v>7</v>
      </c>
      <c r="C2768" s="8">
        <v>1890</v>
      </c>
      <c r="D2768" s="9">
        <v>45449</v>
      </c>
      <c r="E2768" s="13">
        <f>+HYPERLINK("http://trademark.i-assist.jp/data/china/image_1890th/77365558.pdf",77365558)</f>
        <v>77365558</v>
      </c>
      <c r="F2768" s="7" t="s">
        <v>7701</v>
      </c>
      <c r="G2768" s="7" t="s">
        <v>7700</v>
      </c>
      <c r="H2768" s="7" t="s">
        <v>7702</v>
      </c>
      <c r="I2768" s="9">
        <v>45369</v>
      </c>
    </row>
    <row r="2769" spans="1:9" x14ac:dyDescent="0.15">
      <c r="A2769" s="6">
        <v>2768</v>
      </c>
      <c r="B2769" s="7" t="s">
        <v>7</v>
      </c>
      <c r="C2769" s="8">
        <v>1890</v>
      </c>
      <c r="D2769" s="9">
        <v>45449</v>
      </c>
      <c r="E2769" s="13">
        <f>+HYPERLINK("http://trademark.i-assist.jp/data/china/image_1890th/77365609.pdf",77365609)</f>
        <v>77365609</v>
      </c>
      <c r="F2769" s="7" t="s">
        <v>7704</v>
      </c>
      <c r="G2769" s="7" t="s">
        <v>7703</v>
      </c>
      <c r="H2769" s="7" t="s">
        <v>7705</v>
      </c>
      <c r="I2769" s="9">
        <v>45369</v>
      </c>
    </row>
    <row r="2770" spans="1:9" x14ac:dyDescent="0.15">
      <c r="A2770" s="6">
        <v>2769</v>
      </c>
      <c r="B2770" s="7" t="s">
        <v>7</v>
      </c>
      <c r="C2770" s="8">
        <v>1890</v>
      </c>
      <c r="D2770" s="9">
        <v>45449</v>
      </c>
      <c r="E2770" s="13">
        <f>+HYPERLINK("http://trademark.i-assist.jp/data/china/image_1890th/77365758.pdf",77365758)</f>
        <v>77365758</v>
      </c>
      <c r="F2770" s="7" t="s">
        <v>7707</v>
      </c>
      <c r="G2770" s="7" t="s">
        <v>7706</v>
      </c>
      <c r="H2770" s="7" t="s">
        <v>7708</v>
      </c>
      <c r="I2770" s="9">
        <v>45369</v>
      </c>
    </row>
    <row r="2771" spans="1:9" x14ac:dyDescent="0.15">
      <c r="A2771" s="6">
        <v>2770</v>
      </c>
      <c r="B2771" s="7" t="s">
        <v>7</v>
      </c>
      <c r="C2771" s="8">
        <v>1890</v>
      </c>
      <c r="D2771" s="9">
        <v>45449</v>
      </c>
      <c r="E2771" s="13">
        <f>+HYPERLINK("http://trademark.i-assist.jp/data/china/image_1890th/77365823.pdf",77365823)</f>
        <v>77365823</v>
      </c>
      <c r="F2771" s="7" t="s">
        <v>7709</v>
      </c>
      <c r="G2771" s="7" t="s">
        <v>1863</v>
      </c>
      <c r="H2771" s="7" t="s">
        <v>7710</v>
      </c>
      <c r="I2771" s="9">
        <v>45369</v>
      </c>
    </row>
    <row r="2772" spans="1:9" x14ac:dyDescent="0.15">
      <c r="A2772" s="6">
        <v>2771</v>
      </c>
      <c r="B2772" s="7" t="s">
        <v>7</v>
      </c>
      <c r="C2772" s="8">
        <v>1890</v>
      </c>
      <c r="D2772" s="9">
        <v>45449</v>
      </c>
      <c r="E2772" s="13">
        <f>+HYPERLINK("http://trademark.i-assist.jp/data/china/image_1890th/77365846.pdf",77365846)</f>
        <v>77365846</v>
      </c>
      <c r="F2772" s="7" t="s">
        <v>1885</v>
      </c>
      <c r="G2772" s="7" t="s">
        <v>1884</v>
      </c>
      <c r="H2772" s="7" t="s">
        <v>7711</v>
      </c>
      <c r="I2772" s="9">
        <v>45369</v>
      </c>
    </row>
    <row r="2773" spans="1:9" x14ac:dyDescent="0.15">
      <c r="A2773" s="6">
        <v>2772</v>
      </c>
      <c r="B2773" s="7" t="s">
        <v>7</v>
      </c>
      <c r="C2773" s="8">
        <v>1890</v>
      </c>
      <c r="D2773" s="9">
        <v>45449</v>
      </c>
      <c r="E2773" s="13">
        <f>+HYPERLINK("http://trademark.i-assist.jp/data/china/image_1890th/77365861.pdf",77365861)</f>
        <v>77365861</v>
      </c>
      <c r="F2773" s="7" t="s">
        <v>7713</v>
      </c>
      <c r="G2773" s="7" t="s">
        <v>7712</v>
      </c>
      <c r="H2773" s="7" t="s">
        <v>7714</v>
      </c>
      <c r="I2773" s="9">
        <v>45369</v>
      </c>
    </row>
    <row r="2774" spans="1:9" x14ac:dyDescent="0.15">
      <c r="A2774" s="6">
        <v>2773</v>
      </c>
      <c r="B2774" s="7" t="s">
        <v>7</v>
      </c>
      <c r="C2774" s="8">
        <v>1890</v>
      </c>
      <c r="D2774" s="9">
        <v>45449</v>
      </c>
      <c r="E2774" s="13">
        <f>+HYPERLINK("http://trademark.i-assist.jp/data/china/image_1890th/77365878.pdf",77365878)</f>
        <v>77365878</v>
      </c>
      <c r="F2774" s="7" t="s">
        <v>7716</v>
      </c>
      <c r="G2774" s="7" t="s">
        <v>7715</v>
      </c>
      <c r="H2774" s="7" t="s">
        <v>7717</v>
      </c>
      <c r="I2774" s="9">
        <v>45369</v>
      </c>
    </row>
    <row r="2775" spans="1:9" x14ac:dyDescent="0.15">
      <c r="A2775" s="6">
        <v>2774</v>
      </c>
      <c r="B2775" s="7" t="s">
        <v>7</v>
      </c>
      <c r="C2775" s="8">
        <v>1890</v>
      </c>
      <c r="D2775" s="9">
        <v>45449</v>
      </c>
      <c r="E2775" s="13">
        <f>+HYPERLINK("http://trademark.i-assist.jp/data/china/image_1890th/77365882.pdf",77365882)</f>
        <v>77365882</v>
      </c>
      <c r="F2775" s="7" t="s">
        <v>7718</v>
      </c>
      <c r="G2775" s="7" t="s">
        <v>5133</v>
      </c>
      <c r="H2775" s="7" t="s">
        <v>7719</v>
      </c>
      <c r="I2775" s="9">
        <v>45369</v>
      </c>
    </row>
    <row r="2776" spans="1:9" x14ac:dyDescent="0.15">
      <c r="A2776" s="6">
        <v>2775</v>
      </c>
      <c r="B2776" s="7" t="s">
        <v>7</v>
      </c>
      <c r="C2776" s="8">
        <v>1890</v>
      </c>
      <c r="D2776" s="9">
        <v>45449</v>
      </c>
      <c r="E2776" s="13">
        <f>+HYPERLINK("http://trademark.i-assist.jp/data/china/image_1890th/77366082.pdf",77366082)</f>
        <v>77366082</v>
      </c>
      <c r="F2776" s="7" t="s">
        <v>7721</v>
      </c>
      <c r="G2776" s="7" t="s">
        <v>7720</v>
      </c>
      <c r="H2776" s="7" t="s">
        <v>7722</v>
      </c>
      <c r="I2776" s="9">
        <v>45369</v>
      </c>
    </row>
    <row r="2777" spans="1:9" x14ac:dyDescent="0.15">
      <c r="A2777" s="6">
        <v>2776</v>
      </c>
      <c r="B2777" s="7" t="s">
        <v>7</v>
      </c>
      <c r="C2777" s="8">
        <v>1890</v>
      </c>
      <c r="D2777" s="9">
        <v>45449</v>
      </c>
      <c r="E2777" s="13">
        <f>+HYPERLINK("http://trademark.i-assist.jp/data/china/image_1890th/77366087.pdf",77366087)</f>
        <v>77366087</v>
      </c>
      <c r="F2777" s="7" t="s">
        <v>7724</v>
      </c>
      <c r="G2777" s="7" t="s">
        <v>7723</v>
      </c>
      <c r="H2777" s="7" t="s">
        <v>7725</v>
      </c>
      <c r="I2777" s="9">
        <v>45369</v>
      </c>
    </row>
    <row r="2778" spans="1:9" x14ac:dyDescent="0.15">
      <c r="A2778" s="6">
        <v>2777</v>
      </c>
      <c r="B2778" s="7" t="s">
        <v>7</v>
      </c>
      <c r="C2778" s="8">
        <v>1890</v>
      </c>
      <c r="D2778" s="9">
        <v>45449</v>
      </c>
      <c r="E2778" s="13">
        <f>+HYPERLINK("http://trademark.i-assist.jp/data/china/image_1890th/77366098.pdf",77366098)</f>
        <v>77366098</v>
      </c>
      <c r="F2778" s="7" t="s">
        <v>7727</v>
      </c>
      <c r="G2778" s="7" t="s">
        <v>7726</v>
      </c>
      <c r="H2778" s="7" t="s">
        <v>7728</v>
      </c>
      <c r="I2778" s="9">
        <v>45369</v>
      </c>
    </row>
    <row r="2779" spans="1:9" x14ac:dyDescent="0.15">
      <c r="A2779" s="6">
        <v>2778</v>
      </c>
      <c r="B2779" s="7" t="s">
        <v>7</v>
      </c>
      <c r="C2779" s="8">
        <v>1890</v>
      </c>
      <c r="D2779" s="9">
        <v>45449</v>
      </c>
      <c r="E2779" s="13">
        <f>+HYPERLINK("http://trademark.i-assist.jp/data/china/image_1890th/77366158.pdf",77366158)</f>
        <v>77366158</v>
      </c>
      <c r="F2779" s="7" t="s">
        <v>7730</v>
      </c>
      <c r="G2779" s="7" t="s">
        <v>7729</v>
      </c>
      <c r="H2779" s="7" t="s">
        <v>7731</v>
      </c>
      <c r="I2779" s="9">
        <v>45369</v>
      </c>
    </row>
    <row r="2780" spans="1:9" x14ac:dyDescent="0.15">
      <c r="A2780" s="6">
        <v>2779</v>
      </c>
      <c r="B2780" s="7" t="s">
        <v>7</v>
      </c>
      <c r="C2780" s="8">
        <v>1890</v>
      </c>
      <c r="D2780" s="9">
        <v>45449</v>
      </c>
      <c r="E2780" s="13">
        <f>+HYPERLINK("http://trademark.i-assist.jp/data/china/image_1890th/77366175.pdf",77366175)</f>
        <v>77366175</v>
      </c>
      <c r="F2780" s="7" t="s">
        <v>7733</v>
      </c>
      <c r="G2780" s="7" t="s">
        <v>7732</v>
      </c>
      <c r="H2780" s="7" t="s">
        <v>7734</v>
      </c>
      <c r="I2780" s="9">
        <v>45369</v>
      </c>
    </row>
    <row r="2781" spans="1:9" x14ac:dyDescent="0.15">
      <c r="A2781" s="6">
        <v>2780</v>
      </c>
      <c r="B2781" s="7" t="s">
        <v>7</v>
      </c>
      <c r="C2781" s="8">
        <v>1890</v>
      </c>
      <c r="D2781" s="9">
        <v>45449</v>
      </c>
      <c r="E2781" s="13">
        <f>+HYPERLINK("http://trademark.i-assist.jp/data/china/image_1890th/77366187.pdf",77366187)</f>
        <v>77366187</v>
      </c>
      <c r="F2781" s="7" t="s">
        <v>7736</v>
      </c>
      <c r="G2781" s="7" t="s">
        <v>7735</v>
      </c>
      <c r="H2781" s="7" t="s">
        <v>7737</v>
      </c>
      <c r="I2781" s="9">
        <v>45369</v>
      </c>
    </row>
    <row r="2782" spans="1:9" x14ac:dyDescent="0.15">
      <c r="A2782" s="6">
        <v>2781</v>
      </c>
      <c r="B2782" s="7" t="s">
        <v>7</v>
      </c>
      <c r="C2782" s="8">
        <v>1890</v>
      </c>
      <c r="D2782" s="9">
        <v>45449</v>
      </c>
      <c r="E2782" s="13">
        <f>+HYPERLINK("http://trademark.i-assist.jp/data/china/image_1890th/77366208.pdf",77366208)</f>
        <v>77366208</v>
      </c>
      <c r="F2782" s="7" t="s">
        <v>7739</v>
      </c>
      <c r="G2782" s="7" t="s">
        <v>7738</v>
      </c>
      <c r="H2782" s="7" t="s">
        <v>7740</v>
      </c>
      <c r="I2782" s="9">
        <v>45369</v>
      </c>
    </row>
    <row r="2783" spans="1:9" x14ac:dyDescent="0.15">
      <c r="A2783" s="6">
        <v>2782</v>
      </c>
      <c r="B2783" s="7" t="s">
        <v>7</v>
      </c>
      <c r="C2783" s="8">
        <v>1890</v>
      </c>
      <c r="D2783" s="9">
        <v>45449</v>
      </c>
      <c r="E2783" s="13">
        <f>+HYPERLINK("http://trademark.i-assist.jp/data/china/image_1890th/77366306.pdf",77366306)</f>
        <v>77366306</v>
      </c>
      <c r="F2783" s="7" t="s">
        <v>7741</v>
      </c>
      <c r="G2783" s="7" t="s">
        <v>7422</v>
      </c>
      <c r="H2783" s="7" t="s">
        <v>7742</v>
      </c>
      <c r="I2783" s="9">
        <v>45369</v>
      </c>
    </row>
    <row r="2784" spans="1:9" ht="27" x14ac:dyDescent="0.15">
      <c r="A2784" s="6">
        <v>2783</v>
      </c>
      <c r="B2784" s="7" t="s">
        <v>7</v>
      </c>
      <c r="C2784" s="8">
        <v>1890</v>
      </c>
      <c r="D2784" s="9">
        <v>45449</v>
      </c>
      <c r="E2784" s="13">
        <f>+HYPERLINK("http://trademark.i-assist.jp/data/china/image_1890th/77366406.pdf",77366406)</f>
        <v>77366406</v>
      </c>
      <c r="F2784" s="7" t="s">
        <v>7744</v>
      </c>
      <c r="G2784" s="7" t="s">
        <v>7743</v>
      </c>
      <c r="H2784" s="7" t="s">
        <v>7745</v>
      </c>
      <c r="I2784" s="9">
        <v>45369</v>
      </c>
    </row>
    <row r="2785" spans="1:9" x14ac:dyDescent="0.15">
      <c r="A2785" s="6">
        <v>2784</v>
      </c>
      <c r="B2785" s="7" t="s">
        <v>7</v>
      </c>
      <c r="C2785" s="8">
        <v>1890</v>
      </c>
      <c r="D2785" s="9">
        <v>45449</v>
      </c>
      <c r="E2785" s="13">
        <f>+HYPERLINK("http://trademark.i-assist.jp/data/china/image_1890th/77366453.pdf",77366453)</f>
        <v>77366453</v>
      </c>
      <c r="F2785" s="7" t="s">
        <v>7747</v>
      </c>
      <c r="G2785" s="7" t="s">
        <v>7746</v>
      </c>
      <c r="H2785" s="7" t="s">
        <v>7748</v>
      </c>
      <c r="I2785" s="9">
        <v>45369</v>
      </c>
    </row>
    <row r="2786" spans="1:9" x14ac:dyDescent="0.15">
      <c r="A2786" s="6">
        <v>2785</v>
      </c>
      <c r="B2786" s="7" t="s">
        <v>7</v>
      </c>
      <c r="C2786" s="8">
        <v>1890</v>
      </c>
      <c r="D2786" s="9">
        <v>45449</v>
      </c>
      <c r="E2786" s="13">
        <f>+HYPERLINK("http://trademark.i-assist.jp/data/china/image_1890th/77366553.pdf",77366553)</f>
        <v>77366553</v>
      </c>
      <c r="F2786" s="7" t="s">
        <v>7750</v>
      </c>
      <c r="G2786" s="7" t="s">
        <v>7749</v>
      </c>
      <c r="H2786" s="7" t="s">
        <v>7751</v>
      </c>
      <c r="I2786" s="9">
        <v>45369</v>
      </c>
    </row>
    <row r="2787" spans="1:9" x14ac:dyDescent="0.15">
      <c r="A2787" s="6">
        <v>2786</v>
      </c>
      <c r="B2787" s="7" t="s">
        <v>7</v>
      </c>
      <c r="C2787" s="8">
        <v>1890</v>
      </c>
      <c r="D2787" s="9">
        <v>45449</v>
      </c>
      <c r="E2787" s="13">
        <f>+HYPERLINK("http://trademark.i-assist.jp/data/china/image_1890th/77366640.pdf",77366640)</f>
        <v>77366640</v>
      </c>
      <c r="F2787" s="7" t="s">
        <v>7753</v>
      </c>
      <c r="G2787" s="7" t="s">
        <v>7752</v>
      </c>
      <c r="H2787" s="7" t="s">
        <v>7754</v>
      </c>
      <c r="I2787" s="9">
        <v>45369</v>
      </c>
    </row>
    <row r="2788" spans="1:9" x14ac:dyDescent="0.15">
      <c r="A2788" s="6">
        <v>2787</v>
      </c>
      <c r="B2788" s="7" t="s">
        <v>7</v>
      </c>
      <c r="C2788" s="8">
        <v>1890</v>
      </c>
      <c r="D2788" s="9">
        <v>45449</v>
      </c>
      <c r="E2788" s="13">
        <f>+HYPERLINK("http://trademark.i-assist.jp/data/china/image_1890th/77366669.pdf",77366669)</f>
        <v>77366669</v>
      </c>
      <c r="F2788" s="7" t="s">
        <v>7755</v>
      </c>
      <c r="G2788" s="7" t="s">
        <v>6592</v>
      </c>
      <c r="H2788" s="7" t="s">
        <v>7756</v>
      </c>
      <c r="I2788" s="9">
        <v>45369</v>
      </c>
    </row>
    <row r="2789" spans="1:9" ht="27" x14ac:dyDescent="0.15">
      <c r="A2789" s="6">
        <v>2788</v>
      </c>
      <c r="B2789" s="7" t="s">
        <v>7</v>
      </c>
      <c r="C2789" s="8">
        <v>1890</v>
      </c>
      <c r="D2789" s="9">
        <v>45449</v>
      </c>
      <c r="E2789" s="13">
        <f>+HYPERLINK("http://trademark.i-assist.jp/data/china/image_1890th/77366757.pdf",77366757)</f>
        <v>77366757</v>
      </c>
      <c r="F2789" s="7" t="s">
        <v>7758</v>
      </c>
      <c r="G2789" s="7" t="s">
        <v>7757</v>
      </c>
      <c r="H2789" s="7" t="s">
        <v>7759</v>
      </c>
      <c r="I2789" s="9">
        <v>45369</v>
      </c>
    </row>
    <row r="2790" spans="1:9" x14ac:dyDescent="0.15">
      <c r="A2790" s="6">
        <v>2789</v>
      </c>
      <c r="B2790" s="7" t="s">
        <v>7</v>
      </c>
      <c r="C2790" s="8">
        <v>1890</v>
      </c>
      <c r="D2790" s="9">
        <v>45449</v>
      </c>
      <c r="E2790" s="13">
        <f>+HYPERLINK("http://trademark.i-assist.jp/data/china/image_1890th/77367004.pdf",77367004)</f>
        <v>77367004</v>
      </c>
      <c r="F2790" s="7" t="s">
        <v>7760</v>
      </c>
      <c r="G2790" s="7" t="s">
        <v>4924</v>
      </c>
      <c r="H2790" s="7" t="s">
        <v>7761</v>
      </c>
      <c r="I2790" s="9">
        <v>45369</v>
      </c>
    </row>
    <row r="2791" spans="1:9" x14ac:dyDescent="0.15">
      <c r="A2791" s="6">
        <v>2790</v>
      </c>
      <c r="B2791" s="7" t="s">
        <v>7</v>
      </c>
      <c r="C2791" s="8">
        <v>1890</v>
      </c>
      <c r="D2791" s="9">
        <v>45449</v>
      </c>
      <c r="E2791" s="13">
        <f>+HYPERLINK("http://trademark.i-assist.jp/data/china/image_1890th/77367063.pdf",77367063)</f>
        <v>77367063</v>
      </c>
      <c r="F2791" s="7" t="s">
        <v>7763</v>
      </c>
      <c r="G2791" s="7" t="s">
        <v>7762</v>
      </c>
      <c r="H2791" s="7" t="s">
        <v>7764</v>
      </c>
      <c r="I2791" s="9">
        <v>45369</v>
      </c>
    </row>
    <row r="2792" spans="1:9" x14ac:dyDescent="0.15">
      <c r="A2792" s="6">
        <v>2791</v>
      </c>
      <c r="B2792" s="7" t="s">
        <v>7</v>
      </c>
      <c r="C2792" s="8">
        <v>1890</v>
      </c>
      <c r="D2792" s="9">
        <v>45449</v>
      </c>
      <c r="E2792" s="13">
        <f>+HYPERLINK("http://trademark.i-assist.jp/data/china/image_1890th/77367157.pdf",77367157)</f>
        <v>77367157</v>
      </c>
      <c r="F2792" s="7" t="s">
        <v>7765</v>
      </c>
      <c r="G2792" s="7" t="s">
        <v>23</v>
      </c>
      <c r="H2792" s="7" t="s">
        <v>7766</v>
      </c>
      <c r="I2792" s="9">
        <v>45369</v>
      </c>
    </row>
    <row r="2793" spans="1:9" x14ac:dyDescent="0.15">
      <c r="A2793" s="6">
        <v>2792</v>
      </c>
      <c r="B2793" s="7" t="s">
        <v>7</v>
      </c>
      <c r="C2793" s="8">
        <v>1890</v>
      </c>
      <c r="D2793" s="9">
        <v>45449</v>
      </c>
      <c r="E2793" s="13">
        <f>+HYPERLINK("http://trademark.i-assist.jp/data/china/image_1890th/77367207.pdf",77367207)</f>
        <v>77367207</v>
      </c>
      <c r="F2793" s="7" t="s">
        <v>7768</v>
      </c>
      <c r="G2793" s="7" t="s">
        <v>7767</v>
      </c>
      <c r="H2793" s="7" t="s">
        <v>7769</v>
      </c>
      <c r="I2793" s="9">
        <v>45369</v>
      </c>
    </row>
    <row r="2794" spans="1:9" x14ac:dyDescent="0.15">
      <c r="A2794" s="6">
        <v>2793</v>
      </c>
      <c r="B2794" s="7" t="s">
        <v>7</v>
      </c>
      <c r="C2794" s="8">
        <v>1890</v>
      </c>
      <c r="D2794" s="9">
        <v>45449</v>
      </c>
      <c r="E2794" s="13">
        <f>+HYPERLINK("http://trademark.i-assist.jp/data/china/image_1890th/77367311.pdf",77367311)</f>
        <v>77367311</v>
      </c>
      <c r="F2794" s="7" t="s">
        <v>7771</v>
      </c>
      <c r="G2794" s="7" t="s">
        <v>7770</v>
      </c>
      <c r="H2794" s="7" t="s">
        <v>7772</v>
      </c>
      <c r="I2794" s="9">
        <v>45369</v>
      </c>
    </row>
    <row r="2795" spans="1:9" x14ac:dyDescent="0.15">
      <c r="A2795" s="6">
        <v>2794</v>
      </c>
      <c r="B2795" s="7" t="s">
        <v>7</v>
      </c>
      <c r="C2795" s="8">
        <v>1890</v>
      </c>
      <c r="D2795" s="9">
        <v>45449</v>
      </c>
      <c r="E2795" s="13">
        <f>+HYPERLINK("http://trademark.i-assist.jp/data/china/image_1890th/77367415.pdf",77367415)</f>
        <v>77367415</v>
      </c>
      <c r="F2795" s="7" t="s">
        <v>7774</v>
      </c>
      <c r="G2795" s="7" t="s">
        <v>7773</v>
      </c>
      <c r="H2795" s="7" t="s">
        <v>7775</v>
      </c>
      <c r="I2795" s="9">
        <v>45369</v>
      </c>
    </row>
    <row r="2796" spans="1:9" x14ac:dyDescent="0.15">
      <c r="A2796" s="6">
        <v>2795</v>
      </c>
      <c r="B2796" s="7" t="s">
        <v>7</v>
      </c>
      <c r="C2796" s="8">
        <v>1890</v>
      </c>
      <c r="D2796" s="9">
        <v>45449</v>
      </c>
      <c r="E2796" s="13">
        <f>+HYPERLINK("http://trademark.i-assist.jp/data/china/image_1890th/77367893.pdf",77367893)</f>
        <v>77367893</v>
      </c>
      <c r="F2796" s="7" t="s">
        <v>7777</v>
      </c>
      <c r="G2796" s="7" t="s">
        <v>7776</v>
      </c>
      <c r="H2796" s="7" t="s">
        <v>7778</v>
      </c>
      <c r="I2796" s="9">
        <v>45369</v>
      </c>
    </row>
    <row r="2797" spans="1:9" x14ac:dyDescent="0.15">
      <c r="A2797" s="6">
        <v>2796</v>
      </c>
      <c r="B2797" s="7" t="s">
        <v>7</v>
      </c>
      <c r="C2797" s="8">
        <v>1890</v>
      </c>
      <c r="D2797" s="9">
        <v>45449</v>
      </c>
      <c r="E2797" s="13">
        <f>+HYPERLINK("http://trademark.i-assist.jp/data/china/image_1890th/77368071.pdf",77368071)</f>
        <v>77368071</v>
      </c>
      <c r="F2797" s="7" t="s">
        <v>7780</v>
      </c>
      <c r="G2797" s="7" t="s">
        <v>7779</v>
      </c>
      <c r="H2797" s="7" t="s">
        <v>7781</v>
      </c>
      <c r="I2797" s="9">
        <v>45369</v>
      </c>
    </row>
    <row r="2798" spans="1:9" x14ac:dyDescent="0.15">
      <c r="A2798" s="6">
        <v>2797</v>
      </c>
      <c r="B2798" s="7" t="s">
        <v>7</v>
      </c>
      <c r="C2798" s="8">
        <v>1890</v>
      </c>
      <c r="D2798" s="9">
        <v>45449</v>
      </c>
      <c r="E2798" s="13">
        <f>+HYPERLINK("http://trademark.i-assist.jp/data/china/image_1890th/77368147.pdf",77368147)</f>
        <v>77368147</v>
      </c>
      <c r="F2798" s="7" t="s">
        <v>7782</v>
      </c>
      <c r="G2798" s="7" t="s">
        <v>7605</v>
      </c>
      <c r="H2798" s="7" t="s">
        <v>7783</v>
      </c>
      <c r="I2798" s="9">
        <v>45369</v>
      </c>
    </row>
    <row r="2799" spans="1:9" x14ac:dyDescent="0.15">
      <c r="A2799" s="6">
        <v>2798</v>
      </c>
      <c r="B2799" s="7" t="s">
        <v>7</v>
      </c>
      <c r="C2799" s="8">
        <v>1890</v>
      </c>
      <c r="D2799" s="9">
        <v>45449</v>
      </c>
      <c r="E2799" s="13">
        <f>+HYPERLINK("http://trademark.i-assist.jp/data/china/image_1890th/77368284.pdf",77368284)</f>
        <v>77368284</v>
      </c>
      <c r="F2799" s="7" t="s">
        <v>7785</v>
      </c>
      <c r="G2799" s="7" t="s">
        <v>7784</v>
      </c>
      <c r="H2799" s="7" t="s">
        <v>7786</v>
      </c>
      <c r="I2799" s="9">
        <v>45369</v>
      </c>
    </row>
    <row r="2800" spans="1:9" ht="27" x14ac:dyDescent="0.15">
      <c r="A2800" s="6">
        <v>2799</v>
      </c>
      <c r="B2800" s="7" t="s">
        <v>7</v>
      </c>
      <c r="C2800" s="8">
        <v>1890</v>
      </c>
      <c r="D2800" s="9">
        <v>45449</v>
      </c>
      <c r="E2800" s="13">
        <f>+HYPERLINK("http://trademark.i-assist.jp/data/china/image_1890th/77368339.pdf",77368339)</f>
        <v>77368339</v>
      </c>
      <c r="F2800" s="7" t="s">
        <v>7788</v>
      </c>
      <c r="G2800" s="7" t="s">
        <v>7787</v>
      </c>
      <c r="H2800" s="7" t="s">
        <v>7789</v>
      </c>
      <c r="I2800" s="9">
        <v>45369</v>
      </c>
    </row>
    <row r="2801" spans="1:9" x14ac:dyDescent="0.15">
      <c r="A2801" s="6">
        <v>2800</v>
      </c>
      <c r="B2801" s="7" t="s">
        <v>7</v>
      </c>
      <c r="C2801" s="8">
        <v>1890</v>
      </c>
      <c r="D2801" s="9">
        <v>45449</v>
      </c>
      <c r="E2801" s="13">
        <f>+HYPERLINK("http://trademark.i-assist.jp/data/china/image_1890th/77368491.pdf",77368491)</f>
        <v>77368491</v>
      </c>
      <c r="F2801" s="7" t="s">
        <v>7791</v>
      </c>
      <c r="G2801" s="7" t="s">
        <v>7790</v>
      </c>
      <c r="H2801" s="7" t="s">
        <v>7792</v>
      </c>
      <c r="I2801" s="9">
        <v>45369</v>
      </c>
    </row>
    <row r="2802" spans="1:9" x14ac:dyDescent="0.15">
      <c r="A2802" s="6">
        <v>2801</v>
      </c>
      <c r="B2802" s="7" t="s">
        <v>7</v>
      </c>
      <c r="C2802" s="8">
        <v>1890</v>
      </c>
      <c r="D2802" s="9">
        <v>45449</v>
      </c>
      <c r="E2802" s="13">
        <f>+HYPERLINK("http://trademark.i-assist.jp/data/china/image_1890th/77368543.pdf",77368543)</f>
        <v>77368543</v>
      </c>
      <c r="F2802" s="7" t="s">
        <v>7794</v>
      </c>
      <c r="G2802" s="7" t="s">
        <v>7793</v>
      </c>
      <c r="H2802" s="7" t="s">
        <v>7795</v>
      </c>
      <c r="I2802" s="9">
        <v>45369</v>
      </c>
    </row>
    <row r="2803" spans="1:9" x14ac:dyDescent="0.15">
      <c r="A2803" s="6">
        <v>2802</v>
      </c>
      <c r="B2803" s="7" t="s">
        <v>7</v>
      </c>
      <c r="C2803" s="8">
        <v>1890</v>
      </c>
      <c r="D2803" s="9">
        <v>45449</v>
      </c>
      <c r="E2803" s="13">
        <f>+HYPERLINK("http://trademark.i-assist.jp/data/china/image_1890th/77368619.pdf",77368619)</f>
        <v>77368619</v>
      </c>
      <c r="F2803" s="7" t="s">
        <v>7796</v>
      </c>
      <c r="G2803" s="7" t="s">
        <v>7674</v>
      </c>
      <c r="H2803" s="7" t="s">
        <v>7797</v>
      </c>
      <c r="I2803" s="9">
        <v>45369</v>
      </c>
    </row>
    <row r="2804" spans="1:9" x14ac:dyDescent="0.15">
      <c r="A2804" s="6">
        <v>2803</v>
      </c>
      <c r="B2804" s="7" t="s">
        <v>7</v>
      </c>
      <c r="C2804" s="8">
        <v>1890</v>
      </c>
      <c r="D2804" s="9">
        <v>45449</v>
      </c>
      <c r="E2804" s="13">
        <f>+HYPERLINK("http://trademark.i-assist.jp/data/china/image_1890th/77368700.pdf",77368700)</f>
        <v>77368700</v>
      </c>
      <c r="F2804" s="7" t="s">
        <v>7799</v>
      </c>
      <c r="G2804" s="7" t="s">
        <v>7798</v>
      </c>
      <c r="H2804" s="7" t="s">
        <v>755</v>
      </c>
      <c r="I2804" s="9">
        <v>45369</v>
      </c>
    </row>
    <row r="2805" spans="1:9" ht="27" x14ac:dyDescent="0.15">
      <c r="A2805" s="6">
        <v>2804</v>
      </c>
      <c r="B2805" s="7" t="s">
        <v>7</v>
      </c>
      <c r="C2805" s="8">
        <v>1890</v>
      </c>
      <c r="D2805" s="9">
        <v>45449</v>
      </c>
      <c r="E2805" s="13">
        <f>+HYPERLINK("http://trademark.i-assist.jp/data/china/image_1890th/77368849.pdf",77368849)</f>
        <v>77368849</v>
      </c>
      <c r="F2805" s="7" t="s">
        <v>7801</v>
      </c>
      <c r="G2805" s="7" t="s">
        <v>7800</v>
      </c>
      <c r="H2805" s="7" t="s">
        <v>7802</v>
      </c>
      <c r="I2805" s="9">
        <v>45369</v>
      </c>
    </row>
    <row r="2806" spans="1:9" ht="27" x14ac:dyDescent="0.15">
      <c r="A2806" s="6">
        <v>2805</v>
      </c>
      <c r="B2806" s="7" t="s">
        <v>7</v>
      </c>
      <c r="C2806" s="8">
        <v>1890</v>
      </c>
      <c r="D2806" s="9">
        <v>45449</v>
      </c>
      <c r="E2806" s="13">
        <f>+HYPERLINK("http://trademark.i-assist.jp/data/china/image_1890th/77368851.pdf",77368851)</f>
        <v>77368851</v>
      </c>
      <c r="F2806" s="7" t="s">
        <v>7803</v>
      </c>
      <c r="G2806" s="7" t="s">
        <v>7428</v>
      </c>
      <c r="H2806" s="7" t="s">
        <v>7804</v>
      </c>
      <c r="I2806" s="9">
        <v>45369</v>
      </c>
    </row>
    <row r="2807" spans="1:9" x14ac:dyDescent="0.15">
      <c r="A2807" s="6">
        <v>2806</v>
      </c>
      <c r="B2807" s="7" t="s">
        <v>7</v>
      </c>
      <c r="C2807" s="8">
        <v>1890</v>
      </c>
      <c r="D2807" s="9">
        <v>45449</v>
      </c>
      <c r="E2807" s="13">
        <f>+HYPERLINK("http://trademark.i-assist.jp/data/china/image_1890th/77368873.pdf",77368873)</f>
        <v>77368873</v>
      </c>
      <c r="F2807" s="7" t="s">
        <v>7806</v>
      </c>
      <c r="G2807" s="7" t="s">
        <v>7805</v>
      </c>
      <c r="H2807" s="7" t="s">
        <v>7807</v>
      </c>
      <c r="I2807" s="9">
        <v>45369</v>
      </c>
    </row>
    <row r="2808" spans="1:9" x14ac:dyDescent="0.15">
      <c r="A2808" s="6">
        <v>2807</v>
      </c>
      <c r="B2808" s="7" t="s">
        <v>7</v>
      </c>
      <c r="C2808" s="8">
        <v>1890</v>
      </c>
      <c r="D2808" s="9">
        <v>45449</v>
      </c>
      <c r="E2808" s="13">
        <f>+HYPERLINK("http://trademark.i-assist.jp/data/china/image_1890th/77369007.pdf",77369007)</f>
        <v>77369007</v>
      </c>
      <c r="F2808" s="7" t="s">
        <v>7809</v>
      </c>
      <c r="G2808" s="7" t="s">
        <v>7808</v>
      </c>
      <c r="H2808" s="7" t="s">
        <v>7810</v>
      </c>
      <c r="I2808" s="9">
        <v>45369</v>
      </c>
    </row>
    <row r="2809" spans="1:9" x14ac:dyDescent="0.15">
      <c r="A2809" s="6">
        <v>2808</v>
      </c>
      <c r="B2809" s="7" t="s">
        <v>7</v>
      </c>
      <c r="C2809" s="8">
        <v>1890</v>
      </c>
      <c r="D2809" s="9">
        <v>45449</v>
      </c>
      <c r="E2809" s="13">
        <f>+HYPERLINK("http://trademark.i-assist.jp/data/china/image_1890th/77369177.pdf",77369177)</f>
        <v>77369177</v>
      </c>
      <c r="F2809" s="7" t="s">
        <v>7812</v>
      </c>
      <c r="G2809" s="7" t="s">
        <v>7811</v>
      </c>
      <c r="H2809" s="7" t="s">
        <v>7813</v>
      </c>
      <c r="I2809" s="9">
        <v>45369</v>
      </c>
    </row>
    <row r="2810" spans="1:9" ht="27" x14ac:dyDescent="0.15">
      <c r="A2810" s="6">
        <v>2809</v>
      </c>
      <c r="B2810" s="7" t="s">
        <v>7</v>
      </c>
      <c r="C2810" s="8">
        <v>1890</v>
      </c>
      <c r="D2810" s="9">
        <v>45449</v>
      </c>
      <c r="E2810" s="13">
        <f>+HYPERLINK("http://trademark.i-assist.jp/data/china/image_1890th/77369271.pdf",77369271)</f>
        <v>77369271</v>
      </c>
      <c r="F2810" s="7" t="s">
        <v>7815</v>
      </c>
      <c r="G2810" s="7" t="s">
        <v>7814</v>
      </c>
      <c r="H2810" s="7" t="s">
        <v>7816</v>
      </c>
      <c r="I2810" s="9">
        <v>45369</v>
      </c>
    </row>
    <row r="2811" spans="1:9" x14ac:dyDescent="0.15">
      <c r="A2811" s="6">
        <v>2810</v>
      </c>
      <c r="B2811" s="7" t="s">
        <v>7</v>
      </c>
      <c r="C2811" s="8">
        <v>1890</v>
      </c>
      <c r="D2811" s="9">
        <v>45449</v>
      </c>
      <c r="E2811" s="13">
        <f>+HYPERLINK("http://trademark.i-assist.jp/data/china/image_1890th/77369282.pdf",77369282)</f>
        <v>77369282</v>
      </c>
      <c r="F2811" s="7" t="s">
        <v>183</v>
      </c>
      <c r="G2811" s="7" t="s">
        <v>7817</v>
      </c>
      <c r="H2811" s="7" t="s">
        <v>7818</v>
      </c>
      <c r="I2811" s="9">
        <v>45369</v>
      </c>
    </row>
    <row r="2812" spans="1:9" x14ac:dyDescent="0.15">
      <c r="A2812" s="6">
        <v>2811</v>
      </c>
      <c r="B2812" s="7" t="s">
        <v>7</v>
      </c>
      <c r="C2812" s="8">
        <v>1890</v>
      </c>
      <c r="D2812" s="9">
        <v>45449</v>
      </c>
      <c r="E2812" s="13">
        <f>+HYPERLINK("http://trademark.i-assist.jp/data/china/image_1890th/77369337.pdf",77369337)</f>
        <v>77369337</v>
      </c>
      <c r="F2812" s="7" t="s">
        <v>7820</v>
      </c>
      <c r="G2812" s="7" t="s">
        <v>7819</v>
      </c>
      <c r="H2812" s="7" t="s">
        <v>7821</v>
      </c>
      <c r="I2812" s="9">
        <v>45369</v>
      </c>
    </row>
    <row r="2813" spans="1:9" x14ac:dyDescent="0.15">
      <c r="A2813" s="6">
        <v>2812</v>
      </c>
      <c r="B2813" s="7" t="s">
        <v>7</v>
      </c>
      <c r="C2813" s="8">
        <v>1890</v>
      </c>
      <c r="D2813" s="9">
        <v>45449</v>
      </c>
      <c r="E2813" s="13">
        <f>+HYPERLINK("http://trademark.i-assist.jp/data/china/image_1890th/77369536.pdf",77369536)</f>
        <v>77369536</v>
      </c>
      <c r="F2813" s="7" t="s">
        <v>7822</v>
      </c>
      <c r="G2813" s="7" t="s">
        <v>6518</v>
      </c>
      <c r="H2813" s="7" t="s">
        <v>7823</v>
      </c>
      <c r="I2813" s="9">
        <v>45369</v>
      </c>
    </row>
    <row r="2814" spans="1:9" x14ac:dyDescent="0.15">
      <c r="A2814" s="6">
        <v>2813</v>
      </c>
      <c r="B2814" s="7" t="s">
        <v>7</v>
      </c>
      <c r="C2814" s="8">
        <v>1890</v>
      </c>
      <c r="D2814" s="9">
        <v>45449</v>
      </c>
      <c r="E2814" s="13">
        <f>+HYPERLINK("http://trademark.i-assist.jp/data/china/image_1890th/77369624.pdf",77369624)</f>
        <v>77369624</v>
      </c>
      <c r="F2814" s="7" t="s">
        <v>7825</v>
      </c>
      <c r="G2814" s="7" t="s">
        <v>7824</v>
      </c>
      <c r="H2814" s="7" t="s">
        <v>7826</v>
      </c>
      <c r="I2814" s="9">
        <v>45369</v>
      </c>
    </row>
    <row r="2815" spans="1:9" x14ac:dyDescent="0.15">
      <c r="A2815" s="6">
        <v>2814</v>
      </c>
      <c r="B2815" s="7" t="s">
        <v>7</v>
      </c>
      <c r="C2815" s="8">
        <v>1890</v>
      </c>
      <c r="D2815" s="9">
        <v>45449</v>
      </c>
      <c r="E2815" s="13">
        <f>+HYPERLINK("http://trademark.i-assist.jp/data/china/image_1890th/77369641.pdf",77369641)</f>
        <v>77369641</v>
      </c>
      <c r="F2815" s="7" t="s">
        <v>7828</v>
      </c>
      <c r="G2815" s="7" t="s">
        <v>7827</v>
      </c>
      <c r="H2815" s="7" t="s">
        <v>7829</v>
      </c>
      <c r="I2815" s="9">
        <v>45369</v>
      </c>
    </row>
    <row r="2816" spans="1:9" x14ac:dyDescent="0.15">
      <c r="A2816" s="6">
        <v>2815</v>
      </c>
      <c r="B2816" s="7" t="s">
        <v>7</v>
      </c>
      <c r="C2816" s="8">
        <v>1890</v>
      </c>
      <c r="D2816" s="9">
        <v>45449</v>
      </c>
      <c r="E2816" s="13">
        <f>+HYPERLINK("http://trademark.i-assist.jp/data/china/image_1890th/77369664.pdf",77369664)</f>
        <v>77369664</v>
      </c>
      <c r="F2816" s="7" t="s">
        <v>7831</v>
      </c>
      <c r="G2816" s="7" t="s">
        <v>7830</v>
      </c>
      <c r="H2816" s="7" t="s">
        <v>7832</v>
      </c>
      <c r="I2816" s="9">
        <v>45369</v>
      </c>
    </row>
    <row r="2817" spans="1:9" x14ac:dyDescent="0.15">
      <c r="A2817" s="6">
        <v>2816</v>
      </c>
      <c r="B2817" s="7" t="s">
        <v>7</v>
      </c>
      <c r="C2817" s="8">
        <v>1890</v>
      </c>
      <c r="D2817" s="9">
        <v>45449</v>
      </c>
      <c r="E2817" s="13">
        <f>+HYPERLINK("http://trademark.i-assist.jp/data/china/image_1890th/77369835.pdf",77369835)</f>
        <v>77369835</v>
      </c>
      <c r="F2817" s="7" t="s">
        <v>7834</v>
      </c>
      <c r="G2817" s="7" t="s">
        <v>7833</v>
      </c>
      <c r="H2817" s="7" t="s">
        <v>7835</v>
      </c>
      <c r="I2817" s="9">
        <v>45369</v>
      </c>
    </row>
    <row r="2818" spans="1:9" x14ac:dyDescent="0.15">
      <c r="A2818" s="6">
        <v>2817</v>
      </c>
      <c r="B2818" s="7" t="s">
        <v>7</v>
      </c>
      <c r="C2818" s="8">
        <v>1890</v>
      </c>
      <c r="D2818" s="9">
        <v>45449</v>
      </c>
      <c r="E2818" s="13">
        <f>+HYPERLINK("http://trademark.i-assist.jp/data/china/image_1890th/77369851.pdf",77369851)</f>
        <v>77369851</v>
      </c>
      <c r="F2818" s="7" t="s">
        <v>7837</v>
      </c>
      <c r="G2818" s="7" t="s">
        <v>7836</v>
      </c>
      <c r="H2818" s="7" t="s">
        <v>7838</v>
      </c>
      <c r="I2818" s="9">
        <v>45369</v>
      </c>
    </row>
    <row r="2819" spans="1:9" x14ac:dyDescent="0.15">
      <c r="A2819" s="6">
        <v>2818</v>
      </c>
      <c r="B2819" s="7" t="s">
        <v>7</v>
      </c>
      <c r="C2819" s="8">
        <v>1890</v>
      </c>
      <c r="D2819" s="9">
        <v>45449</v>
      </c>
      <c r="E2819" s="13">
        <f>+HYPERLINK("http://trademark.i-assist.jp/data/china/image_1890th/77369862.pdf",77369862)</f>
        <v>77369862</v>
      </c>
      <c r="F2819" s="7" t="s">
        <v>7840</v>
      </c>
      <c r="G2819" s="7" t="s">
        <v>7839</v>
      </c>
      <c r="H2819" s="7" t="s">
        <v>7841</v>
      </c>
      <c r="I2819" s="9">
        <v>45369</v>
      </c>
    </row>
    <row r="2820" spans="1:9" x14ac:dyDescent="0.15">
      <c r="A2820" s="6">
        <v>2819</v>
      </c>
      <c r="B2820" s="7" t="s">
        <v>7</v>
      </c>
      <c r="C2820" s="8">
        <v>1890</v>
      </c>
      <c r="D2820" s="9">
        <v>45449</v>
      </c>
      <c r="E2820" s="13">
        <f>+HYPERLINK("http://trademark.i-assist.jp/data/china/image_1890th/77369886.pdf",77369886)</f>
        <v>77369886</v>
      </c>
      <c r="F2820" s="7" t="s">
        <v>7843</v>
      </c>
      <c r="G2820" s="7" t="s">
        <v>7842</v>
      </c>
      <c r="H2820" s="7" t="s">
        <v>7844</v>
      </c>
      <c r="I2820" s="9">
        <v>45369</v>
      </c>
    </row>
    <row r="2821" spans="1:9" x14ac:dyDescent="0.15">
      <c r="A2821" s="6">
        <v>2820</v>
      </c>
      <c r="B2821" s="7" t="s">
        <v>7</v>
      </c>
      <c r="C2821" s="8">
        <v>1890</v>
      </c>
      <c r="D2821" s="9">
        <v>45449</v>
      </c>
      <c r="E2821" s="13">
        <f>+HYPERLINK("http://trademark.i-assist.jp/data/china/image_1890th/77369967.pdf",77369967)</f>
        <v>77369967</v>
      </c>
      <c r="F2821" s="7" t="s">
        <v>7845</v>
      </c>
      <c r="G2821" s="7" t="s">
        <v>2774</v>
      </c>
      <c r="H2821" s="7" t="s">
        <v>7846</v>
      </c>
      <c r="I2821" s="9">
        <v>45369</v>
      </c>
    </row>
    <row r="2822" spans="1:9" ht="27" x14ac:dyDescent="0.15">
      <c r="A2822" s="6">
        <v>2821</v>
      </c>
      <c r="B2822" s="7" t="s">
        <v>7</v>
      </c>
      <c r="C2822" s="8">
        <v>1890</v>
      </c>
      <c r="D2822" s="9">
        <v>45449</v>
      </c>
      <c r="E2822" s="13">
        <f>+HYPERLINK("http://trademark.i-assist.jp/data/china/image_1890th/77369981.pdf",77369981)</f>
        <v>77369981</v>
      </c>
      <c r="F2822" s="7" t="s">
        <v>7847</v>
      </c>
      <c r="G2822" s="7" t="s">
        <v>7445</v>
      </c>
      <c r="H2822" s="7" t="s">
        <v>7848</v>
      </c>
      <c r="I2822" s="9">
        <v>45369</v>
      </c>
    </row>
    <row r="2823" spans="1:9" x14ac:dyDescent="0.15">
      <c r="A2823" s="6">
        <v>2822</v>
      </c>
      <c r="B2823" s="7" t="s">
        <v>7</v>
      </c>
      <c r="C2823" s="8">
        <v>1890</v>
      </c>
      <c r="D2823" s="9">
        <v>45449</v>
      </c>
      <c r="E2823" s="13">
        <f>+HYPERLINK("http://trademark.i-assist.jp/data/china/image_1890th/77370010.pdf",77370010)</f>
        <v>77370010</v>
      </c>
      <c r="F2823" s="7" t="s">
        <v>7850</v>
      </c>
      <c r="G2823" s="7" t="s">
        <v>7849</v>
      </c>
      <c r="H2823" s="7" t="s">
        <v>7851</v>
      </c>
      <c r="I2823" s="9">
        <v>45369</v>
      </c>
    </row>
    <row r="2824" spans="1:9" x14ac:dyDescent="0.15">
      <c r="A2824" s="6">
        <v>2823</v>
      </c>
      <c r="B2824" s="7" t="s">
        <v>7</v>
      </c>
      <c r="C2824" s="8">
        <v>1890</v>
      </c>
      <c r="D2824" s="9">
        <v>45449</v>
      </c>
      <c r="E2824" s="13">
        <f>+HYPERLINK("http://trademark.i-assist.jp/data/china/image_1890th/77370079.pdf",77370079)</f>
        <v>77370079</v>
      </c>
      <c r="F2824" s="7" t="s">
        <v>7852</v>
      </c>
      <c r="G2824" s="7" t="s">
        <v>6543</v>
      </c>
      <c r="H2824" s="7" t="s">
        <v>7853</v>
      </c>
      <c r="I2824" s="9">
        <v>45369</v>
      </c>
    </row>
    <row r="2825" spans="1:9" x14ac:dyDescent="0.15">
      <c r="A2825" s="6">
        <v>2824</v>
      </c>
      <c r="B2825" s="7" t="s">
        <v>7</v>
      </c>
      <c r="C2825" s="8">
        <v>1890</v>
      </c>
      <c r="D2825" s="9">
        <v>45449</v>
      </c>
      <c r="E2825" s="13">
        <f>+HYPERLINK("http://trademark.i-assist.jp/data/china/image_1890th/77370138.pdf",77370138)</f>
        <v>77370138</v>
      </c>
      <c r="F2825" s="7" t="s">
        <v>7855</v>
      </c>
      <c r="G2825" s="7" t="s">
        <v>7854</v>
      </c>
      <c r="H2825" s="7" t="s">
        <v>7856</v>
      </c>
      <c r="I2825" s="9">
        <v>45369</v>
      </c>
    </row>
    <row r="2826" spans="1:9" x14ac:dyDescent="0.15">
      <c r="A2826" s="6">
        <v>2825</v>
      </c>
      <c r="B2826" s="7" t="s">
        <v>7</v>
      </c>
      <c r="C2826" s="8">
        <v>1890</v>
      </c>
      <c r="D2826" s="9">
        <v>45449</v>
      </c>
      <c r="E2826" s="13">
        <f>+HYPERLINK("http://trademark.i-assist.jp/data/china/image_1890th/77370150.pdf",77370150)</f>
        <v>77370150</v>
      </c>
      <c r="F2826" s="7" t="s">
        <v>7857</v>
      </c>
      <c r="G2826" s="7" t="s">
        <v>268</v>
      </c>
      <c r="H2826" s="7" t="s">
        <v>7858</v>
      </c>
      <c r="I2826" s="9">
        <v>45369</v>
      </c>
    </row>
    <row r="2827" spans="1:9" ht="27" x14ac:dyDescent="0.15">
      <c r="A2827" s="6">
        <v>2826</v>
      </c>
      <c r="B2827" s="7" t="s">
        <v>7</v>
      </c>
      <c r="C2827" s="8">
        <v>1890</v>
      </c>
      <c r="D2827" s="9">
        <v>45449</v>
      </c>
      <c r="E2827" s="13">
        <f>+HYPERLINK("http://trademark.i-assist.jp/data/china/image_1890th/77371502.pdf",77371502)</f>
        <v>77371502</v>
      </c>
      <c r="F2827" s="7" t="s">
        <v>7860</v>
      </c>
      <c r="G2827" s="7" t="s">
        <v>7859</v>
      </c>
      <c r="H2827" s="7" t="s">
        <v>7861</v>
      </c>
      <c r="I2827" s="9">
        <v>45369</v>
      </c>
    </row>
    <row r="2828" spans="1:9" x14ac:dyDescent="0.15">
      <c r="A2828" s="6">
        <v>2827</v>
      </c>
      <c r="B2828" s="7" t="s">
        <v>7</v>
      </c>
      <c r="C2828" s="8">
        <v>1890</v>
      </c>
      <c r="D2828" s="9">
        <v>45449</v>
      </c>
      <c r="E2828" s="13">
        <f>+HYPERLINK("http://trademark.i-assist.jp/data/china/image_1890th/77371723.pdf",77371723)</f>
        <v>77371723</v>
      </c>
      <c r="F2828" s="7" t="s">
        <v>7862</v>
      </c>
      <c r="G2828" s="7" t="s">
        <v>4824</v>
      </c>
      <c r="H2828" s="7" t="s">
        <v>7863</v>
      </c>
      <c r="I2828" s="9">
        <v>45369</v>
      </c>
    </row>
    <row r="2829" spans="1:9" ht="27" x14ac:dyDescent="0.15">
      <c r="A2829" s="6">
        <v>2828</v>
      </c>
      <c r="B2829" s="7" t="s">
        <v>7</v>
      </c>
      <c r="C2829" s="8">
        <v>1890</v>
      </c>
      <c r="D2829" s="9">
        <v>45449</v>
      </c>
      <c r="E2829" s="13">
        <f>+HYPERLINK("http://trademark.i-assist.jp/data/china/image_1890th/77371750.pdf",77371750)</f>
        <v>77371750</v>
      </c>
      <c r="F2829" s="7" t="s">
        <v>7865</v>
      </c>
      <c r="G2829" s="7" t="s">
        <v>7864</v>
      </c>
      <c r="H2829" s="7" t="s">
        <v>7866</v>
      </c>
      <c r="I2829" s="9">
        <v>45369</v>
      </c>
    </row>
    <row r="2830" spans="1:9" x14ac:dyDescent="0.15">
      <c r="A2830" s="6">
        <v>2829</v>
      </c>
      <c r="B2830" s="7" t="s">
        <v>7</v>
      </c>
      <c r="C2830" s="8">
        <v>1890</v>
      </c>
      <c r="D2830" s="9">
        <v>45449</v>
      </c>
      <c r="E2830" s="13">
        <f>+HYPERLINK("http://trademark.i-assist.jp/data/china/image_1890th/77371760.pdf",77371760)</f>
        <v>77371760</v>
      </c>
      <c r="F2830" s="7" t="s">
        <v>7868</v>
      </c>
      <c r="G2830" s="7" t="s">
        <v>7867</v>
      </c>
      <c r="H2830" s="7" t="s">
        <v>7869</v>
      </c>
      <c r="I2830" s="9">
        <v>45369</v>
      </c>
    </row>
    <row r="2831" spans="1:9" x14ac:dyDescent="0.15">
      <c r="A2831" s="6">
        <v>2830</v>
      </c>
      <c r="B2831" s="7" t="s">
        <v>7</v>
      </c>
      <c r="C2831" s="8">
        <v>1890</v>
      </c>
      <c r="D2831" s="9">
        <v>45449</v>
      </c>
      <c r="E2831" s="13">
        <f>+HYPERLINK("http://trademark.i-assist.jp/data/china/image_1890th/77372050.pdf",77372050)</f>
        <v>77372050</v>
      </c>
      <c r="F2831" s="7" t="s">
        <v>7870</v>
      </c>
      <c r="G2831" s="7" t="s">
        <v>7489</v>
      </c>
      <c r="H2831" s="7" t="s">
        <v>7871</v>
      </c>
      <c r="I2831" s="9">
        <v>45369</v>
      </c>
    </row>
    <row r="2832" spans="1:9" x14ac:dyDescent="0.15">
      <c r="A2832" s="6">
        <v>2831</v>
      </c>
      <c r="B2832" s="7" t="s">
        <v>7</v>
      </c>
      <c r="C2832" s="8">
        <v>1890</v>
      </c>
      <c r="D2832" s="9">
        <v>45449</v>
      </c>
      <c r="E2832" s="13">
        <f>+HYPERLINK("http://trademark.i-assist.jp/data/china/image_1890th/77372124.pdf",77372124)</f>
        <v>77372124</v>
      </c>
      <c r="F2832" s="7" t="s">
        <v>7873</v>
      </c>
      <c r="G2832" s="7" t="s">
        <v>7872</v>
      </c>
      <c r="H2832" s="7" t="s">
        <v>7874</v>
      </c>
      <c r="I2832" s="9">
        <v>45369</v>
      </c>
    </row>
    <row r="2833" spans="1:9" x14ac:dyDescent="0.15">
      <c r="A2833" s="6">
        <v>2832</v>
      </c>
      <c r="B2833" s="7" t="s">
        <v>7</v>
      </c>
      <c r="C2833" s="8">
        <v>1890</v>
      </c>
      <c r="D2833" s="9">
        <v>45449</v>
      </c>
      <c r="E2833" s="13">
        <f>+HYPERLINK("http://trademark.i-assist.jp/data/china/image_1890th/77372398.pdf",77372398)</f>
        <v>77372398</v>
      </c>
      <c r="F2833" s="7" t="s">
        <v>7875</v>
      </c>
      <c r="G2833" s="7" t="s">
        <v>7618</v>
      </c>
      <c r="H2833" s="7" t="s">
        <v>7876</v>
      </c>
      <c r="I2833" s="9">
        <v>45369</v>
      </c>
    </row>
    <row r="2834" spans="1:9" x14ac:dyDescent="0.15">
      <c r="A2834" s="6">
        <v>2833</v>
      </c>
      <c r="B2834" s="7" t="s">
        <v>7</v>
      </c>
      <c r="C2834" s="8">
        <v>1890</v>
      </c>
      <c r="D2834" s="9">
        <v>45449</v>
      </c>
      <c r="E2834" s="13">
        <f>+HYPERLINK("http://trademark.i-assist.jp/data/china/image_1890th/77372474.pdf",77372474)</f>
        <v>77372474</v>
      </c>
      <c r="F2834" s="7" t="s">
        <v>7878</v>
      </c>
      <c r="G2834" s="7" t="s">
        <v>7877</v>
      </c>
      <c r="H2834" s="7" t="s">
        <v>7879</v>
      </c>
      <c r="I2834" s="9">
        <v>45369</v>
      </c>
    </row>
    <row r="2835" spans="1:9" x14ac:dyDescent="0.15">
      <c r="A2835" s="6">
        <v>2834</v>
      </c>
      <c r="B2835" s="7" t="s">
        <v>7</v>
      </c>
      <c r="C2835" s="8">
        <v>1890</v>
      </c>
      <c r="D2835" s="9">
        <v>45449</v>
      </c>
      <c r="E2835" s="13">
        <f>+HYPERLINK("http://trademark.i-assist.jp/data/china/image_1890th/77372535.pdf",77372535)</f>
        <v>77372535</v>
      </c>
      <c r="F2835" s="7" t="s">
        <v>183</v>
      </c>
      <c r="G2835" s="7" t="s">
        <v>7880</v>
      </c>
      <c r="H2835" s="7" t="s">
        <v>7881</v>
      </c>
      <c r="I2835" s="9">
        <v>45369</v>
      </c>
    </row>
    <row r="2836" spans="1:9" x14ac:dyDescent="0.15">
      <c r="A2836" s="6">
        <v>2835</v>
      </c>
      <c r="B2836" s="7" t="s">
        <v>7</v>
      </c>
      <c r="C2836" s="8">
        <v>1890</v>
      </c>
      <c r="D2836" s="9">
        <v>45449</v>
      </c>
      <c r="E2836" s="13">
        <f>+HYPERLINK("http://trademark.i-assist.jp/data/china/image_1890th/77372635.pdf",77372635)</f>
        <v>77372635</v>
      </c>
      <c r="F2836" s="7" t="s">
        <v>183</v>
      </c>
      <c r="G2836" s="7" t="s">
        <v>7882</v>
      </c>
      <c r="H2836" s="7" t="s">
        <v>7883</v>
      </c>
      <c r="I2836" s="9">
        <v>45369</v>
      </c>
    </row>
    <row r="2837" spans="1:9" ht="27" x14ac:dyDescent="0.15">
      <c r="A2837" s="6">
        <v>2836</v>
      </c>
      <c r="B2837" s="7" t="s">
        <v>7</v>
      </c>
      <c r="C2837" s="8">
        <v>1890</v>
      </c>
      <c r="D2837" s="9">
        <v>45449</v>
      </c>
      <c r="E2837" s="13">
        <f>+HYPERLINK("http://trademark.i-assist.jp/data/china/image_1890th/77372784.pdf",77372784)</f>
        <v>77372784</v>
      </c>
      <c r="F2837" s="7" t="s">
        <v>7885</v>
      </c>
      <c r="G2837" s="7" t="s">
        <v>7884</v>
      </c>
      <c r="H2837" s="7" t="s">
        <v>7886</v>
      </c>
      <c r="I2837" s="9">
        <v>45369</v>
      </c>
    </row>
    <row r="2838" spans="1:9" ht="27" x14ac:dyDescent="0.15">
      <c r="A2838" s="6">
        <v>2837</v>
      </c>
      <c r="B2838" s="7" t="s">
        <v>7</v>
      </c>
      <c r="C2838" s="8">
        <v>1890</v>
      </c>
      <c r="D2838" s="9">
        <v>45449</v>
      </c>
      <c r="E2838" s="13">
        <f>+HYPERLINK("http://trademark.i-assist.jp/data/china/image_1890th/77372849.pdf",77372849)</f>
        <v>77372849</v>
      </c>
      <c r="F2838" s="7" t="s">
        <v>7888</v>
      </c>
      <c r="G2838" s="7" t="s">
        <v>7887</v>
      </c>
      <c r="H2838" s="7" t="s">
        <v>7889</v>
      </c>
      <c r="I2838" s="9">
        <v>45369</v>
      </c>
    </row>
    <row r="2839" spans="1:9" x14ac:dyDescent="0.15">
      <c r="A2839" s="6">
        <v>2838</v>
      </c>
      <c r="B2839" s="7" t="s">
        <v>7</v>
      </c>
      <c r="C2839" s="8">
        <v>1890</v>
      </c>
      <c r="D2839" s="9">
        <v>45449</v>
      </c>
      <c r="E2839" s="13">
        <f>+HYPERLINK("http://trademark.i-assist.jp/data/china/image_1890th/77372931.pdf",77372931)</f>
        <v>77372931</v>
      </c>
      <c r="F2839" s="7" t="s">
        <v>7891</v>
      </c>
      <c r="G2839" s="7" t="s">
        <v>7890</v>
      </c>
      <c r="H2839" s="7" t="s">
        <v>7892</v>
      </c>
      <c r="I2839" s="9">
        <v>45369</v>
      </c>
    </row>
    <row r="2840" spans="1:9" x14ac:dyDescent="0.15">
      <c r="A2840" s="6">
        <v>2839</v>
      </c>
      <c r="B2840" s="7" t="s">
        <v>7</v>
      </c>
      <c r="C2840" s="8">
        <v>1890</v>
      </c>
      <c r="D2840" s="9">
        <v>45449</v>
      </c>
      <c r="E2840" s="13">
        <f>+HYPERLINK("http://trademark.i-assist.jp/data/china/image_1890th/77372981.pdf",77372981)</f>
        <v>77372981</v>
      </c>
      <c r="F2840" s="7" t="s">
        <v>7893</v>
      </c>
      <c r="G2840" s="7" t="s">
        <v>7626</v>
      </c>
      <c r="H2840" s="7" t="s">
        <v>7894</v>
      </c>
      <c r="I2840" s="9">
        <v>45369</v>
      </c>
    </row>
    <row r="2841" spans="1:9" x14ac:dyDescent="0.15">
      <c r="A2841" s="6">
        <v>2840</v>
      </c>
      <c r="B2841" s="7" t="s">
        <v>7</v>
      </c>
      <c r="C2841" s="8">
        <v>1890</v>
      </c>
      <c r="D2841" s="9">
        <v>45449</v>
      </c>
      <c r="E2841" s="13">
        <f>+HYPERLINK("http://trademark.i-assist.jp/data/china/image_1890th/77373066.pdf",77373066)</f>
        <v>77373066</v>
      </c>
      <c r="F2841" s="7" t="s">
        <v>7896</v>
      </c>
      <c r="G2841" s="7" t="s">
        <v>7895</v>
      </c>
      <c r="H2841" s="7" t="s">
        <v>7897</v>
      </c>
      <c r="I2841" s="9">
        <v>45369</v>
      </c>
    </row>
    <row r="2842" spans="1:9" x14ac:dyDescent="0.15">
      <c r="A2842" s="6">
        <v>2841</v>
      </c>
      <c r="B2842" s="7" t="s">
        <v>7</v>
      </c>
      <c r="C2842" s="8">
        <v>1890</v>
      </c>
      <c r="D2842" s="9">
        <v>45449</v>
      </c>
      <c r="E2842" s="13">
        <f>+HYPERLINK("http://trademark.i-assist.jp/data/china/image_1890th/77373148.pdf",77373148)</f>
        <v>77373148</v>
      </c>
      <c r="F2842" s="7" t="s">
        <v>7899</v>
      </c>
      <c r="G2842" s="7" t="s">
        <v>7898</v>
      </c>
      <c r="H2842" s="7" t="s">
        <v>7900</v>
      </c>
      <c r="I2842" s="9">
        <v>45369</v>
      </c>
    </row>
    <row r="2843" spans="1:9" x14ac:dyDescent="0.15">
      <c r="A2843" s="6">
        <v>2842</v>
      </c>
      <c r="B2843" s="7" t="s">
        <v>7</v>
      </c>
      <c r="C2843" s="8">
        <v>1890</v>
      </c>
      <c r="D2843" s="9">
        <v>45449</v>
      </c>
      <c r="E2843" s="13">
        <f>+HYPERLINK("http://trademark.i-assist.jp/data/china/image_1890th/77373150.pdf",77373150)</f>
        <v>77373150</v>
      </c>
      <c r="F2843" s="7" t="s">
        <v>7902</v>
      </c>
      <c r="G2843" s="7" t="s">
        <v>7901</v>
      </c>
      <c r="H2843" s="7" t="s">
        <v>7903</v>
      </c>
      <c r="I2843" s="9">
        <v>45369</v>
      </c>
    </row>
    <row r="2844" spans="1:9" x14ac:dyDescent="0.15">
      <c r="A2844" s="6">
        <v>2843</v>
      </c>
      <c r="B2844" s="7" t="s">
        <v>7</v>
      </c>
      <c r="C2844" s="8">
        <v>1890</v>
      </c>
      <c r="D2844" s="9">
        <v>45449</v>
      </c>
      <c r="E2844" s="13">
        <f>+HYPERLINK("http://trademark.i-assist.jp/data/china/image_1890th/77373180.pdf",77373180)</f>
        <v>77373180</v>
      </c>
      <c r="F2844" s="7" t="s">
        <v>7905</v>
      </c>
      <c r="G2844" s="7" t="s">
        <v>7904</v>
      </c>
      <c r="H2844" s="7" t="s">
        <v>7906</v>
      </c>
      <c r="I2844" s="9">
        <v>45369</v>
      </c>
    </row>
    <row r="2845" spans="1:9" ht="27" x14ac:dyDescent="0.15">
      <c r="A2845" s="6">
        <v>2844</v>
      </c>
      <c r="B2845" s="7" t="s">
        <v>7</v>
      </c>
      <c r="C2845" s="8">
        <v>1890</v>
      </c>
      <c r="D2845" s="9">
        <v>45449</v>
      </c>
      <c r="E2845" s="13">
        <f>+HYPERLINK("http://trademark.i-assist.jp/data/china/image_1890th/77373292.pdf",77373292)</f>
        <v>77373292</v>
      </c>
      <c r="F2845" s="7" t="s">
        <v>7908</v>
      </c>
      <c r="G2845" s="7" t="s">
        <v>7907</v>
      </c>
      <c r="H2845" s="7" t="s">
        <v>7909</v>
      </c>
      <c r="I2845" s="9">
        <v>45369</v>
      </c>
    </row>
    <row r="2846" spans="1:9" x14ac:dyDescent="0.15">
      <c r="A2846" s="6">
        <v>2845</v>
      </c>
      <c r="B2846" s="7" t="s">
        <v>7</v>
      </c>
      <c r="C2846" s="8">
        <v>1890</v>
      </c>
      <c r="D2846" s="9">
        <v>45449</v>
      </c>
      <c r="E2846" s="13">
        <f>+HYPERLINK("http://trademark.i-assist.jp/data/china/image_1890th/77373307.pdf",77373307)</f>
        <v>77373307</v>
      </c>
      <c r="F2846" s="7" t="s">
        <v>7911</v>
      </c>
      <c r="G2846" s="7" t="s">
        <v>7910</v>
      </c>
      <c r="H2846" s="7" t="s">
        <v>7912</v>
      </c>
      <c r="I2846" s="9">
        <v>45369</v>
      </c>
    </row>
    <row r="2847" spans="1:9" ht="27" x14ac:dyDescent="0.15">
      <c r="A2847" s="6">
        <v>2846</v>
      </c>
      <c r="B2847" s="7" t="s">
        <v>7</v>
      </c>
      <c r="C2847" s="8">
        <v>1890</v>
      </c>
      <c r="D2847" s="9">
        <v>45449</v>
      </c>
      <c r="E2847" s="13">
        <f>+HYPERLINK("http://trademark.i-assist.jp/data/china/image_1890th/77373370.pdf",77373370)</f>
        <v>77373370</v>
      </c>
      <c r="F2847" s="7" t="s">
        <v>7914</v>
      </c>
      <c r="G2847" s="7" t="s">
        <v>7913</v>
      </c>
      <c r="H2847" s="7" t="s">
        <v>7915</v>
      </c>
      <c r="I2847" s="9">
        <v>45369</v>
      </c>
    </row>
    <row r="2848" spans="1:9" x14ac:dyDescent="0.15">
      <c r="A2848" s="6">
        <v>2847</v>
      </c>
      <c r="B2848" s="7" t="s">
        <v>7</v>
      </c>
      <c r="C2848" s="8">
        <v>1890</v>
      </c>
      <c r="D2848" s="9">
        <v>45449</v>
      </c>
      <c r="E2848" s="13">
        <f>+HYPERLINK("http://trademark.i-assist.jp/data/china/image_1890th/77373414.pdf",77373414)</f>
        <v>77373414</v>
      </c>
      <c r="F2848" s="7" t="s">
        <v>7917</v>
      </c>
      <c r="G2848" s="7" t="s">
        <v>7916</v>
      </c>
      <c r="H2848" s="7" t="s">
        <v>7918</v>
      </c>
      <c r="I2848" s="9">
        <v>45369</v>
      </c>
    </row>
    <row r="2849" spans="1:9" ht="27" x14ac:dyDescent="0.15">
      <c r="A2849" s="6">
        <v>2848</v>
      </c>
      <c r="B2849" s="7" t="s">
        <v>7</v>
      </c>
      <c r="C2849" s="8">
        <v>1890</v>
      </c>
      <c r="D2849" s="9">
        <v>45449</v>
      </c>
      <c r="E2849" s="13">
        <f>+HYPERLINK("http://trademark.i-assist.jp/data/china/image_1890th/77373522.pdf",77373522)</f>
        <v>77373522</v>
      </c>
      <c r="F2849" s="7" t="s">
        <v>7920</v>
      </c>
      <c r="G2849" s="7" t="s">
        <v>7919</v>
      </c>
      <c r="H2849" s="7" t="s">
        <v>7921</v>
      </c>
      <c r="I2849" s="9">
        <v>45369</v>
      </c>
    </row>
    <row r="2850" spans="1:9" x14ac:dyDescent="0.15">
      <c r="A2850" s="6">
        <v>2849</v>
      </c>
      <c r="B2850" s="7" t="s">
        <v>7</v>
      </c>
      <c r="C2850" s="8">
        <v>1890</v>
      </c>
      <c r="D2850" s="9">
        <v>45449</v>
      </c>
      <c r="E2850" s="13">
        <f>+HYPERLINK("http://trademark.i-assist.jp/data/china/image_1890th/77373640.pdf",77373640)</f>
        <v>77373640</v>
      </c>
      <c r="F2850" s="7" t="s">
        <v>7923</v>
      </c>
      <c r="G2850" s="7" t="s">
        <v>7922</v>
      </c>
      <c r="H2850" s="7" t="s">
        <v>7924</v>
      </c>
      <c r="I2850" s="9">
        <v>45369</v>
      </c>
    </row>
    <row r="2851" spans="1:9" ht="27" x14ac:dyDescent="0.15">
      <c r="A2851" s="6">
        <v>2850</v>
      </c>
      <c r="B2851" s="7" t="s">
        <v>7</v>
      </c>
      <c r="C2851" s="8">
        <v>1890</v>
      </c>
      <c r="D2851" s="9">
        <v>45449</v>
      </c>
      <c r="E2851" s="13">
        <f>+HYPERLINK("http://trademark.i-assist.jp/data/china/image_1890th/77373659.pdf",77373659)</f>
        <v>77373659</v>
      </c>
      <c r="F2851" s="7" t="s">
        <v>7925</v>
      </c>
      <c r="G2851" s="7" t="s">
        <v>7428</v>
      </c>
      <c r="H2851" s="7" t="s">
        <v>7926</v>
      </c>
      <c r="I2851" s="9">
        <v>45369</v>
      </c>
    </row>
    <row r="2852" spans="1:9" x14ac:dyDescent="0.15">
      <c r="A2852" s="6">
        <v>2851</v>
      </c>
      <c r="B2852" s="7" t="s">
        <v>7</v>
      </c>
      <c r="C2852" s="8">
        <v>1890</v>
      </c>
      <c r="D2852" s="9">
        <v>45449</v>
      </c>
      <c r="E2852" s="13">
        <f>+HYPERLINK("http://trademark.i-assist.jp/data/china/image_1890th/77373804.pdf",77373804)</f>
        <v>77373804</v>
      </c>
      <c r="F2852" s="7" t="s">
        <v>7928</v>
      </c>
      <c r="G2852" s="7" t="s">
        <v>7927</v>
      </c>
      <c r="H2852" s="7" t="s">
        <v>7929</v>
      </c>
      <c r="I2852" s="9">
        <v>45369</v>
      </c>
    </row>
    <row r="2853" spans="1:9" x14ac:dyDescent="0.15">
      <c r="A2853" s="6">
        <v>2852</v>
      </c>
      <c r="B2853" s="7" t="s">
        <v>7</v>
      </c>
      <c r="C2853" s="8">
        <v>1890</v>
      </c>
      <c r="D2853" s="9">
        <v>45449</v>
      </c>
      <c r="E2853" s="13">
        <f>+HYPERLINK("http://trademark.i-assist.jp/data/china/image_1890th/77373956.pdf",77373956)</f>
        <v>77373956</v>
      </c>
      <c r="F2853" s="7" t="s">
        <v>7931</v>
      </c>
      <c r="G2853" s="7" t="s">
        <v>7930</v>
      </c>
      <c r="H2853" s="7" t="s">
        <v>7932</v>
      </c>
      <c r="I2853" s="9">
        <v>45369</v>
      </c>
    </row>
    <row r="2854" spans="1:9" x14ac:dyDescent="0.15">
      <c r="A2854" s="6">
        <v>2853</v>
      </c>
      <c r="B2854" s="7" t="s">
        <v>7</v>
      </c>
      <c r="C2854" s="8">
        <v>1890</v>
      </c>
      <c r="D2854" s="9">
        <v>45449</v>
      </c>
      <c r="E2854" s="13">
        <f>+HYPERLINK("http://trademark.i-assist.jp/data/china/image_1890th/77374003.pdf",77374003)</f>
        <v>77374003</v>
      </c>
      <c r="F2854" s="7" t="s">
        <v>7934</v>
      </c>
      <c r="G2854" s="7" t="s">
        <v>7933</v>
      </c>
      <c r="H2854" s="7" t="s">
        <v>7935</v>
      </c>
      <c r="I2854" s="9">
        <v>45369</v>
      </c>
    </row>
    <row r="2855" spans="1:9" x14ac:dyDescent="0.15">
      <c r="A2855" s="6">
        <v>2854</v>
      </c>
      <c r="B2855" s="7" t="s">
        <v>7</v>
      </c>
      <c r="C2855" s="8">
        <v>1890</v>
      </c>
      <c r="D2855" s="9">
        <v>45449</v>
      </c>
      <c r="E2855" s="13">
        <f>+HYPERLINK("http://trademark.i-assist.jp/data/china/image_1890th/77374030.pdf",77374030)</f>
        <v>77374030</v>
      </c>
      <c r="F2855" s="7" t="s">
        <v>7937</v>
      </c>
      <c r="G2855" s="7" t="s">
        <v>7936</v>
      </c>
      <c r="H2855" s="7" t="s">
        <v>7938</v>
      </c>
      <c r="I2855" s="9">
        <v>45369</v>
      </c>
    </row>
    <row r="2856" spans="1:9" x14ac:dyDescent="0.15">
      <c r="A2856" s="6">
        <v>2855</v>
      </c>
      <c r="B2856" s="7" t="s">
        <v>7</v>
      </c>
      <c r="C2856" s="8">
        <v>1890</v>
      </c>
      <c r="D2856" s="9">
        <v>45449</v>
      </c>
      <c r="E2856" s="13">
        <f>+HYPERLINK("http://trademark.i-assist.jp/data/china/image_1890th/77374115.pdf",77374115)</f>
        <v>77374115</v>
      </c>
      <c r="F2856" s="7" t="s">
        <v>7940</v>
      </c>
      <c r="G2856" s="7" t="s">
        <v>7939</v>
      </c>
      <c r="H2856" s="7" t="s">
        <v>7941</v>
      </c>
      <c r="I2856" s="9">
        <v>45369</v>
      </c>
    </row>
    <row r="2857" spans="1:9" x14ac:dyDescent="0.15">
      <c r="A2857" s="6">
        <v>2856</v>
      </c>
      <c r="B2857" s="7" t="s">
        <v>7</v>
      </c>
      <c r="C2857" s="8">
        <v>1890</v>
      </c>
      <c r="D2857" s="9">
        <v>45449</v>
      </c>
      <c r="E2857" s="13">
        <f>+HYPERLINK("http://trademark.i-assist.jp/data/china/image_1890th/77374124.pdf",77374124)</f>
        <v>77374124</v>
      </c>
      <c r="F2857" s="7" t="s">
        <v>7943</v>
      </c>
      <c r="G2857" s="7" t="s">
        <v>7942</v>
      </c>
      <c r="H2857" s="7" t="s">
        <v>7944</v>
      </c>
      <c r="I2857" s="9">
        <v>45369</v>
      </c>
    </row>
    <row r="2858" spans="1:9" x14ac:dyDescent="0.15">
      <c r="A2858" s="6">
        <v>2857</v>
      </c>
      <c r="B2858" s="7" t="s">
        <v>7</v>
      </c>
      <c r="C2858" s="8">
        <v>1890</v>
      </c>
      <c r="D2858" s="9">
        <v>45449</v>
      </c>
      <c r="E2858" s="13">
        <f>+HYPERLINK("http://trademark.i-assist.jp/data/china/image_1890th/77374187.pdf",77374187)</f>
        <v>77374187</v>
      </c>
      <c r="F2858" s="7" t="s">
        <v>7945</v>
      </c>
      <c r="G2858" s="7" t="s">
        <v>7484</v>
      </c>
      <c r="H2858" s="7" t="s">
        <v>7946</v>
      </c>
      <c r="I2858" s="9">
        <v>45369</v>
      </c>
    </row>
    <row r="2859" spans="1:9" x14ac:dyDescent="0.15">
      <c r="A2859" s="6">
        <v>2858</v>
      </c>
      <c r="B2859" s="7" t="s">
        <v>7</v>
      </c>
      <c r="C2859" s="8">
        <v>1890</v>
      </c>
      <c r="D2859" s="9">
        <v>45449</v>
      </c>
      <c r="E2859" s="13">
        <f>+HYPERLINK("http://trademark.i-assist.jp/data/china/image_1890th/77374434.pdf",77374434)</f>
        <v>77374434</v>
      </c>
      <c r="F2859" s="7" t="s">
        <v>7948</v>
      </c>
      <c r="G2859" s="7" t="s">
        <v>7947</v>
      </c>
      <c r="H2859" s="7" t="s">
        <v>7949</v>
      </c>
      <c r="I2859" s="9">
        <v>45369</v>
      </c>
    </row>
    <row r="2860" spans="1:9" x14ac:dyDescent="0.15">
      <c r="A2860" s="6">
        <v>2859</v>
      </c>
      <c r="B2860" s="7" t="s">
        <v>7</v>
      </c>
      <c r="C2860" s="8">
        <v>1890</v>
      </c>
      <c r="D2860" s="9">
        <v>45449</v>
      </c>
      <c r="E2860" s="13">
        <f>+HYPERLINK("http://trademark.i-assist.jp/data/china/image_1890th/77374451.pdf",77374451)</f>
        <v>77374451</v>
      </c>
      <c r="F2860" s="7" t="s">
        <v>7951</v>
      </c>
      <c r="G2860" s="7" t="s">
        <v>7950</v>
      </c>
      <c r="H2860" s="7" t="s">
        <v>7952</v>
      </c>
      <c r="I2860" s="9">
        <v>45369</v>
      </c>
    </row>
    <row r="2861" spans="1:9" x14ac:dyDescent="0.15">
      <c r="A2861" s="6">
        <v>2860</v>
      </c>
      <c r="B2861" s="7" t="s">
        <v>7</v>
      </c>
      <c r="C2861" s="8">
        <v>1890</v>
      </c>
      <c r="D2861" s="9">
        <v>45449</v>
      </c>
      <c r="E2861" s="13">
        <f>+HYPERLINK("http://trademark.i-assist.jp/data/china/image_1890th/77374589.pdf",77374589)</f>
        <v>77374589</v>
      </c>
      <c r="F2861" s="7" t="s">
        <v>7954</v>
      </c>
      <c r="G2861" s="7" t="s">
        <v>7953</v>
      </c>
      <c r="H2861" s="7" t="s">
        <v>7955</v>
      </c>
      <c r="I2861" s="9">
        <v>45369</v>
      </c>
    </row>
    <row r="2862" spans="1:9" x14ac:dyDescent="0.15">
      <c r="A2862" s="6">
        <v>2861</v>
      </c>
      <c r="B2862" s="7" t="s">
        <v>7</v>
      </c>
      <c r="C2862" s="8">
        <v>1890</v>
      </c>
      <c r="D2862" s="9">
        <v>45449</v>
      </c>
      <c r="E2862" s="13">
        <f>+HYPERLINK("http://trademark.i-assist.jp/data/china/image_1890th/77374709.pdf",77374709)</f>
        <v>77374709</v>
      </c>
      <c r="F2862" s="7" t="s">
        <v>7957</v>
      </c>
      <c r="G2862" s="7" t="s">
        <v>7956</v>
      </c>
      <c r="H2862" s="7" t="s">
        <v>7958</v>
      </c>
      <c r="I2862" s="9">
        <v>45369</v>
      </c>
    </row>
    <row r="2863" spans="1:9" x14ac:dyDescent="0.15">
      <c r="A2863" s="6">
        <v>2862</v>
      </c>
      <c r="B2863" s="7" t="s">
        <v>7</v>
      </c>
      <c r="C2863" s="8">
        <v>1890</v>
      </c>
      <c r="D2863" s="9">
        <v>45449</v>
      </c>
      <c r="E2863" s="13">
        <f>+HYPERLINK("http://trademark.i-assist.jp/data/china/image_1890th/77374818.pdf",77374818)</f>
        <v>77374818</v>
      </c>
      <c r="F2863" s="7" t="s">
        <v>7959</v>
      </c>
      <c r="G2863" s="7" t="s">
        <v>7749</v>
      </c>
      <c r="H2863" s="7" t="s">
        <v>7960</v>
      </c>
      <c r="I2863" s="9">
        <v>45369</v>
      </c>
    </row>
    <row r="2864" spans="1:9" x14ac:dyDescent="0.15">
      <c r="A2864" s="6">
        <v>2863</v>
      </c>
      <c r="B2864" s="7" t="s">
        <v>7</v>
      </c>
      <c r="C2864" s="8">
        <v>1890</v>
      </c>
      <c r="D2864" s="9">
        <v>45449</v>
      </c>
      <c r="E2864" s="13">
        <f>+HYPERLINK("http://trademark.i-assist.jp/data/china/image_1890th/77374840.pdf",77374840)</f>
        <v>77374840</v>
      </c>
      <c r="F2864" s="7" t="s">
        <v>7962</v>
      </c>
      <c r="G2864" s="7" t="s">
        <v>7961</v>
      </c>
      <c r="H2864" s="7" t="s">
        <v>7963</v>
      </c>
      <c r="I2864" s="9">
        <v>45369</v>
      </c>
    </row>
    <row r="2865" spans="1:9" x14ac:dyDescent="0.15">
      <c r="A2865" s="6">
        <v>2864</v>
      </c>
      <c r="B2865" s="7" t="s">
        <v>7</v>
      </c>
      <c r="C2865" s="8">
        <v>1890</v>
      </c>
      <c r="D2865" s="9">
        <v>45449</v>
      </c>
      <c r="E2865" s="13">
        <f>+HYPERLINK("http://trademark.i-assist.jp/data/china/image_1890th/77374871.pdf",77374871)</f>
        <v>77374871</v>
      </c>
      <c r="F2865" s="7" t="s">
        <v>183</v>
      </c>
      <c r="G2865" s="7" t="s">
        <v>7827</v>
      </c>
      <c r="H2865" s="7" t="s">
        <v>7964</v>
      </c>
      <c r="I2865" s="9">
        <v>45369</v>
      </c>
    </row>
    <row r="2866" spans="1:9" x14ac:dyDescent="0.15">
      <c r="A2866" s="6">
        <v>2865</v>
      </c>
      <c r="B2866" s="7" t="s">
        <v>7</v>
      </c>
      <c r="C2866" s="8">
        <v>1890</v>
      </c>
      <c r="D2866" s="9">
        <v>45449</v>
      </c>
      <c r="E2866" s="13">
        <f>+HYPERLINK("http://trademark.i-assist.jp/data/china/image_1890th/77375024.pdf",77375024)</f>
        <v>77375024</v>
      </c>
      <c r="F2866" s="7" t="s">
        <v>7965</v>
      </c>
      <c r="G2866" s="7" t="s">
        <v>4550</v>
      </c>
      <c r="H2866" s="7" t="s">
        <v>7966</v>
      </c>
      <c r="I2866" s="9">
        <v>45369</v>
      </c>
    </row>
    <row r="2867" spans="1:9" x14ac:dyDescent="0.15">
      <c r="A2867" s="6">
        <v>2866</v>
      </c>
      <c r="B2867" s="7" t="s">
        <v>7</v>
      </c>
      <c r="C2867" s="8">
        <v>1890</v>
      </c>
      <c r="D2867" s="9">
        <v>45449</v>
      </c>
      <c r="E2867" s="13">
        <f>+HYPERLINK("http://trademark.i-assist.jp/data/china/image_1890th/77376608.pdf",77376608)</f>
        <v>77376608</v>
      </c>
      <c r="F2867" s="7" t="s">
        <v>7968</v>
      </c>
      <c r="G2867" s="7" t="s">
        <v>7967</v>
      </c>
      <c r="H2867" s="7" t="s">
        <v>7969</v>
      </c>
      <c r="I2867" s="9">
        <v>45369</v>
      </c>
    </row>
    <row r="2868" spans="1:9" x14ac:dyDescent="0.15">
      <c r="A2868" s="6">
        <v>2867</v>
      </c>
      <c r="B2868" s="7" t="s">
        <v>7</v>
      </c>
      <c r="C2868" s="8">
        <v>1890</v>
      </c>
      <c r="D2868" s="9">
        <v>45449</v>
      </c>
      <c r="E2868" s="13">
        <f>+HYPERLINK("http://trademark.i-assist.jp/data/china/image_1890th/77376614.pdf",77376614)</f>
        <v>77376614</v>
      </c>
      <c r="F2868" s="7" t="s">
        <v>7971</v>
      </c>
      <c r="G2868" s="7" t="s">
        <v>7970</v>
      </c>
      <c r="H2868" s="7" t="s">
        <v>7972</v>
      </c>
      <c r="I2868" s="9">
        <v>45369</v>
      </c>
    </row>
    <row r="2869" spans="1:9" ht="27" x14ac:dyDescent="0.15">
      <c r="A2869" s="6">
        <v>2868</v>
      </c>
      <c r="B2869" s="7" t="s">
        <v>7</v>
      </c>
      <c r="C2869" s="8">
        <v>1890</v>
      </c>
      <c r="D2869" s="9">
        <v>45449</v>
      </c>
      <c r="E2869" s="13">
        <f>+HYPERLINK("http://trademark.i-assist.jp/data/china/image_1890th/77376716.pdf",77376716)</f>
        <v>77376716</v>
      </c>
      <c r="F2869" s="7" t="s">
        <v>7974</v>
      </c>
      <c r="G2869" s="7" t="s">
        <v>7973</v>
      </c>
      <c r="H2869" s="7" t="s">
        <v>7975</v>
      </c>
      <c r="I2869" s="9">
        <v>45369</v>
      </c>
    </row>
    <row r="2870" spans="1:9" x14ac:dyDescent="0.15">
      <c r="A2870" s="6">
        <v>2869</v>
      </c>
      <c r="B2870" s="7" t="s">
        <v>7</v>
      </c>
      <c r="C2870" s="8">
        <v>1890</v>
      </c>
      <c r="D2870" s="9">
        <v>45449</v>
      </c>
      <c r="E2870" s="13">
        <f>+HYPERLINK("http://trademark.i-assist.jp/data/china/image_1890th/77376960.pdf",77376960)</f>
        <v>77376960</v>
      </c>
      <c r="F2870" s="7" t="s">
        <v>7976</v>
      </c>
      <c r="G2870" s="7" t="s">
        <v>4571</v>
      </c>
      <c r="H2870" s="7" t="s">
        <v>7977</v>
      </c>
      <c r="I2870" s="9">
        <v>45369</v>
      </c>
    </row>
    <row r="2871" spans="1:9" x14ac:dyDescent="0.15">
      <c r="A2871" s="6">
        <v>2870</v>
      </c>
      <c r="B2871" s="7" t="s">
        <v>7</v>
      </c>
      <c r="C2871" s="8">
        <v>1890</v>
      </c>
      <c r="D2871" s="9">
        <v>45449</v>
      </c>
      <c r="E2871" s="13">
        <f>+HYPERLINK("http://trademark.i-assist.jp/data/china/image_1890th/77377104.pdf",77377104)</f>
        <v>77377104</v>
      </c>
      <c r="F2871" s="7" t="s">
        <v>7979</v>
      </c>
      <c r="G2871" s="7" t="s">
        <v>7978</v>
      </c>
      <c r="H2871" s="7" t="s">
        <v>7980</v>
      </c>
      <c r="I2871" s="9">
        <v>45369</v>
      </c>
    </row>
    <row r="2872" spans="1:9" x14ac:dyDescent="0.15">
      <c r="A2872" s="6">
        <v>2871</v>
      </c>
      <c r="B2872" s="7" t="s">
        <v>7</v>
      </c>
      <c r="C2872" s="8">
        <v>1890</v>
      </c>
      <c r="D2872" s="9">
        <v>45449</v>
      </c>
      <c r="E2872" s="13">
        <f>+HYPERLINK("http://trademark.i-assist.jp/data/china/image_1890th/77377122.pdf",77377122)</f>
        <v>77377122</v>
      </c>
      <c r="F2872" s="7" t="s">
        <v>7982</v>
      </c>
      <c r="G2872" s="7" t="s">
        <v>7981</v>
      </c>
      <c r="H2872" s="7" t="s">
        <v>7983</v>
      </c>
      <c r="I2872" s="9">
        <v>45369</v>
      </c>
    </row>
    <row r="2873" spans="1:9" x14ac:dyDescent="0.15">
      <c r="A2873" s="6">
        <v>2872</v>
      </c>
      <c r="B2873" s="7" t="s">
        <v>7</v>
      </c>
      <c r="C2873" s="8">
        <v>1890</v>
      </c>
      <c r="D2873" s="9">
        <v>45449</v>
      </c>
      <c r="E2873" s="13">
        <f>+HYPERLINK("http://trademark.i-assist.jp/data/china/image_1890th/77377268.pdf",77377268)</f>
        <v>77377268</v>
      </c>
      <c r="F2873" s="7" t="s">
        <v>7985</v>
      </c>
      <c r="G2873" s="7" t="s">
        <v>7984</v>
      </c>
      <c r="H2873" s="7" t="s">
        <v>7986</v>
      </c>
      <c r="I2873" s="9">
        <v>45369</v>
      </c>
    </row>
    <row r="2874" spans="1:9" x14ac:dyDescent="0.15">
      <c r="A2874" s="6">
        <v>2873</v>
      </c>
      <c r="B2874" s="7" t="s">
        <v>7</v>
      </c>
      <c r="C2874" s="8">
        <v>1890</v>
      </c>
      <c r="D2874" s="9">
        <v>45449</v>
      </c>
      <c r="E2874" s="13">
        <f>+HYPERLINK("http://trademark.i-assist.jp/data/china/image_1890th/77377347.pdf",77377347)</f>
        <v>77377347</v>
      </c>
      <c r="F2874" s="7" t="s">
        <v>7988</v>
      </c>
      <c r="G2874" s="7" t="s">
        <v>7987</v>
      </c>
      <c r="H2874" s="7" t="s">
        <v>7989</v>
      </c>
      <c r="I2874" s="9">
        <v>45369</v>
      </c>
    </row>
    <row r="2875" spans="1:9" x14ac:dyDescent="0.15">
      <c r="A2875" s="6">
        <v>2874</v>
      </c>
      <c r="B2875" s="7" t="s">
        <v>7</v>
      </c>
      <c r="C2875" s="8">
        <v>1890</v>
      </c>
      <c r="D2875" s="9">
        <v>45449</v>
      </c>
      <c r="E2875" s="13">
        <f>+HYPERLINK("http://trademark.i-assist.jp/data/china/image_1890th/77377412.pdf",77377412)</f>
        <v>77377412</v>
      </c>
      <c r="F2875" s="7" t="s">
        <v>7991</v>
      </c>
      <c r="G2875" s="7" t="s">
        <v>7990</v>
      </c>
      <c r="H2875" s="7" t="s">
        <v>7992</v>
      </c>
      <c r="I2875" s="9">
        <v>45369</v>
      </c>
    </row>
    <row r="2876" spans="1:9" x14ac:dyDescent="0.15">
      <c r="A2876" s="6">
        <v>2875</v>
      </c>
      <c r="B2876" s="7" t="s">
        <v>7</v>
      </c>
      <c r="C2876" s="8">
        <v>1890</v>
      </c>
      <c r="D2876" s="9">
        <v>45449</v>
      </c>
      <c r="E2876" s="13">
        <f>+HYPERLINK("http://trademark.i-assist.jp/data/china/image_1890th/77377414.pdf",77377414)</f>
        <v>77377414</v>
      </c>
      <c r="F2876" s="7" t="s">
        <v>7993</v>
      </c>
      <c r="G2876" s="7" t="s">
        <v>7790</v>
      </c>
      <c r="H2876" s="7" t="s">
        <v>7994</v>
      </c>
      <c r="I2876" s="9">
        <v>45369</v>
      </c>
    </row>
    <row r="2877" spans="1:9" x14ac:dyDescent="0.15">
      <c r="A2877" s="6">
        <v>2876</v>
      </c>
      <c r="B2877" s="7" t="s">
        <v>7</v>
      </c>
      <c r="C2877" s="8">
        <v>1890</v>
      </c>
      <c r="D2877" s="9">
        <v>45449</v>
      </c>
      <c r="E2877" s="13">
        <f>+HYPERLINK("http://trademark.i-assist.jp/data/china/image_1890th/77377457.pdf",77377457)</f>
        <v>77377457</v>
      </c>
      <c r="F2877" s="7" t="s">
        <v>7996</v>
      </c>
      <c r="G2877" s="7" t="s">
        <v>7995</v>
      </c>
      <c r="H2877" s="7" t="s">
        <v>7997</v>
      </c>
      <c r="I2877" s="9">
        <v>45369</v>
      </c>
    </row>
    <row r="2878" spans="1:9" x14ac:dyDescent="0.15">
      <c r="A2878" s="6">
        <v>2877</v>
      </c>
      <c r="B2878" s="7" t="s">
        <v>7</v>
      </c>
      <c r="C2878" s="8">
        <v>1890</v>
      </c>
      <c r="D2878" s="9">
        <v>45449</v>
      </c>
      <c r="E2878" s="13">
        <f>+HYPERLINK("http://trademark.i-assist.jp/data/china/image_1890th/77377707.pdf",77377707)</f>
        <v>77377707</v>
      </c>
      <c r="F2878" s="7" t="s">
        <v>7999</v>
      </c>
      <c r="G2878" s="7" t="s">
        <v>7998</v>
      </c>
      <c r="H2878" s="7" t="s">
        <v>8000</v>
      </c>
      <c r="I2878" s="9">
        <v>45369</v>
      </c>
    </row>
    <row r="2879" spans="1:9" x14ac:dyDescent="0.15">
      <c r="A2879" s="6">
        <v>2878</v>
      </c>
      <c r="B2879" s="7" t="s">
        <v>7</v>
      </c>
      <c r="C2879" s="8">
        <v>1890</v>
      </c>
      <c r="D2879" s="9">
        <v>45449</v>
      </c>
      <c r="E2879" s="13">
        <f>+HYPERLINK("http://trademark.i-assist.jp/data/china/image_1890th/77377708.pdf",77377708)</f>
        <v>77377708</v>
      </c>
      <c r="F2879" s="7" t="s">
        <v>8002</v>
      </c>
      <c r="G2879" s="7" t="s">
        <v>8001</v>
      </c>
      <c r="H2879" s="7" t="s">
        <v>8003</v>
      </c>
      <c r="I2879" s="9">
        <v>45369</v>
      </c>
    </row>
    <row r="2880" spans="1:9" ht="27" x14ac:dyDescent="0.15">
      <c r="A2880" s="6">
        <v>2879</v>
      </c>
      <c r="B2880" s="7" t="s">
        <v>7</v>
      </c>
      <c r="C2880" s="8">
        <v>1890</v>
      </c>
      <c r="D2880" s="9">
        <v>45449</v>
      </c>
      <c r="E2880" s="13">
        <f>+HYPERLINK("http://trademark.i-assist.jp/data/china/image_1890th/77377784.pdf",77377784)</f>
        <v>77377784</v>
      </c>
      <c r="F2880" s="7" t="s">
        <v>8005</v>
      </c>
      <c r="G2880" s="7" t="s">
        <v>8004</v>
      </c>
      <c r="H2880" s="7" t="s">
        <v>8006</v>
      </c>
      <c r="I2880" s="9">
        <v>45369</v>
      </c>
    </row>
    <row r="2881" spans="1:9" x14ac:dyDescent="0.15">
      <c r="A2881" s="6">
        <v>2880</v>
      </c>
      <c r="B2881" s="7" t="s">
        <v>7</v>
      </c>
      <c r="C2881" s="8">
        <v>1890</v>
      </c>
      <c r="D2881" s="9">
        <v>45449</v>
      </c>
      <c r="E2881" s="13">
        <f>+HYPERLINK("http://trademark.i-assist.jp/data/china/image_1890th/77377932.pdf",77377932)</f>
        <v>77377932</v>
      </c>
      <c r="F2881" s="7" t="s">
        <v>8007</v>
      </c>
      <c r="G2881" s="7" t="s">
        <v>7819</v>
      </c>
      <c r="H2881" s="7" t="s">
        <v>8008</v>
      </c>
      <c r="I2881" s="9">
        <v>45369</v>
      </c>
    </row>
    <row r="2882" spans="1:9" x14ac:dyDescent="0.15">
      <c r="A2882" s="6">
        <v>2881</v>
      </c>
      <c r="B2882" s="7" t="s">
        <v>7</v>
      </c>
      <c r="C2882" s="8">
        <v>1890</v>
      </c>
      <c r="D2882" s="9">
        <v>45449</v>
      </c>
      <c r="E2882" s="13">
        <f>+HYPERLINK("http://trademark.i-assist.jp/data/china/image_1890th/77377989.pdf",77377989)</f>
        <v>77377989</v>
      </c>
      <c r="F2882" s="7" t="s">
        <v>8010</v>
      </c>
      <c r="G2882" s="7" t="s">
        <v>8009</v>
      </c>
      <c r="H2882" s="7" t="s">
        <v>8011</v>
      </c>
      <c r="I2882" s="9">
        <v>45369</v>
      </c>
    </row>
    <row r="2883" spans="1:9" x14ac:dyDescent="0.15">
      <c r="A2883" s="6">
        <v>2882</v>
      </c>
      <c r="B2883" s="7" t="s">
        <v>7</v>
      </c>
      <c r="C2883" s="8">
        <v>1890</v>
      </c>
      <c r="D2883" s="9">
        <v>45449</v>
      </c>
      <c r="E2883" s="13">
        <f>+HYPERLINK("http://trademark.i-assist.jp/data/china/image_1890th/77378187.pdf",77378187)</f>
        <v>77378187</v>
      </c>
      <c r="F2883" s="7" t="s">
        <v>8012</v>
      </c>
      <c r="G2883" s="7" t="s">
        <v>2618</v>
      </c>
      <c r="H2883" s="7" t="s">
        <v>8013</v>
      </c>
      <c r="I2883" s="9">
        <v>45369</v>
      </c>
    </row>
    <row r="2884" spans="1:9" x14ac:dyDescent="0.15">
      <c r="A2884" s="6">
        <v>2883</v>
      </c>
      <c r="B2884" s="7" t="s">
        <v>7</v>
      </c>
      <c r="C2884" s="8">
        <v>1890</v>
      </c>
      <c r="D2884" s="9">
        <v>45449</v>
      </c>
      <c r="E2884" s="13">
        <f>+HYPERLINK("http://trademark.i-assist.jp/data/china/image_1890th/77378242.pdf",77378242)</f>
        <v>77378242</v>
      </c>
      <c r="F2884" s="7" t="s">
        <v>8014</v>
      </c>
      <c r="G2884" s="7" t="s">
        <v>1899</v>
      </c>
      <c r="H2884" s="7" t="s">
        <v>8015</v>
      </c>
      <c r="I2884" s="9">
        <v>45369</v>
      </c>
    </row>
    <row r="2885" spans="1:9" x14ac:dyDescent="0.15">
      <c r="A2885" s="6">
        <v>2884</v>
      </c>
      <c r="B2885" s="7" t="s">
        <v>7</v>
      </c>
      <c r="C2885" s="8">
        <v>1890</v>
      </c>
      <c r="D2885" s="9">
        <v>45449</v>
      </c>
      <c r="E2885" s="13">
        <f>+HYPERLINK("http://trademark.i-assist.jp/data/china/image_1890th/77378257.pdf",77378257)</f>
        <v>77378257</v>
      </c>
      <c r="F2885" s="7" t="s">
        <v>8017</v>
      </c>
      <c r="G2885" s="7" t="s">
        <v>8016</v>
      </c>
      <c r="H2885" s="7" t="s">
        <v>8018</v>
      </c>
      <c r="I2885" s="9">
        <v>45369</v>
      </c>
    </row>
    <row r="2886" spans="1:9" x14ac:dyDescent="0.15">
      <c r="A2886" s="6">
        <v>2885</v>
      </c>
      <c r="B2886" s="7" t="s">
        <v>7</v>
      </c>
      <c r="C2886" s="8">
        <v>1890</v>
      </c>
      <c r="D2886" s="9">
        <v>45449</v>
      </c>
      <c r="E2886" s="13">
        <f>+HYPERLINK("http://trademark.i-assist.jp/data/china/image_1890th/77378360.pdf",77378360)</f>
        <v>77378360</v>
      </c>
      <c r="F2886" s="7" t="s">
        <v>8019</v>
      </c>
      <c r="G2886" s="7" t="s">
        <v>5711</v>
      </c>
      <c r="H2886" s="7" t="s">
        <v>8020</v>
      </c>
      <c r="I2886" s="9">
        <v>45369</v>
      </c>
    </row>
    <row r="2887" spans="1:9" x14ac:dyDescent="0.15">
      <c r="A2887" s="6">
        <v>2886</v>
      </c>
      <c r="B2887" s="7" t="s">
        <v>7</v>
      </c>
      <c r="C2887" s="8">
        <v>1890</v>
      </c>
      <c r="D2887" s="9">
        <v>45449</v>
      </c>
      <c r="E2887" s="13">
        <f>+HYPERLINK("http://trademark.i-assist.jp/data/china/image_1890th/77378436.pdf",77378436)</f>
        <v>77378436</v>
      </c>
      <c r="F2887" s="7" t="s">
        <v>8022</v>
      </c>
      <c r="G2887" s="7" t="s">
        <v>8021</v>
      </c>
      <c r="H2887" s="7" t="s">
        <v>8023</v>
      </c>
      <c r="I2887" s="9">
        <v>45369</v>
      </c>
    </row>
    <row r="2888" spans="1:9" ht="27" x14ac:dyDescent="0.15">
      <c r="A2888" s="6">
        <v>2887</v>
      </c>
      <c r="B2888" s="7" t="s">
        <v>7</v>
      </c>
      <c r="C2888" s="8">
        <v>1890</v>
      </c>
      <c r="D2888" s="9">
        <v>45449</v>
      </c>
      <c r="E2888" s="13">
        <f>+HYPERLINK("http://trademark.i-assist.jp/data/china/image_1890th/77378660.pdf",77378660)</f>
        <v>77378660</v>
      </c>
      <c r="F2888" s="7" t="s">
        <v>8025</v>
      </c>
      <c r="G2888" s="7" t="s">
        <v>8024</v>
      </c>
      <c r="H2888" s="7" t="s">
        <v>8026</v>
      </c>
      <c r="I2888" s="9">
        <v>45369</v>
      </c>
    </row>
    <row r="2889" spans="1:9" x14ac:dyDescent="0.15">
      <c r="A2889" s="6">
        <v>2888</v>
      </c>
      <c r="B2889" s="7" t="s">
        <v>7</v>
      </c>
      <c r="C2889" s="8">
        <v>1890</v>
      </c>
      <c r="D2889" s="9">
        <v>45449</v>
      </c>
      <c r="E2889" s="13">
        <f>+HYPERLINK("http://trademark.i-assist.jp/data/china/image_1890th/77378694.pdf",77378694)</f>
        <v>77378694</v>
      </c>
      <c r="F2889" s="7" t="s">
        <v>8028</v>
      </c>
      <c r="G2889" s="7" t="s">
        <v>8027</v>
      </c>
      <c r="H2889" s="7" t="s">
        <v>8029</v>
      </c>
      <c r="I2889" s="9">
        <v>45369</v>
      </c>
    </row>
    <row r="2890" spans="1:9" ht="27" x14ac:dyDescent="0.15">
      <c r="A2890" s="6">
        <v>2889</v>
      </c>
      <c r="B2890" s="7" t="s">
        <v>7</v>
      </c>
      <c r="C2890" s="8">
        <v>1890</v>
      </c>
      <c r="D2890" s="9">
        <v>45449</v>
      </c>
      <c r="E2890" s="13">
        <f>+HYPERLINK("http://trademark.i-assist.jp/data/china/image_1890th/77378788.pdf",77378788)</f>
        <v>77378788</v>
      </c>
      <c r="F2890" s="7" t="s">
        <v>8030</v>
      </c>
      <c r="G2890" s="7" t="s">
        <v>6964</v>
      </c>
      <c r="H2890" s="7" t="s">
        <v>8031</v>
      </c>
      <c r="I2890" s="9">
        <v>45369</v>
      </c>
    </row>
    <row r="2891" spans="1:9" x14ac:dyDescent="0.15">
      <c r="A2891" s="6">
        <v>2890</v>
      </c>
      <c r="B2891" s="7" t="s">
        <v>7</v>
      </c>
      <c r="C2891" s="8">
        <v>1890</v>
      </c>
      <c r="D2891" s="9">
        <v>45449</v>
      </c>
      <c r="E2891" s="13">
        <f>+HYPERLINK("http://trademark.i-assist.jp/data/china/image_1890th/77378874.pdf",77378874)</f>
        <v>77378874</v>
      </c>
      <c r="F2891" s="7" t="s">
        <v>8033</v>
      </c>
      <c r="G2891" s="7" t="s">
        <v>8032</v>
      </c>
      <c r="H2891" s="7" t="s">
        <v>8034</v>
      </c>
      <c r="I2891" s="9">
        <v>45369</v>
      </c>
    </row>
    <row r="2892" spans="1:9" x14ac:dyDescent="0.15">
      <c r="A2892" s="6">
        <v>2891</v>
      </c>
      <c r="B2892" s="7" t="s">
        <v>7</v>
      </c>
      <c r="C2892" s="8">
        <v>1890</v>
      </c>
      <c r="D2892" s="9">
        <v>45449</v>
      </c>
      <c r="E2892" s="13">
        <f>+HYPERLINK("http://trademark.i-assist.jp/data/china/image_1890th/77378880.pdf",77378880)</f>
        <v>77378880</v>
      </c>
      <c r="F2892" s="7" t="s">
        <v>8035</v>
      </c>
      <c r="G2892" s="7" t="s">
        <v>4089</v>
      </c>
      <c r="H2892" s="7" t="s">
        <v>8036</v>
      </c>
      <c r="I2892" s="9">
        <v>45369</v>
      </c>
    </row>
    <row r="2893" spans="1:9" x14ac:dyDescent="0.15">
      <c r="A2893" s="6">
        <v>2892</v>
      </c>
      <c r="B2893" s="7" t="s">
        <v>7</v>
      </c>
      <c r="C2893" s="8">
        <v>1890</v>
      </c>
      <c r="D2893" s="9">
        <v>45449</v>
      </c>
      <c r="E2893" s="13">
        <f>+HYPERLINK("http://trademark.i-assist.jp/data/china/image_1890th/77378888.pdf",77378888)</f>
        <v>77378888</v>
      </c>
      <c r="F2893" s="7" t="s">
        <v>8037</v>
      </c>
      <c r="G2893" s="7" t="s">
        <v>4089</v>
      </c>
      <c r="H2893" s="7" t="s">
        <v>8038</v>
      </c>
      <c r="I2893" s="9">
        <v>45369</v>
      </c>
    </row>
    <row r="2894" spans="1:9" x14ac:dyDescent="0.15">
      <c r="A2894" s="6">
        <v>2893</v>
      </c>
      <c r="B2894" s="7" t="s">
        <v>7</v>
      </c>
      <c r="C2894" s="8">
        <v>1890</v>
      </c>
      <c r="D2894" s="9">
        <v>45449</v>
      </c>
      <c r="E2894" s="13">
        <f>+HYPERLINK("http://trademark.i-assist.jp/data/china/image_1890th/77379187.pdf",77379187)</f>
        <v>77379187</v>
      </c>
      <c r="F2894" s="7" t="s">
        <v>8040</v>
      </c>
      <c r="G2894" s="7" t="s">
        <v>8039</v>
      </c>
      <c r="H2894" s="7" t="s">
        <v>8041</v>
      </c>
      <c r="I2894" s="9">
        <v>45369</v>
      </c>
    </row>
    <row r="2895" spans="1:9" x14ac:dyDescent="0.15">
      <c r="A2895" s="6">
        <v>2894</v>
      </c>
      <c r="B2895" s="7" t="s">
        <v>7</v>
      </c>
      <c r="C2895" s="8">
        <v>1890</v>
      </c>
      <c r="D2895" s="9">
        <v>45449</v>
      </c>
      <c r="E2895" s="13">
        <f>+HYPERLINK("http://trademark.i-assist.jp/data/china/image_1890th/77379201.pdf",77379201)</f>
        <v>77379201</v>
      </c>
      <c r="F2895" s="7" t="s">
        <v>183</v>
      </c>
      <c r="G2895" s="7" t="s">
        <v>8042</v>
      </c>
      <c r="H2895" s="7" t="s">
        <v>8043</v>
      </c>
      <c r="I2895" s="9">
        <v>45369</v>
      </c>
    </row>
    <row r="2896" spans="1:9" x14ac:dyDescent="0.15">
      <c r="A2896" s="6">
        <v>2895</v>
      </c>
      <c r="B2896" s="7" t="s">
        <v>7</v>
      </c>
      <c r="C2896" s="8">
        <v>1890</v>
      </c>
      <c r="D2896" s="9">
        <v>45449</v>
      </c>
      <c r="E2896" s="13">
        <f>+HYPERLINK("http://trademark.i-assist.jp/data/china/image_1890th/77379225.pdf",77379225)</f>
        <v>77379225</v>
      </c>
      <c r="F2896" s="7" t="s">
        <v>8044</v>
      </c>
      <c r="G2896" s="7" t="s">
        <v>4550</v>
      </c>
      <c r="H2896" s="7" t="s">
        <v>8045</v>
      </c>
      <c r="I2896" s="9">
        <v>45369</v>
      </c>
    </row>
    <row r="2897" spans="1:9" x14ac:dyDescent="0.15">
      <c r="A2897" s="6">
        <v>2896</v>
      </c>
      <c r="B2897" s="7" t="s">
        <v>7</v>
      </c>
      <c r="C2897" s="8">
        <v>1890</v>
      </c>
      <c r="D2897" s="9">
        <v>45449</v>
      </c>
      <c r="E2897" s="13">
        <f>+HYPERLINK("http://trademark.i-assist.jp/data/china/image_1890th/77379279.pdf",77379279)</f>
        <v>77379279</v>
      </c>
      <c r="F2897" s="7" t="s">
        <v>8046</v>
      </c>
      <c r="G2897" s="7" t="s">
        <v>1863</v>
      </c>
      <c r="H2897" s="7" t="s">
        <v>8047</v>
      </c>
      <c r="I2897" s="9">
        <v>45369</v>
      </c>
    </row>
    <row r="2898" spans="1:9" x14ac:dyDescent="0.15">
      <c r="A2898" s="6">
        <v>2897</v>
      </c>
      <c r="B2898" s="7" t="s">
        <v>7</v>
      </c>
      <c r="C2898" s="8">
        <v>1890</v>
      </c>
      <c r="D2898" s="9">
        <v>45449</v>
      </c>
      <c r="E2898" s="13">
        <f>+HYPERLINK("http://trademark.i-assist.jp/data/china/image_1890th/77379290.pdf",77379290)</f>
        <v>77379290</v>
      </c>
      <c r="F2898" s="7" t="s">
        <v>8049</v>
      </c>
      <c r="G2898" s="7" t="s">
        <v>8048</v>
      </c>
      <c r="H2898" s="7" t="s">
        <v>8050</v>
      </c>
      <c r="I2898" s="9">
        <v>45369</v>
      </c>
    </row>
    <row r="2899" spans="1:9" x14ac:dyDescent="0.15">
      <c r="A2899" s="6">
        <v>2898</v>
      </c>
      <c r="B2899" s="7" t="s">
        <v>7</v>
      </c>
      <c r="C2899" s="8">
        <v>1890</v>
      </c>
      <c r="D2899" s="9">
        <v>45449</v>
      </c>
      <c r="E2899" s="13">
        <f>+HYPERLINK("http://trademark.i-assist.jp/data/china/image_1890th/77379481.pdf",77379481)</f>
        <v>77379481</v>
      </c>
      <c r="F2899" s="7" t="s">
        <v>8052</v>
      </c>
      <c r="G2899" s="7" t="s">
        <v>8051</v>
      </c>
      <c r="H2899" s="7" t="s">
        <v>8053</v>
      </c>
      <c r="I2899" s="9">
        <v>45369</v>
      </c>
    </row>
    <row r="2900" spans="1:9" x14ac:dyDescent="0.15">
      <c r="A2900" s="6">
        <v>2899</v>
      </c>
      <c r="B2900" s="7" t="s">
        <v>7</v>
      </c>
      <c r="C2900" s="8">
        <v>1890</v>
      </c>
      <c r="D2900" s="9">
        <v>45449</v>
      </c>
      <c r="E2900" s="13">
        <f>+HYPERLINK("http://trademark.i-assist.jp/data/china/image_1890th/77379519.pdf",77379519)</f>
        <v>77379519</v>
      </c>
      <c r="F2900" s="7" t="s">
        <v>8055</v>
      </c>
      <c r="G2900" s="7" t="s">
        <v>8054</v>
      </c>
      <c r="H2900" s="7" t="s">
        <v>8056</v>
      </c>
      <c r="I2900" s="9">
        <v>45369</v>
      </c>
    </row>
    <row r="2901" spans="1:9" x14ac:dyDescent="0.15">
      <c r="A2901" s="6">
        <v>2900</v>
      </c>
      <c r="B2901" s="7" t="s">
        <v>7</v>
      </c>
      <c r="C2901" s="8">
        <v>1890</v>
      </c>
      <c r="D2901" s="9">
        <v>45449</v>
      </c>
      <c r="E2901" s="13">
        <f>+HYPERLINK("http://trademark.i-assist.jp/data/china/image_1890th/77379524.pdf",77379524)</f>
        <v>77379524</v>
      </c>
      <c r="F2901" s="7" t="s">
        <v>8058</v>
      </c>
      <c r="G2901" s="7" t="s">
        <v>8057</v>
      </c>
      <c r="H2901" s="7" t="s">
        <v>8059</v>
      </c>
      <c r="I2901" s="9">
        <v>45369</v>
      </c>
    </row>
    <row r="2902" spans="1:9" x14ac:dyDescent="0.15">
      <c r="A2902" s="6">
        <v>2901</v>
      </c>
      <c r="B2902" s="7" t="s">
        <v>7</v>
      </c>
      <c r="C2902" s="8">
        <v>1890</v>
      </c>
      <c r="D2902" s="9">
        <v>45449</v>
      </c>
      <c r="E2902" s="13">
        <f>+HYPERLINK("http://trademark.i-assist.jp/data/china/image_1890th/77379537.pdf",77379537)</f>
        <v>77379537</v>
      </c>
      <c r="F2902" s="7" t="s">
        <v>8060</v>
      </c>
      <c r="G2902" s="7" t="s">
        <v>7749</v>
      </c>
      <c r="H2902" s="7" t="s">
        <v>8061</v>
      </c>
      <c r="I2902" s="9">
        <v>45369</v>
      </c>
    </row>
    <row r="2903" spans="1:9" x14ac:dyDescent="0.15">
      <c r="A2903" s="6">
        <v>2902</v>
      </c>
      <c r="B2903" s="7" t="s">
        <v>7</v>
      </c>
      <c r="C2903" s="8">
        <v>1890</v>
      </c>
      <c r="D2903" s="9">
        <v>45449</v>
      </c>
      <c r="E2903" s="13">
        <f>+HYPERLINK("http://trademark.i-assist.jp/data/china/image_1890th/77379566.pdf",77379566)</f>
        <v>77379566</v>
      </c>
      <c r="F2903" s="7" t="s">
        <v>8062</v>
      </c>
      <c r="G2903" s="7" t="s">
        <v>4565</v>
      </c>
      <c r="H2903" s="7" t="s">
        <v>8063</v>
      </c>
      <c r="I2903" s="9">
        <v>45369</v>
      </c>
    </row>
    <row r="2904" spans="1:9" x14ac:dyDescent="0.15">
      <c r="A2904" s="6">
        <v>2903</v>
      </c>
      <c r="B2904" s="7" t="s">
        <v>7</v>
      </c>
      <c r="C2904" s="8">
        <v>1890</v>
      </c>
      <c r="D2904" s="9">
        <v>45449</v>
      </c>
      <c r="E2904" s="13">
        <f>+HYPERLINK("http://trademark.i-assist.jp/data/china/image_1890th/77379611.pdf",77379611)</f>
        <v>77379611</v>
      </c>
      <c r="F2904" s="7" t="s">
        <v>8065</v>
      </c>
      <c r="G2904" s="7" t="s">
        <v>8064</v>
      </c>
      <c r="H2904" s="7" t="s">
        <v>8066</v>
      </c>
      <c r="I2904" s="9">
        <v>45369</v>
      </c>
    </row>
    <row r="2905" spans="1:9" x14ac:dyDescent="0.15">
      <c r="A2905" s="6">
        <v>2904</v>
      </c>
      <c r="B2905" s="7" t="s">
        <v>7</v>
      </c>
      <c r="C2905" s="8">
        <v>1890</v>
      </c>
      <c r="D2905" s="9">
        <v>45449</v>
      </c>
      <c r="E2905" s="13">
        <f>+HYPERLINK("http://trademark.i-assist.jp/data/china/image_1890th/77379625.pdf",77379625)</f>
        <v>77379625</v>
      </c>
      <c r="F2905" s="7" t="s">
        <v>8068</v>
      </c>
      <c r="G2905" s="7" t="s">
        <v>8067</v>
      </c>
      <c r="H2905" s="7" t="s">
        <v>8069</v>
      </c>
      <c r="I2905" s="9">
        <v>45369</v>
      </c>
    </row>
    <row r="2906" spans="1:9" x14ac:dyDescent="0.15">
      <c r="A2906" s="6">
        <v>2905</v>
      </c>
      <c r="B2906" s="7" t="s">
        <v>7</v>
      </c>
      <c r="C2906" s="8">
        <v>1890</v>
      </c>
      <c r="D2906" s="9">
        <v>45449</v>
      </c>
      <c r="E2906" s="13">
        <f>+HYPERLINK("http://trademark.i-assist.jp/data/china/image_1890th/77379906.pdf",77379906)</f>
        <v>77379906</v>
      </c>
      <c r="F2906" s="7" t="s">
        <v>8071</v>
      </c>
      <c r="G2906" s="7" t="s">
        <v>8070</v>
      </c>
      <c r="H2906" s="7" t="s">
        <v>8072</v>
      </c>
      <c r="I2906" s="9">
        <v>45369</v>
      </c>
    </row>
    <row r="2907" spans="1:9" x14ac:dyDescent="0.15">
      <c r="A2907" s="6">
        <v>2906</v>
      </c>
      <c r="B2907" s="7" t="s">
        <v>7</v>
      </c>
      <c r="C2907" s="8">
        <v>1890</v>
      </c>
      <c r="D2907" s="9">
        <v>45449</v>
      </c>
      <c r="E2907" s="13">
        <f>+HYPERLINK("http://trademark.i-assist.jp/data/china/image_1890th/77380005.pdf",77380005)</f>
        <v>77380005</v>
      </c>
      <c r="F2907" s="7" t="s">
        <v>8074</v>
      </c>
      <c r="G2907" s="7" t="s">
        <v>8073</v>
      </c>
      <c r="H2907" s="7" t="s">
        <v>8075</v>
      </c>
      <c r="I2907" s="9">
        <v>45369</v>
      </c>
    </row>
    <row r="2908" spans="1:9" x14ac:dyDescent="0.15">
      <c r="A2908" s="6">
        <v>2907</v>
      </c>
      <c r="B2908" s="7" t="s">
        <v>7</v>
      </c>
      <c r="C2908" s="8">
        <v>1890</v>
      </c>
      <c r="D2908" s="9">
        <v>45449</v>
      </c>
      <c r="E2908" s="13">
        <f>+HYPERLINK("http://trademark.i-assist.jp/data/china/image_1890th/77380056.pdf",77380056)</f>
        <v>77380056</v>
      </c>
      <c r="F2908" s="7" t="s">
        <v>8077</v>
      </c>
      <c r="G2908" s="7" t="s">
        <v>8076</v>
      </c>
      <c r="H2908" s="7" t="s">
        <v>8078</v>
      </c>
      <c r="I2908" s="9">
        <v>45369</v>
      </c>
    </row>
    <row r="2909" spans="1:9" x14ac:dyDescent="0.15">
      <c r="A2909" s="6">
        <v>2908</v>
      </c>
      <c r="B2909" s="7" t="s">
        <v>7</v>
      </c>
      <c r="C2909" s="8">
        <v>1890</v>
      </c>
      <c r="D2909" s="9">
        <v>45449</v>
      </c>
      <c r="E2909" s="13">
        <f>+HYPERLINK("http://trademark.i-assist.jp/data/china/image_1890th/77380086.pdf",77380086)</f>
        <v>77380086</v>
      </c>
      <c r="F2909" s="7" t="s">
        <v>8079</v>
      </c>
      <c r="G2909" s="7" t="s">
        <v>7524</v>
      </c>
      <c r="H2909" s="7" t="s">
        <v>8080</v>
      </c>
      <c r="I2909" s="9">
        <v>45369</v>
      </c>
    </row>
    <row r="2910" spans="1:9" x14ac:dyDescent="0.15">
      <c r="A2910" s="6">
        <v>2909</v>
      </c>
      <c r="B2910" s="7" t="s">
        <v>7</v>
      </c>
      <c r="C2910" s="8">
        <v>1890</v>
      </c>
      <c r="D2910" s="9">
        <v>45449</v>
      </c>
      <c r="E2910" s="13">
        <f>+HYPERLINK("http://trademark.i-assist.jp/data/china/image_1890th/77380096.pdf",77380096)</f>
        <v>77380096</v>
      </c>
      <c r="F2910" s="7" t="s">
        <v>8082</v>
      </c>
      <c r="G2910" s="7" t="s">
        <v>8081</v>
      </c>
      <c r="H2910" s="7" t="s">
        <v>8083</v>
      </c>
      <c r="I2910" s="9">
        <v>45369</v>
      </c>
    </row>
    <row r="2911" spans="1:9" x14ac:dyDescent="0.15">
      <c r="A2911" s="6">
        <v>2910</v>
      </c>
      <c r="B2911" s="7" t="s">
        <v>7</v>
      </c>
      <c r="C2911" s="8">
        <v>1890</v>
      </c>
      <c r="D2911" s="9">
        <v>45449</v>
      </c>
      <c r="E2911" s="13">
        <f>+HYPERLINK("http://trademark.i-assist.jp/data/china/image_1890th/77380163.pdf",77380163)</f>
        <v>77380163</v>
      </c>
      <c r="F2911" s="7" t="s">
        <v>8085</v>
      </c>
      <c r="G2911" s="7" t="s">
        <v>8084</v>
      </c>
      <c r="H2911" s="7" t="s">
        <v>8086</v>
      </c>
      <c r="I2911" s="9">
        <v>45369</v>
      </c>
    </row>
    <row r="2912" spans="1:9" ht="27" x14ac:dyDescent="0.15">
      <c r="A2912" s="6">
        <v>2911</v>
      </c>
      <c r="B2912" s="7" t="s">
        <v>7</v>
      </c>
      <c r="C2912" s="8">
        <v>1890</v>
      </c>
      <c r="D2912" s="9">
        <v>45449</v>
      </c>
      <c r="E2912" s="13">
        <f>+HYPERLINK("http://trademark.i-assist.jp/data/china/image_1890th/77380214.pdf",77380214)</f>
        <v>77380214</v>
      </c>
      <c r="F2912" s="7" t="s">
        <v>8087</v>
      </c>
      <c r="G2912" s="7" t="s">
        <v>7973</v>
      </c>
      <c r="H2912" s="7" t="s">
        <v>8088</v>
      </c>
      <c r="I2912" s="9">
        <v>45369</v>
      </c>
    </row>
    <row r="2913" spans="1:9" x14ac:dyDescent="0.15">
      <c r="A2913" s="6">
        <v>2912</v>
      </c>
      <c r="B2913" s="7" t="s">
        <v>7</v>
      </c>
      <c r="C2913" s="8">
        <v>1890</v>
      </c>
      <c r="D2913" s="9">
        <v>45449</v>
      </c>
      <c r="E2913" s="13">
        <f>+HYPERLINK("http://trademark.i-assist.jp/data/china/image_1890th/77380245.pdf",77380245)</f>
        <v>77380245</v>
      </c>
      <c r="F2913" s="7" t="s">
        <v>8089</v>
      </c>
      <c r="G2913" s="7" t="s">
        <v>7481</v>
      </c>
      <c r="H2913" s="7" t="s">
        <v>8090</v>
      </c>
      <c r="I2913" s="9">
        <v>45369</v>
      </c>
    </row>
    <row r="2914" spans="1:9" x14ac:dyDescent="0.15">
      <c r="A2914" s="6">
        <v>2913</v>
      </c>
      <c r="B2914" s="7" t="s">
        <v>7</v>
      </c>
      <c r="C2914" s="8">
        <v>1890</v>
      </c>
      <c r="D2914" s="9">
        <v>45449</v>
      </c>
      <c r="E2914" s="13">
        <f>+HYPERLINK("http://trademark.i-assist.jp/data/china/image_1890th/77380402.pdf",77380402)</f>
        <v>77380402</v>
      </c>
      <c r="F2914" s="7" t="s">
        <v>8092</v>
      </c>
      <c r="G2914" s="7" t="s">
        <v>8091</v>
      </c>
      <c r="H2914" s="7" t="s">
        <v>8093</v>
      </c>
      <c r="I2914" s="9">
        <v>45369</v>
      </c>
    </row>
    <row r="2915" spans="1:9" x14ac:dyDescent="0.15">
      <c r="A2915" s="6">
        <v>2914</v>
      </c>
      <c r="B2915" s="7" t="s">
        <v>7</v>
      </c>
      <c r="C2915" s="8">
        <v>1890</v>
      </c>
      <c r="D2915" s="9">
        <v>45449</v>
      </c>
      <c r="E2915" s="13">
        <f>+HYPERLINK("http://trademark.i-assist.jp/data/china/image_1890th/77380406.pdf",77380406)</f>
        <v>77380406</v>
      </c>
      <c r="F2915" s="7" t="s">
        <v>8094</v>
      </c>
      <c r="G2915" s="7" t="s">
        <v>6436</v>
      </c>
      <c r="H2915" s="7" t="s">
        <v>8095</v>
      </c>
      <c r="I2915" s="9">
        <v>45369</v>
      </c>
    </row>
    <row r="2916" spans="1:9" ht="27" x14ac:dyDescent="0.15">
      <c r="A2916" s="6">
        <v>2915</v>
      </c>
      <c r="B2916" s="7" t="s">
        <v>7</v>
      </c>
      <c r="C2916" s="8">
        <v>1890</v>
      </c>
      <c r="D2916" s="9">
        <v>45449</v>
      </c>
      <c r="E2916" s="13">
        <f>+HYPERLINK("http://trademark.i-assist.jp/data/china/image_1890th/77380477.pdf",77380477)</f>
        <v>77380477</v>
      </c>
      <c r="F2916" s="7" t="s">
        <v>183</v>
      </c>
      <c r="G2916" s="7" t="s">
        <v>8096</v>
      </c>
      <c r="H2916" s="7" t="s">
        <v>8097</v>
      </c>
      <c r="I2916" s="9">
        <v>45369</v>
      </c>
    </row>
    <row r="2917" spans="1:9" x14ac:dyDescent="0.15">
      <c r="A2917" s="6">
        <v>2916</v>
      </c>
      <c r="B2917" s="7" t="s">
        <v>7</v>
      </c>
      <c r="C2917" s="8">
        <v>1890</v>
      </c>
      <c r="D2917" s="9">
        <v>45449</v>
      </c>
      <c r="E2917" s="13">
        <f>+HYPERLINK("http://trademark.i-assist.jp/data/china/image_1890th/77380849.pdf",77380849)</f>
        <v>77380849</v>
      </c>
      <c r="F2917" s="7" t="s">
        <v>183</v>
      </c>
      <c r="G2917" s="7" t="s">
        <v>1902</v>
      </c>
      <c r="H2917" s="7" t="s">
        <v>8098</v>
      </c>
      <c r="I2917" s="9">
        <v>45369</v>
      </c>
    </row>
    <row r="2918" spans="1:9" x14ac:dyDescent="0.15">
      <c r="A2918" s="6">
        <v>2917</v>
      </c>
      <c r="B2918" s="7" t="s">
        <v>7</v>
      </c>
      <c r="C2918" s="8">
        <v>1890</v>
      </c>
      <c r="D2918" s="9">
        <v>45449</v>
      </c>
      <c r="E2918" s="13">
        <f>+HYPERLINK("http://trademark.i-assist.jp/data/china/image_1890th/77381057.pdf",77381057)</f>
        <v>77381057</v>
      </c>
      <c r="F2918" s="7" t="s">
        <v>8100</v>
      </c>
      <c r="G2918" s="7" t="s">
        <v>8099</v>
      </c>
      <c r="H2918" s="7" t="s">
        <v>8101</v>
      </c>
      <c r="I2918" s="9">
        <v>45369</v>
      </c>
    </row>
    <row r="2919" spans="1:9" x14ac:dyDescent="0.15">
      <c r="A2919" s="6">
        <v>2918</v>
      </c>
      <c r="B2919" s="7" t="s">
        <v>7</v>
      </c>
      <c r="C2919" s="8">
        <v>1890</v>
      </c>
      <c r="D2919" s="9">
        <v>45449</v>
      </c>
      <c r="E2919" s="13">
        <f>+HYPERLINK("http://trademark.i-assist.jp/data/china/image_1890th/77381388.pdf",77381388)</f>
        <v>77381388</v>
      </c>
      <c r="F2919" s="7" t="s">
        <v>8103</v>
      </c>
      <c r="G2919" s="7" t="s">
        <v>8102</v>
      </c>
      <c r="H2919" s="7" t="s">
        <v>8104</v>
      </c>
      <c r="I2919" s="9">
        <v>45369</v>
      </c>
    </row>
    <row r="2920" spans="1:9" x14ac:dyDescent="0.15">
      <c r="A2920" s="6">
        <v>2919</v>
      </c>
      <c r="B2920" s="7" t="s">
        <v>7</v>
      </c>
      <c r="C2920" s="8">
        <v>1890</v>
      </c>
      <c r="D2920" s="9">
        <v>45449</v>
      </c>
      <c r="E2920" s="13">
        <f>+HYPERLINK("http://trademark.i-assist.jp/data/china/image_1890th/77381418.pdf",77381418)</f>
        <v>77381418</v>
      </c>
      <c r="F2920" s="7" t="s">
        <v>8106</v>
      </c>
      <c r="G2920" s="7" t="s">
        <v>8105</v>
      </c>
      <c r="H2920" s="7" t="s">
        <v>8107</v>
      </c>
      <c r="I2920" s="9">
        <v>45369</v>
      </c>
    </row>
    <row r="2921" spans="1:9" x14ac:dyDescent="0.15">
      <c r="A2921" s="6">
        <v>2920</v>
      </c>
      <c r="B2921" s="7" t="s">
        <v>7</v>
      </c>
      <c r="C2921" s="8">
        <v>1890</v>
      </c>
      <c r="D2921" s="9">
        <v>45449</v>
      </c>
      <c r="E2921" s="13">
        <f>+HYPERLINK("http://trademark.i-assist.jp/data/china/image_1890th/77381657.pdf",77381657)</f>
        <v>77381657</v>
      </c>
      <c r="F2921" s="7" t="s">
        <v>8109</v>
      </c>
      <c r="G2921" s="7" t="s">
        <v>8108</v>
      </c>
      <c r="H2921" s="7" t="s">
        <v>8110</v>
      </c>
      <c r="I2921" s="9">
        <v>45369</v>
      </c>
    </row>
    <row r="2922" spans="1:9" x14ac:dyDescent="0.15">
      <c r="A2922" s="6">
        <v>2921</v>
      </c>
      <c r="B2922" s="7" t="s">
        <v>7</v>
      </c>
      <c r="C2922" s="8">
        <v>1890</v>
      </c>
      <c r="D2922" s="9">
        <v>45449</v>
      </c>
      <c r="E2922" s="13">
        <f>+HYPERLINK("http://trademark.i-assist.jp/data/china/image_1890th/77381726.pdf",77381726)</f>
        <v>77381726</v>
      </c>
      <c r="F2922" s="7" t="s">
        <v>8111</v>
      </c>
      <c r="G2922" s="7" t="s">
        <v>7961</v>
      </c>
      <c r="H2922" s="7" t="s">
        <v>8112</v>
      </c>
      <c r="I2922" s="9">
        <v>45369</v>
      </c>
    </row>
    <row r="2923" spans="1:9" x14ac:dyDescent="0.15">
      <c r="A2923" s="6">
        <v>2922</v>
      </c>
      <c r="B2923" s="7" t="s">
        <v>7</v>
      </c>
      <c r="C2923" s="8">
        <v>1890</v>
      </c>
      <c r="D2923" s="9">
        <v>45449</v>
      </c>
      <c r="E2923" s="13">
        <f>+HYPERLINK("http://trademark.i-assist.jp/data/china/image_1890th/77381840.pdf",77381840)</f>
        <v>77381840</v>
      </c>
      <c r="F2923" s="7" t="s">
        <v>8113</v>
      </c>
      <c r="G2923" s="7" t="s">
        <v>6543</v>
      </c>
      <c r="H2923" s="7" t="s">
        <v>8114</v>
      </c>
      <c r="I2923" s="9">
        <v>45369</v>
      </c>
    </row>
    <row r="2924" spans="1:9" x14ac:dyDescent="0.15">
      <c r="A2924" s="6">
        <v>2923</v>
      </c>
      <c r="B2924" s="7" t="s">
        <v>7</v>
      </c>
      <c r="C2924" s="8">
        <v>1890</v>
      </c>
      <c r="D2924" s="9">
        <v>45449</v>
      </c>
      <c r="E2924" s="13">
        <f>+HYPERLINK("http://trademark.i-assist.jp/data/china/image_1890th/77381897.pdf",77381897)</f>
        <v>77381897</v>
      </c>
      <c r="F2924" s="7" t="s">
        <v>8116</v>
      </c>
      <c r="G2924" s="7" t="s">
        <v>8115</v>
      </c>
      <c r="H2924" s="7" t="s">
        <v>8117</v>
      </c>
      <c r="I2924" s="9">
        <v>45369</v>
      </c>
    </row>
    <row r="2925" spans="1:9" x14ac:dyDescent="0.15">
      <c r="A2925" s="6">
        <v>2924</v>
      </c>
      <c r="B2925" s="7" t="s">
        <v>7</v>
      </c>
      <c r="C2925" s="8">
        <v>1890</v>
      </c>
      <c r="D2925" s="9">
        <v>45449</v>
      </c>
      <c r="E2925" s="13">
        <f>+HYPERLINK("http://trademark.i-assist.jp/data/china/image_1890th/77381918.pdf",77381918)</f>
        <v>77381918</v>
      </c>
      <c r="F2925" s="7" t="s">
        <v>8118</v>
      </c>
      <c r="G2925" s="7" t="s">
        <v>4550</v>
      </c>
      <c r="H2925" s="7" t="s">
        <v>8119</v>
      </c>
      <c r="I2925" s="9">
        <v>45369</v>
      </c>
    </row>
    <row r="2926" spans="1:9" x14ac:dyDescent="0.15">
      <c r="A2926" s="6">
        <v>2925</v>
      </c>
      <c r="B2926" s="7" t="s">
        <v>7</v>
      </c>
      <c r="C2926" s="8">
        <v>1890</v>
      </c>
      <c r="D2926" s="9">
        <v>45449</v>
      </c>
      <c r="E2926" s="13">
        <f>+HYPERLINK("http://trademark.i-assist.jp/data/china/image_1890th/77382137.pdf",77382137)</f>
        <v>77382137</v>
      </c>
      <c r="F2926" s="7" t="s">
        <v>8121</v>
      </c>
      <c r="G2926" s="7" t="s">
        <v>8120</v>
      </c>
      <c r="H2926" s="7" t="s">
        <v>8122</v>
      </c>
      <c r="I2926" s="9">
        <v>45369</v>
      </c>
    </row>
    <row r="2927" spans="1:9" x14ac:dyDescent="0.15">
      <c r="A2927" s="6">
        <v>2926</v>
      </c>
      <c r="B2927" s="7" t="s">
        <v>7</v>
      </c>
      <c r="C2927" s="8">
        <v>1890</v>
      </c>
      <c r="D2927" s="9">
        <v>45449</v>
      </c>
      <c r="E2927" s="13">
        <f>+HYPERLINK("http://trademark.i-assist.jp/data/china/image_1890th/77382183.pdf",77382183)</f>
        <v>77382183</v>
      </c>
      <c r="F2927" s="7" t="s">
        <v>8123</v>
      </c>
      <c r="G2927" s="7" t="s">
        <v>7539</v>
      </c>
      <c r="H2927" s="7" t="s">
        <v>8124</v>
      </c>
      <c r="I2927" s="9">
        <v>45369</v>
      </c>
    </row>
    <row r="2928" spans="1:9" x14ac:dyDescent="0.15">
      <c r="A2928" s="6">
        <v>2927</v>
      </c>
      <c r="B2928" s="7" t="s">
        <v>7</v>
      </c>
      <c r="C2928" s="8">
        <v>1890</v>
      </c>
      <c r="D2928" s="9">
        <v>45449</v>
      </c>
      <c r="E2928" s="13">
        <f>+HYPERLINK("http://trademark.i-assist.jp/data/china/image_1890th/77382372.pdf",77382372)</f>
        <v>77382372</v>
      </c>
      <c r="F2928" s="7" t="s">
        <v>8126</v>
      </c>
      <c r="G2928" s="7" t="s">
        <v>8125</v>
      </c>
      <c r="H2928" s="7" t="s">
        <v>8127</v>
      </c>
      <c r="I2928" s="9">
        <v>45369</v>
      </c>
    </row>
    <row r="2929" spans="1:9" x14ac:dyDescent="0.15">
      <c r="A2929" s="6">
        <v>2928</v>
      </c>
      <c r="B2929" s="7" t="s">
        <v>7</v>
      </c>
      <c r="C2929" s="8">
        <v>1890</v>
      </c>
      <c r="D2929" s="9">
        <v>45449</v>
      </c>
      <c r="E2929" s="13">
        <f>+HYPERLINK("http://trademark.i-assist.jp/data/china/image_1890th/77382435.pdf",77382435)</f>
        <v>77382435</v>
      </c>
      <c r="F2929" s="7" t="s">
        <v>8129</v>
      </c>
      <c r="G2929" s="7" t="s">
        <v>8128</v>
      </c>
      <c r="H2929" s="7" t="s">
        <v>8130</v>
      </c>
      <c r="I2929" s="9">
        <v>45369</v>
      </c>
    </row>
    <row r="2930" spans="1:9" x14ac:dyDescent="0.15">
      <c r="A2930" s="6">
        <v>2929</v>
      </c>
      <c r="B2930" s="7" t="s">
        <v>7</v>
      </c>
      <c r="C2930" s="8">
        <v>1890</v>
      </c>
      <c r="D2930" s="9">
        <v>45449</v>
      </c>
      <c r="E2930" s="13">
        <f>+HYPERLINK("http://trademark.i-assist.jp/data/china/image_1890th/77382447.pdf",77382447)</f>
        <v>77382447</v>
      </c>
      <c r="F2930" s="7" t="s">
        <v>8132</v>
      </c>
      <c r="G2930" s="7" t="s">
        <v>8131</v>
      </c>
      <c r="H2930" s="7" t="s">
        <v>8133</v>
      </c>
      <c r="I2930" s="9">
        <v>45369</v>
      </c>
    </row>
    <row r="2931" spans="1:9" x14ac:dyDescent="0.15">
      <c r="A2931" s="6">
        <v>2930</v>
      </c>
      <c r="B2931" s="7" t="s">
        <v>7</v>
      </c>
      <c r="C2931" s="8">
        <v>1890</v>
      </c>
      <c r="D2931" s="9">
        <v>45449</v>
      </c>
      <c r="E2931" s="13">
        <f>+HYPERLINK("http://trademark.i-assist.jp/data/china/image_1890th/77382532.pdf",77382532)</f>
        <v>77382532</v>
      </c>
      <c r="F2931" s="7" t="s">
        <v>8134</v>
      </c>
      <c r="G2931" s="7" t="s">
        <v>7749</v>
      </c>
      <c r="H2931" s="7" t="s">
        <v>8135</v>
      </c>
      <c r="I2931" s="9">
        <v>45369</v>
      </c>
    </row>
    <row r="2932" spans="1:9" x14ac:dyDescent="0.15">
      <c r="A2932" s="6">
        <v>2931</v>
      </c>
      <c r="B2932" s="7" t="s">
        <v>7</v>
      </c>
      <c r="C2932" s="8">
        <v>1890</v>
      </c>
      <c r="D2932" s="9">
        <v>45449</v>
      </c>
      <c r="E2932" s="13">
        <f>+HYPERLINK("http://trademark.i-assist.jp/data/china/image_1890th/77382586.pdf",77382586)</f>
        <v>77382586</v>
      </c>
      <c r="F2932" s="7" t="s">
        <v>8137</v>
      </c>
      <c r="G2932" s="7" t="s">
        <v>8136</v>
      </c>
      <c r="H2932" s="7" t="s">
        <v>8138</v>
      </c>
      <c r="I2932" s="9">
        <v>45369</v>
      </c>
    </row>
    <row r="2933" spans="1:9" ht="27" x14ac:dyDescent="0.15">
      <c r="A2933" s="6">
        <v>2932</v>
      </c>
      <c r="B2933" s="7" t="s">
        <v>7</v>
      </c>
      <c r="C2933" s="8">
        <v>1890</v>
      </c>
      <c r="D2933" s="9">
        <v>45449</v>
      </c>
      <c r="E2933" s="13">
        <f>+HYPERLINK("http://trademark.i-assist.jp/data/china/image_1890th/77382688.pdf",77382688)</f>
        <v>77382688</v>
      </c>
      <c r="F2933" s="7" t="s">
        <v>8139</v>
      </c>
      <c r="G2933" s="7" t="s">
        <v>4542</v>
      </c>
      <c r="H2933" s="7" t="s">
        <v>8140</v>
      </c>
      <c r="I2933" s="9">
        <v>45369</v>
      </c>
    </row>
    <row r="2934" spans="1:9" x14ac:dyDescent="0.15">
      <c r="A2934" s="6">
        <v>2933</v>
      </c>
      <c r="B2934" s="7" t="s">
        <v>7</v>
      </c>
      <c r="C2934" s="8">
        <v>1890</v>
      </c>
      <c r="D2934" s="9">
        <v>45449</v>
      </c>
      <c r="E2934" s="13">
        <f>+HYPERLINK("http://trademark.i-assist.jp/data/china/image_1890th/77382703.pdf",77382703)</f>
        <v>77382703</v>
      </c>
      <c r="F2934" s="7" t="s">
        <v>8142</v>
      </c>
      <c r="G2934" s="7" t="s">
        <v>8141</v>
      </c>
      <c r="H2934" s="7" t="s">
        <v>8143</v>
      </c>
      <c r="I2934" s="9">
        <v>45369</v>
      </c>
    </row>
    <row r="2935" spans="1:9" x14ac:dyDescent="0.15">
      <c r="A2935" s="6">
        <v>2934</v>
      </c>
      <c r="B2935" s="7" t="s">
        <v>7</v>
      </c>
      <c r="C2935" s="8">
        <v>1890</v>
      </c>
      <c r="D2935" s="9">
        <v>45449</v>
      </c>
      <c r="E2935" s="13">
        <f>+HYPERLINK("http://trademark.i-assist.jp/data/china/image_1890th/77383099.pdf",77383099)</f>
        <v>77383099</v>
      </c>
      <c r="F2935" s="7" t="s">
        <v>8144</v>
      </c>
      <c r="G2935" s="7" t="s">
        <v>7961</v>
      </c>
      <c r="H2935" s="7" t="s">
        <v>8145</v>
      </c>
      <c r="I2935" s="9">
        <v>45369</v>
      </c>
    </row>
    <row r="2936" spans="1:9" x14ac:dyDescent="0.15">
      <c r="A2936" s="6">
        <v>2935</v>
      </c>
      <c r="B2936" s="7" t="s">
        <v>7</v>
      </c>
      <c r="C2936" s="8">
        <v>1890</v>
      </c>
      <c r="D2936" s="9">
        <v>45449</v>
      </c>
      <c r="E2936" s="13">
        <f>+HYPERLINK("http://trademark.i-assist.jp/data/china/image_1890th/77383127.pdf",77383127)</f>
        <v>77383127</v>
      </c>
      <c r="F2936" s="7" t="s">
        <v>8147</v>
      </c>
      <c r="G2936" s="7" t="s">
        <v>8146</v>
      </c>
      <c r="H2936" s="7" t="s">
        <v>8148</v>
      </c>
      <c r="I2936" s="9">
        <v>45369</v>
      </c>
    </row>
    <row r="2937" spans="1:9" ht="27" x14ac:dyDescent="0.15">
      <c r="A2937" s="6">
        <v>2936</v>
      </c>
      <c r="B2937" s="7" t="s">
        <v>7</v>
      </c>
      <c r="C2937" s="8">
        <v>1890</v>
      </c>
      <c r="D2937" s="9">
        <v>45449</v>
      </c>
      <c r="E2937" s="13">
        <f>+HYPERLINK("http://trademark.i-assist.jp/data/china/image_1890th/77383239.pdf",77383239)</f>
        <v>77383239</v>
      </c>
      <c r="F2937" s="7" t="s">
        <v>8150</v>
      </c>
      <c r="G2937" s="7" t="s">
        <v>8149</v>
      </c>
      <c r="H2937" s="7" t="s">
        <v>8151</v>
      </c>
      <c r="I2937" s="9">
        <v>45369</v>
      </c>
    </row>
    <row r="2938" spans="1:9" x14ac:dyDescent="0.15">
      <c r="A2938" s="6">
        <v>2937</v>
      </c>
      <c r="B2938" s="7" t="s">
        <v>7</v>
      </c>
      <c r="C2938" s="8">
        <v>1890</v>
      </c>
      <c r="D2938" s="9">
        <v>45449</v>
      </c>
      <c r="E2938" s="13">
        <f>+HYPERLINK("http://trademark.i-assist.jp/data/china/image_1890th/77383389.pdf",77383389)</f>
        <v>77383389</v>
      </c>
      <c r="F2938" s="7" t="s">
        <v>183</v>
      </c>
      <c r="G2938" s="7" t="s">
        <v>7498</v>
      </c>
      <c r="H2938" s="7" t="s">
        <v>8152</v>
      </c>
      <c r="I2938" s="9">
        <v>45369</v>
      </c>
    </row>
    <row r="2939" spans="1:9" ht="27" x14ac:dyDescent="0.15">
      <c r="A2939" s="6">
        <v>2938</v>
      </c>
      <c r="B2939" s="7" t="s">
        <v>7</v>
      </c>
      <c r="C2939" s="8">
        <v>1890</v>
      </c>
      <c r="D2939" s="9">
        <v>45449</v>
      </c>
      <c r="E2939" s="13">
        <f>+HYPERLINK("http://trademark.i-assist.jp/data/china/image_1890th/77383440.pdf",77383440)</f>
        <v>77383440</v>
      </c>
      <c r="F2939" s="7" t="s">
        <v>8153</v>
      </c>
      <c r="G2939" s="7" t="s">
        <v>7864</v>
      </c>
      <c r="H2939" s="7" t="s">
        <v>8154</v>
      </c>
      <c r="I2939" s="9">
        <v>45369</v>
      </c>
    </row>
    <row r="2940" spans="1:9" x14ac:dyDescent="0.15">
      <c r="A2940" s="6">
        <v>2939</v>
      </c>
      <c r="B2940" s="7" t="s">
        <v>7</v>
      </c>
      <c r="C2940" s="8">
        <v>1890</v>
      </c>
      <c r="D2940" s="9">
        <v>45449</v>
      </c>
      <c r="E2940" s="13">
        <f>+HYPERLINK("http://trademark.i-assist.jp/data/china/image_1890th/77383456.pdf",77383456)</f>
        <v>77383456</v>
      </c>
      <c r="F2940" s="7" t="s">
        <v>8155</v>
      </c>
      <c r="G2940" s="7" t="s">
        <v>7956</v>
      </c>
      <c r="H2940" s="7" t="s">
        <v>8156</v>
      </c>
      <c r="I2940" s="9">
        <v>45369</v>
      </c>
    </row>
    <row r="2941" spans="1:9" x14ac:dyDescent="0.15">
      <c r="A2941" s="6">
        <v>2940</v>
      </c>
      <c r="B2941" s="7" t="s">
        <v>7</v>
      </c>
      <c r="C2941" s="8">
        <v>1890</v>
      </c>
      <c r="D2941" s="9">
        <v>45449</v>
      </c>
      <c r="E2941" s="13">
        <f>+HYPERLINK("http://trademark.i-assist.jp/data/china/image_1890th/77383526.pdf",77383526)</f>
        <v>77383526</v>
      </c>
      <c r="F2941" s="7" t="s">
        <v>8158</v>
      </c>
      <c r="G2941" s="7" t="s">
        <v>8157</v>
      </c>
      <c r="H2941" s="7" t="s">
        <v>8159</v>
      </c>
      <c r="I2941" s="9">
        <v>45369</v>
      </c>
    </row>
    <row r="2942" spans="1:9" x14ac:dyDescent="0.15">
      <c r="A2942" s="6">
        <v>2941</v>
      </c>
      <c r="B2942" s="7" t="s">
        <v>7</v>
      </c>
      <c r="C2942" s="8">
        <v>1890</v>
      </c>
      <c r="D2942" s="9">
        <v>45449</v>
      </c>
      <c r="E2942" s="13">
        <f>+HYPERLINK("http://trademark.i-assist.jp/data/china/image_1890th/77383543.pdf",77383543)</f>
        <v>77383543</v>
      </c>
      <c r="F2942" s="7" t="s">
        <v>8161</v>
      </c>
      <c r="G2942" s="7" t="s">
        <v>8160</v>
      </c>
      <c r="H2942" s="7" t="s">
        <v>8162</v>
      </c>
      <c r="I2942" s="9">
        <v>45369</v>
      </c>
    </row>
    <row r="2943" spans="1:9" x14ac:dyDescent="0.15">
      <c r="A2943" s="6">
        <v>2942</v>
      </c>
      <c r="B2943" s="7" t="s">
        <v>7</v>
      </c>
      <c r="C2943" s="8">
        <v>1890</v>
      </c>
      <c r="D2943" s="9">
        <v>45449</v>
      </c>
      <c r="E2943" s="13">
        <f>+HYPERLINK("http://trademark.i-assist.jp/data/china/image_1890th/77383573.pdf",77383573)</f>
        <v>77383573</v>
      </c>
      <c r="F2943" s="7" t="s">
        <v>8163</v>
      </c>
      <c r="G2943" s="7" t="s">
        <v>4550</v>
      </c>
      <c r="H2943" s="7" t="s">
        <v>8164</v>
      </c>
      <c r="I2943" s="9">
        <v>45369</v>
      </c>
    </row>
    <row r="2944" spans="1:9" x14ac:dyDescent="0.15">
      <c r="A2944" s="6">
        <v>2943</v>
      </c>
      <c r="B2944" s="7" t="s">
        <v>7</v>
      </c>
      <c r="C2944" s="8">
        <v>1890</v>
      </c>
      <c r="D2944" s="9">
        <v>45449</v>
      </c>
      <c r="E2944" s="13">
        <f>+HYPERLINK("http://trademark.i-assist.jp/data/china/image_1890th/77383721.pdf",77383721)</f>
        <v>77383721</v>
      </c>
      <c r="F2944" s="7" t="s">
        <v>8166</v>
      </c>
      <c r="G2944" s="7" t="s">
        <v>8165</v>
      </c>
      <c r="H2944" s="7" t="s">
        <v>8167</v>
      </c>
      <c r="I2944" s="9">
        <v>45369</v>
      </c>
    </row>
    <row r="2945" spans="1:9" x14ac:dyDescent="0.15">
      <c r="A2945" s="6">
        <v>2944</v>
      </c>
      <c r="B2945" s="7" t="s">
        <v>7</v>
      </c>
      <c r="C2945" s="8">
        <v>1890</v>
      </c>
      <c r="D2945" s="9">
        <v>45449</v>
      </c>
      <c r="E2945" s="13">
        <f>+HYPERLINK("http://trademark.i-assist.jp/data/china/image_1890th/77383806.pdf",77383806)</f>
        <v>77383806</v>
      </c>
      <c r="F2945" s="7" t="s">
        <v>8169</v>
      </c>
      <c r="G2945" s="7" t="s">
        <v>8168</v>
      </c>
      <c r="H2945" s="7" t="s">
        <v>8170</v>
      </c>
      <c r="I2945" s="9">
        <v>45369</v>
      </c>
    </row>
    <row r="2946" spans="1:9" x14ac:dyDescent="0.15">
      <c r="A2946" s="6">
        <v>2945</v>
      </c>
      <c r="B2946" s="7" t="s">
        <v>7</v>
      </c>
      <c r="C2946" s="8">
        <v>1890</v>
      </c>
      <c r="D2946" s="9">
        <v>45449</v>
      </c>
      <c r="E2946" s="13">
        <f>+HYPERLINK("http://trademark.i-assist.jp/data/china/image_1890th/77383902.pdf",77383902)</f>
        <v>77383902</v>
      </c>
      <c r="F2946" s="7" t="s">
        <v>8172</v>
      </c>
      <c r="G2946" s="7" t="s">
        <v>8171</v>
      </c>
      <c r="H2946" s="7" t="s">
        <v>8173</v>
      </c>
      <c r="I2946" s="9">
        <v>45369</v>
      </c>
    </row>
    <row r="2947" spans="1:9" x14ac:dyDescent="0.15">
      <c r="A2947" s="6">
        <v>2946</v>
      </c>
      <c r="B2947" s="7" t="s">
        <v>7</v>
      </c>
      <c r="C2947" s="8">
        <v>1890</v>
      </c>
      <c r="D2947" s="9">
        <v>45449</v>
      </c>
      <c r="E2947" s="13">
        <f>+HYPERLINK("http://trademark.i-assist.jp/data/china/image_1890th/77383940.pdf",77383940)</f>
        <v>77383940</v>
      </c>
      <c r="F2947" s="7" t="s">
        <v>8175</v>
      </c>
      <c r="G2947" s="7" t="s">
        <v>8174</v>
      </c>
      <c r="H2947" s="7" t="s">
        <v>8176</v>
      </c>
      <c r="I2947" s="9">
        <v>45369</v>
      </c>
    </row>
    <row r="2948" spans="1:9" x14ac:dyDescent="0.15">
      <c r="A2948" s="6">
        <v>2947</v>
      </c>
      <c r="B2948" s="7" t="s">
        <v>7</v>
      </c>
      <c r="C2948" s="8">
        <v>1890</v>
      </c>
      <c r="D2948" s="9">
        <v>45449</v>
      </c>
      <c r="E2948" s="13">
        <f>+HYPERLINK("http://trademark.i-assist.jp/data/china/image_1890th/77384013.pdf",77384013)</f>
        <v>77384013</v>
      </c>
      <c r="F2948" s="7" t="s">
        <v>8177</v>
      </c>
      <c r="G2948" s="7" t="s">
        <v>6277</v>
      </c>
      <c r="H2948" s="7" t="s">
        <v>8178</v>
      </c>
      <c r="I2948" s="9">
        <v>45369</v>
      </c>
    </row>
    <row r="2949" spans="1:9" x14ac:dyDescent="0.15">
      <c r="A2949" s="6">
        <v>2948</v>
      </c>
      <c r="B2949" s="7" t="s">
        <v>7</v>
      </c>
      <c r="C2949" s="8">
        <v>1890</v>
      </c>
      <c r="D2949" s="9">
        <v>45449</v>
      </c>
      <c r="E2949" s="13">
        <f>+HYPERLINK("http://trademark.i-assist.jp/data/china/image_1890th/77384032.pdf",77384032)</f>
        <v>77384032</v>
      </c>
      <c r="F2949" s="7" t="s">
        <v>8180</v>
      </c>
      <c r="G2949" s="7" t="s">
        <v>8179</v>
      </c>
      <c r="H2949" s="7" t="s">
        <v>8181</v>
      </c>
      <c r="I2949" s="9">
        <v>45369</v>
      </c>
    </row>
    <row r="2950" spans="1:9" x14ac:dyDescent="0.15">
      <c r="A2950" s="6">
        <v>2949</v>
      </c>
      <c r="B2950" s="7" t="s">
        <v>7</v>
      </c>
      <c r="C2950" s="8">
        <v>1890</v>
      </c>
      <c r="D2950" s="9">
        <v>45449</v>
      </c>
      <c r="E2950" s="13">
        <f>+HYPERLINK("http://trademark.i-assist.jp/data/china/image_1890th/77384133.pdf",77384133)</f>
        <v>77384133</v>
      </c>
      <c r="F2950" s="7" t="s">
        <v>8183</v>
      </c>
      <c r="G2950" s="7" t="s">
        <v>8182</v>
      </c>
      <c r="H2950" s="7" t="s">
        <v>8184</v>
      </c>
      <c r="I2950" s="9">
        <v>45369</v>
      </c>
    </row>
    <row r="2951" spans="1:9" x14ac:dyDescent="0.15">
      <c r="A2951" s="6">
        <v>2950</v>
      </c>
      <c r="B2951" s="7" t="s">
        <v>7</v>
      </c>
      <c r="C2951" s="8">
        <v>1890</v>
      </c>
      <c r="D2951" s="9">
        <v>45449</v>
      </c>
      <c r="E2951" s="13">
        <f>+HYPERLINK("http://trademark.i-assist.jp/data/china/image_1890th/77384183.pdf",77384183)</f>
        <v>77384183</v>
      </c>
      <c r="F2951" s="7" t="s">
        <v>8186</v>
      </c>
      <c r="G2951" s="7" t="s">
        <v>8185</v>
      </c>
      <c r="H2951" s="7" t="s">
        <v>8187</v>
      </c>
      <c r="I2951" s="9">
        <v>45369</v>
      </c>
    </row>
    <row r="2952" spans="1:9" x14ac:dyDescent="0.15">
      <c r="A2952" s="6">
        <v>2951</v>
      </c>
      <c r="B2952" s="7" t="s">
        <v>7</v>
      </c>
      <c r="C2952" s="8">
        <v>1890</v>
      </c>
      <c r="D2952" s="9">
        <v>45449</v>
      </c>
      <c r="E2952" s="13">
        <f>+HYPERLINK("http://trademark.i-assist.jp/data/china/image_1890th/77384390.pdf",77384390)</f>
        <v>77384390</v>
      </c>
      <c r="F2952" s="7" t="s">
        <v>8189</v>
      </c>
      <c r="G2952" s="7" t="s">
        <v>8188</v>
      </c>
      <c r="H2952" s="7" t="s">
        <v>8190</v>
      </c>
      <c r="I2952" s="9">
        <v>45369</v>
      </c>
    </row>
    <row r="2953" spans="1:9" x14ac:dyDescent="0.15">
      <c r="A2953" s="6">
        <v>2952</v>
      </c>
      <c r="B2953" s="7" t="s">
        <v>7</v>
      </c>
      <c r="C2953" s="8">
        <v>1890</v>
      </c>
      <c r="D2953" s="9">
        <v>45449</v>
      </c>
      <c r="E2953" s="13">
        <f>+HYPERLINK("http://trademark.i-assist.jp/data/china/image_1890th/77384424.pdf",77384424)</f>
        <v>77384424</v>
      </c>
      <c r="F2953" s="7" t="s">
        <v>8192</v>
      </c>
      <c r="G2953" s="7" t="s">
        <v>8191</v>
      </c>
      <c r="H2953" s="7" t="s">
        <v>8193</v>
      </c>
      <c r="I2953" s="9">
        <v>45369</v>
      </c>
    </row>
    <row r="2954" spans="1:9" x14ac:dyDescent="0.15">
      <c r="A2954" s="6">
        <v>2953</v>
      </c>
      <c r="B2954" s="7" t="s">
        <v>7</v>
      </c>
      <c r="C2954" s="8">
        <v>1890</v>
      </c>
      <c r="D2954" s="9">
        <v>45449</v>
      </c>
      <c r="E2954" s="13">
        <f>+HYPERLINK("http://trademark.i-assist.jp/data/china/image_1890th/77384500.pdf",77384500)</f>
        <v>77384500</v>
      </c>
      <c r="F2954" s="7" t="s">
        <v>8195</v>
      </c>
      <c r="G2954" s="7" t="s">
        <v>8194</v>
      </c>
      <c r="H2954" s="7" t="s">
        <v>8196</v>
      </c>
      <c r="I2954" s="9">
        <v>45369</v>
      </c>
    </row>
    <row r="2955" spans="1:9" x14ac:dyDescent="0.15">
      <c r="A2955" s="6">
        <v>2954</v>
      </c>
      <c r="B2955" s="7" t="s">
        <v>7</v>
      </c>
      <c r="C2955" s="8">
        <v>1890</v>
      </c>
      <c r="D2955" s="9">
        <v>45449</v>
      </c>
      <c r="E2955" s="13">
        <f>+HYPERLINK("http://trademark.i-assist.jp/data/china/image_1890th/77384612.pdf",77384612)</f>
        <v>77384612</v>
      </c>
      <c r="F2955" s="7" t="s">
        <v>8198</v>
      </c>
      <c r="G2955" s="7" t="s">
        <v>8197</v>
      </c>
      <c r="H2955" s="7" t="s">
        <v>8199</v>
      </c>
      <c r="I2955" s="9">
        <v>45369</v>
      </c>
    </row>
    <row r="2956" spans="1:9" x14ac:dyDescent="0.15">
      <c r="A2956" s="6">
        <v>2955</v>
      </c>
      <c r="B2956" s="7" t="s">
        <v>7</v>
      </c>
      <c r="C2956" s="8">
        <v>1890</v>
      </c>
      <c r="D2956" s="9">
        <v>45449</v>
      </c>
      <c r="E2956" s="13">
        <f>+HYPERLINK("http://trademark.i-assist.jp/data/china/image_1890th/77384619.pdf",77384619)</f>
        <v>77384619</v>
      </c>
      <c r="F2956" s="7" t="s">
        <v>8201</v>
      </c>
      <c r="G2956" s="7" t="s">
        <v>8200</v>
      </c>
      <c r="H2956" s="7" t="s">
        <v>8202</v>
      </c>
      <c r="I2956" s="9">
        <v>45369</v>
      </c>
    </row>
    <row r="2957" spans="1:9" x14ac:dyDescent="0.15">
      <c r="A2957" s="6">
        <v>2956</v>
      </c>
      <c r="B2957" s="7" t="s">
        <v>7</v>
      </c>
      <c r="C2957" s="8">
        <v>1890</v>
      </c>
      <c r="D2957" s="9">
        <v>45449</v>
      </c>
      <c r="E2957" s="13">
        <f>+HYPERLINK("http://trademark.i-assist.jp/data/china/image_1890th/77384631.pdf",77384631)</f>
        <v>77384631</v>
      </c>
      <c r="F2957" s="7" t="s">
        <v>8203</v>
      </c>
      <c r="G2957" s="7" t="s">
        <v>7481</v>
      </c>
      <c r="H2957" s="7" t="s">
        <v>8204</v>
      </c>
      <c r="I2957" s="9">
        <v>45369</v>
      </c>
    </row>
    <row r="2958" spans="1:9" x14ac:dyDescent="0.15">
      <c r="A2958" s="6">
        <v>2957</v>
      </c>
      <c r="B2958" s="7" t="s">
        <v>7</v>
      </c>
      <c r="C2958" s="8">
        <v>1890</v>
      </c>
      <c r="D2958" s="9">
        <v>45449</v>
      </c>
      <c r="E2958" s="13">
        <f>+HYPERLINK("http://trademark.i-assist.jp/data/china/image_1890th/77384648.pdf",77384648)</f>
        <v>77384648</v>
      </c>
      <c r="F2958" s="7" t="s">
        <v>8206</v>
      </c>
      <c r="G2958" s="7" t="s">
        <v>8205</v>
      </c>
      <c r="H2958" s="7" t="s">
        <v>8207</v>
      </c>
      <c r="I2958" s="9">
        <v>45369</v>
      </c>
    </row>
    <row r="2959" spans="1:9" x14ac:dyDescent="0.15">
      <c r="A2959" s="6">
        <v>2958</v>
      </c>
      <c r="B2959" s="7" t="s">
        <v>7</v>
      </c>
      <c r="C2959" s="8">
        <v>1890</v>
      </c>
      <c r="D2959" s="9">
        <v>45449</v>
      </c>
      <c r="E2959" s="13">
        <f>+HYPERLINK("http://trademark.i-assist.jp/data/china/image_1890th/77384666.pdf",77384666)</f>
        <v>77384666</v>
      </c>
      <c r="F2959" s="7" t="s">
        <v>8209</v>
      </c>
      <c r="G2959" s="7" t="s">
        <v>8208</v>
      </c>
      <c r="H2959" s="7" t="s">
        <v>8210</v>
      </c>
      <c r="I2959" s="9">
        <v>45369</v>
      </c>
    </row>
    <row r="2960" spans="1:9" x14ac:dyDescent="0.15">
      <c r="A2960" s="6">
        <v>2959</v>
      </c>
      <c r="B2960" s="7" t="s">
        <v>7</v>
      </c>
      <c r="C2960" s="8">
        <v>1890</v>
      </c>
      <c r="D2960" s="9">
        <v>45449</v>
      </c>
      <c r="E2960" s="13">
        <f>+HYPERLINK("http://trademark.i-assist.jp/data/china/image_1890th/77384684.pdf",77384684)</f>
        <v>77384684</v>
      </c>
      <c r="F2960" s="7" t="s">
        <v>8212</v>
      </c>
      <c r="G2960" s="7" t="s">
        <v>8211</v>
      </c>
      <c r="H2960" s="7" t="s">
        <v>8213</v>
      </c>
      <c r="I2960" s="9">
        <v>45369</v>
      </c>
    </row>
    <row r="2961" spans="1:9" x14ac:dyDescent="0.15">
      <c r="A2961" s="6">
        <v>2960</v>
      </c>
      <c r="B2961" s="7" t="s">
        <v>7</v>
      </c>
      <c r="C2961" s="8">
        <v>1890</v>
      </c>
      <c r="D2961" s="9">
        <v>45449</v>
      </c>
      <c r="E2961" s="13">
        <f>+HYPERLINK("http://trademark.i-assist.jp/data/china/image_1890th/77384712.pdf",77384712)</f>
        <v>77384712</v>
      </c>
      <c r="F2961" s="7" t="s">
        <v>8214</v>
      </c>
      <c r="G2961" s="7" t="s">
        <v>7790</v>
      </c>
      <c r="H2961" s="7" t="s">
        <v>8215</v>
      </c>
      <c r="I2961" s="9">
        <v>45369</v>
      </c>
    </row>
    <row r="2962" spans="1:9" x14ac:dyDescent="0.15">
      <c r="A2962" s="6">
        <v>2961</v>
      </c>
      <c r="B2962" s="7" t="s">
        <v>7</v>
      </c>
      <c r="C2962" s="8">
        <v>1890</v>
      </c>
      <c r="D2962" s="9">
        <v>45449</v>
      </c>
      <c r="E2962" s="13">
        <f>+HYPERLINK("http://trademark.i-assist.jp/data/china/image_1890th/77384752.pdf",77384752)</f>
        <v>77384752</v>
      </c>
      <c r="F2962" s="7" t="s">
        <v>8217</v>
      </c>
      <c r="G2962" s="7" t="s">
        <v>8216</v>
      </c>
      <c r="H2962" s="7" t="s">
        <v>8218</v>
      </c>
      <c r="I2962" s="9">
        <v>45369</v>
      </c>
    </row>
    <row r="2963" spans="1:9" x14ac:dyDescent="0.15">
      <c r="A2963" s="6">
        <v>2962</v>
      </c>
      <c r="B2963" s="7" t="s">
        <v>7</v>
      </c>
      <c r="C2963" s="8">
        <v>1890</v>
      </c>
      <c r="D2963" s="9">
        <v>45449</v>
      </c>
      <c r="E2963" s="13">
        <f>+HYPERLINK("http://trademark.i-assist.jp/data/china/image_1890th/77384758.pdf",77384758)</f>
        <v>77384758</v>
      </c>
      <c r="F2963" s="7" t="s">
        <v>8219</v>
      </c>
      <c r="G2963" s="7" t="s">
        <v>7665</v>
      </c>
      <c r="H2963" s="7" t="s">
        <v>8220</v>
      </c>
      <c r="I2963" s="9">
        <v>45369</v>
      </c>
    </row>
    <row r="2964" spans="1:9" x14ac:dyDescent="0.15">
      <c r="A2964" s="6">
        <v>2963</v>
      </c>
      <c r="B2964" s="7" t="s">
        <v>7</v>
      </c>
      <c r="C2964" s="8">
        <v>1890</v>
      </c>
      <c r="D2964" s="9">
        <v>45449</v>
      </c>
      <c r="E2964" s="13">
        <f>+HYPERLINK("http://trademark.i-assist.jp/data/china/image_1890th/77384769.pdf",77384769)</f>
        <v>77384769</v>
      </c>
      <c r="F2964" s="7" t="s">
        <v>8221</v>
      </c>
      <c r="G2964" s="7" t="s">
        <v>7489</v>
      </c>
      <c r="H2964" s="7" t="s">
        <v>8222</v>
      </c>
      <c r="I2964" s="9">
        <v>45369</v>
      </c>
    </row>
    <row r="2965" spans="1:9" ht="27" x14ac:dyDescent="0.15">
      <c r="A2965" s="6">
        <v>2964</v>
      </c>
      <c r="B2965" s="7" t="s">
        <v>7</v>
      </c>
      <c r="C2965" s="8">
        <v>1890</v>
      </c>
      <c r="D2965" s="9">
        <v>45449</v>
      </c>
      <c r="E2965" s="13">
        <f>+HYPERLINK("http://trademark.i-assist.jp/data/china/image_1890th/77384818.pdf",77384818)</f>
        <v>77384818</v>
      </c>
      <c r="F2965" s="7" t="s">
        <v>8224</v>
      </c>
      <c r="G2965" s="7" t="s">
        <v>8223</v>
      </c>
      <c r="H2965" s="7" t="s">
        <v>8225</v>
      </c>
      <c r="I2965" s="9">
        <v>45369</v>
      </c>
    </row>
    <row r="2966" spans="1:9" x14ac:dyDescent="0.15">
      <c r="A2966" s="6">
        <v>2965</v>
      </c>
      <c r="B2966" s="7" t="s">
        <v>7</v>
      </c>
      <c r="C2966" s="8">
        <v>1890</v>
      </c>
      <c r="D2966" s="9">
        <v>45449</v>
      </c>
      <c r="E2966" s="13">
        <f>+HYPERLINK("http://trademark.i-assist.jp/data/china/image_1890th/77384922.pdf",77384922)</f>
        <v>77384922</v>
      </c>
      <c r="F2966" s="7" t="s">
        <v>8226</v>
      </c>
      <c r="G2966" s="7" t="s">
        <v>8027</v>
      </c>
      <c r="H2966" s="7" t="s">
        <v>8227</v>
      </c>
      <c r="I2966" s="9">
        <v>45369</v>
      </c>
    </row>
    <row r="2967" spans="1:9" x14ac:dyDescent="0.15">
      <c r="A2967" s="6">
        <v>2966</v>
      </c>
      <c r="B2967" s="7" t="s">
        <v>7</v>
      </c>
      <c r="C2967" s="8">
        <v>1890</v>
      </c>
      <c r="D2967" s="9">
        <v>45449</v>
      </c>
      <c r="E2967" s="13">
        <f>+HYPERLINK("http://trademark.i-assist.jp/data/china/image_1890th/77385054.pdf",77385054)</f>
        <v>77385054</v>
      </c>
      <c r="F2967" s="7" t="s">
        <v>8228</v>
      </c>
      <c r="G2967" s="7" t="s">
        <v>7561</v>
      </c>
      <c r="H2967" s="7" t="s">
        <v>8229</v>
      </c>
      <c r="I2967" s="9">
        <v>45369</v>
      </c>
    </row>
    <row r="2968" spans="1:9" x14ac:dyDescent="0.15">
      <c r="A2968" s="6">
        <v>2967</v>
      </c>
      <c r="B2968" s="7" t="s">
        <v>7</v>
      </c>
      <c r="C2968" s="8">
        <v>1890</v>
      </c>
      <c r="D2968" s="9">
        <v>45449</v>
      </c>
      <c r="E2968" s="13">
        <f>+HYPERLINK("http://trademark.i-assist.jp/data/china/image_1890th/77385129.pdf",77385129)</f>
        <v>77385129</v>
      </c>
      <c r="F2968" s="7" t="s">
        <v>8231</v>
      </c>
      <c r="G2968" s="7" t="s">
        <v>8230</v>
      </c>
      <c r="H2968" s="7" t="s">
        <v>8232</v>
      </c>
      <c r="I2968" s="9">
        <v>45369</v>
      </c>
    </row>
    <row r="2969" spans="1:9" x14ac:dyDescent="0.15">
      <c r="A2969" s="6">
        <v>2968</v>
      </c>
      <c r="B2969" s="7" t="s">
        <v>7</v>
      </c>
      <c r="C2969" s="8">
        <v>1890</v>
      </c>
      <c r="D2969" s="9">
        <v>45449</v>
      </c>
      <c r="E2969" s="13">
        <f>+HYPERLINK("http://trademark.i-assist.jp/data/china/image_1890th/77385277.pdf",77385277)</f>
        <v>77385277</v>
      </c>
      <c r="F2969" s="7" t="s">
        <v>8234</v>
      </c>
      <c r="G2969" s="7" t="s">
        <v>8233</v>
      </c>
      <c r="H2969" s="7" t="s">
        <v>8235</v>
      </c>
      <c r="I2969" s="9">
        <v>45369</v>
      </c>
    </row>
    <row r="2970" spans="1:9" ht="27" x14ac:dyDescent="0.15">
      <c r="A2970" s="6">
        <v>2969</v>
      </c>
      <c r="B2970" s="7" t="s">
        <v>7</v>
      </c>
      <c r="C2970" s="8">
        <v>1890</v>
      </c>
      <c r="D2970" s="9">
        <v>45449</v>
      </c>
      <c r="E2970" s="13">
        <f>+HYPERLINK("http://trademark.i-assist.jp/data/china/image_1890th/77385330.pdf",77385330)</f>
        <v>77385330</v>
      </c>
      <c r="F2970" s="7" t="s">
        <v>8236</v>
      </c>
      <c r="G2970" s="7" t="s">
        <v>7586</v>
      </c>
      <c r="H2970" s="7" t="s">
        <v>8237</v>
      </c>
      <c r="I2970" s="9">
        <v>45369</v>
      </c>
    </row>
    <row r="2971" spans="1:9" x14ac:dyDescent="0.15">
      <c r="A2971" s="6">
        <v>2970</v>
      </c>
      <c r="B2971" s="7" t="s">
        <v>7</v>
      </c>
      <c r="C2971" s="8">
        <v>1890</v>
      </c>
      <c r="D2971" s="9">
        <v>45449</v>
      </c>
      <c r="E2971" s="13">
        <f>+HYPERLINK("http://trademark.i-assist.jp/data/china/image_1890th/77385440.pdf",77385440)</f>
        <v>77385440</v>
      </c>
      <c r="F2971" s="7" t="s">
        <v>8239</v>
      </c>
      <c r="G2971" s="7" t="s">
        <v>8238</v>
      </c>
      <c r="H2971" s="7" t="s">
        <v>8240</v>
      </c>
      <c r="I2971" s="9">
        <v>45369</v>
      </c>
    </row>
    <row r="2972" spans="1:9" ht="27" x14ac:dyDescent="0.15">
      <c r="A2972" s="6">
        <v>2971</v>
      </c>
      <c r="B2972" s="7" t="s">
        <v>7</v>
      </c>
      <c r="C2972" s="8">
        <v>1890</v>
      </c>
      <c r="D2972" s="9">
        <v>45449</v>
      </c>
      <c r="E2972" s="13">
        <f>+HYPERLINK("http://trademark.i-assist.jp/data/china/image_1890th/77385444.pdf",77385444)</f>
        <v>77385444</v>
      </c>
      <c r="F2972" s="7" t="s">
        <v>8242</v>
      </c>
      <c r="G2972" s="7" t="s">
        <v>8241</v>
      </c>
      <c r="H2972" s="7" t="s">
        <v>8243</v>
      </c>
      <c r="I2972" s="9">
        <v>45369</v>
      </c>
    </row>
    <row r="2973" spans="1:9" x14ac:dyDescent="0.15">
      <c r="A2973" s="6">
        <v>2972</v>
      </c>
      <c r="B2973" s="7" t="s">
        <v>7</v>
      </c>
      <c r="C2973" s="8">
        <v>1890</v>
      </c>
      <c r="D2973" s="9">
        <v>45449</v>
      </c>
      <c r="E2973" s="13">
        <f>+HYPERLINK("http://trademark.i-assist.jp/data/china/image_1890th/77385529.pdf",77385529)</f>
        <v>77385529</v>
      </c>
      <c r="F2973" s="7" t="s">
        <v>8244</v>
      </c>
      <c r="G2973" s="7" t="s">
        <v>7431</v>
      </c>
      <c r="H2973" s="7" t="s">
        <v>8245</v>
      </c>
      <c r="I2973" s="9">
        <v>45369</v>
      </c>
    </row>
    <row r="2974" spans="1:9" ht="27" x14ac:dyDescent="0.15">
      <c r="A2974" s="6">
        <v>2973</v>
      </c>
      <c r="B2974" s="7" t="s">
        <v>7</v>
      </c>
      <c r="C2974" s="8">
        <v>1890</v>
      </c>
      <c r="D2974" s="9">
        <v>45449</v>
      </c>
      <c r="E2974" s="13">
        <f>+HYPERLINK("http://trademark.i-assist.jp/data/china/image_1890th/77385614.pdf",77385614)</f>
        <v>77385614</v>
      </c>
      <c r="F2974" s="7" t="s">
        <v>8246</v>
      </c>
      <c r="G2974" s="7" t="s">
        <v>7973</v>
      </c>
      <c r="H2974" s="7" t="s">
        <v>8247</v>
      </c>
      <c r="I2974" s="9">
        <v>45369</v>
      </c>
    </row>
    <row r="2975" spans="1:9" x14ac:dyDescent="0.15">
      <c r="A2975" s="6">
        <v>2974</v>
      </c>
      <c r="B2975" s="7" t="s">
        <v>7</v>
      </c>
      <c r="C2975" s="8">
        <v>1890</v>
      </c>
      <c r="D2975" s="9">
        <v>45449</v>
      </c>
      <c r="E2975" s="13">
        <f>+HYPERLINK("http://trademark.i-assist.jp/data/china/image_1890th/77385695.pdf",77385695)</f>
        <v>77385695</v>
      </c>
      <c r="F2975" s="7" t="s">
        <v>8249</v>
      </c>
      <c r="G2975" s="7" t="s">
        <v>8248</v>
      </c>
      <c r="H2975" s="7" t="s">
        <v>8250</v>
      </c>
      <c r="I2975" s="9">
        <v>45369</v>
      </c>
    </row>
    <row r="2976" spans="1:9" x14ac:dyDescent="0.15">
      <c r="A2976" s="6">
        <v>2975</v>
      </c>
      <c r="B2976" s="7" t="s">
        <v>7</v>
      </c>
      <c r="C2976" s="8">
        <v>1890</v>
      </c>
      <c r="D2976" s="9">
        <v>45449</v>
      </c>
      <c r="E2976" s="13">
        <f>+HYPERLINK("http://trademark.i-assist.jp/data/china/image_1890th/77385865.pdf",77385865)</f>
        <v>77385865</v>
      </c>
      <c r="F2976" s="7" t="s">
        <v>8252</v>
      </c>
      <c r="G2976" s="7" t="s">
        <v>8251</v>
      </c>
      <c r="H2976" s="7" t="s">
        <v>8253</v>
      </c>
      <c r="I2976" s="9">
        <v>45369</v>
      </c>
    </row>
    <row r="2977" spans="1:9" x14ac:dyDescent="0.15">
      <c r="A2977" s="6">
        <v>2976</v>
      </c>
      <c r="B2977" s="7" t="s">
        <v>7</v>
      </c>
      <c r="C2977" s="8">
        <v>1890</v>
      </c>
      <c r="D2977" s="9">
        <v>45449</v>
      </c>
      <c r="E2977" s="13">
        <f>+HYPERLINK("http://trademark.i-assist.jp/data/china/image_1890th/77385883.pdf",77385883)</f>
        <v>77385883</v>
      </c>
      <c r="F2977" s="7" t="s">
        <v>8254</v>
      </c>
      <c r="G2977" s="7" t="s">
        <v>7605</v>
      </c>
      <c r="H2977" s="7" t="s">
        <v>8255</v>
      </c>
      <c r="I2977" s="9">
        <v>45369</v>
      </c>
    </row>
    <row r="2978" spans="1:9" x14ac:dyDescent="0.15">
      <c r="A2978" s="6">
        <v>2977</v>
      </c>
      <c r="B2978" s="7" t="s">
        <v>7</v>
      </c>
      <c r="C2978" s="8">
        <v>1890</v>
      </c>
      <c r="D2978" s="9">
        <v>45449</v>
      </c>
      <c r="E2978" s="13">
        <f>+HYPERLINK("http://trademark.i-assist.jp/data/china/image_1890th/77385946.pdf",77385946)</f>
        <v>77385946</v>
      </c>
      <c r="F2978" s="7" t="s">
        <v>8257</v>
      </c>
      <c r="G2978" s="7" t="s">
        <v>8256</v>
      </c>
      <c r="H2978" s="7" t="s">
        <v>8258</v>
      </c>
      <c r="I2978" s="9">
        <v>45370</v>
      </c>
    </row>
    <row r="2979" spans="1:9" x14ac:dyDescent="0.15">
      <c r="A2979" s="6">
        <v>2978</v>
      </c>
      <c r="B2979" s="7" t="s">
        <v>7</v>
      </c>
      <c r="C2979" s="8">
        <v>1890</v>
      </c>
      <c r="D2979" s="9">
        <v>45449</v>
      </c>
      <c r="E2979" s="13">
        <f>+HYPERLINK("http://trademark.i-assist.jp/data/china/image_1890th/77386016.pdf",77386016)</f>
        <v>77386016</v>
      </c>
      <c r="F2979" s="7" t="s">
        <v>8260</v>
      </c>
      <c r="G2979" s="7" t="s">
        <v>8259</v>
      </c>
      <c r="H2979" s="7" t="s">
        <v>8261</v>
      </c>
      <c r="I2979" s="9">
        <v>45370</v>
      </c>
    </row>
    <row r="2980" spans="1:9" x14ac:dyDescent="0.15">
      <c r="A2980" s="6">
        <v>2979</v>
      </c>
      <c r="B2980" s="7" t="s">
        <v>7</v>
      </c>
      <c r="C2980" s="8">
        <v>1890</v>
      </c>
      <c r="D2980" s="9">
        <v>45449</v>
      </c>
      <c r="E2980" s="13">
        <f>+HYPERLINK("http://trademark.i-assist.jp/data/china/image_1890th/77386172.pdf",77386172)</f>
        <v>77386172</v>
      </c>
      <c r="F2980" s="7" t="s">
        <v>8263</v>
      </c>
      <c r="G2980" s="7" t="s">
        <v>8262</v>
      </c>
      <c r="H2980" s="7" t="s">
        <v>8264</v>
      </c>
      <c r="I2980" s="9">
        <v>45370</v>
      </c>
    </row>
    <row r="2981" spans="1:9" x14ac:dyDescent="0.15">
      <c r="A2981" s="6">
        <v>2980</v>
      </c>
      <c r="B2981" s="7" t="s">
        <v>7</v>
      </c>
      <c r="C2981" s="8">
        <v>1890</v>
      </c>
      <c r="D2981" s="9">
        <v>45449</v>
      </c>
      <c r="E2981" s="13">
        <f>+HYPERLINK("http://trademark.i-assist.jp/data/china/image_1890th/77386211.pdf",77386211)</f>
        <v>77386211</v>
      </c>
      <c r="F2981" s="7" t="s">
        <v>8266</v>
      </c>
      <c r="G2981" s="7" t="s">
        <v>8265</v>
      </c>
      <c r="H2981" s="7" t="s">
        <v>8267</v>
      </c>
      <c r="I2981" s="9">
        <v>45370</v>
      </c>
    </row>
    <row r="2982" spans="1:9" x14ac:dyDescent="0.15">
      <c r="A2982" s="6">
        <v>2981</v>
      </c>
      <c r="B2982" s="7" t="s">
        <v>7</v>
      </c>
      <c r="C2982" s="8">
        <v>1890</v>
      </c>
      <c r="D2982" s="9">
        <v>45449</v>
      </c>
      <c r="E2982" s="13">
        <f>+HYPERLINK("http://trademark.i-assist.jp/data/china/image_1890th/77386401.pdf",77386401)</f>
        <v>77386401</v>
      </c>
      <c r="F2982" s="7" t="s">
        <v>8268</v>
      </c>
      <c r="G2982" s="7" t="s">
        <v>1943</v>
      </c>
      <c r="H2982" s="7" t="s">
        <v>8269</v>
      </c>
      <c r="I2982" s="9">
        <v>45370</v>
      </c>
    </row>
    <row r="2983" spans="1:9" x14ac:dyDescent="0.15">
      <c r="A2983" s="6">
        <v>2982</v>
      </c>
      <c r="B2983" s="7" t="s">
        <v>7</v>
      </c>
      <c r="C2983" s="8">
        <v>1890</v>
      </c>
      <c r="D2983" s="9">
        <v>45449</v>
      </c>
      <c r="E2983" s="13">
        <f>+HYPERLINK("http://trademark.i-assist.jp/data/china/image_1890th/77386506.pdf",77386506)</f>
        <v>77386506</v>
      </c>
      <c r="F2983" s="7" t="s">
        <v>183</v>
      </c>
      <c r="G2983" s="7" t="s">
        <v>8270</v>
      </c>
      <c r="H2983" s="7" t="s">
        <v>8271</v>
      </c>
      <c r="I2983" s="9">
        <v>45370</v>
      </c>
    </row>
    <row r="2984" spans="1:9" x14ac:dyDescent="0.15">
      <c r="A2984" s="6">
        <v>2983</v>
      </c>
      <c r="B2984" s="7" t="s">
        <v>7</v>
      </c>
      <c r="C2984" s="8">
        <v>1890</v>
      </c>
      <c r="D2984" s="9">
        <v>45449</v>
      </c>
      <c r="E2984" s="13">
        <f>+HYPERLINK("http://trademark.i-assist.jp/data/china/image_1890th/77386614.pdf",77386614)</f>
        <v>77386614</v>
      </c>
      <c r="F2984" s="7" t="s">
        <v>8273</v>
      </c>
      <c r="G2984" s="7" t="s">
        <v>8272</v>
      </c>
      <c r="H2984" s="7" t="s">
        <v>8274</v>
      </c>
      <c r="I2984" s="9">
        <v>45370</v>
      </c>
    </row>
    <row r="2985" spans="1:9" ht="27" x14ac:dyDescent="0.15">
      <c r="A2985" s="6">
        <v>2984</v>
      </c>
      <c r="B2985" s="7" t="s">
        <v>7</v>
      </c>
      <c r="C2985" s="8">
        <v>1890</v>
      </c>
      <c r="D2985" s="9">
        <v>45449</v>
      </c>
      <c r="E2985" s="13">
        <f>+HYPERLINK("http://trademark.i-assist.jp/data/china/image_1890th/77386721.pdf",77386721)</f>
        <v>77386721</v>
      </c>
      <c r="F2985" s="7" t="s">
        <v>8276</v>
      </c>
      <c r="G2985" s="7" t="s">
        <v>8275</v>
      </c>
      <c r="H2985" s="7" t="s">
        <v>8277</v>
      </c>
      <c r="I2985" s="9">
        <v>45370</v>
      </c>
    </row>
    <row r="2986" spans="1:9" x14ac:dyDescent="0.15">
      <c r="A2986" s="6">
        <v>2985</v>
      </c>
      <c r="B2986" s="7" t="s">
        <v>7</v>
      </c>
      <c r="C2986" s="8">
        <v>1890</v>
      </c>
      <c r="D2986" s="9">
        <v>45449</v>
      </c>
      <c r="E2986" s="13">
        <f>+HYPERLINK("http://trademark.i-assist.jp/data/china/image_1890th/77387009.pdf",77387009)</f>
        <v>77387009</v>
      </c>
      <c r="F2986" s="7" t="s">
        <v>8279</v>
      </c>
      <c r="G2986" s="7" t="s">
        <v>8278</v>
      </c>
      <c r="H2986" s="7" t="s">
        <v>8280</v>
      </c>
      <c r="I2986" s="9">
        <v>45370</v>
      </c>
    </row>
    <row r="2987" spans="1:9" x14ac:dyDescent="0.15">
      <c r="A2987" s="6">
        <v>2986</v>
      </c>
      <c r="B2987" s="7" t="s">
        <v>7</v>
      </c>
      <c r="C2987" s="8">
        <v>1890</v>
      </c>
      <c r="D2987" s="9">
        <v>45449</v>
      </c>
      <c r="E2987" s="13">
        <f>+HYPERLINK("http://trademark.i-assist.jp/data/china/image_1890th/77387176.pdf",77387176)</f>
        <v>77387176</v>
      </c>
      <c r="F2987" s="7" t="s">
        <v>8282</v>
      </c>
      <c r="G2987" s="7" t="s">
        <v>8281</v>
      </c>
      <c r="H2987" s="7" t="s">
        <v>8283</v>
      </c>
      <c r="I2987" s="9">
        <v>45370</v>
      </c>
    </row>
    <row r="2988" spans="1:9" x14ac:dyDescent="0.15">
      <c r="A2988" s="6">
        <v>2987</v>
      </c>
      <c r="B2988" s="7" t="s">
        <v>7</v>
      </c>
      <c r="C2988" s="8">
        <v>1890</v>
      </c>
      <c r="D2988" s="9">
        <v>45449</v>
      </c>
      <c r="E2988" s="13">
        <f>+HYPERLINK("http://trademark.i-assist.jp/data/china/image_1890th/77387297.pdf",77387297)</f>
        <v>77387297</v>
      </c>
      <c r="F2988" s="7" t="s">
        <v>8285</v>
      </c>
      <c r="G2988" s="7" t="s">
        <v>8284</v>
      </c>
      <c r="H2988" s="7" t="s">
        <v>8286</v>
      </c>
      <c r="I2988" s="9">
        <v>45370</v>
      </c>
    </row>
    <row r="2989" spans="1:9" x14ac:dyDescent="0.15">
      <c r="A2989" s="6">
        <v>2988</v>
      </c>
      <c r="B2989" s="7" t="s">
        <v>7</v>
      </c>
      <c r="C2989" s="8">
        <v>1890</v>
      </c>
      <c r="D2989" s="9">
        <v>45449</v>
      </c>
      <c r="E2989" s="13">
        <f>+HYPERLINK("http://trademark.i-assist.jp/data/china/image_1890th/77387321.pdf",77387321)</f>
        <v>77387321</v>
      </c>
      <c r="F2989" s="7" t="s">
        <v>8288</v>
      </c>
      <c r="G2989" s="7" t="s">
        <v>8287</v>
      </c>
      <c r="H2989" s="7" t="s">
        <v>8289</v>
      </c>
      <c r="I2989" s="9">
        <v>45370</v>
      </c>
    </row>
    <row r="2990" spans="1:9" x14ac:dyDescent="0.15">
      <c r="A2990" s="6">
        <v>2989</v>
      </c>
      <c r="B2990" s="7" t="s">
        <v>7</v>
      </c>
      <c r="C2990" s="8">
        <v>1890</v>
      </c>
      <c r="D2990" s="9">
        <v>45449</v>
      </c>
      <c r="E2990" s="13">
        <f>+HYPERLINK("http://trademark.i-assist.jp/data/china/image_1890th/77387346.pdf",77387346)</f>
        <v>77387346</v>
      </c>
      <c r="F2990" s="7" t="s">
        <v>8290</v>
      </c>
      <c r="G2990" s="7" t="s">
        <v>1461</v>
      </c>
      <c r="H2990" s="7" t="s">
        <v>8291</v>
      </c>
      <c r="I2990" s="9">
        <v>45370</v>
      </c>
    </row>
    <row r="2991" spans="1:9" ht="27" x14ac:dyDescent="0.15">
      <c r="A2991" s="6">
        <v>2990</v>
      </c>
      <c r="B2991" s="7" t="s">
        <v>7</v>
      </c>
      <c r="C2991" s="8">
        <v>1890</v>
      </c>
      <c r="D2991" s="9">
        <v>45449</v>
      </c>
      <c r="E2991" s="13">
        <f>+HYPERLINK("http://trademark.i-assist.jp/data/china/image_1890th/77387354.pdf",77387354)</f>
        <v>77387354</v>
      </c>
      <c r="F2991" s="7" t="s">
        <v>8292</v>
      </c>
      <c r="G2991" s="7" t="s">
        <v>3494</v>
      </c>
      <c r="H2991" s="7" t="s">
        <v>8293</v>
      </c>
      <c r="I2991" s="9">
        <v>45370</v>
      </c>
    </row>
    <row r="2992" spans="1:9" x14ac:dyDescent="0.15">
      <c r="A2992" s="6">
        <v>2991</v>
      </c>
      <c r="B2992" s="7" t="s">
        <v>7</v>
      </c>
      <c r="C2992" s="8">
        <v>1890</v>
      </c>
      <c r="D2992" s="9">
        <v>45449</v>
      </c>
      <c r="E2992" s="13">
        <f>+HYPERLINK("http://trademark.i-assist.jp/data/china/image_1890th/77387358.pdf",77387358)</f>
        <v>77387358</v>
      </c>
      <c r="F2992" s="7" t="s">
        <v>8295</v>
      </c>
      <c r="G2992" s="7" t="s">
        <v>8294</v>
      </c>
      <c r="H2992" s="7" t="s">
        <v>8296</v>
      </c>
      <c r="I2992" s="9">
        <v>45370</v>
      </c>
    </row>
    <row r="2993" spans="1:9" x14ac:dyDescent="0.15">
      <c r="A2993" s="6">
        <v>2992</v>
      </c>
      <c r="B2993" s="7" t="s">
        <v>7</v>
      </c>
      <c r="C2993" s="8">
        <v>1890</v>
      </c>
      <c r="D2993" s="9">
        <v>45449</v>
      </c>
      <c r="E2993" s="13">
        <f>+HYPERLINK("http://trademark.i-assist.jp/data/china/image_1890th/77387383.pdf",77387383)</f>
        <v>77387383</v>
      </c>
      <c r="F2993" s="7" t="s">
        <v>8298</v>
      </c>
      <c r="G2993" s="7" t="s">
        <v>8297</v>
      </c>
      <c r="H2993" s="7" t="s">
        <v>8299</v>
      </c>
      <c r="I2993" s="9">
        <v>45370</v>
      </c>
    </row>
    <row r="2994" spans="1:9" x14ac:dyDescent="0.15">
      <c r="A2994" s="6">
        <v>2993</v>
      </c>
      <c r="B2994" s="7" t="s">
        <v>7</v>
      </c>
      <c r="C2994" s="8">
        <v>1890</v>
      </c>
      <c r="D2994" s="9">
        <v>45449</v>
      </c>
      <c r="E2994" s="13">
        <f>+HYPERLINK("http://trademark.i-assist.jp/data/china/image_1890th/77387385.pdf",77387385)</f>
        <v>77387385</v>
      </c>
      <c r="F2994" s="7" t="s">
        <v>8301</v>
      </c>
      <c r="G2994" s="7" t="s">
        <v>8300</v>
      </c>
      <c r="H2994" s="7" t="s">
        <v>8302</v>
      </c>
      <c r="I2994" s="9">
        <v>45370</v>
      </c>
    </row>
    <row r="2995" spans="1:9" x14ac:dyDescent="0.15">
      <c r="A2995" s="6">
        <v>2994</v>
      </c>
      <c r="B2995" s="7" t="s">
        <v>7</v>
      </c>
      <c r="C2995" s="8">
        <v>1890</v>
      </c>
      <c r="D2995" s="9">
        <v>45449</v>
      </c>
      <c r="E2995" s="13">
        <f>+HYPERLINK("http://trademark.i-assist.jp/data/china/image_1890th/77387401.pdf",77387401)</f>
        <v>77387401</v>
      </c>
      <c r="F2995" s="7" t="s">
        <v>183</v>
      </c>
      <c r="G2995" s="7" t="s">
        <v>8303</v>
      </c>
      <c r="H2995" s="7" t="s">
        <v>8304</v>
      </c>
      <c r="I2995" s="9">
        <v>45370</v>
      </c>
    </row>
    <row r="2996" spans="1:9" x14ac:dyDescent="0.15">
      <c r="A2996" s="6">
        <v>2995</v>
      </c>
      <c r="B2996" s="7" t="s">
        <v>7</v>
      </c>
      <c r="C2996" s="8">
        <v>1890</v>
      </c>
      <c r="D2996" s="9">
        <v>45449</v>
      </c>
      <c r="E2996" s="13">
        <f>+HYPERLINK("http://trademark.i-assist.jp/data/china/image_1890th/77387415.pdf",77387415)</f>
        <v>77387415</v>
      </c>
      <c r="F2996" s="7" t="s">
        <v>8306</v>
      </c>
      <c r="G2996" s="7" t="s">
        <v>8305</v>
      </c>
      <c r="H2996" s="7" t="s">
        <v>8307</v>
      </c>
      <c r="I2996" s="9">
        <v>45370</v>
      </c>
    </row>
    <row r="2997" spans="1:9" x14ac:dyDescent="0.15">
      <c r="A2997" s="6">
        <v>2996</v>
      </c>
      <c r="B2997" s="7" t="s">
        <v>7</v>
      </c>
      <c r="C2997" s="8">
        <v>1890</v>
      </c>
      <c r="D2997" s="9">
        <v>45449</v>
      </c>
      <c r="E2997" s="13">
        <f>+HYPERLINK("http://trademark.i-assist.jp/data/china/image_1890th/77387448.pdf",77387448)</f>
        <v>77387448</v>
      </c>
      <c r="F2997" s="7" t="s">
        <v>8309</v>
      </c>
      <c r="G2997" s="7" t="s">
        <v>8308</v>
      </c>
      <c r="H2997" s="7" t="s">
        <v>8310</v>
      </c>
      <c r="I2997" s="9">
        <v>45370</v>
      </c>
    </row>
    <row r="2998" spans="1:9" x14ac:dyDescent="0.15">
      <c r="A2998" s="6">
        <v>2997</v>
      </c>
      <c r="B2998" s="7" t="s">
        <v>7</v>
      </c>
      <c r="C2998" s="8">
        <v>1890</v>
      </c>
      <c r="D2998" s="9">
        <v>45449</v>
      </c>
      <c r="E2998" s="13">
        <f>+HYPERLINK("http://trademark.i-assist.jp/data/china/image_1890th/77387691.pdf",77387691)</f>
        <v>77387691</v>
      </c>
      <c r="F2998" s="7" t="s">
        <v>8312</v>
      </c>
      <c r="G2998" s="7" t="s">
        <v>8311</v>
      </c>
      <c r="H2998" s="7" t="s">
        <v>8313</v>
      </c>
      <c r="I2998" s="9">
        <v>45370</v>
      </c>
    </row>
    <row r="2999" spans="1:9" x14ac:dyDescent="0.15">
      <c r="A2999" s="6">
        <v>2998</v>
      </c>
      <c r="B2999" s="7" t="s">
        <v>7</v>
      </c>
      <c r="C2999" s="8">
        <v>1890</v>
      </c>
      <c r="D2999" s="9">
        <v>45449</v>
      </c>
      <c r="E2999" s="13">
        <f>+HYPERLINK("http://trademark.i-assist.jp/data/china/image_1890th/77387694.pdf",77387694)</f>
        <v>77387694</v>
      </c>
      <c r="F2999" s="7" t="s">
        <v>8314</v>
      </c>
      <c r="G2999" s="7" t="s">
        <v>34</v>
      </c>
      <c r="H2999" s="7" t="s">
        <v>8315</v>
      </c>
      <c r="I2999" s="9">
        <v>45370</v>
      </c>
    </row>
    <row r="3000" spans="1:9" x14ac:dyDescent="0.15">
      <c r="A3000" s="6">
        <v>2999</v>
      </c>
      <c r="B3000" s="7" t="s">
        <v>7</v>
      </c>
      <c r="C3000" s="8">
        <v>1890</v>
      </c>
      <c r="D3000" s="9">
        <v>45449</v>
      </c>
      <c r="E3000" s="13">
        <f>+HYPERLINK("http://trademark.i-assist.jp/data/china/image_1890th/77387886.pdf",77387886)</f>
        <v>77387886</v>
      </c>
      <c r="F3000" s="7" t="s">
        <v>8317</v>
      </c>
      <c r="G3000" s="7" t="s">
        <v>8316</v>
      </c>
      <c r="H3000" s="7" t="s">
        <v>8318</v>
      </c>
      <c r="I3000" s="9">
        <v>45370</v>
      </c>
    </row>
    <row r="3001" spans="1:9" x14ac:dyDescent="0.15">
      <c r="A3001" s="6">
        <v>3000</v>
      </c>
      <c r="B3001" s="7" t="s">
        <v>7</v>
      </c>
      <c r="C3001" s="8">
        <v>1890</v>
      </c>
      <c r="D3001" s="9">
        <v>45449</v>
      </c>
      <c r="E3001" s="13">
        <f>+HYPERLINK("http://trademark.i-assist.jp/data/china/image_1890th/77388158.pdf",77388158)</f>
        <v>77388158</v>
      </c>
      <c r="F3001" s="7" t="s">
        <v>8320</v>
      </c>
      <c r="G3001" s="7" t="s">
        <v>8319</v>
      </c>
      <c r="H3001" s="7" t="s">
        <v>8321</v>
      </c>
      <c r="I3001" s="9">
        <v>45370</v>
      </c>
    </row>
    <row r="3002" spans="1:9" x14ac:dyDescent="0.15">
      <c r="A3002" s="6">
        <v>3001</v>
      </c>
      <c r="B3002" s="7" t="s">
        <v>7</v>
      </c>
      <c r="C3002" s="8">
        <v>1890</v>
      </c>
      <c r="D3002" s="9">
        <v>45449</v>
      </c>
      <c r="E3002" s="13">
        <f>+HYPERLINK("http://trademark.i-assist.jp/data/china/image_1890th/77388234.pdf",77388234)</f>
        <v>77388234</v>
      </c>
      <c r="F3002" s="7" t="s">
        <v>8322</v>
      </c>
      <c r="G3002" s="7" t="s">
        <v>7640</v>
      </c>
      <c r="H3002" s="7" t="s">
        <v>8323</v>
      </c>
      <c r="I3002" s="9">
        <v>45370</v>
      </c>
    </row>
    <row r="3003" spans="1:9" x14ac:dyDescent="0.15">
      <c r="A3003" s="6">
        <v>3002</v>
      </c>
      <c r="B3003" s="7" t="s">
        <v>7</v>
      </c>
      <c r="C3003" s="8">
        <v>1890</v>
      </c>
      <c r="D3003" s="9">
        <v>45449</v>
      </c>
      <c r="E3003" s="13">
        <f>+HYPERLINK("http://trademark.i-assist.jp/data/china/image_1890th/77388348.pdf",77388348)</f>
        <v>77388348</v>
      </c>
      <c r="F3003" s="7" t="s">
        <v>8325</v>
      </c>
      <c r="G3003" s="7" t="s">
        <v>8324</v>
      </c>
      <c r="H3003" s="7" t="s">
        <v>8326</v>
      </c>
      <c r="I3003" s="9">
        <v>45370</v>
      </c>
    </row>
    <row r="3004" spans="1:9" x14ac:dyDescent="0.15">
      <c r="A3004" s="6">
        <v>3003</v>
      </c>
      <c r="B3004" s="7" t="s">
        <v>7</v>
      </c>
      <c r="C3004" s="8">
        <v>1890</v>
      </c>
      <c r="D3004" s="9">
        <v>45449</v>
      </c>
      <c r="E3004" s="13">
        <f>+HYPERLINK("http://trademark.i-assist.jp/data/china/image_1890th/77388358.pdf",77388358)</f>
        <v>77388358</v>
      </c>
      <c r="F3004" s="7" t="s">
        <v>8328</v>
      </c>
      <c r="G3004" s="7" t="s">
        <v>8327</v>
      </c>
      <c r="H3004" s="7" t="s">
        <v>8329</v>
      </c>
      <c r="I3004" s="9">
        <v>45370</v>
      </c>
    </row>
    <row r="3005" spans="1:9" x14ac:dyDescent="0.15">
      <c r="A3005" s="6">
        <v>3004</v>
      </c>
      <c r="B3005" s="7" t="s">
        <v>7</v>
      </c>
      <c r="C3005" s="8">
        <v>1890</v>
      </c>
      <c r="D3005" s="9">
        <v>45449</v>
      </c>
      <c r="E3005" s="13">
        <f>+HYPERLINK("http://trademark.i-assist.jp/data/china/image_1890th/77388380.pdf",77388380)</f>
        <v>77388380</v>
      </c>
      <c r="F3005" s="7" t="s">
        <v>183</v>
      </c>
      <c r="G3005" s="7" t="s">
        <v>8330</v>
      </c>
      <c r="H3005" s="7" t="s">
        <v>8331</v>
      </c>
      <c r="I3005" s="9">
        <v>45370</v>
      </c>
    </row>
    <row r="3006" spans="1:9" x14ac:dyDescent="0.15">
      <c r="A3006" s="6">
        <v>3005</v>
      </c>
      <c r="B3006" s="7" t="s">
        <v>7</v>
      </c>
      <c r="C3006" s="8">
        <v>1890</v>
      </c>
      <c r="D3006" s="9">
        <v>45449</v>
      </c>
      <c r="E3006" s="13">
        <f>+HYPERLINK("http://trademark.i-assist.jp/data/china/image_1890th/77388411.pdf",77388411)</f>
        <v>77388411</v>
      </c>
      <c r="F3006" s="7" t="s">
        <v>8332</v>
      </c>
      <c r="G3006" s="7" t="s">
        <v>2055</v>
      </c>
      <c r="H3006" s="7" t="s">
        <v>8333</v>
      </c>
      <c r="I3006" s="9">
        <v>45370</v>
      </c>
    </row>
    <row r="3007" spans="1:9" x14ac:dyDescent="0.15">
      <c r="A3007" s="6">
        <v>3006</v>
      </c>
      <c r="B3007" s="7" t="s">
        <v>7</v>
      </c>
      <c r="C3007" s="8">
        <v>1890</v>
      </c>
      <c r="D3007" s="9">
        <v>45449</v>
      </c>
      <c r="E3007" s="13">
        <f>+HYPERLINK("http://trademark.i-assist.jp/data/china/image_1890th/77388459.pdf",77388459)</f>
        <v>77388459</v>
      </c>
      <c r="F3007" s="7" t="s">
        <v>8335</v>
      </c>
      <c r="G3007" s="7" t="s">
        <v>8334</v>
      </c>
      <c r="H3007" s="7" t="s">
        <v>8336</v>
      </c>
      <c r="I3007" s="9">
        <v>45370</v>
      </c>
    </row>
    <row r="3008" spans="1:9" x14ac:dyDescent="0.15">
      <c r="A3008" s="6">
        <v>3007</v>
      </c>
      <c r="B3008" s="7" t="s">
        <v>7</v>
      </c>
      <c r="C3008" s="8">
        <v>1890</v>
      </c>
      <c r="D3008" s="9">
        <v>45449</v>
      </c>
      <c r="E3008" s="13">
        <f>+HYPERLINK("http://trademark.i-assist.jp/data/china/image_1890th/77388482.pdf",77388482)</f>
        <v>77388482</v>
      </c>
      <c r="F3008" s="7" t="s">
        <v>8338</v>
      </c>
      <c r="G3008" s="7" t="s">
        <v>8337</v>
      </c>
      <c r="H3008" s="7" t="s">
        <v>8339</v>
      </c>
      <c r="I3008" s="9">
        <v>45370</v>
      </c>
    </row>
    <row r="3009" spans="1:9" ht="27" x14ac:dyDescent="0.15">
      <c r="A3009" s="6">
        <v>3008</v>
      </c>
      <c r="B3009" s="7" t="s">
        <v>7</v>
      </c>
      <c r="C3009" s="8">
        <v>1890</v>
      </c>
      <c r="D3009" s="9">
        <v>45449</v>
      </c>
      <c r="E3009" s="13">
        <f>+HYPERLINK("http://trademark.i-assist.jp/data/china/image_1890th/77388563.pdf",77388563)</f>
        <v>77388563</v>
      </c>
      <c r="F3009" s="7" t="s">
        <v>8340</v>
      </c>
      <c r="G3009" s="7" t="s">
        <v>1328</v>
      </c>
      <c r="H3009" s="7" t="s">
        <v>8341</v>
      </c>
      <c r="I3009" s="9">
        <v>45370</v>
      </c>
    </row>
    <row r="3010" spans="1:9" x14ac:dyDescent="0.15">
      <c r="A3010" s="6">
        <v>3009</v>
      </c>
      <c r="B3010" s="7" t="s">
        <v>7</v>
      </c>
      <c r="C3010" s="8">
        <v>1890</v>
      </c>
      <c r="D3010" s="9">
        <v>45449</v>
      </c>
      <c r="E3010" s="13">
        <f>+HYPERLINK("http://trademark.i-assist.jp/data/china/image_1890th/77388631.pdf",77388631)</f>
        <v>77388631</v>
      </c>
      <c r="F3010" s="7" t="s">
        <v>8342</v>
      </c>
      <c r="G3010" s="7" t="s">
        <v>1943</v>
      </c>
      <c r="H3010" s="7" t="s">
        <v>8343</v>
      </c>
      <c r="I3010" s="9">
        <v>45370</v>
      </c>
    </row>
    <row r="3011" spans="1:9" x14ac:dyDescent="0.15">
      <c r="A3011" s="6">
        <v>3010</v>
      </c>
      <c r="B3011" s="7" t="s">
        <v>7</v>
      </c>
      <c r="C3011" s="8">
        <v>1890</v>
      </c>
      <c r="D3011" s="9">
        <v>45449</v>
      </c>
      <c r="E3011" s="13">
        <f>+HYPERLINK("http://trademark.i-assist.jp/data/china/image_1890th/77390792.pdf",77390792)</f>
        <v>77390792</v>
      </c>
      <c r="F3011" s="7" t="s">
        <v>8345</v>
      </c>
      <c r="G3011" s="7" t="s">
        <v>8344</v>
      </c>
      <c r="H3011" s="7" t="s">
        <v>8346</v>
      </c>
      <c r="I3011" s="9">
        <v>45370</v>
      </c>
    </row>
    <row r="3012" spans="1:9" x14ac:dyDescent="0.15">
      <c r="A3012" s="6">
        <v>3011</v>
      </c>
      <c r="B3012" s="7" t="s">
        <v>7</v>
      </c>
      <c r="C3012" s="8">
        <v>1890</v>
      </c>
      <c r="D3012" s="9">
        <v>45449</v>
      </c>
      <c r="E3012" s="13">
        <f>+HYPERLINK("http://trademark.i-assist.jp/data/china/image_1890th/77390841.pdf",77390841)</f>
        <v>77390841</v>
      </c>
      <c r="F3012" s="7" t="s">
        <v>8348</v>
      </c>
      <c r="G3012" s="7" t="s">
        <v>8347</v>
      </c>
      <c r="H3012" s="7" t="s">
        <v>8349</v>
      </c>
      <c r="I3012" s="9">
        <v>45370</v>
      </c>
    </row>
    <row r="3013" spans="1:9" ht="27" x14ac:dyDescent="0.15">
      <c r="A3013" s="6">
        <v>3012</v>
      </c>
      <c r="B3013" s="7" t="s">
        <v>7</v>
      </c>
      <c r="C3013" s="8">
        <v>1890</v>
      </c>
      <c r="D3013" s="9">
        <v>45449</v>
      </c>
      <c r="E3013" s="13">
        <f>+HYPERLINK("http://trademark.i-assist.jp/data/china/image_1890th/77390896.pdf",77390896)</f>
        <v>77390896</v>
      </c>
      <c r="F3013" s="7" t="s">
        <v>8351</v>
      </c>
      <c r="G3013" s="7" t="s">
        <v>8350</v>
      </c>
      <c r="H3013" s="7" t="s">
        <v>8352</v>
      </c>
      <c r="I3013" s="9">
        <v>45370</v>
      </c>
    </row>
    <row r="3014" spans="1:9" x14ac:dyDescent="0.15">
      <c r="A3014" s="6">
        <v>3013</v>
      </c>
      <c r="B3014" s="7" t="s">
        <v>7</v>
      </c>
      <c r="C3014" s="8">
        <v>1890</v>
      </c>
      <c r="D3014" s="9">
        <v>45449</v>
      </c>
      <c r="E3014" s="13">
        <f>+HYPERLINK("http://trademark.i-assist.jp/data/china/image_1890th/77390913.pdf",77390913)</f>
        <v>77390913</v>
      </c>
      <c r="F3014" s="7" t="s">
        <v>8354</v>
      </c>
      <c r="G3014" s="7" t="s">
        <v>8353</v>
      </c>
      <c r="H3014" s="7" t="s">
        <v>8355</v>
      </c>
      <c r="I3014" s="9">
        <v>45370</v>
      </c>
    </row>
    <row r="3015" spans="1:9" x14ac:dyDescent="0.15">
      <c r="A3015" s="6">
        <v>3014</v>
      </c>
      <c r="B3015" s="7" t="s">
        <v>7</v>
      </c>
      <c r="C3015" s="8">
        <v>1890</v>
      </c>
      <c r="D3015" s="9">
        <v>45449</v>
      </c>
      <c r="E3015" s="13">
        <f>+HYPERLINK("http://trademark.i-assist.jp/data/china/image_1890th/77391008.pdf",77391008)</f>
        <v>77391008</v>
      </c>
      <c r="F3015" s="7" t="s">
        <v>8357</v>
      </c>
      <c r="G3015" s="7" t="s">
        <v>8356</v>
      </c>
      <c r="H3015" s="7" t="s">
        <v>8358</v>
      </c>
      <c r="I3015" s="9">
        <v>45370</v>
      </c>
    </row>
    <row r="3016" spans="1:9" x14ac:dyDescent="0.15">
      <c r="A3016" s="6">
        <v>3015</v>
      </c>
      <c r="B3016" s="7" t="s">
        <v>7</v>
      </c>
      <c r="C3016" s="8">
        <v>1890</v>
      </c>
      <c r="D3016" s="9">
        <v>45449</v>
      </c>
      <c r="E3016" s="13">
        <f>+HYPERLINK("http://trademark.i-assist.jp/data/china/image_1890th/77391348.pdf",77391348)</f>
        <v>77391348</v>
      </c>
      <c r="F3016" s="7" t="s">
        <v>8360</v>
      </c>
      <c r="G3016" s="7" t="s">
        <v>8359</v>
      </c>
      <c r="H3016" s="7" t="s">
        <v>8361</v>
      </c>
      <c r="I3016" s="9">
        <v>45370</v>
      </c>
    </row>
    <row r="3017" spans="1:9" x14ac:dyDescent="0.15">
      <c r="A3017" s="6">
        <v>3016</v>
      </c>
      <c r="B3017" s="7" t="s">
        <v>7</v>
      </c>
      <c r="C3017" s="8">
        <v>1890</v>
      </c>
      <c r="D3017" s="9">
        <v>45449</v>
      </c>
      <c r="E3017" s="13">
        <f>+HYPERLINK("http://trademark.i-assist.jp/data/china/image_1890th/77391396.pdf",77391396)</f>
        <v>77391396</v>
      </c>
      <c r="F3017" s="7" t="s">
        <v>8362</v>
      </c>
      <c r="G3017" s="7" t="s">
        <v>5357</v>
      </c>
      <c r="H3017" s="7" t="s">
        <v>8363</v>
      </c>
      <c r="I3017" s="9">
        <v>45370</v>
      </c>
    </row>
    <row r="3018" spans="1:9" x14ac:dyDescent="0.15">
      <c r="A3018" s="6">
        <v>3017</v>
      </c>
      <c r="B3018" s="7" t="s">
        <v>7</v>
      </c>
      <c r="C3018" s="8">
        <v>1890</v>
      </c>
      <c r="D3018" s="9">
        <v>45449</v>
      </c>
      <c r="E3018" s="13">
        <f>+HYPERLINK("http://trademark.i-assist.jp/data/china/image_1890th/77391471.pdf",77391471)</f>
        <v>77391471</v>
      </c>
      <c r="F3018" s="7" t="s">
        <v>8365</v>
      </c>
      <c r="G3018" s="7" t="s">
        <v>8364</v>
      </c>
      <c r="H3018" s="7" t="s">
        <v>8366</v>
      </c>
      <c r="I3018" s="9">
        <v>45370</v>
      </c>
    </row>
    <row r="3019" spans="1:9" ht="27" x14ac:dyDescent="0.15">
      <c r="A3019" s="6">
        <v>3018</v>
      </c>
      <c r="B3019" s="7" t="s">
        <v>7</v>
      </c>
      <c r="C3019" s="8">
        <v>1890</v>
      </c>
      <c r="D3019" s="9">
        <v>45449</v>
      </c>
      <c r="E3019" s="13">
        <f>+HYPERLINK("http://trademark.i-assist.jp/data/china/image_1890th/77391500.pdf",77391500)</f>
        <v>77391500</v>
      </c>
      <c r="F3019" s="7" t="s">
        <v>8368</v>
      </c>
      <c r="G3019" s="7" t="s">
        <v>8367</v>
      </c>
      <c r="H3019" s="7" t="s">
        <v>8369</v>
      </c>
      <c r="I3019" s="9">
        <v>45370</v>
      </c>
    </row>
    <row r="3020" spans="1:9" x14ac:dyDescent="0.15">
      <c r="A3020" s="6">
        <v>3019</v>
      </c>
      <c r="B3020" s="7" t="s">
        <v>7</v>
      </c>
      <c r="C3020" s="8">
        <v>1890</v>
      </c>
      <c r="D3020" s="9">
        <v>45449</v>
      </c>
      <c r="E3020" s="13">
        <f>+HYPERLINK("http://trademark.i-assist.jp/data/china/image_1890th/77391509.pdf",77391509)</f>
        <v>77391509</v>
      </c>
      <c r="F3020" s="7" t="s">
        <v>8371</v>
      </c>
      <c r="G3020" s="7" t="s">
        <v>8370</v>
      </c>
      <c r="H3020" s="7" t="s">
        <v>8372</v>
      </c>
      <c r="I3020" s="9">
        <v>45370</v>
      </c>
    </row>
    <row r="3021" spans="1:9" x14ac:dyDescent="0.15">
      <c r="A3021" s="6">
        <v>3020</v>
      </c>
      <c r="B3021" s="7" t="s">
        <v>7</v>
      </c>
      <c r="C3021" s="8">
        <v>1890</v>
      </c>
      <c r="D3021" s="9">
        <v>45449</v>
      </c>
      <c r="E3021" s="13">
        <f>+HYPERLINK("http://trademark.i-assist.jp/data/china/image_1890th/77391617.pdf",77391617)</f>
        <v>77391617</v>
      </c>
      <c r="F3021" s="7" t="s">
        <v>8374</v>
      </c>
      <c r="G3021" s="7" t="s">
        <v>8373</v>
      </c>
      <c r="H3021" s="7" t="s">
        <v>8375</v>
      </c>
      <c r="I3021" s="9">
        <v>45370</v>
      </c>
    </row>
    <row r="3022" spans="1:9" ht="27" x14ac:dyDescent="0.15">
      <c r="A3022" s="6">
        <v>3021</v>
      </c>
      <c r="B3022" s="7" t="s">
        <v>7</v>
      </c>
      <c r="C3022" s="8">
        <v>1890</v>
      </c>
      <c r="D3022" s="9">
        <v>45449</v>
      </c>
      <c r="E3022" s="13">
        <f>+HYPERLINK("http://trademark.i-assist.jp/data/china/image_1890th/77391676.pdf",77391676)</f>
        <v>77391676</v>
      </c>
      <c r="F3022" s="7" t="s">
        <v>8377</v>
      </c>
      <c r="G3022" s="7" t="s">
        <v>8376</v>
      </c>
      <c r="H3022" s="7" t="s">
        <v>8378</v>
      </c>
      <c r="I3022" s="9">
        <v>45370</v>
      </c>
    </row>
    <row r="3023" spans="1:9" x14ac:dyDescent="0.15">
      <c r="A3023" s="6">
        <v>3022</v>
      </c>
      <c r="B3023" s="7" t="s">
        <v>7</v>
      </c>
      <c r="C3023" s="8">
        <v>1890</v>
      </c>
      <c r="D3023" s="9">
        <v>45449</v>
      </c>
      <c r="E3023" s="13">
        <f>+HYPERLINK("http://trademark.i-assist.jp/data/china/image_1890th/77391835.pdf",77391835)</f>
        <v>77391835</v>
      </c>
      <c r="F3023" s="7" t="s">
        <v>8380</v>
      </c>
      <c r="G3023" s="7" t="s">
        <v>8379</v>
      </c>
      <c r="H3023" s="7" t="s">
        <v>8381</v>
      </c>
      <c r="I3023" s="9">
        <v>45370</v>
      </c>
    </row>
    <row r="3024" spans="1:9" x14ac:dyDescent="0.15">
      <c r="A3024" s="6">
        <v>3023</v>
      </c>
      <c r="B3024" s="7" t="s">
        <v>7</v>
      </c>
      <c r="C3024" s="8">
        <v>1890</v>
      </c>
      <c r="D3024" s="9">
        <v>45449</v>
      </c>
      <c r="E3024" s="13">
        <f>+HYPERLINK("http://trademark.i-assist.jp/data/china/image_1890th/77391836.pdf",77391836)</f>
        <v>77391836</v>
      </c>
      <c r="F3024" s="7" t="s">
        <v>8383</v>
      </c>
      <c r="G3024" s="7" t="s">
        <v>8382</v>
      </c>
      <c r="H3024" s="7" t="s">
        <v>8384</v>
      </c>
      <c r="I3024" s="9">
        <v>45370</v>
      </c>
    </row>
    <row r="3025" spans="1:9" x14ac:dyDescent="0.15">
      <c r="A3025" s="6">
        <v>3024</v>
      </c>
      <c r="B3025" s="7" t="s">
        <v>7</v>
      </c>
      <c r="C3025" s="8">
        <v>1890</v>
      </c>
      <c r="D3025" s="9">
        <v>45449</v>
      </c>
      <c r="E3025" s="13">
        <f>+HYPERLINK("http://trademark.i-assist.jp/data/china/image_1890th/77438778.pdf",77438778)</f>
        <v>77438778</v>
      </c>
      <c r="F3025" s="7" t="s">
        <v>8386</v>
      </c>
      <c r="G3025" s="7" t="s">
        <v>8385</v>
      </c>
      <c r="H3025" s="7" t="s">
        <v>8387</v>
      </c>
      <c r="I3025" s="9">
        <v>45371</v>
      </c>
    </row>
    <row r="3026" spans="1:9" x14ac:dyDescent="0.15">
      <c r="A3026" s="6">
        <v>3025</v>
      </c>
      <c r="B3026" s="7" t="s">
        <v>7</v>
      </c>
      <c r="C3026" s="8">
        <v>1890</v>
      </c>
      <c r="D3026" s="9">
        <v>45449</v>
      </c>
      <c r="E3026" s="13">
        <f>+HYPERLINK("http://trademark.i-assist.jp/data/china/image_1890th/77438853.pdf",77438853)</f>
        <v>77438853</v>
      </c>
      <c r="F3026" s="7" t="s">
        <v>8389</v>
      </c>
      <c r="G3026" s="7" t="s">
        <v>8388</v>
      </c>
      <c r="H3026" s="7" t="s">
        <v>8390</v>
      </c>
      <c r="I3026" s="9">
        <v>45371</v>
      </c>
    </row>
    <row r="3027" spans="1:9" x14ac:dyDescent="0.15">
      <c r="A3027" s="6">
        <v>3026</v>
      </c>
      <c r="B3027" s="7" t="s">
        <v>7</v>
      </c>
      <c r="C3027" s="8">
        <v>1890</v>
      </c>
      <c r="D3027" s="9">
        <v>45449</v>
      </c>
      <c r="E3027" s="13">
        <f>+HYPERLINK("http://trademark.i-assist.jp/data/china/image_1890th/77438919.pdf",77438919)</f>
        <v>77438919</v>
      </c>
      <c r="F3027" s="7" t="s">
        <v>8392</v>
      </c>
      <c r="G3027" s="7" t="s">
        <v>8391</v>
      </c>
      <c r="H3027" s="7" t="s">
        <v>8393</v>
      </c>
      <c r="I3027" s="9">
        <v>45371</v>
      </c>
    </row>
    <row r="3028" spans="1:9" x14ac:dyDescent="0.15">
      <c r="A3028" s="6">
        <v>3027</v>
      </c>
      <c r="B3028" s="7" t="s">
        <v>7</v>
      </c>
      <c r="C3028" s="8">
        <v>1890</v>
      </c>
      <c r="D3028" s="9">
        <v>45449</v>
      </c>
      <c r="E3028" s="13">
        <f>+HYPERLINK("http://trademark.i-assist.jp/data/china/image_1890th/77439067.pdf",77439067)</f>
        <v>77439067</v>
      </c>
      <c r="F3028" s="7" t="s">
        <v>8395</v>
      </c>
      <c r="G3028" s="7" t="s">
        <v>8394</v>
      </c>
      <c r="H3028" s="7" t="s">
        <v>8396</v>
      </c>
      <c r="I3028" s="9">
        <v>45371</v>
      </c>
    </row>
    <row r="3029" spans="1:9" ht="27" x14ac:dyDescent="0.15">
      <c r="A3029" s="6">
        <v>3028</v>
      </c>
      <c r="B3029" s="7" t="s">
        <v>7</v>
      </c>
      <c r="C3029" s="8">
        <v>1890</v>
      </c>
      <c r="D3029" s="9">
        <v>45449</v>
      </c>
      <c r="E3029" s="13">
        <f>+HYPERLINK("http://trademark.i-assist.jp/data/china/image_1890th/77439136.pdf",77439136)</f>
        <v>77439136</v>
      </c>
      <c r="F3029" s="7" t="s">
        <v>8398</v>
      </c>
      <c r="G3029" s="7" t="s">
        <v>8397</v>
      </c>
      <c r="H3029" s="7" t="s">
        <v>8399</v>
      </c>
      <c r="I3029" s="9">
        <v>45371</v>
      </c>
    </row>
    <row r="3030" spans="1:9" ht="27" x14ac:dyDescent="0.15">
      <c r="A3030" s="6">
        <v>3029</v>
      </c>
      <c r="B3030" s="7" t="s">
        <v>7</v>
      </c>
      <c r="C3030" s="8">
        <v>1890</v>
      </c>
      <c r="D3030" s="9">
        <v>45449</v>
      </c>
      <c r="E3030" s="13">
        <f>+HYPERLINK("http://trademark.i-assist.jp/data/china/image_1890th/77439146.pdf",77439146)</f>
        <v>77439146</v>
      </c>
      <c r="F3030" s="7" t="s">
        <v>183</v>
      </c>
      <c r="G3030" s="7" t="s">
        <v>8400</v>
      </c>
      <c r="H3030" s="7" t="s">
        <v>8401</v>
      </c>
      <c r="I3030" s="9">
        <v>45371</v>
      </c>
    </row>
    <row r="3031" spans="1:9" x14ac:dyDescent="0.15">
      <c r="A3031" s="6">
        <v>3030</v>
      </c>
      <c r="B3031" s="7" t="s">
        <v>7</v>
      </c>
      <c r="C3031" s="8">
        <v>1890</v>
      </c>
      <c r="D3031" s="9">
        <v>45449</v>
      </c>
      <c r="E3031" s="13">
        <f>+HYPERLINK("http://trademark.i-assist.jp/data/china/image_1890th/77439183.pdf",77439183)</f>
        <v>77439183</v>
      </c>
      <c r="F3031" s="7" t="s">
        <v>8403</v>
      </c>
      <c r="G3031" s="7" t="s">
        <v>8402</v>
      </c>
      <c r="H3031" s="7" t="s">
        <v>8404</v>
      </c>
      <c r="I3031" s="9">
        <v>45371</v>
      </c>
    </row>
    <row r="3032" spans="1:9" x14ac:dyDescent="0.15">
      <c r="A3032" s="6">
        <v>3031</v>
      </c>
      <c r="B3032" s="7" t="s">
        <v>7</v>
      </c>
      <c r="C3032" s="8">
        <v>1890</v>
      </c>
      <c r="D3032" s="9">
        <v>45449</v>
      </c>
      <c r="E3032" s="13">
        <f>+HYPERLINK("http://trademark.i-assist.jp/data/china/image_1890th/77439188.pdf",77439188)</f>
        <v>77439188</v>
      </c>
      <c r="F3032" s="7" t="s">
        <v>8405</v>
      </c>
      <c r="G3032" s="7" t="s">
        <v>8402</v>
      </c>
      <c r="H3032" s="7" t="s">
        <v>8406</v>
      </c>
      <c r="I3032" s="9">
        <v>45371</v>
      </c>
    </row>
    <row r="3033" spans="1:9" x14ac:dyDescent="0.15">
      <c r="A3033" s="6">
        <v>3032</v>
      </c>
      <c r="B3033" s="7" t="s">
        <v>7</v>
      </c>
      <c r="C3033" s="8">
        <v>1890</v>
      </c>
      <c r="D3033" s="9">
        <v>45449</v>
      </c>
      <c r="E3033" s="13">
        <f>+HYPERLINK("http://trademark.i-assist.jp/data/china/image_1890th/77439197.pdf",77439197)</f>
        <v>77439197</v>
      </c>
      <c r="F3033" s="7" t="s">
        <v>8407</v>
      </c>
      <c r="G3033" s="7" t="s">
        <v>851</v>
      </c>
      <c r="H3033" s="7" t="s">
        <v>8408</v>
      </c>
      <c r="I3033" s="9">
        <v>45371</v>
      </c>
    </row>
    <row r="3034" spans="1:9" x14ac:dyDescent="0.15">
      <c r="A3034" s="6">
        <v>3033</v>
      </c>
      <c r="B3034" s="7" t="s">
        <v>7</v>
      </c>
      <c r="C3034" s="8">
        <v>1890</v>
      </c>
      <c r="D3034" s="9">
        <v>45449</v>
      </c>
      <c r="E3034" s="13">
        <f>+HYPERLINK("http://trademark.i-assist.jp/data/china/image_1890th/77439225.pdf",77439225)</f>
        <v>77439225</v>
      </c>
      <c r="F3034" s="7" t="s">
        <v>8409</v>
      </c>
      <c r="G3034" s="7" t="s">
        <v>2199</v>
      </c>
      <c r="H3034" s="7" t="s">
        <v>8410</v>
      </c>
      <c r="I3034" s="9">
        <v>45371</v>
      </c>
    </row>
    <row r="3035" spans="1:9" x14ac:dyDescent="0.15">
      <c r="A3035" s="6">
        <v>3034</v>
      </c>
      <c r="B3035" s="7" t="s">
        <v>7</v>
      </c>
      <c r="C3035" s="8">
        <v>1890</v>
      </c>
      <c r="D3035" s="9">
        <v>45449</v>
      </c>
      <c r="E3035" s="13">
        <f>+HYPERLINK("http://trademark.i-assist.jp/data/china/image_1890th/77439260.pdf",77439260)</f>
        <v>77439260</v>
      </c>
      <c r="F3035" s="7" t="s">
        <v>183</v>
      </c>
      <c r="G3035" s="7" t="s">
        <v>8411</v>
      </c>
      <c r="H3035" s="7" t="s">
        <v>8412</v>
      </c>
      <c r="I3035" s="9">
        <v>45371</v>
      </c>
    </row>
    <row r="3036" spans="1:9" ht="27" x14ac:dyDescent="0.15">
      <c r="A3036" s="6">
        <v>3035</v>
      </c>
      <c r="B3036" s="7" t="s">
        <v>7</v>
      </c>
      <c r="C3036" s="8">
        <v>1890</v>
      </c>
      <c r="D3036" s="9">
        <v>45449</v>
      </c>
      <c r="E3036" s="13">
        <f>+HYPERLINK("http://trademark.i-assist.jp/data/china/image_1890th/77439416.pdf",77439416)</f>
        <v>77439416</v>
      </c>
      <c r="F3036" s="7" t="s">
        <v>8414</v>
      </c>
      <c r="G3036" s="7" t="s">
        <v>8413</v>
      </c>
      <c r="H3036" s="7" t="s">
        <v>8415</v>
      </c>
      <c r="I3036" s="9">
        <v>45371</v>
      </c>
    </row>
    <row r="3037" spans="1:9" x14ac:dyDescent="0.15">
      <c r="A3037" s="6">
        <v>3036</v>
      </c>
      <c r="B3037" s="7" t="s">
        <v>7</v>
      </c>
      <c r="C3037" s="8">
        <v>1890</v>
      </c>
      <c r="D3037" s="9">
        <v>45449</v>
      </c>
      <c r="E3037" s="13">
        <f>+HYPERLINK("http://trademark.i-assist.jp/data/china/image_1890th/77439468.pdf",77439468)</f>
        <v>77439468</v>
      </c>
      <c r="F3037" s="7" t="s">
        <v>8416</v>
      </c>
      <c r="G3037" s="7" t="s">
        <v>5368</v>
      </c>
      <c r="H3037" s="7" t="s">
        <v>8417</v>
      </c>
      <c r="I3037" s="9">
        <v>45371</v>
      </c>
    </row>
    <row r="3038" spans="1:9" x14ac:dyDescent="0.15">
      <c r="A3038" s="6">
        <v>3037</v>
      </c>
      <c r="B3038" s="7" t="s">
        <v>7</v>
      </c>
      <c r="C3038" s="8">
        <v>1890</v>
      </c>
      <c r="D3038" s="9">
        <v>45449</v>
      </c>
      <c r="E3038" s="13">
        <f>+HYPERLINK("http://trademark.i-assist.jp/data/china/image_1890th/77439535.pdf",77439535)</f>
        <v>77439535</v>
      </c>
      <c r="F3038" s="7" t="s">
        <v>8419</v>
      </c>
      <c r="G3038" s="7" t="s">
        <v>8418</v>
      </c>
      <c r="H3038" s="7" t="s">
        <v>8420</v>
      </c>
      <c r="I3038" s="9">
        <v>45371</v>
      </c>
    </row>
    <row r="3039" spans="1:9" ht="27" x14ac:dyDescent="0.15">
      <c r="A3039" s="6">
        <v>3038</v>
      </c>
      <c r="B3039" s="7" t="s">
        <v>7</v>
      </c>
      <c r="C3039" s="8">
        <v>1890</v>
      </c>
      <c r="D3039" s="9">
        <v>45449</v>
      </c>
      <c r="E3039" s="13">
        <f>+HYPERLINK("http://trademark.i-assist.jp/data/china/image_1890th/77494151.pdf",77494151)</f>
        <v>77494151</v>
      </c>
      <c r="F3039" s="7" t="s">
        <v>8422</v>
      </c>
      <c r="G3039" s="7" t="s">
        <v>8421</v>
      </c>
      <c r="H3039" s="7" t="s">
        <v>8423</v>
      </c>
      <c r="I3039" s="9">
        <v>45376</v>
      </c>
    </row>
    <row r="3040" spans="1:9" x14ac:dyDescent="0.15">
      <c r="A3040" s="6">
        <v>3039</v>
      </c>
      <c r="B3040" s="7" t="s">
        <v>7</v>
      </c>
      <c r="C3040" s="8">
        <v>1890</v>
      </c>
      <c r="D3040" s="9">
        <v>45449</v>
      </c>
      <c r="E3040" s="13">
        <f>+HYPERLINK("http://trademark.i-assist.jp/data/china/image_1890th/77494180.pdf",77494180)</f>
        <v>77494180</v>
      </c>
      <c r="F3040" s="7" t="s">
        <v>8425</v>
      </c>
      <c r="G3040" s="7" t="s">
        <v>8424</v>
      </c>
      <c r="H3040" s="7" t="s">
        <v>8426</v>
      </c>
      <c r="I3040" s="9">
        <v>45376</v>
      </c>
    </row>
    <row r="3041" spans="1:9" x14ac:dyDescent="0.15">
      <c r="A3041" s="6">
        <v>3040</v>
      </c>
      <c r="B3041" s="7" t="s">
        <v>7</v>
      </c>
      <c r="C3041" s="8">
        <v>1890</v>
      </c>
      <c r="D3041" s="9">
        <v>45449</v>
      </c>
      <c r="E3041" s="13">
        <f>+HYPERLINK("http://trademark.i-assist.jp/data/china/image_1890th/77494201.pdf",77494201)</f>
        <v>77494201</v>
      </c>
      <c r="F3041" s="7" t="s">
        <v>8428</v>
      </c>
      <c r="G3041" s="7" t="s">
        <v>8427</v>
      </c>
      <c r="H3041" s="7" t="s">
        <v>8429</v>
      </c>
      <c r="I3041" s="9">
        <v>45376</v>
      </c>
    </row>
    <row r="3042" spans="1:9" x14ac:dyDescent="0.15">
      <c r="A3042" s="6">
        <v>3041</v>
      </c>
      <c r="B3042" s="7" t="s">
        <v>7</v>
      </c>
      <c r="C3042" s="8">
        <v>1890</v>
      </c>
      <c r="D3042" s="9">
        <v>45449</v>
      </c>
      <c r="E3042" s="13">
        <f>+HYPERLINK("http://trademark.i-assist.jp/data/china/image_1890th/77494214.pdf",77494214)</f>
        <v>77494214</v>
      </c>
      <c r="F3042" s="7" t="s">
        <v>8431</v>
      </c>
      <c r="G3042" s="7" t="s">
        <v>8430</v>
      </c>
      <c r="H3042" s="7" t="s">
        <v>8432</v>
      </c>
      <c r="I3042" s="9">
        <v>45376</v>
      </c>
    </row>
    <row r="3043" spans="1:9" x14ac:dyDescent="0.15">
      <c r="A3043" s="6">
        <v>3042</v>
      </c>
      <c r="B3043" s="7" t="s">
        <v>7</v>
      </c>
      <c r="C3043" s="8">
        <v>1890</v>
      </c>
      <c r="D3043" s="9">
        <v>45449</v>
      </c>
      <c r="E3043" s="13">
        <f>+HYPERLINK("http://trademark.i-assist.jp/data/china/image_1890th/77494259.pdf",77494259)</f>
        <v>77494259</v>
      </c>
      <c r="F3043" s="7" t="s">
        <v>8434</v>
      </c>
      <c r="G3043" s="7" t="s">
        <v>8433</v>
      </c>
      <c r="H3043" s="7" t="s">
        <v>8435</v>
      </c>
      <c r="I3043" s="9">
        <v>45376</v>
      </c>
    </row>
    <row r="3044" spans="1:9" x14ac:dyDescent="0.15">
      <c r="A3044" s="6">
        <v>3043</v>
      </c>
      <c r="B3044" s="7" t="s">
        <v>7</v>
      </c>
      <c r="C3044" s="8">
        <v>1890</v>
      </c>
      <c r="D3044" s="9">
        <v>45449</v>
      </c>
      <c r="E3044" s="13">
        <f>+HYPERLINK("http://trademark.i-assist.jp/data/china/image_1890th/77494512.pdf",77494512)</f>
        <v>77494512</v>
      </c>
      <c r="F3044" s="7" t="s">
        <v>8437</v>
      </c>
      <c r="G3044" s="7" t="s">
        <v>8436</v>
      </c>
      <c r="H3044" s="7" t="s">
        <v>8438</v>
      </c>
      <c r="I3044" s="9">
        <v>45376</v>
      </c>
    </row>
    <row r="3045" spans="1:9" x14ac:dyDescent="0.15">
      <c r="A3045" s="6">
        <v>3044</v>
      </c>
      <c r="B3045" s="7" t="s">
        <v>7</v>
      </c>
      <c r="C3045" s="8">
        <v>1890</v>
      </c>
      <c r="D3045" s="9">
        <v>45449</v>
      </c>
      <c r="E3045" s="13">
        <f>+HYPERLINK("http://trademark.i-assist.jp/data/china/image_1890th/77494646.pdf",77494646)</f>
        <v>77494646</v>
      </c>
      <c r="F3045" s="7" t="s">
        <v>8439</v>
      </c>
      <c r="G3045" s="7" t="s">
        <v>1376</v>
      </c>
      <c r="H3045" s="7" t="s">
        <v>8440</v>
      </c>
      <c r="I3045" s="9">
        <v>45376</v>
      </c>
    </row>
    <row r="3046" spans="1:9" x14ac:dyDescent="0.15">
      <c r="A3046" s="6">
        <v>3045</v>
      </c>
      <c r="B3046" s="7" t="s">
        <v>7</v>
      </c>
      <c r="C3046" s="8">
        <v>1890</v>
      </c>
      <c r="D3046" s="9">
        <v>45449</v>
      </c>
      <c r="E3046" s="13">
        <f>+HYPERLINK("http://trademark.i-assist.jp/data/china/image_1890th/77494906.pdf",77494906)</f>
        <v>77494906</v>
      </c>
      <c r="F3046" s="7" t="s">
        <v>8442</v>
      </c>
      <c r="G3046" s="7" t="s">
        <v>8441</v>
      </c>
      <c r="H3046" s="7" t="s">
        <v>8443</v>
      </c>
      <c r="I3046" s="9">
        <v>45376</v>
      </c>
    </row>
    <row r="3047" spans="1:9" x14ac:dyDescent="0.15">
      <c r="A3047" s="6">
        <v>3046</v>
      </c>
      <c r="B3047" s="7" t="s">
        <v>7</v>
      </c>
      <c r="C3047" s="8">
        <v>1890</v>
      </c>
      <c r="D3047" s="9">
        <v>45449</v>
      </c>
      <c r="E3047" s="13">
        <f>+HYPERLINK("http://trademark.i-assist.jp/data/china/image_1890th/77494947.pdf",77494947)</f>
        <v>77494947</v>
      </c>
      <c r="F3047" s="7" t="s">
        <v>8445</v>
      </c>
      <c r="G3047" s="7" t="s">
        <v>8444</v>
      </c>
      <c r="H3047" s="7" t="s">
        <v>8446</v>
      </c>
      <c r="I3047" s="9">
        <v>45376</v>
      </c>
    </row>
    <row r="3048" spans="1:9" x14ac:dyDescent="0.15">
      <c r="A3048" s="6">
        <v>3047</v>
      </c>
      <c r="B3048" s="7" t="s">
        <v>7</v>
      </c>
      <c r="C3048" s="8">
        <v>1890</v>
      </c>
      <c r="D3048" s="9">
        <v>45449</v>
      </c>
      <c r="E3048" s="13">
        <f>+HYPERLINK("http://trademark.i-assist.jp/data/china/image_1890th/77494984.pdf",77494984)</f>
        <v>77494984</v>
      </c>
      <c r="F3048" s="7" t="s">
        <v>8448</v>
      </c>
      <c r="G3048" s="7" t="s">
        <v>8447</v>
      </c>
      <c r="H3048" s="7" t="s">
        <v>8449</v>
      </c>
      <c r="I3048" s="9">
        <v>45376</v>
      </c>
    </row>
    <row r="3049" spans="1:9" x14ac:dyDescent="0.15">
      <c r="A3049" s="6">
        <v>3048</v>
      </c>
      <c r="B3049" s="7" t="s">
        <v>7</v>
      </c>
      <c r="C3049" s="8">
        <v>1890</v>
      </c>
      <c r="D3049" s="9">
        <v>45449</v>
      </c>
      <c r="E3049" s="13">
        <f>+HYPERLINK("http://trademark.i-assist.jp/data/china/image_1890th/77495052.pdf",77495052)</f>
        <v>77495052</v>
      </c>
      <c r="F3049" s="7" t="s">
        <v>8451</v>
      </c>
      <c r="G3049" s="7" t="s">
        <v>8450</v>
      </c>
      <c r="H3049" s="7" t="s">
        <v>8452</v>
      </c>
      <c r="I3049" s="9">
        <v>45376</v>
      </c>
    </row>
    <row r="3050" spans="1:9" x14ac:dyDescent="0.15">
      <c r="A3050" s="6">
        <v>3049</v>
      </c>
      <c r="B3050" s="7" t="s">
        <v>7</v>
      </c>
      <c r="C3050" s="8">
        <v>1890</v>
      </c>
      <c r="D3050" s="9">
        <v>45449</v>
      </c>
      <c r="E3050" s="13">
        <f>+HYPERLINK("http://trademark.i-assist.jp/data/china/image_1890th/77495215.pdf",77495215)</f>
        <v>77495215</v>
      </c>
      <c r="F3050" s="7" t="s">
        <v>8454</v>
      </c>
      <c r="G3050" s="7" t="s">
        <v>8453</v>
      </c>
      <c r="H3050" s="7" t="s">
        <v>8455</v>
      </c>
      <c r="I3050" s="9">
        <v>45376</v>
      </c>
    </row>
    <row r="3051" spans="1:9" x14ac:dyDescent="0.15">
      <c r="A3051" s="6">
        <v>3050</v>
      </c>
      <c r="B3051" s="7" t="s">
        <v>7</v>
      </c>
      <c r="C3051" s="8">
        <v>1890</v>
      </c>
      <c r="D3051" s="9">
        <v>45449</v>
      </c>
      <c r="E3051" s="13">
        <f>+HYPERLINK("http://trademark.i-assist.jp/data/china/image_1890th/77495226.pdf",77495226)</f>
        <v>77495226</v>
      </c>
      <c r="F3051" s="7" t="s">
        <v>8457</v>
      </c>
      <c r="G3051" s="7" t="s">
        <v>8456</v>
      </c>
      <c r="H3051" s="7" t="s">
        <v>8458</v>
      </c>
      <c r="I3051" s="9">
        <v>45376</v>
      </c>
    </row>
    <row r="3052" spans="1:9" x14ac:dyDescent="0.15">
      <c r="A3052" s="6">
        <v>3051</v>
      </c>
      <c r="B3052" s="7" t="s">
        <v>7</v>
      </c>
      <c r="C3052" s="8">
        <v>1890</v>
      </c>
      <c r="D3052" s="9">
        <v>45449</v>
      </c>
      <c r="E3052" s="13">
        <f>+HYPERLINK("http://trademark.i-assist.jp/data/china/image_1890th/77495465.pdf",77495465)</f>
        <v>77495465</v>
      </c>
      <c r="F3052" s="7" t="s">
        <v>8460</v>
      </c>
      <c r="G3052" s="7" t="s">
        <v>8459</v>
      </c>
      <c r="H3052" s="7" t="s">
        <v>8461</v>
      </c>
      <c r="I3052" s="9">
        <v>45376</v>
      </c>
    </row>
    <row r="3053" spans="1:9" x14ac:dyDescent="0.15">
      <c r="A3053" s="6">
        <v>3052</v>
      </c>
      <c r="B3053" s="7" t="s">
        <v>7</v>
      </c>
      <c r="C3053" s="8">
        <v>1890</v>
      </c>
      <c r="D3053" s="9">
        <v>45449</v>
      </c>
      <c r="E3053" s="13">
        <f>+HYPERLINK("http://trademark.i-assist.jp/data/china/image_1890th/77495540.pdf",77495540)</f>
        <v>77495540</v>
      </c>
      <c r="F3053" s="7" t="s">
        <v>8462</v>
      </c>
      <c r="G3053" s="7" t="s">
        <v>1585</v>
      </c>
      <c r="H3053" s="7" t="s">
        <v>8463</v>
      </c>
      <c r="I3053" s="9">
        <v>45376</v>
      </c>
    </row>
    <row r="3054" spans="1:9" x14ac:dyDescent="0.15">
      <c r="A3054" s="6">
        <v>3053</v>
      </c>
      <c r="B3054" s="7" t="s">
        <v>7</v>
      </c>
      <c r="C3054" s="8">
        <v>1890</v>
      </c>
      <c r="D3054" s="9">
        <v>45449</v>
      </c>
      <c r="E3054" s="13">
        <f>+HYPERLINK("http://trademark.i-assist.jp/data/china/image_1890th/77495546.pdf",77495546)</f>
        <v>77495546</v>
      </c>
      <c r="F3054" s="7" t="s">
        <v>8465</v>
      </c>
      <c r="G3054" s="7" t="s">
        <v>8464</v>
      </c>
      <c r="H3054" s="7" t="s">
        <v>8466</v>
      </c>
      <c r="I3054" s="9">
        <v>45376</v>
      </c>
    </row>
    <row r="3055" spans="1:9" x14ac:dyDescent="0.15">
      <c r="A3055" s="6">
        <v>3054</v>
      </c>
      <c r="B3055" s="7" t="s">
        <v>7</v>
      </c>
      <c r="C3055" s="8">
        <v>1890</v>
      </c>
      <c r="D3055" s="9">
        <v>45449</v>
      </c>
      <c r="E3055" s="13">
        <f>+HYPERLINK("http://trademark.i-assist.jp/data/china/image_1890th/77570205.pdf",77570205)</f>
        <v>77570205</v>
      </c>
      <c r="F3055" s="7" t="s">
        <v>8468</v>
      </c>
      <c r="G3055" s="7" t="s">
        <v>8467</v>
      </c>
      <c r="H3055" s="7" t="s">
        <v>8469</v>
      </c>
      <c r="I3055" s="9">
        <v>45378</v>
      </c>
    </row>
    <row r="3056" spans="1:9" x14ac:dyDescent="0.15">
      <c r="A3056" s="6">
        <v>3055</v>
      </c>
      <c r="B3056" s="7" t="s">
        <v>7</v>
      </c>
      <c r="C3056" s="8">
        <v>1890</v>
      </c>
      <c r="D3056" s="9">
        <v>45449</v>
      </c>
      <c r="E3056" s="13">
        <f>+HYPERLINK("http://trademark.i-assist.jp/data/china/image_1890th/77570844.pdf",77570844)</f>
        <v>77570844</v>
      </c>
      <c r="F3056" s="7" t="s">
        <v>8471</v>
      </c>
      <c r="G3056" s="7" t="s">
        <v>8470</v>
      </c>
      <c r="H3056" s="7" t="s">
        <v>8472</v>
      </c>
      <c r="I3056" s="9">
        <v>45378</v>
      </c>
    </row>
    <row r="3057" spans="1:9" x14ac:dyDescent="0.15">
      <c r="A3057" s="6">
        <v>3056</v>
      </c>
      <c r="B3057" s="7" t="s">
        <v>7</v>
      </c>
      <c r="C3057" s="8">
        <v>1890</v>
      </c>
      <c r="D3057" s="9">
        <v>45449</v>
      </c>
      <c r="E3057" s="13">
        <f>+HYPERLINK("http://trademark.i-assist.jp/data/china/image_1890th/77571309.pdf",77571309)</f>
        <v>77571309</v>
      </c>
      <c r="F3057" s="7" t="s">
        <v>8473</v>
      </c>
      <c r="G3057" s="7" t="s">
        <v>2013</v>
      </c>
      <c r="H3057" s="7" t="s">
        <v>8474</v>
      </c>
      <c r="I3057" s="9">
        <v>45378</v>
      </c>
    </row>
    <row r="3058" spans="1:9" x14ac:dyDescent="0.15">
      <c r="A3058" s="6">
        <v>3057</v>
      </c>
      <c r="B3058" s="7" t="s">
        <v>7</v>
      </c>
      <c r="C3058" s="8">
        <v>1890</v>
      </c>
      <c r="D3058" s="9">
        <v>45449</v>
      </c>
      <c r="E3058" s="13">
        <f>+HYPERLINK("http://trademark.i-assist.jp/data/china/image_1890th/77571409.pdf",77571409)</f>
        <v>77571409</v>
      </c>
      <c r="F3058" s="7" t="s">
        <v>8476</v>
      </c>
      <c r="G3058" s="7" t="s">
        <v>8475</v>
      </c>
      <c r="H3058" s="7" t="s">
        <v>8477</v>
      </c>
      <c r="I3058" s="9">
        <v>45378</v>
      </c>
    </row>
    <row r="3059" spans="1:9" x14ac:dyDescent="0.15">
      <c r="A3059" s="6">
        <v>3058</v>
      </c>
      <c r="B3059" s="7" t="s">
        <v>7</v>
      </c>
      <c r="C3059" s="8">
        <v>1890</v>
      </c>
      <c r="D3059" s="9">
        <v>45449</v>
      </c>
      <c r="E3059" s="13">
        <f>+HYPERLINK("http://trademark.i-assist.jp/data/china/image_1890th/77571742.pdf",77571742)</f>
        <v>77571742</v>
      </c>
      <c r="F3059" s="7" t="s">
        <v>8479</v>
      </c>
      <c r="G3059" s="7" t="s">
        <v>8478</v>
      </c>
      <c r="H3059" s="7" t="s">
        <v>8480</v>
      </c>
      <c r="I3059" s="9">
        <v>45378</v>
      </c>
    </row>
    <row r="3060" spans="1:9" x14ac:dyDescent="0.15">
      <c r="A3060" s="6">
        <v>3059</v>
      </c>
      <c r="B3060" s="7" t="s">
        <v>7</v>
      </c>
      <c r="C3060" s="8">
        <v>1890</v>
      </c>
      <c r="D3060" s="9">
        <v>45449</v>
      </c>
      <c r="E3060" s="13">
        <f>+HYPERLINK("http://trademark.i-assist.jp/data/china/image_1890th/77571857.pdf",77571857)</f>
        <v>77571857</v>
      </c>
      <c r="F3060" s="7" t="s">
        <v>183</v>
      </c>
      <c r="G3060" s="7" t="s">
        <v>2234</v>
      </c>
      <c r="H3060" s="7" t="s">
        <v>8481</v>
      </c>
      <c r="I3060" s="9">
        <v>45378</v>
      </c>
    </row>
    <row r="3061" spans="1:9" x14ac:dyDescent="0.15">
      <c r="A3061" s="6">
        <v>3060</v>
      </c>
      <c r="B3061" s="7" t="s">
        <v>7</v>
      </c>
      <c r="C3061" s="8">
        <v>1890</v>
      </c>
      <c r="D3061" s="9">
        <v>45449</v>
      </c>
      <c r="E3061" s="13">
        <f>+HYPERLINK("http://trademark.i-assist.jp/data/china/image_1890th/77572640.pdf",77572640)</f>
        <v>77572640</v>
      </c>
      <c r="F3061" s="7" t="s">
        <v>8482</v>
      </c>
      <c r="G3061" s="7" t="s">
        <v>2013</v>
      </c>
      <c r="H3061" s="7" t="s">
        <v>8483</v>
      </c>
      <c r="I3061" s="9">
        <v>45378</v>
      </c>
    </row>
    <row r="3062" spans="1:9" x14ac:dyDescent="0.15">
      <c r="A3062" s="6">
        <v>3061</v>
      </c>
      <c r="B3062" s="7" t="s">
        <v>7</v>
      </c>
      <c r="C3062" s="8">
        <v>1890</v>
      </c>
      <c r="D3062" s="9">
        <v>45449</v>
      </c>
      <c r="E3062" s="13">
        <f>+HYPERLINK("http://trademark.i-assist.jp/data/china/image_1890th/77572740.pdf",77572740)</f>
        <v>77572740</v>
      </c>
      <c r="F3062" s="7" t="s">
        <v>8484</v>
      </c>
      <c r="G3062" s="7" t="s">
        <v>2013</v>
      </c>
      <c r="H3062" s="7" t="s">
        <v>8485</v>
      </c>
      <c r="I3062" s="9">
        <v>45378</v>
      </c>
    </row>
    <row r="3063" spans="1:9" x14ac:dyDescent="0.15">
      <c r="A3063" s="6">
        <v>3062</v>
      </c>
      <c r="B3063" s="7" t="s">
        <v>7</v>
      </c>
      <c r="C3063" s="8">
        <v>1890</v>
      </c>
      <c r="D3063" s="9">
        <v>45449</v>
      </c>
      <c r="E3063" s="13">
        <f>+HYPERLINK("http://trademark.i-assist.jp/data/china/image_1890th/77572750.pdf",77572750)</f>
        <v>77572750</v>
      </c>
      <c r="F3063" s="7" t="s">
        <v>8486</v>
      </c>
      <c r="G3063" s="7" t="s">
        <v>2013</v>
      </c>
      <c r="H3063" s="7" t="s">
        <v>8487</v>
      </c>
      <c r="I3063" s="9">
        <v>45378</v>
      </c>
    </row>
    <row r="3064" spans="1:9" x14ac:dyDescent="0.15">
      <c r="A3064" s="6">
        <v>3063</v>
      </c>
      <c r="B3064" s="7" t="s">
        <v>7</v>
      </c>
      <c r="C3064" s="8">
        <v>1890</v>
      </c>
      <c r="D3064" s="9">
        <v>45449</v>
      </c>
      <c r="E3064" s="13">
        <f>+HYPERLINK("http://trademark.i-assist.jp/data/china/image_1890th/77572878.pdf",77572878)</f>
        <v>77572878</v>
      </c>
      <c r="F3064" s="7" t="s">
        <v>8488</v>
      </c>
      <c r="G3064" s="7" t="s">
        <v>7125</v>
      </c>
      <c r="H3064" s="7" t="s">
        <v>8489</v>
      </c>
      <c r="I3064" s="9">
        <v>45378</v>
      </c>
    </row>
    <row r="3065" spans="1:9" x14ac:dyDescent="0.15">
      <c r="A3065" s="6">
        <v>3064</v>
      </c>
      <c r="B3065" s="7" t="s">
        <v>7</v>
      </c>
      <c r="C3065" s="8">
        <v>1890</v>
      </c>
      <c r="D3065" s="9">
        <v>45449</v>
      </c>
      <c r="E3065" s="13">
        <f>+HYPERLINK("http://trademark.i-assist.jp/data/china/image_1890th/77573773.pdf",77573773)</f>
        <v>77573773</v>
      </c>
      <c r="F3065" s="7" t="s">
        <v>183</v>
      </c>
      <c r="G3065" s="7" t="s">
        <v>8490</v>
      </c>
      <c r="H3065" s="7" t="s">
        <v>8491</v>
      </c>
      <c r="I3065" s="9">
        <v>45378</v>
      </c>
    </row>
    <row r="3066" spans="1:9" x14ac:dyDescent="0.15">
      <c r="A3066" s="6">
        <v>3065</v>
      </c>
      <c r="B3066" s="7" t="s">
        <v>7</v>
      </c>
      <c r="C3066" s="8">
        <v>1890</v>
      </c>
      <c r="D3066" s="9">
        <v>45449</v>
      </c>
      <c r="E3066" s="13">
        <f>+HYPERLINK("http://trademark.i-assist.jp/data/china/image_1890th/77574473.pdf",77574473)</f>
        <v>77574473</v>
      </c>
      <c r="F3066" s="7" t="s">
        <v>8493</v>
      </c>
      <c r="G3066" s="7" t="s">
        <v>8492</v>
      </c>
      <c r="H3066" s="7" t="s">
        <v>8494</v>
      </c>
      <c r="I3066" s="9">
        <v>45378</v>
      </c>
    </row>
    <row r="3067" spans="1:9" x14ac:dyDescent="0.15">
      <c r="A3067" s="6">
        <v>3066</v>
      </c>
      <c r="B3067" s="7" t="s">
        <v>7</v>
      </c>
      <c r="C3067" s="8">
        <v>1890</v>
      </c>
      <c r="D3067" s="9">
        <v>45449</v>
      </c>
      <c r="E3067" s="13">
        <f>+HYPERLINK("http://trademark.i-assist.jp/data/china/image_1890th/77554064.pdf",77554064)</f>
        <v>77554064</v>
      </c>
      <c r="F3067" s="7" t="s">
        <v>8496</v>
      </c>
      <c r="G3067" s="7" t="s">
        <v>8495</v>
      </c>
      <c r="H3067" s="7" t="s">
        <v>8497</v>
      </c>
      <c r="I3067" s="9">
        <v>45377</v>
      </c>
    </row>
    <row r="3068" spans="1:9" x14ac:dyDescent="0.15">
      <c r="A3068" s="6">
        <v>3067</v>
      </c>
      <c r="B3068" s="7" t="s">
        <v>7</v>
      </c>
      <c r="C3068" s="8">
        <v>1890</v>
      </c>
      <c r="D3068" s="9">
        <v>45449</v>
      </c>
      <c r="E3068" s="13">
        <f>+HYPERLINK("http://trademark.i-assist.jp/data/china/image_1890th/77554790.pdf",77554790)</f>
        <v>77554790</v>
      </c>
      <c r="F3068" s="7" t="s">
        <v>8499</v>
      </c>
      <c r="G3068" s="7" t="s">
        <v>8498</v>
      </c>
      <c r="H3068" s="7" t="s">
        <v>8500</v>
      </c>
      <c r="I3068" s="9">
        <v>45377</v>
      </c>
    </row>
    <row r="3069" spans="1:9" x14ac:dyDescent="0.15">
      <c r="A3069" s="6">
        <v>3068</v>
      </c>
      <c r="B3069" s="7" t="s">
        <v>7</v>
      </c>
      <c r="C3069" s="8">
        <v>1890</v>
      </c>
      <c r="D3069" s="9">
        <v>45449</v>
      </c>
      <c r="E3069" s="13">
        <f>+HYPERLINK("http://trademark.i-assist.jp/data/china/image_1890th/77555056.pdf",77555056)</f>
        <v>77555056</v>
      </c>
      <c r="F3069" s="7" t="s">
        <v>8502</v>
      </c>
      <c r="G3069" s="7" t="s">
        <v>8501</v>
      </c>
      <c r="H3069" s="7" t="s">
        <v>8503</v>
      </c>
      <c r="I3069" s="9">
        <v>45377</v>
      </c>
    </row>
    <row r="3070" spans="1:9" x14ac:dyDescent="0.15">
      <c r="A3070" s="6">
        <v>3069</v>
      </c>
      <c r="B3070" s="7" t="s">
        <v>7</v>
      </c>
      <c r="C3070" s="8">
        <v>1890</v>
      </c>
      <c r="D3070" s="9">
        <v>45449</v>
      </c>
      <c r="E3070" s="13">
        <f>+HYPERLINK("http://trademark.i-assist.jp/data/china/image_1890th/77555188.pdf",77555188)</f>
        <v>77555188</v>
      </c>
      <c r="F3070" s="7" t="s">
        <v>8505</v>
      </c>
      <c r="G3070" s="7" t="s">
        <v>8504</v>
      </c>
      <c r="H3070" s="7" t="s">
        <v>8506</v>
      </c>
      <c r="I3070" s="9">
        <v>45377</v>
      </c>
    </row>
    <row r="3071" spans="1:9" x14ac:dyDescent="0.15">
      <c r="A3071" s="6">
        <v>3070</v>
      </c>
      <c r="B3071" s="7" t="s">
        <v>7</v>
      </c>
      <c r="C3071" s="8">
        <v>1890</v>
      </c>
      <c r="D3071" s="9">
        <v>45449</v>
      </c>
      <c r="E3071" s="13">
        <f>+HYPERLINK("http://trademark.i-assist.jp/data/china/image_1890th/77555431.pdf",77555431)</f>
        <v>77555431</v>
      </c>
      <c r="F3071" s="7" t="s">
        <v>8508</v>
      </c>
      <c r="G3071" s="7" t="s">
        <v>8507</v>
      </c>
      <c r="H3071" s="7" t="s">
        <v>8509</v>
      </c>
      <c r="I3071" s="9">
        <v>45377</v>
      </c>
    </row>
    <row r="3072" spans="1:9" x14ac:dyDescent="0.15">
      <c r="A3072" s="6">
        <v>3071</v>
      </c>
      <c r="B3072" s="7" t="s">
        <v>7</v>
      </c>
      <c r="C3072" s="8">
        <v>1890</v>
      </c>
      <c r="D3072" s="9">
        <v>45449</v>
      </c>
      <c r="E3072" s="13">
        <f>+HYPERLINK("http://trademark.i-assist.jp/data/china/image_1890th/77555885.pdf",77555885)</f>
        <v>77555885</v>
      </c>
      <c r="F3072" s="7" t="s">
        <v>8511</v>
      </c>
      <c r="G3072" s="7" t="s">
        <v>8510</v>
      </c>
      <c r="H3072" s="7" t="s">
        <v>8512</v>
      </c>
      <c r="I3072" s="9">
        <v>45377</v>
      </c>
    </row>
    <row r="3073" spans="1:9" x14ac:dyDescent="0.15">
      <c r="A3073" s="6">
        <v>3072</v>
      </c>
      <c r="B3073" s="7" t="s">
        <v>7</v>
      </c>
      <c r="C3073" s="8">
        <v>1890</v>
      </c>
      <c r="D3073" s="9">
        <v>45449</v>
      </c>
      <c r="E3073" s="13">
        <f>+HYPERLINK("http://trademark.i-assist.jp/data/china/image_1890th/77556018.pdf",77556018)</f>
        <v>77556018</v>
      </c>
      <c r="F3073" s="7" t="s">
        <v>8513</v>
      </c>
      <c r="G3073" s="7" t="s">
        <v>8498</v>
      </c>
      <c r="H3073" s="7" t="s">
        <v>8514</v>
      </c>
      <c r="I3073" s="9">
        <v>45377</v>
      </c>
    </row>
    <row r="3074" spans="1:9" x14ac:dyDescent="0.15">
      <c r="A3074" s="6">
        <v>3073</v>
      </c>
      <c r="B3074" s="7" t="s">
        <v>7</v>
      </c>
      <c r="C3074" s="8">
        <v>1890</v>
      </c>
      <c r="D3074" s="9">
        <v>45449</v>
      </c>
      <c r="E3074" s="13">
        <f>+HYPERLINK("http://trademark.i-assist.jp/data/china/image_1890th/77556049.pdf",77556049)</f>
        <v>77556049</v>
      </c>
      <c r="F3074" s="7" t="s">
        <v>8515</v>
      </c>
      <c r="G3074" s="7" t="s">
        <v>40</v>
      </c>
      <c r="H3074" s="7" t="s">
        <v>8516</v>
      </c>
      <c r="I3074" s="9">
        <v>45377</v>
      </c>
    </row>
    <row r="3075" spans="1:9" x14ac:dyDescent="0.15">
      <c r="A3075" s="6">
        <v>3074</v>
      </c>
      <c r="B3075" s="7" t="s">
        <v>7</v>
      </c>
      <c r="C3075" s="8">
        <v>1890</v>
      </c>
      <c r="D3075" s="9">
        <v>45449</v>
      </c>
      <c r="E3075" s="13">
        <f>+HYPERLINK("http://trademark.i-assist.jp/data/china/image_1890th/77556442.pdf",77556442)</f>
        <v>77556442</v>
      </c>
      <c r="F3075" s="7" t="s">
        <v>8518</v>
      </c>
      <c r="G3075" s="7" t="s">
        <v>8517</v>
      </c>
      <c r="H3075" s="7" t="s">
        <v>8519</v>
      </c>
      <c r="I3075" s="9">
        <v>45377</v>
      </c>
    </row>
    <row r="3076" spans="1:9" ht="27" x14ac:dyDescent="0.15">
      <c r="A3076" s="6">
        <v>3075</v>
      </c>
      <c r="B3076" s="7" t="s">
        <v>7</v>
      </c>
      <c r="C3076" s="8">
        <v>1890</v>
      </c>
      <c r="D3076" s="9">
        <v>45449</v>
      </c>
      <c r="E3076" s="13">
        <f>+HYPERLINK("http://trademark.i-assist.jp/data/china/image_1890th/77556516.pdf",77556516)</f>
        <v>77556516</v>
      </c>
      <c r="F3076" s="7" t="s">
        <v>8521</v>
      </c>
      <c r="G3076" s="7" t="s">
        <v>8520</v>
      </c>
      <c r="H3076" s="7" t="s">
        <v>8522</v>
      </c>
      <c r="I3076" s="9">
        <v>45377</v>
      </c>
    </row>
    <row r="3077" spans="1:9" x14ac:dyDescent="0.15">
      <c r="A3077" s="6">
        <v>3076</v>
      </c>
      <c r="B3077" s="7" t="s">
        <v>7</v>
      </c>
      <c r="C3077" s="8">
        <v>1890</v>
      </c>
      <c r="D3077" s="9">
        <v>45449</v>
      </c>
      <c r="E3077" s="13">
        <f>+HYPERLINK("http://trademark.i-assist.jp/data/china/image_1890th/77556952.pdf",77556952)</f>
        <v>77556952</v>
      </c>
      <c r="F3077" s="7" t="s">
        <v>8524</v>
      </c>
      <c r="G3077" s="7" t="s">
        <v>8523</v>
      </c>
      <c r="H3077" s="7" t="s">
        <v>8525</v>
      </c>
      <c r="I3077" s="9">
        <v>45377</v>
      </c>
    </row>
    <row r="3078" spans="1:9" x14ac:dyDescent="0.15">
      <c r="A3078" s="6">
        <v>3077</v>
      </c>
      <c r="B3078" s="7" t="s">
        <v>7</v>
      </c>
      <c r="C3078" s="8">
        <v>1890</v>
      </c>
      <c r="D3078" s="9">
        <v>45449</v>
      </c>
      <c r="E3078" s="13">
        <f>+HYPERLINK("http://trademark.i-assist.jp/data/china/image_1890th/77557617.pdf",77557617)</f>
        <v>77557617</v>
      </c>
      <c r="F3078" s="7" t="s">
        <v>8527</v>
      </c>
      <c r="G3078" s="7" t="s">
        <v>8526</v>
      </c>
      <c r="H3078" s="7" t="s">
        <v>8528</v>
      </c>
      <c r="I3078" s="9">
        <v>45377</v>
      </c>
    </row>
    <row r="3079" spans="1:9" x14ac:dyDescent="0.15">
      <c r="A3079" s="6">
        <v>3078</v>
      </c>
      <c r="B3079" s="7" t="s">
        <v>7</v>
      </c>
      <c r="C3079" s="8">
        <v>1890</v>
      </c>
      <c r="D3079" s="9">
        <v>45449</v>
      </c>
      <c r="E3079" s="13">
        <f>+HYPERLINK("http://trademark.i-assist.jp/data/china/image_1890th/77557881.pdf",77557881)</f>
        <v>77557881</v>
      </c>
      <c r="F3079" s="7" t="s">
        <v>8530</v>
      </c>
      <c r="G3079" s="7" t="s">
        <v>8529</v>
      </c>
      <c r="H3079" s="7" t="s">
        <v>8531</v>
      </c>
      <c r="I3079" s="9">
        <v>45377</v>
      </c>
    </row>
    <row r="3080" spans="1:9" x14ac:dyDescent="0.15">
      <c r="A3080" s="6">
        <v>3079</v>
      </c>
      <c r="B3080" s="7" t="s">
        <v>7</v>
      </c>
      <c r="C3080" s="8">
        <v>1890</v>
      </c>
      <c r="D3080" s="9">
        <v>45449</v>
      </c>
      <c r="E3080" s="13">
        <f>+HYPERLINK("http://trademark.i-assist.jp/data/china/image_1890th/77558155.pdf",77558155)</f>
        <v>77558155</v>
      </c>
      <c r="F3080" s="7" t="s">
        <v>8533</v>
      </c>
      <c r="G3080" s="7" t="s">
        <v>8532</v>
      </c>
      <c r="H3080" s="7" t="s">
        <v>8534</v>
      </c>
      <c r="I3080" s="9">
        <v>45377</v>
      </c>
    </row>
    <row r="3081" spans="1:9" ht="27" x14ac:dyDescent="0.15">
      <c r="A3081" s="6">
        <v>3080</v>
      </c>
      <c r="B3081" s="7" t="s">
        <v>7</v>
      </c>
      <c r="C3081" s="8">
        <v>1890</v>
      </c>
      <c r="D3081" s="9">
        <v>45449</v>
      </c>
      <c r="E3081" s="13">
        <f>+HYPERLINK("http://trademark.i-assist.jp/data/china/image_1890th/77558180.pdf",77558180)</f>
        <v>77558180</v>
      </c>
      <c r="F3081" s="7" t="s">
        <v>8536</v>
      </c>
      <c r="G3081" s="7" t="s">
        <v>8535</v>
      </c>
      <c r="H3081" s="7" t="s">
        <v>8537</v>
      </c>
      <c r="I3081" s="9">
        <v>45377</v>
      </c>
    </row>
    <row r="3082" spans="1:9" ht="27" x14ac:dyDescent="0.15">
      <c r="A3082" s="6">
        <v>3081</v>
      </c>
      <c r="B3082" s="7" t="s">
        <v>7</v>
      </c>
      <c r="C3082" s="8">
        <v>1890</v>
      </c>
      <c r="D3082" s="9">
        <v>45449</v>
      </c>
      <c r="E3082" s="13">
        <f>+HYPERLINK("http://trademark.i-assist.jp/data/china/image_1890th/77558399.pdf",77558399)</f>
        <v>77558399</v>
      </c>
      <c r="F3082" s="7" t="s">
        <v>8538</v>
      </c>
      <c r="G3082" s="7" t="s">
        <v>1328</v>
      </c>
      <c r="H3082" s="7" t="s">
        <v>8539</v>
      </c>
      <c r="I3082" s="9">
        <v>45377</v>
      </c>
    </row>
    <row r="3083" spans="1:9" x14ac:dyDescent="0.15">
      <c r="A3083" s="6">
        <v>3082</v>
      </c>
      <c r="B3083" s="7" t="s">
        <v>7</v>
      </c>
      <c r="C3083" s="8">
        <v>1890</v>
      </c>
      <c r="D3083" s="9">
        <v>45449</v>
      </c>
      <c r="E3083" s="13">
        <f>+HYPERLINK("http://trademark.i-assist.jp/data/china/image_1890th/77558839.pdf",77558839)</f>
        <v>77558839</v>
      </c>
      <c r="F3083" s="7" t="s">
        <v>8540</v>
      </c>
      <c r="G3083" s="7" t="s">
        <v>5942</v>
      </c>
      <c r="H3083" s="7" t="s">
        <v>8541</v>
      </c>
      <c r="I3083" s="9">
        <v>45377</v>
      </c>
    </row>
    <row r="3084" spans="1:9" x14ac:dyDescent="0.15">
      <c r="A3084" s="6">
        <v>3083</v>
      </c>
      <c r="B3084" s="7" t="s">
        <v>7</v>
      </c>
      <c r="C3084" s="8">
        <v>1890</v>
      </c>
      <c r="D3084" s="9">
        <v>45449</v>
      </c>
      <c r="E3084" s="13">
        <f>+HYPERLINK("http://trademark.i-assist.jp/data/china/image_1890th/77559001.pdf",77559001)</f>
        <v>77559001</v>
      </c>
      <c r="F3084" s="7" t="s">
        <v>8543</v>
      </c>
      <c r="G3084" s="7" t="s">
        <v>8542</v>
      </c>
      <c r="H3084" s="7" t="s">
        <v>8544</v>
      </c>
      <c r="I3084" s="9">
        <v>45377</v>
      </c>
    </row>
    <row r="3085" spans="1:9" x14ac:dyDescent="0.15">
      <c r="A3085" s="6">
        <v>3084</v>
      </c>
      <c r="B3085" s="7" t="s">
        <v>7</v>
      </c>
      <c r="C3085" s="8">
        <v>1890</v>
      </c>
      <c r="D3085" s="9">
        <v>45449</v>
      </c>
      <c r="E3085" s="13">
        <f>+HYPERLINK("http://trademark.i-assist.jp/data/china/image_1890th/77559160.pdf",77559160)</f>
        <v>77559160</v>
      </c>
      <c r="F3085" s="7" t="s">
        <v>8546</v>
      </c>
      <c r="G3085" s="7" t="s">
        <v>8545</v>
      </c>
      <c r="H3085" s="7" t="s">
        <v>8547</v>
      </c>
      <c r="I3085" s="9">
        <v>45377</v>
      </c>
    </row>
    <row r="3086" spans="1:9" ht="27" x14ac:dyDescent="0.15">
      <c r="A3086" s="6">
        <v>3085</v>
      </c>
      <c r="B3086" s="7" t="s">
        <v>7</v>
      </c>
      <c r="C3086" s="8">
        <v>1890</v>
      </c>
      <c r="D3086" s="9">
        <v>45449</v>
      </c>
      <c r="E3086" s="13">
        <f>+HYPERLINK("http://trademark.i-assist.jp/data/china/image_1890th/77559176.pdf",77559176)</f>
        <v>77559176</v>
      </c>
      <c r="F3086" s="7" t="s">
        <v>8549</v>
      </c>
      <c r="G3086" s="7" t="s">
        <v>8548</v>
      </c>
      <c r="H3086" s="7" t="s">
        <v>8550</v>
      </c>
      <c r="I3086" s="9">
        <v>45377</v>
      </c>
    </row>
    <row r="3087" spans="1:9" x14ac:dyDescent="0.15">
      <c r="A3087" s="6">
        <v>3086</v>
      </c>
      <c r="B3087" s="7" t="s">
        <v>7</v>
      </c>
      <c r="C3087" s="8">
        <v>1890</v>
      </c>
      <c r="D3087" s="9">
        <v>45449</v>
      </c>
      <c r="E3087" s="13">
        <f>+HYPERLINK("http://trademark.i-assist.jp/data/china/image_1890th/77559840.pdf",77559840)</f>
        <v>77559840</v>
      </c>
      <c r="F3087" s="7" t="s">
        <v>183</v>
      </c>
      <c r="G3087" s="7" t="s">
        <v>8551</v>
      </c>
      <c r="H3087" s="7" t="s">
        <v>8552</v>
      </c>
      <c r="I3087" s="9">
        <v>45377</v>
      </c>
    </row>
    <row r="3088" spans="1:9" x14ac:dyDescent="0.15">
      <c r="A3088" s="6">
        <v>3087</v>
      </c>
      <c r="B3088" s="7" t="s">
        <v>7</v>
      </c>
      <c r="C3088" s="8">
        <v>1890</v>
      </c>
      <c r="D3088" s="9">
        <v>45449</v>
      </c>
      <c r="E3088" s="13">
        <f>+HYPERLINK("http://trademark.i-assist.jp/data/china/image_1890th/77560053.pdf",77560053)</f>
        <v>77560053</v>
      </c>
      <c r="F3088" s="7" t="s">
        <v>8554</v>
      </c>
      <c r="G3088" s="7" t="s">
        <v>8553</v>
      </c>
      <c r="H3088" s="7" t="s">
        <v>8555</v>
      </c>
      <c r="I3088" s="9">
        <v>45377</v>
      </c>
    </row>
    <row r="3089" spans="1:9" ht="27" x14ac:dyDescent="0.15">
      <c r="A3089" s="6">
        <v>3088</v>
      </c>
      <c r="B3089" s="7" t="s">
        <v>7</v>
      </c>
      <c r="C3089" s="8">
        <v>1890</v>
      </c>
      <c r="D3089" s="9">
        <v>45449</v>
      </c>
      <c r="E3089" s="13">
        <f>+HYPERLINK("http://trademark.i-assist.jp/data/china/image_1890th/77560262.pdf",77560262)</f>
        <v>77560262</v>
      </c>
      <c r="F3089" s="7" t="s">
        <v>183</v>
      </c>
      <c r="G3089" s="7" t="s">
        <v>6002</v>
      </c>
      <c r="H3089" s="7" t="s">
        <v>8556</v>
      </c>
      <c r="I3089" s="9">
        <v>45377</v>
      </c>
    </row>
    <row r="3090" spans="1:9" x14ac:dyDescent="0.15">
      <c r="A3090" s="6">
        <v>3089</v>
      </c>
      <c r="B3090" s="7" t="s">
        <v>7</v>
      </c>
      <c r="C3090" s="8">
        <v>1890</v>
      </c>
      <c r="D3090" s="9">
        <v>45449</v>
      </c>
      <c r="E3090" s="13">
        <f>+HYPERLINK("http://trademark.i-assist.jp/data/china/image_1890th/77560641.pdf",77560641)</f>
        <v>77560641</v>
      </c>
      <c r="F3090" s="7" t="s">
        <v>8558</v>
      </c>
      <c r="G3090" s="7" t="s">
        <v>8557</v>
      </c>
      <c r="H3090" s="7" t="s">
        <v>8559</v>
      </c>
      <c r="I3090" s="9">
        <v>45377</v>
      </c>
    </row>
    <row r="3091" spans="1:9" x14ac:dyDescent="0.15">
      <c r="A3091" s="6">
        <v>3090</v>
      </c>
      <c r="B3091" s="7" t="s">
        <v>7</v>
      </c>
      <c r="C3091" s="8">
        <v>1890</v>
      </c>
      <c r="D3091" s="9">
        <v>45449</v>
      </c>
      <c r="E3091" s="13">
        <f>+HYPERLINK("http://trademark.i-assist.jp/data/china/image_1890th/77561187.pdf",77561187)</f>
        <v>77561187</v>
      </c>
      <c r="F3091" s="7" t="s">
        <v>8561</v>
      </c>
      <c r="G3091" s="7" t="s">
        <v>8560</v>
      </c>
      <c r="H3091" s="7" t="s">
        <v>8562</v>
      </c>
      <c r="I3091" s="9">
        <v>45377</v>
      </c>
    </row>
    <row r="3092" spans="1:9" x14ac:dyDescent="0.15">
      <c r="A3092" s="6">
        <v>3091</v>
      </c>
      <c r="B3092" s="7" t="s">
        <v>7</v>
      </c>
      <c r="C3092" s="8">
        <v>1890</v>
      </c>
      <c r="D3092" s="9">
        <v>45449</v>
      </c>
      <c r="E3092" s="13">
        <f>+HYPERLINK("http://trademark.i-assist.jp/data/china/image_1890th/77561469.pdf",77561469)</f>
        <v>77561469</v>
      </c>
      <c r="F3092" s="7" t="s">
        <v>8564</v>
      </c>
      <c r="G3092" s="7" t="s">
        <v>8563</v>
      </c>
      <c r="H3092" s="7" t="s">
        <v>8565</v>
      </c>
      <c r="I3092" s="9">
        <v>45377</v>
      </c>
    </row>
    <row r="3093" spans="1:9" x14ac:dyDescent="0.15">
      <c r="A3093" s="6">
        <v>3092</v>
      </c>
      <c r="B3093" s="7" t="s">
        <v>7</v>
      </c>
      <c r="C3093" s="8">
        <v>1890</v>
      </c>
      <c r="D3093" s="9">
        <v>45449</v>
      </c>
      <c r="E3093" s="13">
        <f>+HYPERLINK("http://trademark.i-assist.jp/data/china/image_1890th/77562475.pdf",77562475)</f>
        <v>77562475</v>
      </c>
      <c r="F3093" s="7" t="s">
        <v>8567</v>
      </c>
      <c r="G3093" s="7" t="s">
        <v>8566</v>
      </c>
      <c r="H3093" s="7" t="s">
        <v>8568</v>
      </c>
      <c r="I3093" s="9">
        <v>45377</v>
      </c>
    </row>
    <row r="3094" spans="1:9" x14ac:dyDescent="0.15">
      <c r="A3094" s="6">
        <v>3093</v>
      </c>
      <c r="B3094" s="7" t="s">
        <v>7</v>
      </c>
      <c r="C3094" s="8">
        <v>1890</v>
      </c>
      <c r="D3094" s="9">
        <v>45449</v>
      </c>
      <c r="E3094" s="13">
        <f>+HYPERLINK("http://trademark.i-assist.jp/data/china/image_1890th/77562499.pdf",77562499)</f>
        <v>77562499</v>
      </c>
      <c r="F3094" s="7" t="s">
        <v>8570</v>
      </c>
      <c r="G3094" s="7" t="s">
        <v>8569</v>
      </c>
      <c r="H3094" s="7" t="s">
        <v>8571</v>
      </c>
      <c r="I3094" s="9">
        <v>45377</v>
      </c>
    </row>
    <row r="3095" spans="1:9" x14ac:dyDescent="0.15">
      <c r="A3095" s="6">
        <v>3094</v>
      </c>
      <c r="B3095" s="7" t="s">
        <v>7</v>
      </c>
      <c r="C3095" s="8">
        <v>1890</v>
      </c>
      <c r="D3095" s="9">
        <v>45449</v>
      </c>
      <c r="E3095" s="13">
        <f>+HYPERLINK("http://trademark.i-assist.jp/data/china/image_1890th/77391896.pdf",77391896)</f>
        <v>77391896</v>
      </c>
      <c r="F3095" s="7" t="s">
        <v>8572</v>
      </c>
      <c r="G3095" s="7" t="s">
        <v>4203</v>
      </c>
      <c r="H3095" s="7" t="s">
        <v>8573</v>
      </c>
      <c r="I3095" s="9">
        <v>45370</v>
      </c>
    </row>
    <row r="3096" spans="1:9" x14ac:dyDescent="0.15">
      <c r="A3096" s="6">
        <v>3095</v>
      </c>
      <c r="B3096" s="7" t="s">
        <v>7</v>
      </c>
      <c r="C3096" s="8">
        <v>1890</v>
      </c>
      <c r="D3096" s="9">
        <v>45449</v>
      </c>
      <c r="E3096" s="13">
        <f>+HYPERLINK("http://trademark.i-assist.jp/data/china/image_1890th/77392006.pdf",77392006)</f>
        <v>77392006</v>
      </c>
      <c r="F3096" s="7" t="s">
        <v>8575</v>
      </c>
      <c r="G3096" s="7" t="s">
        <v>8574</v>
      </c>
      <c r="H3096" s="7" t="s">
        <v>8576</v>
      </c>
      <c r="I3096" s="9">
        <v>45370</v>
      </c>
    </row>
    <row r="3097" spans="1:9" x14ac:dyDescent="0.15">
      <c r="A3097" s="6">
        <v>3096</v>
      </c>
      <c r="B3097" s="7" t="s">
        <v>7</v>
      </c>
      <c r="C3097" s="8">
        <v>1890</v>
      </c>
      <c r="D3097" s="9">
        <v>45449</v>
      </c>
      <c r="E3097" s="13">
        <f>+HYPERLINK("http://trademark.i-assist.jp/data/china/image_1890th/77392072.pdf",77392072)</f>
        <v>77392072</v>
      </c>
      <c r="F3097" s="7" t="s">
        <v>8578</v>
      </c>
      <c r="G3097" s="7" t="s">
        <v>8577</v>
      </c>
      <c r="H3097" s="7" t="s">
        <v>8579</v>
      </c>
      <c r="I3097" s="9">
        <v>45370</v>
      </c>
    </row>
    <row r="3098" spans="1:9" x14ac:dyDescent="0.15">
      <c r="A3098" s="6">
        <v>3097</v>
      </c>
      <c r="B3098" s="7" t="s">
        <v>7</v>
      </c>
      <c r="C3098" s="8">
        <v>1890</v>
      </c>
      <c r="D3098" s="9">
        <v>45449</v>
      </c>
      <c r="E3098" s="13">
        <f>+HYPERLINK("http://trademark.i-assist.jp/data/china/image_1890th/77392106.pdf",77392106)</f>
        <v>77392106</v>
      </c>
      <c r="F3098" s="7" t="s">
        <v>8581</v>
      </c>
      <c r="G3098" s="7" t="s">
        <v>8580</v>
      </c>
      <c r="H3098" s="7" t="s">
        <v>8582</v>
      </c>
      <c r="I3098" s="9">
        <v>45370</v>
      </c>
    </row>
    <row r="3099" spans="1:9" x14ac:dyDescent="0.15">
      <c r="A3099" s="6">
        <v>3098</v>
      </c>
      <c r="B3099" s="7" t="s">
        <v>7</v>
      </c>
      <c r="C3099" s="8">
        <v>1890</v>
      </c>
      <c r="D3099" s="9">
        <v>45449</v>
      </c>
      <c r="E3099" s="13">
        <f>+HYPERLINK("http://trademark.i-assist.jp/data/china/image_1890th/77392114.pdf",77392114)</f>
        <v>77392114</v>
      </c>
      <c r="F3099" s="7" t="s">
        <v>8583</v>
      </c>
      <c r="G3099" s="7" t="s">
        <v>1943</v>
      </c>
      <c r="H3099" s="7" t="s">
        <v>8584</v>
      </c>
      <c r="I3099" s="9">
        <v>45370</v>
      </c>
    </row>
    <row r="3100" spans="1:9" ht="27" x14ac:dyDescent="0.15">
      <c r="A3100" s="6">
        <v>3099</v>
      </c>
      <c r="B3100" s="7" t="s">
        <v>7</v>
      </c>
      <c r="C3100" s="8">
        <v>1890</v>
      </c>
      <c r="D3100" s="9">
        <v>45449</v>
      </c>
      <c r="E3100" s="13">
        <f>+HYPERLINK("http://trademark.i-assist.jp/data/china/image_1890th/77392171.pdf",77392171)</f>
        <v>77392171</v>
      </c>
      <c r="F3100" s="7" t="s">
        <v>8586</v>
      </c>
      <c r="G3100" s="7" t="s">
        <v>8585</v>
      </c>
      <c r="H3100" s="7" t="s">
        <v>8587</v>
      </c>
      <c r="I3100" s="9">
        <v>45370</v>
      </c>
    </row>
    <row r="3101" spans="1:9" x14ac:dyDescent="0.15">
      <c r="A3101" s="6">
        <v>3100</v>
      </c>
      <c r="B3101" s="7" t="s">
        <v>7</v>
      </c>
      <c r="C3101" s="8">
        <v>1890</v>
      </c>
      <c r="D3101" s="9">
        <v>45449</v>
      </c>
      <c r="E3101" s="13">
        <f>+HYPERLINK("http://trademark.i-assist.jp/data/china/image_1890th/77392293.pdf",77392293)</f>
        <v>77392293</v>
      </c>
      <c r="F3101" s="7" t="s">
        <v>8589</v>
      </c>
      <c r="G3101" s="7" t="s">
        <v>8588</v>
      </c>
      <c r="H3101" s="7" t="s">
        <v>8590</v>
      </c>
      <c r="I3101" s="9">
        <v>45370</v>
      </c>
    </row>
    <row r="3102" spans="1:9" x14ac:dyDescent="0.15">
      <c r="A3102" s="6">
        <v>3101</v>
      </c>
      <c r="B3102" s="7" t="s">
        <v>7</v>
      </c>
      <c r="C3102" s="8">
        <v>1890</v>
      </c>
      <c r="D3102" s="9">
        <v>45449</v>
      </c>
      <c r="E3102" s="13">
        <f>+HYPERLINK("http://trademark.i-assist.jp/data/china/image_1890th/77392406.pdf",77392406)</f>
        <v>77392406</v>
      </c>
      <c r="F3102" s="7" t="s">
        <v>8592</v>
      </c>
      <c r="G3102" s="7" t="s">
        <v>8591</v>
      </c>
      <c r="H3102" s="7" t="s">
        <v>8593</v>
      </c>
      <c r="I3102" s="9">
        <v>45370</v>
      </c>
    </row>
    <row r="3103" spans="1:9" x14ac:dyDescent="0.15">
      <c r="A3103" s="6">
        <v>3102</v>
      </c>
      <c r="B3103" s="7" t="s">
        <v>7</v>
      </c>
      <c r="C3103" s="8">
        <v>1890</v>
      </c>
      <c r="D3103" s="9">
        <v>45449</v>
      </c>
      <c r="E3103" s="13">
        <f>+HYPERLINK("http://trademark.i-assist.jp/data/china/image_1890th/77392450.pdf",77392450)</f>
        <v>77392450</v>
      </c>
      <c r="F3103" s="7" t="s">
        <v>8595</v>
      </c>
      <c r="G3103" s="7" t="s">
        <v>8594</v>
      </c>
      <c r="H3103" s="7" t="s">
        <v>8596</v>
      </c>
      <c r="I3103" s="9">
        <v>45370</v>
      </c>
    </row>
    <row r="3104" spans="1:9" ht="27" x14ac:dyDescent="0.15">
      <c r="A3104" s="6">
        <v>3103</v>
      </c>
      <c r="B3104" s="7" t="s">
        <v>7</v>
      </c>
      <c r="C3104" s="8">
        <v>1890</v>
      </c>
      <c r="D3104" s="9">
        <v>45449</v>
      </c>
      <c r="E3104" s="13">
        <f>+HYPERLINK("http://trademark.i-assist.jp/data/china/image_1890th/77392486.pdf",77392486)</f>
        <v>77392486</v>
      </c>
      <c r="F3104" s="7" t="s">
        <v>8597</v>
      </c>
      <c r="G3104" s="7" t="s">
        <v>3085</v>
      </c>
      <c r="H3104" s="7" t="s">
        <v>8598</v>
      </c>
      <c r="I3104" s="9">
        <v>45370</v>
      </c>
    </row>
    <row r="3105" spans="1:9" x14ac:dyDescent="0.15">
      <c r="A3105" s="6">
        <v>3104</v>
      </c>
      <c r="B3105" s="7" t="s">
        <v>7</v>
      </c>
      <c r="C3105" s="8">
        <v>1890</v>
      </c>
      <c r="D3105" s="9">
        <v>45449</v>
      </c>
      <c r="E3105" s="13">
        <f>+HYPERLINK("http://trademark.i-assist.jp/data/china/image_1890th/77392897.pdf",77392897)</f>
        <v>77392897</v>
      </c>
      <c r="F3105" s="7" t="s">
        <v>8600</v>
      </c>
      <c r="G3105" s="7" t="s">
        <v>8599</v>
      </c>
      <c r="H3105" s="7" t="s">
        <v>8601</v>
      </c>
      <c r="I3105" s="9">
        <v>45370</v>
      </c>
    </row>
    <row r="3106" spans="1:9" x14ac:dyDescent="0.15">
      <c r="A3106" s="6">
        <v>3105</v>
      </c>
      <c r="B3106" s="7" t="s">
        <v>7</v>
      </c>
      <c r="C3106" s="8">
        <v>1890</v>
      </c>
      <c r="D3106" s="9">
        <v>45449</v>
      </c>
      <c r="E3106" s="13">
        <f>+HYPERLINK("http://trademark.i-assist.jp/data/china/image_1890th/77393111.pdf",77393111)</f>
        <v>77393111</v>
      </c>
      <c r="F3106" s="7" t="s">
        <v>183</v>
      </c>
      <c r="G3106" s="7" t="s">
        <v>8602</v>
      </c>
      <c r="H3106" s="7" t="s">
        <v>8603</v>
      </c>
      <c r="I3106" s="9">
        <v>45370</v>
      </c>
    </row>
    <row r="3107" spans="1:9" ht="27" x14ac:dyDescent="0.15">
      <c r="A3107" s="6">
        <v>3106</v>
      </c>
      <c r="B3107" s="7" t="s">
        <v>7</v>
      </c>
      <c r="C3107" s="8">
        <v>1890</v>
      </c>
      <c r="D3107" s="9">
        <v>45449</v>
      </c>
      <c r="E3107" s="13">
        <f>+HYPERLINK("http://trademark.i-assist.jp/data/china/image_1890th/77393150.pdf",77393150)</f>
        <v>77393150</v>
      </c>
      <c r="F3107" s="7" t="s">
        <v>8605</v>
      </c>
      <c r="G3107" s="7" t="s">
        <v>8604</v>
      </c>
      <c r="H3107" s="7" t="s">
        <v>8606</v>
      </c>
      <c r="I3107" s="9">
        <v>45370</v>
      </c>
    </row>
    <row r="3108" spans="1:9" x14ac:dyDescent="0.15">
      <c r="A3108" s="6">
        <v>3107</v>
      </c>
      <c r="B3108" s="7" t="s">
        <v>7</v>
      </c>
      <c r="C3108" s="8">
        <v>1890</v>
      </c>
      <c r="D3108" s="9">
        <v>45449</v>
      </c>
      <c r="E3108" s="13">
        <f>+HYPERLINK("http://trademark.i-assist.jp/data/china/image_1890th/77393331.pdf",77393331)</f>
        <v>77393331</v>
      </c>
      <c r="F3108" s="7" t="s">
        <v>183</v>
      </c>
      <c r="G3108" s="7" t="s">
        <v>8607</v>
      </c>
      <c r="H3108" s="7" t="s">
        <v>8608</v>
      </c>
      <c r="I3108" s="9">
        <v>45370</v>
      </c>
    </row>
    <row r="3109" spans="1:9" x14ac:dyDescent="0.15">
      <c r="A3109" s="6">
        <v>3108</v>
      </c>
      <c r="B3109" s="7" t="s">
        <v>7</v>
      </c>
      <c r="C3109" s="8">
        <v>1890</v>
      </c>
      <c r="D3109" s="9">
        <v>45449</v>
      </c>
      <c r="E3109" s="13">
        <f>+HYPERLINK("http://trademark.i-assist.jp/data/china/image_1890th/77393339.pdf",77393339)</f>
        <v>77393339</v>
      </c>
      <c r="F3109" s="7" t="s">
        <v>8610</v>
      </c>
      <c r="G3109" s="7" t="s">
        <v>8609</v>
      </c>
      <c r="H3109" s="7" t="s">
        <v>8611</v>
      </c>
      <c r="I3109" s="9">
        <v>45370</v>
      </c>
    </row>
    <row r="3110" spans="1:9" x14ac:dyDescent="0.15">
      <c r="A3110" s="6">
        <v>3109</v>
      </c>
      <c r="B3110" s="7" t="s">
        <v>7</v>
      </c>
      <c r="C3110" s="8">
        <v>1890</v>
      </c>
      <c r="D3110" s="9">
        <v>45449</v>
      </c>
      <c r="E3110" s="13">
        <f>+HYPERLINK("http://trademark.i-assist.jp/data/china/image_1890th/77393605.pdf",77393605)</f>
        <v>77393605</v>
      </c>
      <c r="F3110" s="7" t="s">
        <v>8613</v>
      </c>
      <c r="G3110" s="7" t="s">
        <v>8612</v>
      </c>
      <c r="H3110" s="7" t="s">
        <v>8614</v>
      </c>
      <c r="I3110" s="9">
        <v>45370</v>
      </c>
    </row>
    <row r="3111" spans="1:9" x14ac:dyDescent="0.15">
      <c r="A3111" s="6">
        <v>3110</v>
      </c>
      <c r="B3111" s="7" t="s">
        <v>7</v>
      </c>
      <c r="C3111" s="8">
        <v>1890</v>
      </c>
      <c r="D3111" s="9">
        <v>45449</v>
      </c>
      <c r="E3111" s="13">
        <f>+HYPERLINK("http://trademark.i-assist.jp/data/china/image_1890th/77393734.pdf",77393734)</f>
        <v>77393734</v>
      </c>
      <c r="F3111" s="7" t="s">
        <v>8616</v>
      </c>
      <c r="G3111" s="7" t="s">
        <v>8615</v>
      </c>
      <c r="H3111" s="7" t="s">
        <v>8617</v>
      </c>
      <c r="I3111" s="9">
        <v>45370</v>
      </c>
    </row>
    <row r="3112" spans="1:9" ht="27" x14ac:dyDescent="0.15">
      <c r="A3112" s="6">
        <v>3111</v>
      </c>
      <c r="B3112" s="7" t="s">
        <v>7</v>
      </c>
      <c r="C3112" s="8">
        <v>1890</v>
      </c>
      <c r="D3112" s="9">
        <v>45449</v>
      </c>
      <c r="E3112" s="13">
        <f>+HYPERLINK("http://trademark.i-assist.jp/data/china/image_1890th/77393758.pdf",77393758)</f>
        <v>77393758</v>
      </c>
      <c r="F3112" s="7" t="s">
        <v>8619</v>
      </c>
      <c r="G3112" s="7" t="s">
        <v>8618</v>
      </c>
      <c r="H3112" s="7" t="s">
        <v>8620</v>
      </c>
      <c r="I3112" s="9">
        <v>45370</v>
      </c>
    </row>
    <row r="3113" spans="1:9" ht="27" x14ac:dyDescent="0.15">
      <c r="A3113" s="6">
        <v>3112</v>
      </c>
      <c r="B3113" s="7" t="s">
        <v>7</v>
      </c>
      <c r="C3113" s="8">
        <v>1890</v>
      </c>
      <c r="D3113" s="9">
        <v>45449</v>
      </c>
      <c r="E3113" s="13">
        <f>+HYPERLINK("http://trademark.i-assist.jp/data/china/image_1890th/77393912.pdf",77393912)</f>
        <v>77393912</v>
      </c>
      <c r="F3113" s="7" t="s">
        <v>8621</v>
      </c>
      <c r="G3113" s="7" t="s">
        <v>4197</v>
      </c>
      <c r="H3113" s="7" t="s">
        <v>8622</v>
      </c>
      <c r="I3113" s="9">
        <v>45370</v>
      </c>
    </row>
    <row r="3114" spans="1:9" x14ac:dyDescent="0.15">
      <c r="A3114" s="6">
        <v>3113</v>
      </c>
      <c r="B3114" s="7" t="s">
        <v>7</v>
      </c>
      <c r="C3114" s="8">
        <v>1890</v>
      </c>
      <c r="D3114" s="9">
        <v>45449</v>
      </c>
      <c r="E3114" s="13">
        <f>+HYPERLINK("http://trademark.i-assist.jp/data/china/image_1890th/77393987.pdf",77393987)</f>
        <v>77393987</v>
      </c>
      <c r="F3114" s="7" t="s">
        <v>8623</v>
      </c>
      <c r="G3114" s="7" t="s">
        <v>1938</v>
      </c>
      <c r="H3114" s="7" t="s">
        <v>8624</v>
      </c>
      <c r="I3114" s="9">
        <v>45370</v>
      </c>
    </row>
    <row r="3115" spans="1:9" x14ac:dyDescent="0.15">
      <c r="A3115" s="6">
        <v>3114</v>
      </c>
      <c r="B3115" s="7" t="s">
        <v>7</v>
      </c>
      <c r="C3115" s="8">
        <v>1890</v>
      </c>
      <c r="D3115" s="9">
        <v>45449</v>
      </c>
      <c r="E3115" s="13">
        <f>+HYPERLINK("http://trademark.i-assist.jp/data/china/image_1890th/77394107.pdf",77394107)</f>
        <v>77394107</v>
      </c>
      <c r="F3115" s="7" t="s">
        <v>8626</v>
      </c>
      <c r="G3115" s="7" t="s">
        <v>8625</v>
      </c>
      <c r="H3115" s="7" t="s">
        <v>8627</v>
      </c>
      <c r="I3115" s="9">
        <v>45370</v>
      </c>
    </row>
    <row r="3116" spans="1:9" x14ac:dyDescent="0.15">
      <c r="A3116" s="6">
        <v>3115</v>
      </c>
      <c r="B3116" s="7" t="s">
        <v>7</v>
      </c>
      <c r="C3116" s="8">
        <v>1890</v>
      </c>
      <c r="D3116" s="9">
        <v>45449</v>
      </c>
      <c r="E3116" s="13">
        <f>+HYPERLINK("http://trademark.i-assist.jp/data/china/image_1890th/77394176.pdf",77394176)</f>
        <v>77394176</v>
      </c>
      <c r="F3116" s="7" t="s">
        <v>8629</v>
      </c>
      <c r="G3116" s="7" t="s">
        <v>8628</v>
      </c>
      <c r="H3116" s="7" t="s">
        <v>8630</v>
      </c>
      <c r="I3116" s="9">
        <v>45370</v>
      </c>
    </row>
    <row r="3117" spans="1:9" x14ac:dyDescent="0.15">
      <c r="A3117" s="6">
        <v>3116</v>
      </c>
      <c r="B3117" s="7" t="s">
        <v>7</v>
      </c>
      <c r="C3117" s="8">
        <v>1890</v>
      </c>
      <c r="D3117" s="9">
        <v>45449</v>
      </c>
      <c r="E3117" s="13">
        <f>+HYPERLINK("http://trademark.i-assist.jp/data/china/image_1890th/77394290.pdf",77394290)</f>
        <v>77394290</v>
      </c>
      <c r="F3117" s="7" t="s">
        <v>8632</v>
      </c>
      <c r="G3117" s="7" t="s">
        <v>8631</v>
      </c>
      <c r="H3117" s="7" t="s">
        <v>8633</v>
      </c>
      <c r="I3117" s="9">
        <v>45370</v>
      </c>
    </row>
    <row r="3118" spans="1:9" x14ac:dyDescent="0.15">
      <c r="A3118" s="6">
        <v>3117</v>
      </c>
      <c r="B3118" s="7" t="s">
        <v>7</v>
      </c>
      <c r="C3118" s="8">
        <v>1890</v>
      </c>
      <c r="D3118" s="9">
        <v>45449</v>
      </c>
      <c r="E3118" s="13">
        <f>+HYPERLINK("http://trademark.i-assist.jp/data/china/image_1890th/77394332.pdf",77394332)</f>
        <v>77394332</v>
      </c>
      <c r="F3118" s="7" t="s">
        <v>8635</v>
      </c>
      <c r="G3118" s="7" t="s">
        <v>8634</v>
      </c>
      <c r="H3118" s="7" t="s">
        <v>8636</v>
      </c>
      <c r="I3118" s="9">
        <v>45370</v>
      </c>
    </row>
    <row r="3119" spans="1:9" x14ac:dyDescent="0.15">
      <c r="A3119" s="6">
        <v>3118</v>
      </c>
      <c r="B3119" s="7" t="s">
        <v>7</v>
      </c>
      <c r="C3119" s="8">
        <v>1890</v>
      </c>
      <c r="D3119" s="9">
        <v>45449</v>
      </c>
      <c r="E3119" s="13">
        <f>+HYPERLINK("http://trademark.i-assist.jp/data/china/image_1890th/77394461.pdf",77394461)</f>
        <v>77394461</v>
      </c>
      <c r="F3119" s="7" t="s">
        <v>8638</v>
      </c>
      <c r="G3119" s="7" t="s">
        <v>8637</v>
      </c>
      <c r="H3119" s="7" t="s">
        <v>8639</v>
      </c>
      <c r="I3119" s="9">
        <v>45370</v>
      </c>
    </row>
    <row r="3120" spans="1:9" x14ac:dyDescent="0.15">
      <c r="A3120" s="6">
        <v>3119</v>
      </c>
      <c r="B3120" s="7" t="s">
        <v>7</v>
      </c>
      <c r="C3120" s="8">
        <v>1890</v>
      </c>
      <c r="D3120" s="9">
        <v>45449</v>
      </c>
      <c r="E3120" s="13">
        <f>+HYPERLINK("http://trademark.i-assist.jp/data/china/image_1890th/77394599.pdf",77394599)</f>
        <v>77394599</v>
      </c>
      <c r="F3120" s="7" t="s">
        <v>8641</v>
      </c>
      <c r="G3120" s="7" t="s">
        <v>8640</v>
      </c>
      <c r="H3120" s="7" t="s">
        <v>8642</v>
      </c>
      <c r="I3120" s="9">
        <v>45370</v>
      </c>
    </row>
    <row r="3121" spans="1:9" x14ac:dyDescent="0.15">
      <c r="A3121" s="6">
        <v>3120</v>
      </c>
      <c r="B3121" s="7" t="s">
        <v>7</v>
      </c>
      <c r="C3121" s="8">
        <v>1890</v>
      </c>
      <c r="D3121" s="9">
        <v>45449</v>
      </c>
      <c r="E3121" s="13">
        <f>+HYPERLINK("http://trademark.i-assist.jp/data/china/image_1890th/77394601.pdf",77394601)</f>
        <v>77394601</v>
      </c>
      <c r="F3121" s="7" t="s">
        <v>8644</v>
      </c>
      <c r="G3121" s="7" t="s">
        <v>8643</v>
      </c>
      <c r="H3121" s="7" t="s">
        <v>8645</v>
      </c>
      <c r="I3121" s="9">
        <v>45370</v>
      </c>
    </row>
    <row r="3122" spans="1:9" x14ac:dyDescent="0.15">
      <c r="A3122" s="6">
        <v>3121</v>
      </c>
      <c r="B3122" s="7" t="s">
        <v>7</v>
      </c>
      <c r="C3122" s="8">
        <v>1890</v>
      </c>
      <c r="D3122" s="9">
        <v>45449</v>
      </c>
      <c r="E3122" s="13">
        <f>+HYPERLINK("http://trademark.i-assist.jp/data/china/image_1890th/77394948.pdf",77394948)</f>
        <v>77394948</v>
      </c>
      <c r="F3122" s="7" t="s">
        <v>8646</v>
      </c>
      <c r="G3122" s="7" t="s">
        <v>1951</v>
      </c>
      <c r="H3122" s="7" t="s">
        <v>8647</v>
      </c>
      <c r="I3122" s="9">
        <v>45370</v>
      </c>
    </row>
    <row r="3123" spans="1:9" x14ac:dyDescent="0.15">
      <c r="A3123" s="6">
        <v>3122</v>
      </c>
      <c r="B3123" s="7" t="s">
        <v>7</v>
      </c>
      <c r="C3123" s="8">
        <v>1890</v>
      </c>
      <c r="D3123" s="9">
        <v>45449</v>
      </c>
      <c r="E3123" s="13">
        <f>+HYPERLINK("http://trademark.i-assist.jp/data/china/image_1890th/77395033.pdf",77395033)</f>
        <v>77395033</v>
      </c>
      <c r="F3123" s="7" t="s">
        <v>8649</v>
      </c>
      <c r="G3123" s="7" t="s">
        <v>8648</v>
      </c>
      <c r="H3123" s="7" t="s">
        <v>8650</v>
      </c>
      <c r="I3123" s="9">
        <v>45370</v>
      </c>
    </row>
    <row r="3124" spans="1:9" x14ac:dyDescent="0.15">
      <c r="A3124" s="6">
        <v>3123</v>
      </c>
      <c r="B3124" s="7" t="s">
        <v>7</v>
      </c>
      <c r="C3124" s="8">
        <v>1890</v>
      </c>
      <c r="D3124" s="9">
        <v>45449</v>
      </c>
      <c r="E3124" s="13">
        <f>+HYPERLINK("http://trademark.i-assist.jp/data/china/image_1890th/77395663.pdf",77395663)</f>
        <v>77395663</v>
      </c>
      <c r="F3124" s="7" t="s">
        <v>8652</v>
      </c>
      <c r="G3124" s="7" t="s">
        <v>8651</v>
      </c>
      <c r="H3124" s="7" t="s">
        <v>8653</v>
      </c>
      <c r="I3124" s="9">
        <v>45370</v>
      </c>
    </row>
    <row r="3125" spans="1:9" x14ac:dyDescent="0.15">
      <c r="A3125" s="6">
        <v>3124</v>
      </c>
      <c r="B3125" s="7" t="s">
        <v>7</v>
      </c>
      <c r="C3125" s="8">
        <v>1890</v>
      </c>
      <c r="D3125" s="9">
        <v>45449</v>
      </c>
      <c r="E3125" s="13">
        <f>+HYPERLINK("http://trademark.i-assist.jp/data/china/image_1890th/77395992.pdf",77395992)</f>
        <v>77395992</v>
      </c>
      <c r="F3125" s="7" t="s">
        <v>8654</v>
      </c>
      <c r="G3125" s="7" t="s">
        <v>1890</v>
      </c>
      <c r="H3125" s="7" t="s">
        <v>8655</v>
      </c>
      <c r="I3125" s="9">
        <v>45370</v>
      </c>
    </row>
    <row r="3126" spans="1:9" x14ac:dyDescent="0.15">
      <c r="A3126" s="6">
        <v>3125</v>
      </c>
      <c r="B3126" s="7" t="s">
        <v>7</v>
      </c>
      <c r="C3126" s="8">
        <v>1890</v>
      </c>
      <c r="D3126" s="9">
        <v>45449</v>
      </c>
      <c r="E3126" s="13">
        <f>+HYPERLINK("http://trademark.i-assist.jp/data/china/image_1890th/77396187.pdf",77396187)</f>
        <v>77396187</v>
      </c>
      <c r="F3126" s="7" t="s">
        <v>8657</v>
      </c>
      <c r="G3126" s="7" t="s">
        <v>8656</v>
      </c>
      <c r="H3126" s="7" t="s">
        <v>8658</v>
      </c>
      <c r="I3126" s="9">
        <v>45370</v>
      </c>
    </row>
    <row r="3127" spans="1:9" x14ac:dyDescent="0.15">
      <c r="A3127" s="6">
        <v>3126</v>
      </c>
      <c r="B3127" s="7" t="s">
        <v>7</v>
      </c>
      <c r="C3127" s="8">
        <v>1890</v>
      </c>
      <c r="D3127" s="9">
        <v>45449</v>
      </c>
      <c r="E3127" s="13">
        <f>+HYPERLINK("http://trademark.i-assist.jp/data/china/image_1890th/77396201.pdf",77396201)</f>
        <v>77396201</v>
      </c>
      <c r="F3127" s="7" t="s">
        <v>8659</v>
      </c>
      <c r="G3127" s="7" t="s">
        <v>8272</v>
      </c>
      <c r="H3127" s="7" t="s">
        <v>8660</v>
      </c>
      <c r="I3127" s="9">
        <v>45370</v>
      </c>
    </row>
    <row r="3128" spans="1:9" x14ac:dyDescent="0.15">
      <c r="A3128" s="6">
        <v>3127</v>
      </c>
      <c r="B3128" s="7" t="s">
        <v>7</v>
      </c>
      <c r="C3128" s="8">
        <v>1890</v>
      </c>
      <c r="D3128" s="9">
        <v>45449</v>
      </c>
      <c r="E3128" s="13">
        <f>+HYPERLINK("http://trademark.i-assist.jp/data/china/image_1890th/77396220.pdf",77396220)</f>
        <v>77396220</v>
      </c>
      <c r="F3128" s="7" t="s">
        <v>8662</v>
      </c>
      <c r="G3128" s="7" t="s">
        <v>8661</v>
      </c>
      <c r="H3128" s="7" t="s">
        <v>8663</v>
      </c>
      <c r="I3128" s="9">
        <v>45370</v>
      </c>
    </row>
    <row r="3129" spans="1:9" x14ac:dyDescent="0.15">
      <c r="A3129" s="6">
        <v>3128</v>
      </c>
      <c r="B3129" s="7" t="s">
        <v>7</v>
      </c>
      <c r="C3129" s="8">
        <v>1890</v>
      </c>
      <c r="D3129" s="9">
        <v>45449</v>
      </c>
      <c r="E3129" s="13">
        <f>+HYPERLINK("http://trademark.i-assist.jp/data/china/image_1890th/77396230.pdf",77396230)</f>
        <v>77396230</v>
      </c>
      <c r="F3129" s="7" t="s">
        <v>8664</v>
      </c>
      <c r="G3129" s="7" t="s">
        <v>5294</v>
      </c>
      <c r="H3129" s="7" t="s">
        <v>8665</v>
      </c>
      <c r="I3129" s="9">
        <v>45370</v>
      </c>
    </row>
    <row r="3130" spans="1:9" x14ac:dyDescent="0.15">
      <c r="A3130" s="6">
        <v>3129</v>
      </c>
      <c r="B3130" s="7" t="s">
        <v>7</v>
      </c>
      <c r="C3130" s="8">
        <v>1890</v>
      </c>
      <c r="D3130" s="9">
        <v>45449</v>
      </c>
      <c r="E3130" s="13">
        <f>+HYPERLINK("http://trademark.i-assist.jp/data/china/image_1890th/77396236.pdf",77396236)</f>
        <v>77396236</v>
      </c>
      <c r="F3130" s="7" t="s">
        <v>8667</v>
      </c>
      <c r="G3130" s="7" t="s">
        <v>8666</v>
      </c>
      <c r="H3130" s="7" t="s">
        <v>8668</v>
      </c>
      <c r="I3130" s="9">
        <v>45370</v>
      </c>
    </row>
    <row r="3131" spans="1:9" x14ac:dyDescent="0.15">
      <c r="A3131" s="6">
        <v>3130</v>
      </c>
      <c r="B3131" s="7" t="s">
        <v>7</v>
      </c>
      <c r="C3131" s="8">
        <v>1890</v>
      </c>
      <c r="D3131" s="9">
        <v>45449</v>
      </c>
      <c r="E3131" s="13">
        <f>+HYPERLINK("http://trademark.i-assist.jp/data/china/image_1890th/77396287.pdf",77396287)</f>
        <v>77396287</v>
      </c>
      <c r="F3131" s="7" t="s">
        <v>8670</v>
      </c>
      <c r="G3131" s="7" t="s">
        <v>8669</v>
      </c>
      <c r="H3131" s="7" t="s">
        <v>8671</v>
      </c>
      <c r="I3131" s="9">
        <v>45370</v>
      </c>
    </row>
    <row r="3132" spans="1:9" x14ac:dyDescent="0.15">
      <c r="A3132" s="6">
        <v>3131</v>
      </c>
      <c r="B3132" s="7" t="s">
        <v>7</v>
      </c>
      <c r="C3132" s="8">
        <v>1890</v>
      </c>
      <c r="D3132" s="9">
        <v>45449</v>
      </c>
      <c r="E3132" s="13">
        <f>+HYPERLINK("http://trademark.i-assist.jp/data/china/image_1890th/77396484.pdf",77396484)</f>
        <v>77396484</v>
      </c>
      <c r="F3132" s="7" t="s">
        <v>8673</v>
      </c>
      <c r="G3132" s="7" t="s">
        <v>8672</v>
      </c>
      <c r="H3132" s="7" t="s">
        <v>8674</v>
      </c>
      <c r="I3132" s="9">
        <v>45370</v>
      </c>
    </row>
    <row r="3133" spans="1:9" x14ac:dyDescent="0.15">
      <c r="A3133" s="6">
        <v>3132</v>
      </c>
      <c r="B3133" s="7" t="s">
        <v>7</v>
      </c>
      <c r="C3133" s="8">
        <v>1890</v>
      </c>
      <c r="D3133" s="9">
        <v>45449</v>
      </c>
      <c r="E3133" s="13">
        <f>+HYPERLINK("http://trademark.i-assist.jp/data/china/image_1890th/77396500.pdf",77396500)</f>
        <v>77396500</v>
      </c>
      <c r="F3133" s="7" t="s">
        <v>8675</v>
      </c>
      <c r="G3133" s="7" t="s">
        <v>8672</v>
      </c>
      <c r="H3133" s="7" t="s">
        <v>8676</v>
      </c>
      <c r="I3133" s="9">
        <v>45370</v>
      </c>
    </row>
    <row r="3134" spans="1:9" x14ac:dyDescent="0.15">
      <c r="A3134" s="6">
        <v>3133</v>
      </c>
      <c r="B3134" s="7" t="s">
        <v>7</v>
      </c>
      <c r="C3134" s="8">
        <v>1890</v>
      </c>
      <c r="D3134" s="9">
        <v>45449</v>
      </c>
      <c r="E3134" s="13">
        <f>+HYPERLINK("http://trademark.i-assist.jp/data/china/image_1890th/77396754.pdf",77396754)</f>
        <v>77396754</v>
      </c>
      <c r="F3134" s="7" t="s">
        <v>8677</v>
      </c>
      <c r="G3134" s="7" t="s">
        <v>585</v>
      </c>
      <c r="H3134" s="7" t="s">
        <v>8678</v>
      </c>
      <c r="I3134" s="9">
        <v>45370</v>
      </c>
    </row>
    <row r="3135" spans="1:9" x14ac:dyDescent="0.15">
      <c r="A3135" s="6">
        <v>3134</v>
      </c>
      <c r="B3135" s="7" t="s">
        <v>7</v>
      </c>
      <c r="C3135" s="8">
        <v>1890</v>
      </c>
      <c r="D3135" s="9">
        <v>45449</v>
      </c>
      <c r="E3135" s="13">
        <f>+HYPERLINK("http://trademark.i-assist.jp/data/china/image_1890th/77396880.pdf",77396880)</f>
        <v>77396880</v>
      </c>
      <c r="F3135" s="7" t="s">
        <v>8680</v>
      </c>
      <c r="G3135" s="7" t="s">
        <v>8679</v>
      </c>
      <c r="H3135" s="7" t="s">
        <v>8681</v>
      </c>
      <c r="I3135" s="9">
        <v>45370</v>
      </c>
    </row>
    <row r="3136" spans="1:9" x14ac:dyDescent="0.15">
      <c r="A3136" s="6">
        <v>3135</v>
      </c>
      <c r="B3136" s="7" t="s">
        <v>7</v>
      </c>
      <c r="C3136" s="8">
        <v>1890</v>
      </c>
      <c r="D3136" s="9">
        <v>45449</v>
      </c>
      <c r="E3136" s="13">
        <f>+HYPERLINK("http://trademark.i-assist.jp/data/china/image_1890th/77396884.pdf",77396884)</f>
        <v>77396884</v>
      </c>
      <c r="F3136" s="7" t="s">
        <v>8683</v>
      </c>
      <c r="G3136" s="7" t="s">
        <v>8682</v>
      </c>
      <c r="H3136" s="7" t="s">
        <v>8684</v>
      </c>
      <c r="I3136" s="9">
        <v>45370</v>
      </c>
    </row>
    <row r="3137" spans="1:9" x14ac:dyDescent="0.15">
      <c r="A3137" s="6">
        <v>3136</v>
      </c>
      <c r="B3137" s="7" t="s">
        <v>7</v>
      </c>
      <c r="C3137" s="8">
        <v>1890</v>
      </c>
      <c r="D3137" s="9">
        <v>45449</v>
      </c>
      <c r="E3137" s="13">
        <f>+HYPERLINK("http://trademark.i-assist.jp/data/china/image_1890th/77396961.pdf",77396961)</f>
        <v>77396961</v>
      </c>
      <c r="F3137" s="7" t="s">
        <v>8686</v>
      </c>
      <c r="G3137" s="7" t="s">
        <v>8685</v>
      </c>
      <c r="H3137" s="7" t="s">
        <v>8687</v>
      </c>
      <c r="I3137" s="9">
        <v>45370</v>
      </c>
    </row>
    <row r="3138" spans="1:9" x14ac:dyDescent="0.15">
      <c r="A3138" s="6">
        <v>3137</v>
      </c>
      <c r="B3138" s="7" t="s">
        <v>7</v>
      </c>
      <c r="C3138" s="8">
        <v>1890</v>
      </c>
      <c r="D3138" s="9">
        <v>45449</v>
      </c>
      <c r="E3138" s="13">
        <f>+HYPERLINK("http://trademark.i-assist.jp/data/china/image_1890th/77397040.pdf",77397040)</f>
        <v>77397040</v>
      </c>
      <c r="F3138" s="7" t="s">
        <v>8689</v>
      </c>
      <c r="G3138" s="7" t="s">
        <v>8688</v>
      </c>
      <c r="H3138" s="7" t="s">
        <v>8</v>
      </c>
      <c r="I3138" s="9">
        <v>45370</v>
      </c>
    </row>
    <row r="3139" spans="1:9" x14ac:dyDescent="0.15">
      <c r="A3139" s="6">
        <v>3138</v>
      </c>
      <c r="B3139" s="7" t="s">
        <v>7</v>
      </c>
      <c r="C3139" s="8">
        <v>1890</v>
      </c>
      <c r="D3139" s="9">
        <v>45449</v>
      </c>
      <c r="E3139" s="13">
        <f>+HYPERLINK("http://trademark.i-assist.jp/data/china/image_1890th/77397072.pdf",77397072)</f>
        <v>77397072</v>
      </c>
      <c r="F3139" s="7" t="s">
        <v>8691</v>
      </c>
      <c r="G3139" s="7" t="s">
        <v>8690</v>
      </c>
      <c r="H3139" s="7" t="s">
        <v>8692</v>
      </c>
      <c r="I3139" s="9">
        <v>45370</v>
      </c>
    </row>
    <row r="3140" spans="1:9" x14ac:dyDescent="0.15">
      <c r="A3140" s="6">
        <v>3139</v>
      </c>
      <c r="B3140" s="7" t="s">
        <v>7</v>
      </c>
      <c r="C3140" s="8">
        <v>1890</v>
      </c>
      <c r="D3140" s="9">
        <v>45449</v>
      </c>
      <c r="E3140" s="13">
        <f>+HYPERLINK("http://trademark.i-assist.jp/data/china/image_1890th/77397084.pdf",77397084)</f>
        <v>77397084</v>
      </c>
      <c r="F3140" s="7" t="s">
        <v>8694</v>
      </c>
      <c r="G3140" s="7" t="s">
        <v>8693</v>
      </c>
      <c r="H3140" s="7" t="s">
        <v>8695</v>
      </c>
      <c r="I3140" s="9">
        <v>45370</v>
      </c>
    </row>
    <row r="3141" spans="1:9" x14ac:dyDescent="0.15">
      <c r="A3141" s="6">
        <v>3140</v>
      </c>
      <c r="B3141" s="7" t="s">
        <v>7</v>
      </c>
      <c r="C3141" s="8">
        <v>1890</v>
      </c>
      <c r="D3141" s="9">
        <v>45449</v>
      </c>
      <c r="E3141" s="13">
        <f>+HYPERLINK("http://trademark.i-assist.jp/data/china/image_1890th/77398226.pdf",77398226)</f>
        <v>77398226</v>
      </c>
      <c r="F3141" s="7" t="s">
        <v>8697</v>
      </c>
      <c r="G3141" s="7" t="s">
        <v>8696</v>
      </c>
      <c r="H3141" s="7" t="s">
        <v>8698</v>
      </c>
      <c r="I3141" s="9">
        <v>45370</v>
      </c>
    </row>
    <row r="3142" spans="1:9" x14ac:dyDescent="0.15">
      <c r="A3142" s="6">
        <v>3141</v>
      </c>
      <c r="B3142" s="7" t="s">
        <v>7</v>
      </c>
      <c r="C3142" s="8">
        <v>1890</v>
      </c>
      <c r="D3142" s="9">
        <v>45449</v>
      </c>
      <c r="E3142" s="13">
        <f>+HYPERLINK("http://trademark.i-assist.jp/data/china/image_1890th/77398361.pdf",77398361)</f>
        <v>77398361</v>
      </c>
      <c r="F3142" s="7" t="s">
        <v>8699</v>
      </c>
      <c r="G3142" s="7" t="s">
        <v>8284</v>
      </c>
      <c r="H3142" s="7" t="s">
        <v>8700</v>
      </c>
      <c r="I3142" s="9">
        <v>45370</v>
      </c>
    </row>
    <row r="3143" spans="1:9" x14ac:dyDescent="0.15">
      <c r="A3143" s="6">
        <v>3142</v>
      </c>
      <c r="B3143" s="7" t="s">
        <v>7</v>
      </c>
      <c r="C3143" s="8">
        <v>1890</v>
      </c>
      <c r="D3143" s="9">
        <v>45449</v>
      </c>
      <c r="E3143" s="13">
        <f>+HYPERLINK("http://trademark.i-assist.jp/data/china/image_1890th/77398402.pdf",77398402)</f>
        <v>77398402</v>
      </c>
      <c r="F3143" s="7" t="s">
        <v>8701</v>
      </c>
      <c r="G3143" s="7" t="s">
        <v>39</v>
      </c>
      <c r="H3143" s="7" t="s">
        <v>8702</v>
      </c>
      <c r="I3143" s="9">
        <v>45370</v>
      </c>
    </row>
    <row r="3144" spans="1:9" ht="27" x14ac:dyDescent="0.15">
      <c r="A3144" s="6">
        <v>3143</v>
      </c>
      <c r="B3144" s="7" t="s">
        <v>7</v>
      </c>
      <c r="C3144" s="8">
        <v>1890</v>
      </c>
      <c r="D3144" s="9">
        <v>45449</v>
      </c>
      <c r="E3144" s="13">
        <f>+HYPERLINK("http://trademark.i-assist.jp/data/china/image_1890th/77398459.pdf",77398459)</f>
        <v>77398459</v>
      </c>
      <c r="F3144" s="7" t="s">
        <v>8704</v>
      </c>
      <c r="G3144" s="7" t="s">
        <v>8703</v>
      </c>
      <c r="H3144" s="7" t="s">
        <v>8705</v>
      </c>
      <c r="I3144" s="9">
        <v>45370</v>
      </c>
    </row>
    <row r="3145" spans="1:9" x14ac:dyDescent="0.15">
      <c r="A3145" s="6">
        <v>3144</v>
      </c>
      <c r="B3145" s="7" t="s">
        <v>7</v>
      </c>
      <c r="C3145" s="8">
        <v>1890</v>
      </c>
      <c r="D3145" s="9">
        <v>45449</v>
      </c>
      <c r="E3145" s="13">
        <f>+HYPERLINK("http://trademark.i-assist.jp/data/china/image_1890th/77398610.pdf",77398610)</f>
        <v>77398610</v>
      </c>
      <c r="F3145" s="7" t="s">
        <v>8707</v>
      </c>
      <c r="G3145" s="7" t="s">
        <v>8706</v>
      </c>
      <c r="H3145" s="7" t="s">
        <v>8708</v>
      </c>
      <c r="I3145" s="9">
        <v>45370</v>
      </c>
    </row>
    <row r="3146" spans="1:9" x14ac:dyDescent="0.15">
      <c r="A3146" s="6">
        <v>3145</v>
      </c>
      <c r="B3146" s="7" t="s">
        <v>7</v>
      </c>
      <c r="C3146" s="8">
        <v>1890</v>
      </c>
      <c r="D3146" s="9">
        <v>45449</v>
      </c>
      <c r="E3146" s="13">
        <f>+HYPERLINK("http://trademark.i-assist.jp/data/china/image_1890th/77398643.pdf",77398643)</f>
        <v>77398643</v>
      </c>
      <c r="F3146" s="7" t="s">
        <v>8710</v>
      </c>
      <c r="G3146" s="7" t="s">
        <v>8709</v>
      </c>
      <c r="H3146" s="7" t="s">
        <v>8711</v>
      </c>
      <c r="I3146" s="9">
        <v>45370</v>
      </c>
    </row>
    <row r="3147" spans="1:9" x14ac:dyDescent="0.15">
      <c r="A3147" s="6">
        <v>3146</v>
      </c>
      <c r="B3147" s="7" t="s">
        <v>7</v>
      </c>
      <c r="C3147" s="8">
        <v>1890</v>
      </c>
      <c r="D3147" s="9">
        <v>45449</v>
      </c>
      <c r="E3147" s="13">
        <f>+HYPERLINK("http://trademark.i-assist.jp/data/china/image_1890th/77398721.pdf",77398721)</f>
        <v>77398721</v>
      </c>
      <c r="F3147" s="7" t="s">
        <v>8713</v>
      </c>
      <c r="G3147" s="7" t="s">
        <v>8712</v>
      </c>
      <c r="H3147" s="7" t="s">
        <v>8714</v>
      </c>
      <c r="I3147" s="9">
        <v>45370</v>
      </c>
    </row>
    <row r="3148" spans="1:9" x14ac:dyDescent="0.15">
      <c r="A3148" s="6">
        <v>3147</v>
      </c>
      <c r="B3148" s="7" t="s">
        <v>7</v>
      </c>
      <c r="C3148" s="8">
        <v>1890</v>
      </c>
      <c r="D3148" s="9">
        <v>45449</v>
      </c>
      <c r="E3148" s="13">
        <f>+HYPERLINK("http://trademark.i-assist.jp/data/china/image_1890th/77398741.pdf",77398741)</f>
        <v>77398741</v>
      </c>
      <c r="F3148" s="7" t="s">
        <v>8716</v>
      </c>
      <c r="G3148" s="7" t="s">
        <v>8715</v>
      </c>
      <c r="H3148" s="7" t="s">
        <v>8717</v>
      </c>
      <c r="I3148" s="9">
        <v>45370</v>
      </c>
    </row>
    <row r="3149" spans="1:9" x14ac:dyDescent="0.15">
      <c r="A3149" s="6">
        <v>3148</v>
      </c>
      <c r="B3149" s="7" t="s">
        <v>7</v>
      </c>
      <c r="C3149" s="8">
        <v>1890</v>
      </c>
      <c r="D3149" s="9">
        <v>45449</v>
      </c>
      <c r="E3149" s="13">
        <f>+HYPERLINK("http://trademark.i-assist.jp/data/china/image_1890th/77398775.pdf",77398775)</f>
        <v>77398775</v>
      </c>
      <c r="F3149" s="7" t="s">
        <v>183</v>
      </c>
      <c r="G3149" s="7" t="s">
        <v>8718</v>
      </c>
      <c r="H3149" s="7" t="s">
        <v>8719</v>
      </c>
      <c r="I3149" s="9">
        <v>45370</v>
      </c>
    </row>
    <row r="3150" spans="1:9" x14ac:dyDescent="0.15">
      <c r="A3150" s="6">
        <v>3149</v>
      </c>
      <c r="B3150" s="7" t="s">
        <v>7</v>
      </c>
      <c r="C3150" s="8">
        <v>1890</v>
      </c>
      <c r="D3150" s="9">
        <v>45449</v>
      </c>
      <c r="E3150" s="13">
        <f>+HYPERLINK("http://trademark.i-assist.jp/data/china/image_1890th/77398778.pdf",77398778)</f>
        <v>77398778</v>
      </c>
      <c r="F3150" s="7" t="s">
        <v>8721</v>
      </c>
      <c r="G3150" s="7" t="s">
        <v>8720</v>
      </c>
      <c r="H3150" s="7" t="s">
        <v>8722</v>
      </c>
      <c r="I3150" s="9">
        <v>45370</v>
      </c>
    </row>
    <row r="3151" spans="1:9" x14ac:dyDescent="0.15">
      <c r="A3151" s="6">
        <v>3150</v>
      </c>
      <c r="B3151" s="7" t="s">
        <v>7</v>
      </c>
      <c r="C3151" s="8">
        <v>1890</v>
      </c>
      <c r="D3151" s="9">
        <v>45449</v>
      </c>
      <c r="E3151" s="13">
        <f>+HYPERLINK("http://trademark.i-assist.jp/data/china/image_1890th/77398789.pdf",77398789)</f>
        <v>77398789</v>
      </c>
      <c r="F3151" s="7" t="s">
        <v>8724</v>
      </c>
      <c r="G3151" s="7" t="s">
        <v>8723</v>
      </c>
      <c r="H3151" s="7" t="s">
        <v>8725</v>
      </c>
      <c r="I3151" s="9">
        <v>45370</v>
      </c>
    </row>
    <row r="3152" spans="1:9" x14ac:dyDescent="0.15">
      <c r="A3152" s="6">
        <v>3151</v>
      </c>
      <c r="B3152" s="7" t="s">
        <v>7</v>
      </c>
      <c r="C3152" s="8">
        <v>1890</v>
      </c>
      <c r="D3152" s="9">
        <v>45449</v>
      </c>
      <c r="E3152" s="13">
        <f>+HYPERLINK("http://trademark.i-assist.jp/data/china/image_1890th/77398833.pdf",77398833)</f>
        <v>77398833</v>
      </c>
      <c r="F3152" s="7" t="s">
        <v>8727</v>
      </c>
      <c r="G3152" s="7" t="s">
        <v>8726</v>
      </c>
      <c r="H3152" s="7" t="s">
        <v>8728</v>
      </c>
      <c r="I3152" s="9">
        <v>45370</v>
      </c>
    </row>
    <row r="3153" spans="1:9" x14ac:dyDescent="0.15">
      <c r="A3153" s="6">
        <v>3152</v>
      </c>
      <c r="B3153" s="7" t="s">
        <v>7</v>
      </c>
      <c r="C3153" s="8">
        <v>1890</v>
      </c>
      <c r="D3153" s="9">
        <v>45449</v>
      </c>
      <c r="E3153" s="13">
        <f>+HYPERLINK("http://trademark.i-assist.jp/data/china/image_1890th/77399072.pdf",77399072)</f>
        <v>77399072</v>
      </c>
      <c r="F3153" s="7" t="s">
        <v>8729</v>
      </c>
      <c r="G3153" s="7" t="s">
        <v>8319</v>
      </c>
      <c r="H3153" s="7" t="s">
        <v>8730</v>
      </c>
      <c r="I3153" s="9">
        <v>45370</v>
      </c>
    </row>
    <row r="3154" spans="1:9" x14ac:dyDescent="0.15">
      <c r="A3154" s="6">
        <v>3153</v>
      </c>
      <c r="B3154" s="7" t="s">
        <v>7</v>
      </c>
      <c r="C3154" s="8">
        <v>1890</v>
      </c>
      <c r="D3154" s="9">
        <v>45449</v>
      </c>
      <c r="E3154" s="13">
        <f>+HYPERLINK("http://trademark.i-assist.jp/data/china/image_1890th/77399368.pdf",77399368)</f>
        <v>77399368</v>
      </c>
      <c r="F3154" s="7" t="s">
        <v>8732</v>
      </c>
      <c r="G3154" s="7" t="s">
        <v>8731</v>
      </c>
      <c r="H3154" s="7" t="s">
        <v>8733</v>
      </c>
      <c r="I3154" s="9">
        <v>45370</v>
      </c>
    </row>
    <row r="3155" spans="1:9" x14ac:dyDescent="0.15">
      <c r="A3155" s="6">
        <v>3154</v>
      </c>
      <c r="B3155" s="7" t="s">
        <v>7</v>
      </c>
      <c r="C3155" s="8">
        <v>1890</v>
      </c>
      <c r="D3155" s="9">
        <v>45449</v>
      </c>
      <c r="E3155" s="13">
        <f>+HYPERLINK("http://trademark.i-assist.jp/data/china/image_1890th/77399404.pdf",77399404)</f>
        <v>77399404</v>
      </c>
      <c r="F3155" s="7" t="s">
        <v>8735</v>
      </c>
      <c r="G3155" s="7" t="s">
        <v>8734</v>
      </c>
      <c r="H3155" s="7" t="s">
        <v>8736</v>
      </c>
      <c r="I3155" s="9">
        <v>45370</v>
      </c>
    </row>
    <row r="3156" spans="1:9" x14ac:dyDescent="0.15">
      <c r="A3156" s="6">
        <v>3155</v>
      </c>
      <c r="B3156" s="7" t="s">
        <v>7</v>
      </c>
      <c r="C3156" s="8">
        <v>1890</v>
      </c>
      <c r="D3156" s="9">
        <v>45449</v>
      </c>
      <c r="E3156" s="13">
        <f>+HYPERLINK("http://trademark.i-assist.jp/data/china/image_1890th/77399509.pdf",77399509)</f>
        <v>77399509</v>
      </c>
      <c r="F3156" s="7" t="s">
        <v>8738</v>
      </c>
      <c r="G3156" s="7" t="s">
        <v>8737</v>
      </c>
      <c r="H3156" s="7" t="s">
        <v>8739</v>
      </c>
      <c r="I3156" s="9">
        <v>45370</v>
      </c>
    </row>
    <row r="3157" spans="1:9" x14ac:dyDescent="0.15">
      <c r="A3157" s="6">
        <v>3156</v>
      </c>
      <c r="B3157" s="7" t="s">
        <v>7</v>
      </c>
      <c r="C3157" s="8">
        <v>1890</v>
      </c>
      <c r="D3157" s="9">
        <v>45449</v>
      </c>
      <c r="E3157" s="13">
        <f>+HYPERLINK("http://trademark.i-assist.jp/data/china/image_1890th/77399572.pdf",77399572)</f>
        <v>77399572</v>
      </c>
      <c r="F3157" s="7" t="s">
        <v>8740</v>
      </c>
      <c r="G3157" s="7" t="s">
        <v>8609</v>
      </c>
      <c r="H3157" s="7" t="s">
        <v>8741</v>
      </c>
      <c r="I3157" s="9">
        <v>45370</v>
      </c>
    </row>
    <row r="3158" spans="1:9" x14ac:dyDescent="0.15">
      <c r="A3158" s="6">
        <v>3157</v>
      </c>
      <c r="B3158" s="7" t="s">
        <v>7</v>
      </c>
      <c r="C3158" s="8">
        <v>1890</v>
      </c>
      <c r="D3158" s="9">
        <v>45449</v>
      </c>
      <c r="E3158" s="13">
        <f>+HYPERLINK("http://trademark.i-assist.jp/data/china/image_1890th/77399591.pdf",77399591)</f>
        <v>77399591</v>
      </c>
      <c r="F3158" s="7" t="s">
        <v>8742</v>
      </c>
      <c r="G3158" s="7" t="s">
        <v>1673</v>
      </c>
      <c r="H3158" s="7" t="s">
        <v>8743</v>
      </c>
      <c r="I3158" s="9">
        <v>45370</v>
      </c>
    </row>
    <row r="3159" spans="1:9" x14ac:dyDescent="0.15">
      <c r="A3159" s="6">
        <v>3158</v>
      </c>
      <c r="B3159" s="7" t="s">
        <v>7</v>
      </c>
      <c r="C3159" s="8">
        <v>1890</v>
      </c>
      <c r="D3159" s="9">
        <v>45449</v>
      </c>
      <c r="E3159" s="13">
        <f>+HYPERLINK("http://trademark.i-assist.jp/data/china/image_1890th/77399593.pdf",77399593)</f>
        <v>77399593</v>
      </c>
      <c r="F3159" s="7" t="s">
        <v>8745</v>
      </c>
      <c r="G3159" s="7" t="s">
        <v>8744</v>
      </c>
      <c r="H3159" s="7" t="s">
        <v>8746</v>
      </c>
      <c r="I3159" s="9">
        <v>45370</v>
      </c>
    </row>
    <row r="3160" spans="1:9" x14ac:dyDescent="0.15">
      <c r="A3160" s="6">
        <v>3159</v>
      </c>
      <c r="B3160" s="7" t="s">
        <v>7</v>
      </c>
      <c r="C3160" s="8">
        <v>1890</v>
      </c>
      <c r="D3160" s="9">
        <v>45449</v>
      </c>
      <c r="E3160" s="13">
        <f>+HYPERLINK("http://trademark.i-assist.jp/data/china/image_1890th/77399700.pdf",77399700)</f>
        <v>77399700</v>
      </c>
      <c r="F3160" s="7" t="s">
        <v>8748</v>
      </c>
      <c r="G3160" s="7" t="s">
        <v>8747</v>
      </c>
      <c r="H3160" s="7" t="s">
        <v>8749</v>
      </c>
      <c r="I3160" s="9">
        <v>45370</v>
      </c>
    </row>
    <row r="3161" spans="1:9" x14ac:dyDescent="0.15">
      <c r="A3161" s="6">
        <v>3160</v>
      </c>
      <c r="B3161" s="7" t="s">
        <v>7</v>
      </c>
      <c r="C3161" s="8">
        <v>1890</v>
      </c>
      <c r="D3161" s="9">
        <v>45449</v>
      </c>
      <c r="E3161" s="13">
        <f>+HYPERLINK("http://trademark.i-assist.jp/data/china/image_1890th/77399785.pdf",77399785)</f>
        <v>77399785</v>
      </c>
      <c r="F3161" s="7" t="s">
        <v>8751</v>
      </c>
      <c r="G3161" s="7" t="s">
        <v>8750</v>
      </c>
      <c r="H3161" s="7" t="s">
        <v>8752</v>
      </c>
      <c r="I3161" s="9">
        <v>45370</v>
      </c>
    </row>
    <row r="3162" spans="1:9" x14ac:dyDescent="0.15">
      <c r="A3162" s="6">
        <v>3161</v>
      </c>
      <c r="B3162" s="7" t="s">
        <v>7</v>
      </c>
      <c r="C3162" s="8">
        <v>1890</v>
      </c>
      <c r="D3162" s="9">
        <v>45449</v>
      </c>
      <c r="E3162" s="13">
        <f>+HYPERLINK("http://trademark.i-assist.jp/data/china/image_1890th/77399828.pdf",77399828)</f>
        <v>77399828</v>
      </c>
      <c r="F3162" s="7" t="s">
        <v>8754</v>
      </c>
      <c r="G3162" s="7" t="s">
        <v>8753</v>
      </c>
      <c r="H3162" s="7" t="s">
        <v>8755</v>
      </c>
      <c r="I3162" s="9">
        <v>45370</v>
      </c>
    </row>
    <row r="3163" spans="1:9" x14ac:dyDescent="0.15">
      <c r="A3163" s="6">
        <v>3162</v>
      </c>
      <c r="B3163" s="7" t="s">
        <v>7</v>
      </c>
      <c r="C3163" s="8">
        <v>1890</v>
      </c>
      <c r="D3163" s="9">
        <v>45449</v>
      </c>
      <c r="E3163" s="13">
        <f>+HYPERLINK("http://trademark.i-assist.jp/data/china/image_1890th/77399877.pdf",77399877)</f>
        <v>77399877</v>
      </c>
      <c r="F3163" s="7" t="s">
        <v>8756</v>
      </c>
      <c r="G3163" s="7" t="s">
        <v>8688</v>
      </c>
      <c r="H3163" s="7" t="s">
        <v>8757</v>
      </c>
      <c r="I3163" s="9">
        <v>45370</v>
      </c>
    </row>
    <row r="3164" spans="1:9" x14ac:dyDescent="0.15">
      <c r="A3164" s="6">
        <v>3163</v>
      </c>
      <c r="B3164" s="7" t="s">
        <v>7</v>
      </c>
      <c r="C3164" s="8">
        <v>1890</v>
      </c>
      <c r="D3164" s="9">
        <v>45449</v>
      </c>
      <c r="E3164" s="13">
        <f>+HYPERLINK("http://trademark.i-assist.jp/data/china/image_1890th/77400033.pdf",77400033)</f>
        <v>77400033</v>
      </c>
      <c r="F3164" s="7" t="s">
        <v>8758</v>
      </c>
      <c r="G3164" s="7" t="s">
        <v>8688</v>
      </c>
      <c r="H3164" s="7" t="s">
        <v>8759</v>
      </c>
      <c r="I3164" s="9">
        <v>45370</v>
      </c>
    </row>
    <row r="3165" spans="1:9" x14ac:dyDescent="0.15">
      <c r="A3165" s="6">
        <v>3164</v>
      </c>
      <c r="B3165" s="7" t="s">
        <v>7</v>
      </c>
      <c r="C3165" s="8">
        <v>1890</v>
      </c>
      <c r="D3165" s="9">
        <v>45449</v>
      </c>
      <c r="E3165" s="13">
        <f>+HYPERLINK("http://trademark.i-assist.jp/data/china/image_1890th/77400067.pdf",77400067)</f>
        <v>77400067</v>
      </c>
      <c r="F3165" s="7" t="s">
        <v>8694</v>
      </c>
      <c r="G3165" s="7" t="s">
        <v>8693</v>
      </c>
      <c r="H3165" s="7" t="s">
        <v>8760</v>
      </c>
      <c r="I3165" s="9">
        <v>45370</v>
      </c>
    </row>
    <row r="3166" spans="1:9" ht="27" x14ac:dyDescent="0.15">
      <c r="A3166" s="6">
        <v>3165</v>
      </c>
      <c r="B3166" s="7" t="s">
        <v>7</v>
      </c>
      <c r="C3166" s="8">
        <v>1890</v>
      </c>
      <c r="D3166" s="9">
        <v>45449</v>
      </c>
      <c r="E3166" s="13">
        <f>+HYPERLINK("http://trademark.i-assist.jp/data/china/image_1890th/77400081.pdf",77400081)</f>
        <v>77400081</v>
      </c>
      <c r="F3166" s="7" t="s">
        <v>8538</v>
      </c>
      <c r="G3166" s="7" t="s">
        <v>1328</v>
      </c>
      <c r="H3166" s="7" t="s">
        <v>8761</v>
      </c>
      <c r="I3166" s="9">
        <v>45370</v>
      </c>
    </row>
    <row r="3167" spans="1:9" x14ac:dyDescent="0.15">
      <c r="A3167" s="6">
        <v>3166</v>
      </c>
      <c r="B3167" s="7" t="s">
        <v>7</v>
      </c>
      <c r="C3167" s="8">
        <v>1890</v>
      </c>
      <c r="D3167" s="9">
        <v>45449</v>
      </c>
      <c r="E3167" s="13">
        <f>+HYPERLINK("http://trademark.i-assist.jp/data/china/image_1890th/77400128.pdf",77400128)</f>
        <v>77400128</v>
      </c>
      <c r="F3167" s="7" t="s">
        <v>8763</v>
      </c>
      <c r="G3167" s="7" t="s">
        <v>8762</v>
      </c>
      <c r="H3167" s="7" t="s">
        <v>8764</v>
      </c>
      <c r="I3167" s="9">
        <v>45370</v>
      </c>
    </row>
    <row r="3168" spans="1:9" x14ac:dyDescent="0.15">
      <c r="A3168" s="6">
        <v>3167</v>
      </c>
      <c r="B3168" s="7" t="s">
        <v>7</v>
      </c>
      <c r="C3168" s="8">
        <v>1890</v>
      </c>
      <c r="D3168" s="9">
        <v>45449</v>
      </c>
      <c r="E3168" s="13">
        <f>+HYPERLINK("http://trademark.i-assist.jp/data/china/image_1890th/77400241.pdf",77400241)</f>
        <v>77400241</v>
      </c>
      <c r="F3168" s="7" t="s">
        <v>8765</v>
      </c>
      <c r="G3168" s="7" t="s">
        <v>8001</v>
      </c>
      <c r="H3168" s="7" t="s">
        <v>8766</v>
      </c>
      <c r="I3168" s="9">
        <v>45370</v>
      </c>
    </row>
    <row r="3169" spans="1:9" x14ac:dyDescent="0.15">
      <c r="A3169" s="6">
        <v>3168</v>
      </c>
      <c r="B3169" s="7" t="s">
        <v>7</v>
      </c>
      <c r="C3169" s="8">
        <v>1890</v>
      </c>
      <c r="D3169" s="9">
        <v>45449</v>
      </c>
      <c r="E3169" s="13">
        <f>+HYPERLINK("http://trademark.i-assist.jp/data/china/image_1890th/77400293.pdf",77400293)</f>
        <v>77400293</v>
      </c>
      <c r="F3169" s="7" t="s">
        <v>8767</v>
      </c>
      <c r="G3169" s="7" t="s">
        <v>1863</v>
      </c>
      <c r="H3169" s="7" t="s">
        <v>8768</v>
      </c>
      <c r="I3169" s="9">
        <v>45370</v>
      </c>
    </row>
    <row r="3170" spans="1:9" x14ac:dyDescent="0.15">
      <c r="A3170" s="6">
        <v>3169</v>
      </c>
      <c r="B3170" s="7" t="s">
        <v>7</v>
      </c>
      <c r="C3170" s="8">
        <v>1890</v>
      </c>
      <c r="D3170" s="9">
        <v>45449</v>
      </c>
      <c r="E3170" s="13">
        <f>+HYPERLINK("http://trademark.i-assist.jp/data/china/image_1890th/77402244.pdf",77402244)</f>
        <v>77402244</v>
      </c>
      <c r="F3170" s="7" t="s">
        <v>8769</v>
      </c>
      <c r="G3170" s="7" t="s">
        <v>8319</v>
      </c>
      <c r="H3170" s="7" t="s">
        <v>8770</v>
      </c>
      <c r="I3170" s="9">
        <v>45370</v>
      </c>
    </row>
    <row r="3171" spans="1:9" x14ac:dyDescent="0.15">
      <c r="A3171" s="6">
        <v>3170</v>
      </c>
      <c r="B3171" s="7" t="s">
        <v>7</v>
      </c>
      <c r="C3171" s="8">
        <v>1890</v>
      </c>
      <c r="D3171" s="9">
        <v>45449</v>
      </c>
      <c r="E3171" s="13">
        <f>+HYPERLINK("http://trademark.i-assist.jp/data/china/image_1890th/77402274.pdf",77402274)</f>
        <v>77402274</v>
      </c>
      <c r="F3171" s="7" t="s">
        <v>8772</v>
      </c>
      <c r="G3171" s="7" t="s">
        <v>8771</v>
      </c>
      <c r="H3171" s="7" t="s">
        <v>8773</v>
      </c>
      <c r="I3171" s="9">
        <v>45370</v>
      </c>
    </row>
    <row r="3172" spans="1:9" x14ac:dyDescent="0.15">
      <c r="A3172" s="6">
        <v>3171</v>
      </c>
      <c r="B3172" s="7" t="s">
        <v>7</v>
      </c>
      <c r="C3172" s="8">
        <v>1890</v>
      </c>
      <c r="D3172" s="9">
        <v>45449</v>
      </c>
      <c r="E3172" s="13">
        <f>+HYPERLINK("http://trademark.i-assist.jp/data/china/image_1890th/77402658.pdf",77402658)</f>
        <v>77402658</v>
      </c>
      <c r="F3172" s="7" t="s">
        <v>8775</v>
      </c>
      <c r="G3172" s="7" t="s">
        <v>8774</v>
      </c>
      <c r="H3172" s="7" t="s">
        <v>8776</v>
      </c>
      <c r="I3172" s="9">
        <v>45370</v>
      </c>
    </row>
    <row r="3173" spans="1:9" x14ac:dyDescent="0.15">
      <c r="A3173" s="6">
        <v>3172</v>
      </c>
      <c r="B3173" s="7" t="s">
        <v>7</v>
      </c>
      <c r="C3173" s="8">
        <v>1890</v>
      </c>
      <c r="D3173" s="9">
        <v>45449</v>
      </c>
      <c r="E3173" s="13">
        <f>+HYPERLINK("http://trademark.i-assist.jp/data/china/image_1890th/77402706.pdf",77402706)</f>
        <v>77402706</v>
      </c>
      <c r="F3173" s="7" t="s">
        <v>8777</v>
      </c>
      <c r="G3173" s="7" t="s">
        <v>7970</v>
      </c>
      <c r="H3173" s="7" t="s">
        <v>8778</v>
      </c>
      <c r="I3173" s="9">
        <v>45370</v>
      </c>
    </row>
    <row r="3174" spans="1:9" ht="27" x14ac:dyDescent="0.15">
      <c r="A3174" s="6">
        <v>3173</v>
      </c>
      <c r="B3174" s="7" t="s">
        <v>7</v>
      </c>
      <c r="C3174" s="8">
        <v>1890</v>
      </c>
      <c r="D3174" s="9">
        <v>45449</v>
      </c>
      <c r="E3174" s="13">
        <f>+HYPERLINK("http://trademark.i-assist.jp/data/china/image_1890th/77402727.pdf",77402727)</f>
        <v>77402727</v>
      </c>
      <c r="F3174" s="7" t="s">
        <v>8779</v>
      </c>
      <c r="G3174" s="7" t="s">
        <v>8585</v>
      </c>
      <c r="H3174" s="7" t="s">
        <v>8780</v>
      </c>
      <c r="I3174" s="9">
        <v>45370</v>
      </c>
    </row>
    <row r="3175" spans="1:9" x14ac:dyDescent="0.15">
      <c r="A3175" s="6">
        <v>3174</v>
      </c>
      <c r="B3175" s="7" t="s">
        <v>7</v>
      </c>
      <c r="C3175" s="8">
        <v>1890</v>
      </c>
      <c r="D3175" s="9">
        <v>45449</v>
      </c>
      <c r="E3175" s="13">
        <f>+HYPERLINK("http://trademark.i-assist.jp/data/china/image_1890th/77402833.pdf",77402833)</f>
        <v>77402833</v>
      </c>
      <c r="F3175" s="7" t="s">
        <v>8782</v>
      </c>
      <c r="G3175" s="7" t="s">
        <v>8781</v>
      </c>
      <c r="H3175" s="7" t="s">
        <v>8783</v>
      </c>
      <c r="I3175" s="9">
        <v>45370</v>
      </c>
    </row>
    <row r="3176" spans="1:9" x14ac:dyDescent="0.15">
      <c r="A3176" s="6">
        <v>3175</v>
      </c>
      <c r="B3176" s="7" t="s">
        <v>7</v>
      </c>
      <c r="C3176" s="8">
        <v>1890</v>
      </c>
      <c r="D3176" s="9">
        <v>45449</v>
      </c>
      <c r="E3176" s="13">
        <f>+HYPERLINK("http://trademark.i-assist.jp/data/china/image_1890th/77402878.pdf",77402878)</f>
        <v>77402878</v>
      </c>
      <c r="F3176" s="7" t="s">
        <v>183</v>
      </c>
      <c r="G3176" s="7" t="s">
        <v>8784</v>
      </c>
      <c r="H3176" s="7" t="s">
        <v>8785</v>
      </c>
      <c r="I3176" s="9">
        <v>45370</v>
      </c>
    </row>
    <row r="3177" spans="1:9" ht="27" x14ac:dyDescent="0.15">
      <c r="A3177" s="6">
        <v>3176</v>
      </c>
      <c r="B3177" s="7" t="s">
        <v>7</v>
      </c>
      <c r="C3177" s="8">
        <v>1890</v>
      </c>
      <c r="D3177" s="9">
        <v>45449</v>
      </c>
      <c r="E3177" s="13">
        <f>+HYPERLINK("http://trademark.i-assist.jp/data/china/image_1890th/77402880.pdf",77402880)</f>
        <v>77402880</v>
      </c>
      <c r="F3177" s="7" t="s">
        <v>8786</v>
      </c>
      <c r="G3177" s="7" t="s">
        <v>4582</v>
      </c>
      <c r="H3177" s="7" t="s">
        <v>8787</v>
      </c>
      <c r="I3177" s="9">
        <v>45370</v>
      </c>
    </row>
    <row r="3178" spans="1:9" x14ac:dyDescent="0.15">
      <c r="A3178" s="6">
        <v>3177</v>
      </c>
      <c r="B3178" s="7" t="s">
        <v>7</v>
      </c>
      <c r="C3178" s="8">
        <v>1890</v>
      </c>
      <c r="D3178" s="9">
        <v>45449</v>
      </c>
      <c r="E3178" s="13">
        <f>+HYPERLINK("http://trademark.i-assist.jp/data/china/image_1890th/77402927.pdf",77402927)</f>
        <v>77402927</v>
      </c>
      <c r="F3178" s="7" t="s">
        <v>8789</v>
      </c>
      <c r="G3178" s="7" t="s">
        <v>8788</v>
      </c>
      <c r="H3178" s="7" t="s">
        <v>8790</v>
      </c>
      <c r="I3178" s="9">
        <v>45370</v>
      </c>
    </row>
    <row r="3179" spans="1:9" x14ac:dyDescent="0.15">
      <c r="A3179" s="6">
        <v>3178</v>
      </c>
      <c r="B3179" s="7" t="s">
        <v>7</v>
      </c>
      <c r="C3179" s="8">
        <v>1890</v>
      </c>
      <c r="D3179" s="9">
        <v>45449</v>
      </c>
      <c r="E3179" s="13">
        <f>+HYPERLINK("http://trademark.i-assist.jp/data/china/image_1890th/77403080.pdf",77403080)</f>
        <v>77403080</v>
      </c>
      <c r="F3179" s="7" t="s">
        <v>8792</v>
      </c>
      <c r="G3179" s="7" t="s">
        <v>8791</v>
      </c>
      <c r="H3179" s="7" t="s">
        <v>8793</v>
      </c>
      <c r="I3179" s="9">
        <v>45370</v>
      </c>
    </row>
    <row r="3180" spans="1:9" ht="27" x14ac:dyDescent="0.15">
      <c r="A3180" s="6">
        <v>3179</v>
      </c>
      <c r="B3180" s="7" t="s">
        <v>7</v>
      </c>
      <c r="C3180" s="8">
        <v>1890</v>
      </c>
      <c r="D3180" s="9">
        <v>45449</v>
      </c>
      <c r="E3180" s="13">
        <f>+HYPERLINK("http://trademark.i-assist.jp/data/china/image_1890th/77403088.pdf",77403088)</f>
        <v>77403088</v>
      </c>
      <c r="F3180" s="7" t="s">
        <v>8795</v>
      </c>
      <c r="G3180" s="7" t="s">
        <v>8794</v>
      </c>
      <c r="H3180" s="7" t="s">
        <v>8796</v>
      </c>
      <c r="I3180" s="9">
        <v>45370</v>
      </c>
    </row>
    <row r="3181" spans="1:9" x14ac:dyDescent="0.15">
      <c r="A3181" s="6">
        <v>3180</v>
      </c>
      <c r="B3181" s="7" t="s">
        <v>7</v>
      </c>
      <c r="C3181" s="8">
        <v>1890</v>
      </c>
      <c r="D3181" s="9">
        <v>45449</v>
      </c>
      <c r="E3181" s="13">
        <f>+HYPERLINK("http://trademark.i-assist.jp/data/china/image_1890th/77403281.pdf",77403281)</f>
        <v>77403281</v>
      </c>
      <c r="F3181" s="7" t="s">
        <v>8798</v>
      </c>
      <c r="G3181" s="7" t="s">
        <v>8797</v>
      </c>
      <c r="H3181" s="7" t="s">
        <v>8799</v>
      </c>
      <c r="I3181" s="9">
        <v>45370</v>
      </c>
    </row>
    <row r="3182" spans="1:9" x14ac:dyDescent="0.15">
      <c r="A3182" s="6">
        <v>3181</v>
      </c>
      <c r="B3182" s="7" t="s">
        <v>7</v>
      </c>
      <c r="C3182" s="8">
        <v>1890</v>
      </c>
      <c r="D3182" s="9">
        <v>45449</v>
      </c>
      <c r="E3182" s="13">
        <f>+HYPERLINK("http://trademark.i-assist.jp/data/china/image_1890th/77403439.pdf",77403439)</f>
        <v>77403439</v>
      </c>
      <c r="F3182" s="7" t="s">
        <v>8801</v>
      </c>
      <c r="G3182" s="7" t="s">
        <v>8800</v>
      </c>
      <c r="H3182" s="7" t="s">
        <v>8802</v>
      </c>
      <c r="I3182" s="9">
        <v>45370</v>
      </c>
    </row>
    <row r="3183" spans="1:9" x14ac:dyDescent="0.15">
      <c r="A3183" s="6">
        <v>3182</v>
      </c>
      <c r="B3183" s="7" t="s">
        <v>7</v>
      </c>
      <c r="C3183" s="8">
        <v>1890</v>
      </c>
      <c r="D3183" s="9">
        <v>45449</v>
      </c>
      <c r="E3183" s="13">
        <f>+HYPERLINK("http://trademark.i-assist.jp/data/china/image_1890th/77403446.pdf",77403446)</f>
        <v>77403446</v>
      </c>
      <c r="F3183" s="7" t="s">
        <v>8804</v>
      </c>
      <c r="G3183" s="7" t="s">
        <v>8803</v>
      </c>
      <c r="H3183" s="7" t="s">
        <v>8805</v>
      </c>
      <c r="I3183" s="9">
        <v>45370</v>
      </c>
    </row>
    <row r="3184" spans="1:9" x14ac:dyDescent="0.15">
      <c r="A3184" s="6">
        <v>3183</v>
      </c>
      <c r="B3184" s="7" t="s">
        <v>7</v>
      </c>
      <c r="C3184" s="8">
        <v>1890</v>
      </c>
      <c r="D3184" s="9">
        <v>45449</v>
      </c>
      <c r="E3184" s="13">
        <f>+HYPERLINK("http://trademark.i-assist.jp/data/china/image_1890th/77403535.pdf",77403535)</f>
        <v>77403535</v>
      </c>
      <c r="F3184" s="7" t="s">
        <v>8806</v>
      </c>
      <c r="G3184" s="7" t="s">
        <v>7165</v>
      </c>
      <c r="H3184" s="7" t="s">
        <v>8807</v>
      </c>
      <c r="I3184" s="9">
        <v>45370</v>
      </c>
    </row>
    <row r="3185" spans="1:9" ht="27" x14ac:dyDescent="0.15">
      <c r="A3185" s="6">
        <v>3184</v>
      </c>
      <c r="B3185" s="7" t="s">
        <v>7</v>
      </c>
      <c r="C3185" s="8">
        <v>1890</v>
      </c>
      <c r="D3185" s="9">
        <v>45449</v>
      </c>
      <c r="E3185" s="13">
        <f>+HYPERLINK("http://trademark.i-assist.jp/data/china/image_1890th/77403706.pdf",77403706)</f>
        <v>77403706</v>
      </c>
      <c r="F3185" s="7" t="s">
        <v>8808</v>
      </c>
      <c r="G3185" s="7" t="s">
        <v>5926</v>
      </c>
      <c r="H3185" s="7" t="s">
        <v>8809</v>
      </c>
      <c r="I3185" s="9">
        <v>45370</v>
      </c>
    </row>
    <row r="3186" spans="1:9" x14ac:dyDescent="0.15">
      <c r="A3186" s="6">
        <v>3185</v>
      </c>
      <c r="B3186" s="7" t="s">
        <v>7</v>
      </c>
      <c r="C3186" s="8">
        <v>1890</v>
      </c>
      <c r="D3186" s="9">
        <v>45449</v>
      </c>
      <c r="E3186" s="13">
        <f>+HYPERLINK("http://trademark.i-assist.jp/data/china/image_1890th/77403944.pdf",77403944)</f>
        <v>77403944</v>
      </c>
      <c r="F3186" s="7" t="s">
        <v>8664</v>
      </c>
      <c r="G3186" s="7" t="s">
        <v>5294</v>
      </c>
      <c r="H3186" s="7" t="s">
        <v>8810</v>
      </c>
      <c r="I3186" s="9">
        <v>45370</v>
      </c>
    </row>
    <row r="3187" spans="1:9" x14ac:dyDescent="0.15">
      <c r="A3187" s="6">
        <v>3186</v>
      </c>
      <c r="B3187" s="7" t="s">
        <v>7</v>
      </c>
      <c r="C3187" s="8">
        <v>1890</v>
      </c>
      <c r="D3187" s="9">
        <v>45449</v>
      </c>
      <c r="E3187" s="13">
        <f>+HYPERLINK("http://trademark.i-assist.jp/data/china/image_1890th/77403986.pdf",77403986)</f>
        <v>77403986</v>
      </c>
      <c r="F3187" s="7" t="s">
        <v>8811</v>
      </c>
      <c r="G3187" s="7" t="s">
        <v>6916</v>
      </c>
      <c r="H3187" s="7" t="s">
        <v>8812</v>
      </c>
      <c r="I3187" s="9">
        <v>45370</v>
      </c>
    </row>
    <row r="3188" spans="1:9" x14ac:dyDescent="0.15">
      <c r="A3188" s="6">
        <v>3187</v>
      </c>
      <c r="B3188" s="7" t="s">
        <v>7</v>
      </c>
      <c r="C3188" s="8">
        <v>1890</v>
      </c>
      <c r="D3188" s="9">
        <v>45449</v>
      </c>
      <c r="E3188" s="13">
        <f>+HYPERLINK("http://trademark.i-assist.jp/data/china/image_1890th/77404134.pdf",77404134)</f>
        <v>77404134</v>
      </c>
      <c r="F3188" s="7" t="s">
        <v>8814</v>
      </c>
      <c r="G3188" s="7" t="s">
        <v>8813</v>
      </c>
      <c r="H3188" s="7" t="s">
        <v>8815</v>
      </c>
      <c r="I3188" s="9">
        <v>45370</v>
      </c>
    </row>
    <row r="3189" spans="1:9" x14ac:dyDescent="0.15">
      <c r="A3189" s="6">
        <v>3188</v>
      </c>
      <c r="B3189" s="7" t="s">
        <v>7</v>
      </c>
      <c r="C3189" s="8">
        <v>1890</v>
      </c>
      <c r="D3189" s="9">
        <v>45449</v>
      </c>
      <c r="E3189" s="13">
        <f>+HYPERLINK("http://trademark.i-assist.jp/data/china/image_1890th/77404140.pdf",77404140)</f>
        <v>77404140</v>
      </c>
      <c r="F3189" s="7" t="s">
        <v>8817</v>
      </c>
      <c r="G3189" s="7" t="s">
        <v>8816</v>
      </c>
      <c r="H3189" s="7" t="s">
        <v>8818</v>
      </c>
      <c r="I3189" s="9">
        <v>45370</v>
      </c>
    </row>
    <row r="3190" spans="1:9" x14ac:dyDescent="0.15">
      <c r="A3190" s="6">
        <v>3189</v>
      </c>
      <c r="B3190" s="7" t="s">
        <v>7</v>
      </c>
      <c r="C3190" s="8">
        <v>1890</v>
      </c>
      <c r="D3190" s="9">
        <v>45449</v>
      </c>
      <c r="E3190" s="13">
        <f>+HYPERLINK("http://trademark.i-assist.jp/data/china/image_1890th/77404159.pdf",77404159)</f>
        <v>77404159</v>
      </c>
      <c r="F3190" s="7" t="s">
        <v>8820</v>
      </c>
      <c r="G3190" s="7" t="s">
        <v>8819</v>
      </c>
      <c r="H3190" s="7" t="s">
        <v>8821</v>
      </c>
      <c r="I3190" s="9">
        <v>45370</v>
      </c>
    </row>
    <row r="3191" spans="1:9" x14ac:dyDescent="0.15">
      <c r="A3191" s="6">
        <v>3190</v>
      </c>
      <c r="B3191" s="7" t="s">
        <v>7</v>
      </c>
      <c r="C3191" s="8">
        <v>1890</v>
      </c>
      <c r="D3191" s="9">
        <v>45449</v>
      </c>
      <c r="E3191" s="13">
        <f>+HYPERLINK("http://trademark.i-assist.jp/data/china/image_1890th/77404177.pdf",77404177)</f>
        <v>77404177</v>
      </c>
      <c r="F3191" s="7" t="s">
        <v>6929</v>
      </c>
      <c r="G3191" s="7" t="s">
        <v>6926</v>
      </c>
      <c r="H3191" s="7" t="s">
        <v>8822</v>
      </c>
      <c r="I3191" s="9">
        <v>45370</v>
      </c>
    </row>
    <row r="3192" spans="1:9" x14ac:dyDescent="0.15">
      <c r="A3192" s="6">
        <v>3191</v>
      </c>
      <c r="B3192" s="7" t="s">
        <v>7</v>
      </c>
      <c r="C3192" s="8">
        <v>1890</v>
      </c>
      <c r="D3192" s="9">
        <v>45449</v>
      </c>
      <c r="E3192" s="13">
        <f>+HYPERLINK("http://trademark.i-assist.jp/data/china/image_1890th/77404258.pdf",77404258)</f>
        <v>77404258</v>
      </c>
      <c r="F3192" s="7" t="s">
        <v>8824</v>
      </c>
      <c r="G3192" s="7" t="s">
        <v>8823</v>
      </c>
      <c r="H3192" s="7" t="s">
        <v>8825</v>
      </c>
      <c r="I3192" s="9">
        <v>45370</v>
      </c>
    </row>
    <row r="3193" spans="1:9" x14ac:dyDescent="0.15">
      <c r="A3193" s="6">
        <v>3192</v>
      </c>
      <c r="B3193" s="7" t="s">
        <v>7</v>
      </c>
      <c r="C3193" s="8">
        <v>1890</v>
      </c>
      <c r="D3193" s="9">
        <v>45449</v>
      </c>
      <c r="E3193" s="13">
        <f>+HYPERLINK("http://trademark.i-assist.jp/data/china/image_1890th/77404333.pdf",77404333)</f>
        <v>77404333</v>
      </c>
      <c r="F3193" s="7" t="s">
        <v>8827</v>
      </c>
      <c r="G3193" s="7" t="s">
        <v>8826</v>
      </c>
      <c r="H3193" s="7" t="s">
        <v>8828</v>
      </c>
      <c r="I3193" s="9">
        <v>45370</v>
      </c>
    </row>
    <row r="3194" spans="1:9" x14ac:dyDescent="0.15">
      <c r="A3194" s="6">
        <v>3193</v>
      </c>
      <c r="B3194" s="7" t="s">
        <v>7</v>
      </c>
      <c r="C3194" s="8">
        <v>1890</v>
      </c>
      <c r="D3194" s="9">
        <v>45449</v>
      </c>
      <c r="E3194" s="13">
        <f>+HYPERLINK("http://trademark.i-assist.jp/data/china/image_1890th/77404401.pdf",77404401)</f>
        <v>77404401</v>
      </c>
      <c r="F3194" s="7" t="s">
        <v>8829</v>
      </c>
      <c r="G3194" s="7" t="s">
        <v>3703</v>
      </c>
      <c r="H3194" s="7" t="s">
        <v>8830</v>
      </c>
      <c r="I3194" s="9">
        <v>45370</v>
      </c>
    </row>
    <row r="3195" spans="1:9" x14ac:dyDescent="0.15">
      <c r="A3195" s="6">
        <v>3194</v>
      </c>
      <c r="B3195" s="7" t="s">
        <v>7</v>
      </c>
      <c r="C3195" s="8">
        <v>1890</v>
      </c>
      <c r="D3195" s="9">
        <v>45449</v>
      </c>
      <c r="E3195" s="13">
        <f>+HYPERLINK("http://trademark.i-assist.jp/data/china/image_1890th/77404486.pdf",77404486)</f>
        <v>77404486</v>
      </c>
      <c r="F3195" s="7" t="s">
        <v>8832</v>
      </c>
      <c r="G3195" s="7" t="s">
        <v>8831</v>
      </c>
      <c r="H3195" s="7" t="s">
        <v>8833</v>
      </c>
      <c r="I3195" s="9">
        <v>45370</v>
      </c>
    </row>
    <row r="3196" spans="1:9" x14ac:dyDescent="0.15">
      <c r="A3196" s="6">
        <v>3195</v>
      </c>
      <c r="B3196" s="7" t="s">
        <v>7</v>
      </c>
      <c r="C3196" s="8">
        <v>1890</v>
      </c>
      <c r="D3196" s="9">
        <v>45449</v>
      </c>
      <c r="E3196" s="13">
        <f>+HYPERLINK("http://trademark.i-assist.jp/data/china/image_1890th/77404561.pdf",77404561)</f>
        <v>77404561</v>
      </c>
      <c r="F3196" s="7" t="s">
        <v>8834</v>
      </c>
      <c r="G3196" s="7" t="s">
        <v>5325</v>
      </c>
      <c r="H3196" s="7" t="s">
        <v>8835</v>
      </c>
      <c r="I3196" s="9">
        <v>45370</v>
      </c>
    </row>
    <row r="3197" spans="1:9" x14ac:dyDescent="0.15">
      <c r="A3197" s="6">
        <v>3196</v>
      </c>
      <c r="B3197" s="7" t="s">
        <v>7</v>
      </c>
      <c r="C3197" s="8">
        <v>1890</v>
      </c>
      <c r="D3197" s="9">
        <v>45449</v>
      </c>
      <c r="E3197" s="13">
        <f>+HYPERLINK("http://trademark.i-assist.jp/data/china/image_1890th/77404607.pdf",77404607)</f>
        <v>77404607</v>
      </c>
      <c r="F3197" s="7" t="s">
        <v>8836</v>
      </c>
      <c r="G3197" s="7" t="s">
        <v>41</v>
      </c>
      <c r="H3197" s="7" t="s">
        <v>8837</v>
      </c>
      <c r="I3197" s="9">
        <v>45370</v>
      </c>
    </row>
    <row r="3198" spans="1:9" ht="27" x14ac:dyDescent="0.15">
      <c r="A3198" s="6">
        <v>3197</v>
      </c>
      <c r="B3198" s="7" t="s">
        <v>7</v>
      </c>
      <c r="C3198" s="8">
        <v>1890</v>
      </c>
      <c r="D3198" s="9">
        <v>45449</v>
      </c>
      <c r="E3198" s="13">
        <f>+HYPERLINK("http://trademark.i-assist.jp/data/china/image_1890th/77404711.pdf",77404711)</f>
        <v>77404711</v>
      </c>
      <c r="F3198" s="7" t="s">
        <v>183</v>
      </c>
      <c r="G3198" s="7" t="s">
        <v>8838</v>
      </c>
      <c r="H3198" s="7" t="s">
        <v>8839</v>
      </c>
      <c r="I3198" s="9">
        <v>45370</v>
      </c>
    </row>
    <row r="3199" spans="1:9" x14ac:dyDescent="0.15">
      <c r="A3199" s="6">
        <v>3198</v>
      </c>
      <c r="B3199" s="7" t="s">
        <v>7</v>
      </c>
      <c r="C3199" s="8">
        <v>1890</v>
      </c>
      <c r="D3199" s="9">
        <v>45449</v>
      </c>
      <c r="E3199" s="13">
        <f>+HYPERLINK("http://trademark.i-assist.jp/data/china/image_1890th/77404730.pdf",77404730)</f>
        <v>77404730</v>
      </c>
      <c r="F3199" s="7" t="s">
        <v>8841</v>
      </c>
      <c r="G3199" s="7" t="s">
        <v>8840</v>
      </c>
      <c r="H3199" s="7" t="s">
        <v>8842</v>
      </c>
      <c r="I3199" s="9">
        <v>45370</v>
      </c>
    </row>
    <row r="3200" spans="1:9" x14ac:dyDescent="0.15">
      <c r="A3200" s="6">
        <v>3199</v>
      </c>
      <c r="B3200" s="7" t="s">
        <v>7</v>
      </c>
      <c r="C3200" s="8">
        <v>1890</v>
      </c>
      <c r="D3200" s="9">
        <v>45449</v>
      </c>
      <c r="E3200" s="13">
        <f>+HYPERLINK("http://trademark.i-assist.jp/data/china/image_1890th/77405062.pdf",77405062)</f>
        <v>77405062</v>
      </c>
      <c r="F3200" s="7" t="s">
        <v>8844</v>
      </c>
      <c r="G3200" s="7" t="s">
        <v>8843</v>
      </c>
      <c r="H3200" s="7" t="s">
        <v>8845</v>
      </c>
      <c r="I3200" s="9">
        <v>45370</v>
      </c>
    </row>
    <row r="3201" spans="1:9" x14ac:dyDescent="0.15">
      <c r="A3201" s="6">
        <v>3200</v>
      </c>
      <c r="B3201" s="7" t="s">
        <v>7</v>
      </c>
      <c r="C3201" s="8">
        <v>1890</v>
      </c>
      <c r="D3201" s="9">
        <v>45449</v>
      </c>
      <c r="E3201" s="13">
        <f>+HYPERLINK("http://trademark.i-assist.jp/data/china/image_1890th/77405112.pdf",77405112)</f>
        <v>77405112</v>
      </c>
      <c r="F3201" s="7" t="s">
        <v>8847</v>
      </c>
      <c r="G3201" s="7" t="s">
        <v>8846</v>
      </c>
      <c r="H3201" s="7" t="s">
        <v>8848</v>
      </c>
      <c r="I3201" s="9">
        <v>45370</v>
      </c>
    </row>
    <row r="3202" spans="1:9" x14ac:dyDescent="0.15">
      <c r="A3202" s="6">
        <v>3201</v>
      </c>
      <c r="B3202" s="7" t="s">
        <v>7</v>
      </c>
      <c r="C3202" s="8">
        <v>1890</v>
      </c>
      <c r="D3202" s="9">
        <v>45449</v>
      </c>
      <c r="E3202" s="13">
        <f>+HYPERLINK("http://trademark.i-assist.jp/data/china/image_1890th/77405258.pdf",77405258)</f>
        <v>77405258</v>
      </c>
      <c r="F3202" s="7" t="s">
        <v>8850</v>
      </c>
      <c r="G3202" s="7" t="s">
        <v>8849</v>
      </c>
      <c r="H3202" s="7" t="s">
        <v>8851</v>
      </c>
      <c r="I3202" s="9">
        <v>45370</v>
      </c>
    </row>
    <row r="3203" spans="1:9" x14ac:dyDescent="0.15">
      <c r="A3203" s="6">
        <v>3202</v>
      </c>
      <c r="B3203" s="7" t="s">
        <v>7</v>
      </c>
      <c r="C3203" s="8">
        <v>1890</v>
      </c>
      <c r="D3203" s="9">
        <v>45449</v>
      </c>
      <c r="E3203" s="13">
        <f>+HYPERLINK("http://trademark.i-assist.jp/data/china/image_1890th/77405290.pdf",77405290)</f>
        <v>77405290</v>
      </c>
      <c r="F3203" s="7" t="s">
        <v>8853</v>
      </c>
      <c r="G3203" s="7" t="s">
        <v>8852</v>
      </c>
      <c r="H3203" s="7" t="s">
        <v>8854</v>
      </c>
      <c r="I3203" s="9">
        <v>45370</v>
      </c>
    </row>
    <row r="3204" spans="1:9" x14ac:dyDescent="0.15">
      <c r="A3204" s="6">
        <v>3203</v>
      </c>
      <c r="B3204" s="7" t="s">
        <v>7</v>
      </c>
      <c r="C3204" s="8">
        <v>1890</v>
      </c>
      <c r="D3204" s="9">
        <v>45449</v>
      </c>
      <c r="E3204" s="13">
        <f>+HYPERLINK("http://trademark.i-assist.jp/data/china/image_1890th/77405480.pdf",77405480)</f>
        <v>77405480</v>
      </c>
      <c r="F3204" s="7" t="s">
        <v>8855</v>
      </c>
      <c r="G3204" s="7" t="s">
        <v>4614</v>
      </c>
      <c r="H3204" s="7" t="s">
        <v>8856</v>
      </c>
      <c r="I3204" s="9">
        <v>45370</v>
      </c>
    </row>
    <row r="3205" spans="1:9" x14ac:dyDescent="0.15">
      <c r="A3205" s="6">
        <v>3204</v>
      </c>
      <c r="B3205" s="7" t="s">
        <v>7</v>
      </c>
      <c r="C3205" s="8">
        <v>1890</v>
      </c>
      <c r="D3205" s="9">
        <v>45449</v>
      </c>
      <c r="E3205" s="13">
        <f>+HYPERLINK("http://trademark.i-assist.jp/data/china/image_1890th/77405723.pdf",77405723)</f>
        <v>77405723</v>
      </c>
      <c r="F3205" s="7" t="s">
        <v>8858</v>
      </c>
      <c r="G3205" s="7" t="s">
        <v>8857</v>
      </c>
      <c r="H3205" s="7" t="s">
        <v>8859</v>
      </c>
      <c r="I3205" s="9">
        <v>45370</v>
      </c>
    </row>
    <row r="3206" spans="1:9" x14ac:dyDescent="0.15">
      <c r="A3206" s="6">
        <v>3205</v>
      </c>
      <c r="B3206" s="7" t="s">
        <v>7</v>
      </c>
      <c r="C3206" s="8">
        <v>1890</v>
      </c>
      <c r="D3206" s="9">
        <v>45449</v>
      </c>
      <c r="E3206" s="13">
        <f>+HYPERLINK("http://trademark.i-assist.jp/data/china/image_1890th/77405751.pdf",77405751)</f>
        <v>77405751</v>
      </c>
      <c r="F3206" s="7" t="s">
        <v>8861</v>
      </c>
      <c r="G3206" s="7" t="s">
        <v>8860</v>
      </c>
      <c r="H3206" s="7" t="s">
        <v>8862</v>
      </c>
      <c r="I3206" s="9">
        <v>45370</v>
      </c>
    </row>
    <row r="3207" spans="1:9" x14ac:dyDescent="0.15">
      <c r="A3207" s="6">
        <v>3206</v>
      </c>
      <c r="B3207" s="7" t="s">
        <v>7</v>
      </c>
      <c r="C3207" s="8">
        <v>1890</v>
      </c>
      <c r="D3207" s="9">
        <v>45449</v>
      </c>
      <c r="E3207" s="13">
        <f>+HYPERLINK("http://trademark.i-assist.jp/data/china/image_1890th/77407396.pdf",77407396)</f>
        <v>77407396</v>
      </c>
      <c r="F3207" s="7" t="s">
        <v>8864</v>
      </c>
      <c r="G3207" s="7" t="s">
        <v>8863</v>
      </c>
      <c r="H3207" s="7" t="s">
        <v>8865</v>
      </c>
      <c r="I3207" s="9">
        <v>45370</v>
      </c>
    </row>
    <row r="3208" spans="1:9" x14ac:dyDescent="0.15">
      <c r="A3208" s="6">
        <v>3207</v>
      </c>
      <c r="B3208" s="7" t="s">
        <v>7</v>
      </c>
      <c r="C3208" s="8">
        <v>1890</v>
      </c>
      <c r="D3208" s="9">
        <v>45449</v>
      </c>
      <c r="E3208" s="13">
        <f>+HYPERLINK("http://trademark.i-assist.jp/data/china/image_1890th/77407421.pdf",77407421)</f>
        <v>77407421</v>
      </c>
      <c r="F3208" s="7" t="s">
        <v>8866</v>
      </c>
      <c r="G3208" s="7" t="s">
        <v>1943</v>
      </c>
      <c r="H3208" s="7" t="s">
        <v>8867</v>
      </c>
      <c r="I3208" s="9">
        <v>45370</v>
      </c>
    </row>
    <row r="3209" spans="1:9" x14ac:dyDescent="0.15">
      <c r="A3209" s="6">
        <v>3208</v>
      </c>
      <c r="B3209" s="7" t="s">
        <v>7</v>
      </c>
      <c r="C3209" s="8">
        <v>1890</v>
      </c>
      <c r="D3209" s="9">
        <v>45449</v>
      </c>
      <c r="E3209" s="13">
        <f>+HYPERLINK("http://trademark.i-assist.jp/data/china/image_1890th/77407536.pdf",77407536)</f>
        <v>77407536</v>
      </c>
      <c r="F3209" s="7" t="s">
        <v>8869</v>
      </c>
      <c r="G3209" s="7" t="s">
        <v>8868</v>
      </c>
      <c r="H3209" s="7" t="s">
        <v>8870</v>
      </c>
      <c r="I3209" s="9">
        <v>45370</v>
      </c>
    </row>
    <row r="3210" spans="1:9" x14ac:dyDescent="0.15">
      <c r="A3210" s="6">
        <v>3209</v>
      </c>
      <c r="B3210" s="7" t="s">
        <v>7</v>
      </c>
      <c r="C3210" s="8">
        <v>1890</v>
      </c>
      <c r="D3210" s="9">
        <v>45449</v>
      </c>
      <c r="E3210" s="13">
        <f>+HYPERLINK("http://trademark.i-assist.jp/data/china/image_1890th/77407550.pdf",77407550)</f>
        <v>77407550</v>
      </c>
      <c r="F3210" s="7" t="s">
        <v>8871</v>
      </c>
      <c r="G3210" s="7" t="s">
        <v>5217</v>
      </c>
      <c r="H3210" s="7" t="s">
        <v>8872</v>
      </c>
      <c r="I3210" s="9">
        <v>45370</v>
      </c>
    </row>
    <row r="3211" spans="1:9" x14ac:dyDescent="0.15">
      <c r="A3211" s="6">
        <v>3210</v>
      </c>
      <c r="B3211" s="7" t="s">
        <v>7</v>
      </c>
      <c r="C3211" s="8">
        <v>1890</v>
      </c>
      <c r="D3211" s="9">
        <v>45449</v>
      </c>
      <c r="E3211" s="13">
        <f>+HYPERLINK("http://trademark.i-assist.jp/data/china/image_1890th/77407683.pdf",77407683)</f>
        <v>77407683</v>
      </c>
      <c r="F3211" s="7" t="s">
        <v>8873</v>
      </c>
      <c r="G3211" s="7" t="s">
        <v>6939</v>
      </c>
      <c r="H3211" s="7" t="s">
        <v>8874</v>
      </c>
      <c r="I3211" s="9">
        <v>45370</v>
      </c>
    </row>
    <row r="3212" spans="1:9" x14ac:dyDescent="0.15">
      <c r="A3212" s="6">
        <v>3211</v>
      </c>
      <c r="B3212" s="7" t="s">
        <v>7</v>
      </c>
      <c r="C3212" s="8">
        <v>1890</v>
      </c>
      <c r="D3212" s="9">
        <v>45449</v>
      </c>
      <c r="E3212" s="13">
        <f>+HYPERLINK("http://trademark.i-assist.jp/data/china/image_1890th/77407840.pdf",77407840)</f>
        <v>77407840</v>
      </c>
      <c r="F3212" s="7" t="s">
        <v>8876</v>
      </c>
      <c r="G3212" s="7" t="s">
        <v>8875</v>
      </c>
      <c r="H3212" s="7" t="s">
        <v>8877</v>
      </c>
      <c r="I3212" s="9">
        <v>45370</v>
      </c>
    </row>
    <row r="3213" spans="1:9" x14ac:dyDescent="0.15">
      <c r="A3213" s="6">
        <v>3212</v>
      </c>
      <c r="B3213" s="7" t="s">
        <v>7</v>
      </c>
      <c r="C3213" s="8">
        <v>1890</v>
      </c>
      <c r="D3213" s="9">
        <v>45449</v>
      </c>
      <c r="E3213" s="13">
        <f>+HYPERLINK("http://trademark.i-assist.jp/data/china/image_1890th/77407947.pdf",77407947)</f>
        <v>77407947</v>
      </c>
      <c r="F3213" s="7" t="s">
        <v>8879</v>
      </c>
      <c r="G3213" s="7" t="s">
        <v>8878</v>
      </c>
      <c r="H3213" s="7" t="s">
        <v>8880</v>
      </c>
      <c r="I3213" s="9">
        <v>45370</v>
      </c>
    </row>
    <row r="3214" spans="1:9" x14ac:dyDescent="0.15">
      <c r="A3214" s="6">
        <v>3213</v>
      </c>
      <c r="B3214" s="7" t="s">
        <v>7</v>
      </c>
      <c r="C3214" s="8">
        <v>1890</v>
      </c>
      <c r="D3214" s="9">
        <v>45449</v>
      </c>
      <c r="E3214" s="13">
        <f>+HYPERLINK("http://trademark.i-assist.jp/data/china/image_1890th/77408089.pdf",77408089)</f>
        <v>77408089</v>
      </c>
      <c r="F3214" s="7" t="s">
        <v>183</v>
      </c>
      <c r="G3214" s="7" t="s">
        <v>8881</v>
      </c>
      <c r="H3214" s="7" t="s">
        <v>8882</v>
      </c>
      <c r="I3214" s="9">
        <v>45370</v>
      </c>
    </row>
    <row r="3215" spans="1:9" x14ac:dyDescent="0.15">
      <c r="A3215" s="6">
        <v>3214</v>
      </c>
      <c r="B3215" s="7" t="s">
        <v>7</v>
      </c>
      <c r="C3215" s="8">
        <v>1890</v>
      </c>
      <c r="D3215" s="9">
        <v>45449</v>
      </c>
      <c r="E3215" s="13">
        <f>+HYPERLINK("http://trademark.i-assist.jp/data/china/image_1890th/77408264.pdf",77408264)</f>
        <v>77408264</v>
      </c>
      <c r="F3215" s="7" t="s">
        <v>8884</v>
      </c>
      <c r="G3215" s="7" t="s">
        <v>8883</v>
      </c>
      <c r="H3215" s="7" t="s">
        <v>8885</v>
      </c>
      <c r="I3215" s="9">
        <v>45370</v>
      </c>
    </row>
    <row r="3216" spans="1:9" x14ac:dyDescent="0.15">
      <c r="A3216" s="6">
        <v>3215</v>
      </c>
      <c r="B3216" s="7" t="s">
        <v>7</v>
      </c>
      <c r="C3216" s="8">
        <v>1890</v>
      </c>
      <c r="D3216" s="9">
        <v>45449</v>
      </c>
      <c r="E3216" s="13">
        <f>+HYPERLINK("http://trademark.i-assist.jp/data/china/image_1890th/77408568.pdf",77408568)</f>
        <v>77408568</v>
      </c>
      <c r="F3216" s="7" t="s">
        <v>8887</v>
      </c>
      <c r="G3216" s="7" t="s">
        <v>8886</v>
      </c>
      <c r="H3216" s="7" t="s">
        <v>8888</v>
      </c>
      <c r="I3216" s="9">
        <v>45370</v>
      </c>
    </row>
    <row r="3217" spans="1:9" x14ac:dyDescent="0.15">
      <c r="A3217" s="6">
        <v>3216</v>
      </c>
      <c r="B3217" s="7" t="s">
        <v>7</v>
      </c>
      <c r="C3217" s="8">
        <v>1890</v>
      </c>
      <c r="D3217" s="9">
        <v>45449</v>
      </c>
      <c r="E3217" s="13">
        <f>+HYPERLINK("http://trademark.i-assist.jp/data/china/image_1890th/77408602.pdf",77408602)</f>
        <v>77408602</v>
      </c>
      <c r="F3217" s="7" t="s">
        <v>8890</v>
      </c>
      <c r="G3217" s="7" t="s">
        <v>8889</v>
      </c>
      <c r="H3217" s="7" t="s">
        <v>8891</v>
      </c>
      <c r="I3217" s="9">
        <v>45370</v>
      </c>
    </row>
    <row r="3218" spans="1:9" x14ac:dyDescent="0.15">
      <c r="A3218" s="6">
        <v>3217</v>
      </c>
      <c r="B3218" s="7" t="s">
        <v>7</v>
      </c>
      <c r="C3218" s="8">
        <v>1890</v>
      </c>
      <c r="D3218" s="9">
        <v>45449</v>
      </c>
      <c r="E3218" s="13">
        <f>+HYPERLINK("http://trademark.i-assist.jp/data/china/image_1890th/77408665.pdf",77408665)</f>
        <v>77408665</v>
      </c>
      <c r="F3218" s="7" t="s">
        <v>8893</v>
      </c>
      <c r="G3218" s="7" t="s">
        <v>8892</v>
      </c>
      <c r="H3218" s="7" t="s">
        <v>8894</v>
      </c>
      <c r="I3218" s="9">
        <v>45370</v>
      </c>
    </row>
    <row r="3219" spans="1:9" x14ac:dyDescent="0.15">
      <c r="A3219" s="6">
        <v>3218</v>
      </c>
      <c r="B3219" s="7" t="s">
        <v>7</v>
      </c>
      <c r="C3219" s="8">
        <v>1890</v>
      </c>
      <c r="D3219" s="9">
        <v>45449</v>
      </c>
      <c r="E3219" s="13">
        <f>+HYPERLINK("http://trademark.i-assist.jp/data/china/image_1890th/77408668.pdf",77408668)</f>
        <v>77408668</v>
      </c>
      <c r="F3219" s="7" t="s">
        <v>8896</v>
      </c>
      <c r="G3219" s="7" t="s">
        <v>8895</v>
      </c>
      <c r="H3219" s="7" t="s">
        <v>8897</v>
      </c>
      <c r="I3219" s="9">
        <v>45370</v>
      </c>
    </row>
    <row r="3220" spans="1:9" x14ac:dyDescent="0.15">
      <c r="A3220" s="6">
        <v>3219</v>
      </c>
      <c r="B3220" s="7" t="s">
        <v>7</v>
      </c>
      <c r="C3220" s="8">
        <v>1890</v>
      </c>
      <c r="D3220" s="9">
        <v>45449</v>
      </c>
      <c r="E3220" s="13">
        <f>+HYPERLINK("http://trademark.i-assist.jp/data/china/image_1890th/77408690.pdf",77408690)</f>
        <v>77408690</v>
      </c>
      <c r="F3220" s="7" t="s">
        <v>8898</v>
      </c>
      <c r="G3220" s="7" t="s">
        <v>8892</v>
      </c>
      <c r="H3220" s="7" t="s">
        <v>8899</v>
      </c>
      <c r="I3220" s="9">
        <v>45370</v>
      </c>
    </row>
    <row r="3221" spans="1:9" ht="27" x14ac:dyDescent="0.15">
      <c r="A3221" s="6">
        <v>3220</v>
      </c>
      <c r="B3221" s="7" t="s">
        <v>7</v>
      </c>
      <c r="C3221" s="8">
        <v>1890</v>
      </c>
      <c r="D3221" s="9">
        <v>45449</v>
      </c>
      <c r="E3221" s="13">
        <f>+HYPERLINK("http://trademark.i-assist.jp/data/china/image_1890th/77408704.pdf",77408704)</f>
        <v>77408704</v>
      </c>
      <c r="F3221" s="7" t="s">
        <v>183</v>
      </c>
      <c r="G3221" s="7" t="s">
        <v>8900</v>
      </c>
      <c r="H3221" s="7" t="s">
        <v>8901</v>
      </c>
      <c r="I3221" s="9">
        <v>45370</v>
      </c>
    </row>
    <row r="3222" spans="1:9" x14ac:dyDescent="0.15">
      <c r="A3222" s="6">
        <v>3221</v>
      </c>
      <c r="B3222" s="7" t="s">
        <v>7</v>
      </c>
      <c r="C3222" s="8">
        <v>1890</v>
      </c>
      <c r="D3222" s="9">
        <v>45449</v>
      </c>
      <c r="E3222" s="13">
        <f>+HYPERLINK("http://trademark.i-assist.jp/data/china/image_1890th/77408890.pdf",77408890)</f>
        <v>77408890</v>
      </c>
      <c r="F3222" s="7" t="s">
        <v>8903</v>
      </c>
      <c r="G3222" s="7" t="s">
        <v>8902</v>
      </c>
      <c r="H3222" s="7" t="s">
        <v>8904</v>
      </c>
      <c r="I3222" s="9">
        <v>45370</v>
      </c>
    </row>
    <row r="3223" spans="1:9" x14ac:dyDescent="0.15">
      <c r="A3223" s="6">
        <v>3222</v>
      </c>
      <c r="B3223" s="7" t="s">
        <v>7</v>
      </c>
      <c r="C3223" s="8">
        <v>1890</v>
      </c>
      <c r="D3223" s="9">
        <v>45449</v>
      </c>
      <c r="E3223" s="13">
        <f>+HYPERLINK("http://trademark.i-assist.jp/data/china/image_1890th/77409108.pdf",77409108)</f>
        <v>77409108</v>
      </c>
      <c r="F3223" s="7" t="s">
        <v>8905</v>
      </c>
      <c r="G3223" s="7" t="s">
        <v>8781</v>
      </c>
      <c r="H3223" s="7" t="s">
        <v>8906</v>
      </c>
      <c r="I3223" s="9">
        <v>45370</v>
      </c>
    </row>
    <row r="3224" spans="1:9" x14ac:dyDescent="0.15">
      <c r="A3224" s="6">
        <v>3223</v>
      </c>
      <c r="B3224" s="7" t="s">
        <v>7</v>
      </c>
      <c r="C3224" s="8">
        <v>1890</v>
      </c>
      <c r="D3224" s="9">
        <v>45449</v>
      </c>
      <c r="E3224" s="13">
        <f>+HYPERLINK("http://trademark.i-assist.jp/data/china/image_1890th/77409138.pdf",77409138)</f>
        <v>77409138</v>
      </c>
      <c r="F3224" s="7" t="s">
        <v>8908</v>
      </c>
      <c r="G3224" s="7" t="s">
        <v>8907</v>
      </c>
      <c r="H3224" s="7" t="s">
        <v>8909</v>
      </c>
      <c r="I3224" s="9">
        <v>45370</v>
      </c>
    </row>
    <row r="3225" spans="1:9" x14ac:dyDescent="0.15">
      <c r="A3225" s="6">
        <v>3224</v>
      </c>
      <c r="B3225" s="7" t="s">
        <v>7</v>
      </c>
      <c r="C3225" s="8">
        <v>1890</v>
      </c>
      <c r="D3225" s="9">
        <v>45449</v>
      </c>
      <c r="E3225" s="13">
        <f>+HYPERLINK("http://trademark.i-assist.jp/data/china/image_1890th/77409190.pdf",77409190)</f>
        <v>77409190</v>
      </c>
      <c r="F3225" s="7" t="s">
        <v>8911</v>
      </c>
      <c r="G3225" s="7" t="s">
        <v>8910</v>
      </c>
      <c r="H3225" s="7" t="s">
        <v>8912</v>
      </c>
      <c r="I3225" s="9">
        <v>45370</v>
      </c>
    </row>
    <row r="3226" spans="1:9" x14ac:dyDescent="0.15">
      <c r="A3226" s="6">
        <v>3225</v>
      </c>
      <c r="B3226" s="7" t="s">
        <v>7</v>
      </c>
      <c r="C3226" s="8">
        <v>1890</v>
      </c>
      <c r="D3226" s="9">
        <v>45449</v>
      </c>
      <c r="E3226" s="13">
        <f>+HYPERLINK("http://trademark.i-assist.jp/data/china/image_1890th/77409316.pdf",77409316)</f>
        <v>77409316</v>
      </c>
      <c r="F3226" s="7" t="s">
        <v>8914</v>
      </c>
      <c r="G3226" s="7" t="s">
        <v>8913</v>
      </c>
      <c r="H3226" s="7" t="s">
        <v>8915</v>
      </c>
      <c r="I3226" s="9">
        <v>45370</v>
      </c>
    </row>
    <row r="3227" spans="1:9" x14ac:dyDescent="0.15">
      <c r="A3227" s="6">
        <v>3226</v>
      </c>
      <c r="B3227" s="7" t="s">
        <v>7</v>
      </c>
      <c r="C3227" s="8">
        <v>1890</v>
      </c>
      <c r="D3227" s="9">
        <v>45449</v>
      </c>
      <c r="E3227" s="13">
        <f>+HYPERLINK("http://trademark.i-assist.jp/data/china/image_1890th/77409549.pdf",77409549)</f>
        <v>77409549</v>
      </c>
      <c r="F3227" s="7" t="s">
        <v>8917</v>
      </c>
      <c r="G3227" s="7" t="s">
        <v>8916</v>
      </c>
      <c r="H3227" s="7" t="s">
        <v>8918</v>
      </c>
      <c r="I3227" s="9">
        <v>45370</v>
      </c>
    </row>
    <row r="3228" spans="1:9" x14ac:dyDescent="0.15">
      <c r="A3228" s="6">
        <v>3227</v>
      </c>
      <c r="B3228" s="7" t="s">
        <v>7</v>
      </c>
      <c r="C3228" s="8">
        <v>1890</v>
      </c>
      <c r="D3228" s="9">
        <v>45449</v>
      </c>
      <c r="E3228" s="13">
        <f>+HYPERLINK("http://trademark.i-assist.jp/data/china/image_1890th/77409578.pdf",77409578)</f>
        <v>77409578</v>
      </c>
      <c r="F3228" s="7" t="s">
        <v>8919</v>
      </c>
      <c r="G3228" s="7" t="s">
        <v>34</v>
      </c>
      <c r="H3228" s="7" t="s">
        <v>8920</v>
      </c>
      <c r="I3228" s="9">
        <v>45370</v>
      </c>
    </row>
    <row r="3229" spans="1:9" x14ac:dyDescent="0.15">
      <c r="A3229" s="6">
        <v>3228</v>
      </c>
      <c r="B3229" s="7" t="s">
        <v>7</v>
      </c>
      <c r="C3229" s="8">
        <v>1890</v>
      </c>
      <c r="D3229" s="9">
        <v>45449</v>
      </c>
      <c r="E3229" s="13">
        <f>+HYPERLINK("http://trademark.i-assist.jp/data/china/image_1890th/77410903.pdf",77410903)</f>
        <v>77410903</v>
      </c>
      <c r="F3229" s="7" t="s">
        <v>8922</v>
      </c>
      <c r="G3229" s="7" t="s">
        <v>8921</v>
      </c>
      <c r="H3229" s="7" t="s">
        <v>8923</v>
      </c>
      <c r="I3229" s="9">
        <v>45370</v>
      </c>
    </row>
    <row r="3230" spans="1:9" x14ac:dyDescent="0.15">
      <c r="A3230" s="6">
        <v>3229</v>
      </c>
      <c r="B3230" s="7" t="s">
        <v>7</v>
      </c>
      <c r="C3230" s="8">
        <v>1890</v>
      </c>
      <c r="D3230" s="9">
        <v>45449</v>
      </c>
      <c r="E3230" s="13">
        <f>+HYPERLINK("http://trademark.i-assist.jp/data/china/image_1890th/77410918.pdf",77410918)</f>
        <v>77410918</v>
      </c>
      <c r="F3230" s="7" t="s">
        <v>8924</v>
      </c>
      <c r="G3230" s="7" t="s">
        <v>5173</v>
      </c>
      <c r="H3230" s="7" t="s">
        <v>8925</v>
      </c>
      <c r="I3230" s="9">
        <v>45370</v>
      </c>
    </row>
    <row r="3231" spans="1:9" x14ac:dyDescent="0.15">
      <c r="A3231" s="6">
        <v>3230</v>
      </c>
      <c r="B3231" s="7" t="s">
        <v>7</v>
      </c>
      <c r="C3231" s="8">
        <v>1890</v>
      </c>
      <c r="D3231" s="9">
        <v>45449</v>
      </c>
      <c r="E3231" s="13">
        <f>+HYPERLINK("http://trademark.i-assist.jp/data/china/image_1890th/77411331.pdf",77411331)</f>
        <v>77411331</v>
      </c>
      <c r="F3231" s="7" t="s">
        <v>8927</v>
      </c>
      <c r="G3231" s="7" t="s">
        <v>8926</v>
      </c>
      <c r="H3231" s="7" t="s">
        <v>8928</v>
      </c>
      <c r="I3231" s="9">
        <v>45370</v>
      </c>
    </row>
    <row r="3232" spans="1:9" x14ac:dyDescent="0.15">
      <c r="A3232" s="6">
        <v>3231</v>
      </c>
      <c r="B3232" s="7" t="s">
        <v>7</v>
      </c>
      <c r="C3232" s="8">
        <v>1890</v>
      </c>
      <c r="D3232" s="9">
        <v>45449</v>
      </c>
      <c r="E3232" s="13">
        <f>+HYPERLINK("http://trademark.i-assist.jp/data/china/image_1890th/77411414.pdf",77411414)</f>
        <v>77411414</v>
      </c>
      <c r="F3232" s="7" t="s">
        <v>8929</v>
      </c>
      <c r="G3232" s="7" t="s">
        <v>7341</v>
      </c>
      <c r="H3232" s="7" t="s">
        <v>8930</v>
      </c>
      <c r="I3232" s="9">
        <v>45370</v>
      </c>
    </row>
    <row r="3233" spans="1:9" x14ac:dyDescent="0.15">
      <c r="A3233" s="6">
        <v>3232</v>
      </c>
      <c r="B3233" s="7" t="s">
        <v>7</v>
      </c>
      <c r="C3233" s="8">
        <v>1890</v>
      </c>
      <c r="D3233" s="9">
        <v>45449</v>
      </c>
      <c r="E3233" s="13">
        <f>+HYPERLINK("http://trademark.i-assist.jp/data/china/image_1890th/77411573.pdf",77411573)</f>
        <v>77411573</v>
      </c>
      <c r="F3233" s="7" t="s">
        <v>8932</v>
      </c>
      <c r="G3233" s="7" t="s">
        <v>8931</v>
      </c>
      <c r="H3233" s="7" t="s">
        <v>8933</v>
      </c>
      <c r="I3233" s="9">
        <v>45370</v>
      </c>
    </row>
    <row r="3234" spans="1:9" ht="27" x14ac:dyDescent="0.15">
      <c r="A3234" s="6">
        <v>3233</v>
      </c>
      <c r="B3234" s="7" t="s">
        <v>7</v>
      </c>
      <c r="C3234" s="8">
        <v>1890</v>
      </c>
      <c r="D3234" s="9">
        <v>45449</v>
      </c>
      <c r="E3234" s="13">
        <f>+HYPERLINK("http://trademark.i-assist.jp/data/china/image_1890th/77411591.pdf",77411591)</f>
        <v>77411591</v>
      </c>
      <c r="F3234" s="7" t="s">
        <v>8934</v>
      </c>
      <c r="G3234" s="7" t="s">
        <v>6926</v>
      </c>
      <c r="H3234" s="7" t="s">
        <v>8935</v>
      </c>
      <c r="I3234" s="9">
        <v>45370</v>
      </c>
    </row>
    <row r="3235" spans="1:9" x14ac:dyDescent="0.15">
      <c r="A3235" s="6">
        <v>3234</v>
      </c>
      <c r="B3235" s="7" t="s">
        <v>7</v>
      </c>
      <c r="C3235" s="8">
        <v>1890</v>
      </c>
      <c r="D3235" s="9">
        <v>45449</v>
      </c>
      <c r="E3235" s="13">
        <f>+HYPERLINK("http://trademark.i-assist.jp/data/china/image_1890th/77411839.pdf",77411839)</f>
        <v>77411839</v>
      </c>
      <c r="F3235" s="7" t="s">
        <v>8937</v>
      </c>
      <c r="G3235" s="7" t="s">
        <v>8936</v>
      </c>
      <c r="H3235" s="7" t="s">
        <v>8938</v>
      </c>
      <c r="I3235" s="9">
        <v>45370</v>
      </c>
    </row>
    <row r="3236" spans="1:9" x14ac:dyDescent="0.15">
      <c r="A3236" s="6">
        <v>3235</v>
      </c>
      <c r="B3236" s="7" t="s">
        <v>7</v>
      </c>
      <c r="C3236" s="8">
        <v>1890</v>
      </c>
      <c r="D3236" s="9">
        <v>45449</v>
      </c>
      <c r="E3236" s="13">
        <f>+HYPERLINK("http://trademark.i-assist.jp/data/china/image_1890th/77411870.pdf",77411870)</f>
        <v>77411870</v>
      </c>
      <c r="F3236" s="7" t="s">
        <v>8940</v>
      </c>
      <c r="G3236" s="7" t="s">
        <v>8939</v>
      </c>
      <c r="H3236" s="7" t="s">
        <v>8941</v>
      </c>
      <c r="I3236" s="9">
        <v>45370</v>
      </c>
    </row>
    <row r="3237" spans="1:9" x14ac:dyDescent="0.15">
      <c r="A3237" s="6">
        <v>3236</v>
      </c>
      <c r="B3237" s="7" t="s">
        <v>7</v>
      </c>
      <c r="C3237" s="8">
        <v>1890</v>
      </c>
      <c r="D3237" s="9">
        <v>45449</v>
      </c>
      <c r="E3237" s="13">
        <f>+HYPERLINK("http://trademark.i-assist.jp/data/china/image_1890th/77411895.pdf",77411895)</f>
        <v>77411895</v>
      </c>
      <c r="F3237" s="7" t="s">
        <v>8942</v>
      </c>
      <c r="G3237" s="7" t="s">
        <v>252</v>
      </c>
      <c r="H3237" s="7" t="s">
        <v>8943</v>
      </c>
      <c r="I3237" s="9">
        <v>45370</v>
      </c>
    </row>
    <row r="3238" spans="1:9" x14ac:dyDescent="0.15">
      <c r="A3238" s="6">
        <v>3237</v>
      </c>
      <c r="B3238" s="7" t="s">
        <v>7</v>
      </c>
      <c r="C3238" s="8">
        <v>1890</v>
      </c>
      <c r="D3238" s="9">
        <v>45449</v>
      </c>
      <c r="E3238" s="13">
        <f>+HYPERLINK("http://trademark.i-assist.jp/data/china/image_1890th/77412054.pdf",77412054)</f>
        <v>77412054</v>
      </c>
      <c r="F3238" s="7" t="s">
        <v>8945</v>
      </c>
      <c r="G3238" s="7" t="s">
        <v>8944</v>
      </c>
      <c r="H3238" s="7" t="s">
        <v>8946</v>
      </c>
      <c r="I3238" s="9">
        <v>45370</v>
      </c>
    </row>
    <row r="3239" spans="1:9" ht="27" x14ac:dyDescent="0.15">
      <c r="A3239" s="6">
        <v>3238</v>
      </c>
      <c r="B3239" s="7" t="s">
        <v>7</v>
      </c>
      <c r="C3239" s="8">
        <v>1890</v>
      </c>
      <c r="D3239" s="9">
        <v>45449</v>
      </c>
      <c r="E3239" s="13">
        <f>+HYPERLINK("http://trademark.i-assist.jp/data/china/image_1890th/77412142.pdf",77412142)</f>
        <v>77412142</v>
      </c>
      <c r="F3239" s="7" t="s">
        <v>8947</v>
      </c>
      <c r="G3239" s="7" t="s">
        <v>8350</v>
      </c>
      <c r="H3239" s="7" t="s">
        <v>8948</v>
      </c>
      <c r="I3239" s="9">
        <v>45370</v>
      </c>
    </row>
    <row r="3240" spans="1:9" x14ac:dyDescent="0.15">
      <c r="A3240" s="6">
        <v>3239</v>
      </c>
      <c r="B3240" s="7" t="s">
        <v>7</v>
      </c>
      <c r="C3240" s="8">
        <v>1890</v>
      </c>
      <c r="D3240" s="9">
        <v>45449</v>
      </c>
      <c r="E3240" s="13">
        <f>+HYPERLINK("http://trademark.i-assist.jp/data/china/image_1890th/77412514.pdf",77412514)</f>
        <v>77412514</v>
      </c>
      <c r="F3240" s="7" t="s">
        <v>8950</v>
      </c>
      <c r="G3240" s="7" t="s">
        <v>8949</v>
      </c>
      <c r="H3240" s="7" t="s">
        <v>8951</v>
      </c>
      <c r="I3240" s="9">
        <v>45370</v>
      </c>
    </row>
    <row r="3241" spans="1:9" x14ac:dyDescent="0.15">
      <c r="A3241" s="6">
        <v>3240</v>
      </c>
      <c r="B3241" s="7" t="s">
        <v>7</v>
      </c>
      <c r="C3241" s="8">
        <v>1890</v>
      </c>
      <c r="D3241" s="9">
        <v>45449</v>
      </c>
      <c r="E3241" s="13">
        <f>+HYPERLINK("http://trademark.i-assist.jp/data/china/image_1890th/77412554.pdf",77412554)</f>
        <v>77412554</v>
      </c>
      <c r="F3241" s="7" t="s">
        <v>8953</v>
      </c>
      <c r="G3241" s="7" t="s">
        <v>8952</v>
      </c>
      <c r="H3241" s="7" t="s">
        <v>8954</v>
      </c>
      <c r="I3241" s="9">
        <v>45370</v>
      </c>
    </row>
    <row r="3242" spans="1:9" x14ac:dyDescent="0.15">
      <c r="A3242" s="6">
        <v>3241</v>
      </c>
      <c r="B3242" s="7" t="s">
        <v>7</v>
      </c>
      <c r="C3242" s="8">
        <v>1890</v>
      </c>
      <c r="D3242" s="9">
        <v>45449</v>
      </c>
      <c r="E3242" s="13">
        <f>+HYPERLINK("http://trademark.i-assist.jp/data/china/image_1890th/77412629.pdf",77412629)</f>
        <v>77412629</v>
      </c>
      <c r="F3242" s="7" t="s">
        <v>8956</v>
      </c>
      <c r="G3242" s="7" t="s">
        <v>8955</v>
      </c>
      <c r="H3242" s="7" t="s">
        <v>8957</v>
      </c>
      <c r="I3242" s="9">
        <v>45370</v>
      </c>
    </row>
    <row r="3243" spans="1:9" x14ac:dyDescent="0.15">
      <c r="A3243" s="6">
        <v>3242</v>
      </c>
      <c r="B3243" s="7" t="s">
        <v>7</v>
      </c>
      <c r="C3243" s="8">
        <v>1890</v>
      </c>
      <c r="D3243" s="9">
        <v>45449</v>
      </c>
      <c r="E3243" s="13">
        <f>+HYPERLINK("http://trademark.i-assist.jp/data/china/image_1890th/77412689.pdf",77412689)</f>
        <v>77412689</v>
      </c>
      <c r="F3243" s="7" t="s">
        <v>8959</v>
      </c>
      <c r="G3243" s="7" t="s">
        <v>8958</v>
      </c>
      <c r="H3243" s="7" t="s">
        <v>8960</v>
      </c>
      <c r="I3243" s="9">
        <v>45370</v>
      </c>
    </row>
    <row r="3244" spans="1:9" x14ac:dyDescent="0.15">
      <c r="A3244" s="6">
        <v>3243</v>
      </c>
      <c r="B3244" s="7" t="s">
        <v>7</v>
      </c>
      <c r="C3244" s="8">
        <v>1890</v>
      </c>
      <c r="D3244" s="9">
        <v>45449</v>
      </c>
      <c r="E3244" s="13">
        <f>+HYPERLINK("http://trademark.i-assist.jp/data/china/image_1890th/77412908.pdf",77412908)</f>
        <v>77412908</v>
      </c>
      <c r="F3244" s="7" t="s">
        <v>8962</v>
      </c>
      <c r="G3244" s="7" t="s">
        <v>8961</v>
      </c>
      <c r="H3244" s="7" t="s">
        <v>8963</v>
      </c>
      <c r="I3244" s="9">
        <v>45370</v>
      </c>
    </row>
    <row r="3245" spans="1:9" x14ac:dyDescent="0.15">
      <c r="A3245" s="6">
        <v>3244</v>
      </c>
      <c r="B3245" s="7" t="s">
        <v>7</v>
      </c>
      <c r="C3245" s="8">
        <v>1890</v>
      </c>
      <c r="D3245" s="9">
        <v>45449</v>
      </c>
      <c r="E3245" s="13">
        <f>+HYPERLINK("http://trademark.i-assist.jp/data/china/image_1890th/77413065.pdf",77413065)</f>
        <v>77413065</v>
      </c>
      <c r="F3245" s="7" t="s">
        <v>8965</v>
      </c>
      <c r="G3245" s="7" t="s">
        <v>8964</v>
      </c>
      <c r="H3245" s="7" t="s">
        <v>8966</v>
      </c>
      <c r="I3245" s="9">
        <v>45370</v>
      </c>
    </row>
    <row r="3246" spans="1:9" x14ac:dyDescent="0.15">
      <c r="A3246" s="6">
        <v>3245</v>
      </c>
      <c r="B3246" s="7" t="s">
        <v>7</v>
      </c>
      <c r="C3246" s="8">
        <v>1890</v>
      </c>
      <c r="D3246" s="9">
        <v>45449</v>
      </c>
      <c r="E3246" s="13">
        <f>+HYPERLINK("http://trademark.i-assist.jp/data/china/image_1890th/77413067.pdf",77413067)</f>
        <v>77413067</v>
      </c>
      <c r="F3246" s="7" t="s">
        <v>8968</v>
      </c>
      <c r="G3246" s="7" t="s">
        <v>8967</v>
      </c>
      <c r="H3246" s="7" t="s">
        <v>8969</v>
      </c>
      <c r="I3246" s="9">
        <v>45370</v>
      </c>
    </row>
    <row r="3247" spans="1:9" ht="27" x14ac:dyDescent="0.15">
      <c r="A3247" s="6">
        <v>3246</v>
      </c>
      <c r="B3247" s="7" t="s">
        <v>7</v>
      </c>
      <c r="C3247" s="8">
        <v>1890</v>
      </c>
      <c r="D3247" s="9">
        <v>45449</v>
      </c>
      <c r="E3247" s="13">
        <f>+HYPERLINK("http://trademark.i-assist.jp/data/china/image_1890th/77413166.pdf",77413166)</f>
        <v>77413166</v>
      </c>
      <c r="F3247" s="7" t="s">
        <v>8971</v>
      </c>
      <c r="G3247" s="7" t="s">
        <v>8970</v>
      </c>
      <c r="H3247" s="7" t="s">
        <v>8972</v>
      </c>
      <c r="I3247" s="9">
        <v>45370</v>
      </c>
    </row>
    <row r="3248" spans="1:9" x14ac:dyDescent="0.15">
      <c r="A3248" s="6">
        <v>3247</v>
      </c>
      <c r="B3248" s="7" t="s">
        <v>7</v>
      </c>
      <c r="C3248" s="8">
        <v>1890</v>
      </c>
      <c r="D3248" s="9">
        <v>45449</v>
      </c>
      <c r="E3248" s="13">
        <f>+HYPERLINK("http://trademark.i-assist.jp/data/china/image_1890th/77413410.pdf",77413410)</f>
        <v>77413410</v>
      </c>
      <c r="F3248" s="7" t="s">
        <v>183</v>
      </c>
      <c r="G3248" s="7" t="s">
        <v>8973</v>
      </c>
      <c r="H3248" s="7" t="s">
        <v>8974</v>
      </c>
      <c r="I3248" s="9">
        <v>45370</v>
      </c>
    </row>
    <row r="3249" spans="1:9" ht="27" x14ac:dyDescent="0.15">
      <c r="A3249" s="6">
        <v>3248</v>
      </c>
      <c r="B3249" s="7" t="s">
        <v>7</v>
      </c>
      <c r="C3249" s="8">
        <v>1890</v>
      </c>
      <c r="D3249" s="9">
        <v>45449</v>
      </c>
      <c r="E3249" s="13">
        <f>+HYPERLINK("http://trademark.i-assist.jp/data/china/image_1890th/77413524.pdf",77413524)</f>
        <v>77413524</v>
      </c>
      <c r="F3249" s="7" t="s">
        <v>8976</v>
      </c>
      <c r="G3249" s="7" t="s">
        <v>8975</v>
      </c>
      <c r="H3249" s="7" t="s">
        <v>8977</v>
      </c>
      <c r="I3249" s="9">
        <v>45370</v>
      </c>
    </row>
    <row r="3250" spans="1:9" x14ac:dyDescent="0.15">
      <c r="A3250" s="6">
        <v>3249</v>
      </c>
      <c r="B3250" s="7" t="s">
        <v>7</v>
      </c>
      <c r="C3250" s="8">
        <v>1890</v>
      </c>
      <c r="D3250" s="9">
        <v>45449</v>
      </c>
      <c r="E3250" s="13">
        <f>+HYPERLINK("http://trademark.i-assist.jp/data/china/image_1890th/77413545.pdf",77413545)</f>
        <v>77413545</v>
      </c>
      <c r="F3250" s="7" t="s">
        <v>8979</v>
      </c>
      <c r="G3250" s="7" t="s">
        <v>8978</v>
      </c>
      <c r="H3250" s="7" t="s">
        <v>8980</v>
      </c>
      <c r="I3250" s="9">
        <v>45370</v>
      </c>
    </row>
    <row r="3251" spans="1:9" x14ac:dyDescent="0.15">
      <c r="A3251" s="6">
        <v>3250</v>
      </c>
      <c r="B3251" s="7" t="s">
        <v>7</v>
      </c>
      <c r="C3251" s="8">
        <v>1890</v>
      </c>
      <c r="D3251" s="9">
        <v>45449</v>
      </c>
      <c r="E3251" s="13">
        <f>+HYPERLINK("http://trademark.i-assist.jp/data/china/image_1890th/77413819.pdf",77413819)</f>
        <v>77413819</v>
      </c>
      <c r="F3251" s="7" t="s">
        <v>8982</v>
      </c>
      <c r="G3251" s="7" t="s">
        <v>8981</v>
      </c>
      <c r="H3251" s="7" t="s">
        <v>8983</v>
      </c>
      <c r="I3251" s="9">
        <v>45370</v>
      </c>
    </row>
    <row r="3252" spans="1:9" x14ac:dyDescent="0.15">
      <c r="A3252" s="6">
        <v>3251</v>
      </c>
      <c r="B3252" s="7" t="s">
        <v>7</v>
      </c>
      <c r="C3252" s="8">
        <v>1890</v>
      </c>
      <c r="D3252" s="9">
        <v>45449</v>
      </c>
      <c r="E3252" s="13">
        <f>+HYPERLINK("http://trademark.i-assist.jp/data/china/image_1890th/77415059.pdf",77415059)</f>
        <v>77415059</v>
      </c>
      <c r="F3252" s="7" t="s">
        <v>8985</v>
      </c>
      <c r="G3252" s="7" t="s">
        <v>8984</v>
      </c>
      <c r="H3252" s="7" t="s">
        <v>8986</v>
      </c>
      <c r="I3252" s="9">
        <v>45370</v>
      </c>
    </row>
    <row r="3253" spans="1:9" x14ac:dyDescent="0.15">
      <c r="A3253" s="6">
        <v>3252</v>
      </c>
      <c r="B3253" s="7" t="s">
        <v>7</v>
      </c>
      <c r="C3253" s="8">
        <v>1890</v>
      </c>
      <c r="D3253" s="9">
        <v>45449</v>
      </c>
      <c r="E3253" s="13">
        <f>+HYPERLINK("http://trademark.i-assist.jp/data/china/image_1890th/77415074.pdf",77415074)</f>
        <v>77415074</v>
      </c>
      <c r="F3253" s="7" t="s">
        <v>8987</v>
      </c>
      <c r="G3253" s="7" t="s">
        <v>5380</v>
      </c>
      <c r="H3253" s="7" t="s">
        <v>8988</v>
      </c>
      <c r="I3253" s="9">
        <v>45370</v>
      </c>
    </row>
    <row r="3254" spans="1:9" ht="27" x14ac:dyDescent="0.15">
      <c r="A3254" s="6">
        <v>3253</v>
      </c>
      <c r="B3254" s="7" t="s">
        <v>7</v>
      </c>
      <c r="C3254" s="8">
        <v>1890</v>
      </c>
      <c r="D3254" s="9">
        <v>45449</v>
      </c>
      <c r="E3254" s="13">
        <f>+HYPERLINK("http://trademark.i-assist.jp/data/china/image_1890th/77415206.pdf",77415206)</f>
        <v>77415206</v>
      </c>
      <c r="F3254" s="7" t="s">
        <v>8990</v>
      </c>
      <c r="G3254" s="7" t="s">
        <v>8989</v>
      </c>
      <c r="H3254" s="7" t="s">
        <v>8991</v>
      </c>
      <c r="I3254" s="9">
        <v>45371</v>
      </c>
    </row>
    <row r="3255" spans="1:9" x14ac:dyDescent="0.15">
      <c r="A3255" s="6">
        <v>3254</v>
      </c>
      <c r="B3255" s="7" t="s">
        <v>7</v>
      </c>
      <c r="C3255" s="8">
        <v>1890</v>
      </c>
      <c r="D3255" s="9">
        <v>45449</v>
      </c>
      <c r="E3255" s="13">
        <f>+HYPERLINK("http://trademark.i-assist.jp/data/china/image_1890th/77415400.pdf",77415400)</f>
        <v>77415400</v>
      </c>
      <c r="F3255" s="7" t="s">
        <v>8993</v>
      </c>
      <c r="G3255" s="7" t="s">
        <v>8992</v>
      </c>
      <c r="H3255" s="7" t="s">
        <v>8994</v>
      </c>
      <c r="I3255" s="9">
        <v>45371</v>
      </c>
    </row>
    <row r="3256" spans="1:9" x14ac:dyDescent="0.15">
      <c r="A3256" s="6">
        <v>3255</v>
      </c>
      <c r="B3256" s="7" t="s">
        <v>7</v>
      </c>
      <c r="C3256" s="8">
        <v>1890</v>
      </c>
      <c r="D3256" s="9">
        <v>45449</v>
      </c>
      <c r="E3256" s="13">
        <f>+HYPERLINK("http://trademark.i-assist.jp/data/china/image_1890th/77415595.pdf",77415595)</f>
        <v>77415595</v>
      </c>
      <c r="F3256" s="7" t="s">
        <v>8996</v>
      </c>
      <c r="G3256" s="7" t="s">
        <v>8995</v>
      </c>
      <c r="H3256" s="7" t="s">
        <v>8997</v>
      </c>
      <c r="I3256" s="9">
        <v>45371</v>
      </c>
    </row>
    <row r="3257" spans="1:9" x14ac:dyDescent="0.15">
      <c r="A3257" s="6">
        <v>3256</v>
      </c>
      <c r="B3257" s="7" t="s">
        <v>7</v>
      </c>
      <c r="C3257" s="8">
        <v>1890</v>
      </c>
      <c r="D3257" s="9">
        <v>45449</v>
      </c>
      <c r="E3257" s="13">
        <f>+HYPERLINK("http://trademark.i-assist.jp/data/china/image_1890th/77415604.pdf",77415604)</f>
        <v>77415604</v>
      </c>
      <c r="F3257" s="7" t="s">
        <v>8999</v>
      </c>
      <c r="G3257" s="7" t="s">
        <v>8998</v>
      </c>
      <c r="H3257" s="7" t="s">
        <v>9000</v>
      </c>
      <c r="I3257" s="9">
        <v>45371</v>
      </c>
    </row>
    <row r="3258" spans="1:9" x14ac:dyDescent="0.15">
      <c r="A3258" s="6">
        <v>3257</v>
      </c>
      <c r="B3258" s="7" t="s">
        <v>7</v>
      </c>
      <c r="C3258" s="8">
        <v>1890</v>
      </c>
      <c r="D3258" s="9">
        <v>45449</v>
      </c>
      <c r="E3258" s="13">
        <f>+HYPERLINK("http://trademark.i-assist.jp/data/china/image_1890th/77415613.pdf",77415613)</f>
        <v>77415613</v>
      </c>
      <c r="F3258" s="7" t="s">
        <v>9002</v>
      </c>
      <c r="G3258" s="7" t="s">
        <v>9001</v>
      </c>
      <c r="H3258" s="7" t="s">
        <v>9003</v>
      </c>
      <c r="I3258" s="9">
        <v>45371</v>
      </c>
    </row>
    <row r="3259" spans="1:9" x14ac:dyDescent="0.15">
      <c r="A3259" s="6">
        <v>3258</v>
      </c>
      <c r="B3259" s="7" t="s">
        <v>7</v>
      </c>
      <c r="C3259" s="8">
        <v>1890</v>
      </c>
      <c r="D3259" s="9">
        <v>45449</v>
      </c>
      <c r="E3259" s="13">
        <f>+HYPERLINK("http://trademark.i-assist.jp/data/china/image_1890th/77415729.pdf",77415729)</f>
        <v>77415729</v>
      </c>
      <c r="F3259" s="7" t="s">
        <v>9005</v>
      </c>
      <c r="G3259" s="7" t="s">
        <v>9004</v>
      </c>
      <c r="H3259" s="7" t="s">
        <v>9006</v>
      </c>
      <c r="I3259" s="9">
        <v>45371</v>
      </c>
    </row>
    <row r="3260" spans="1:9" x14ac:dyDescent="0.15">
      <c r="A3260" s="6">
        <v>3259</v>
      </c>
      <c r="B3260" s="7" t="s">
        <v>7</v>
      </c>
      <c r="C3260" s="8">
        <v>1890</v>
      </c>
      <c r="D3260" s="9">
        <v>45449</v>
      </c>
      <c r="E3260" s="13">
        <f>+HYPERLINK("http://trademark.i-assist.jp/data/china/image_1890th/77415798.pdf",77415798)</f>
        <v>77415798</v>
      </c>
      <c r="F3260" s="7" t="s">
        <v>183</v>
      </c>
      <c r="G3260" s="7" t="s">
        <v>9007</v>
      </c>
      <c r="H3260" s="7" t="s">
        <v>9008</v>
      </c>
      <c r="I3260" s="9">
        <v>45371</v>
      </c>
    </row>
    <row r="3261" spans="1:9" x14ac:dyDescent="0.15">
      <c r="A3261" s="6">
        <v>3260</v>
      </c>
      <c r="B3261" s="7" t="s">
        <v>7</v>
      </c>
      <c r="C3261" s="8">
        <v>1890</v>
      </c>
      <c r="D3261" s="9">
        <v>45449</v>
      </c>
      <c r="E3261" s="13">
        <f>+HYPERLINK("http://trademark.i-assist.jp/data/china/image_1890th/77415799.pdf",77415799)</f>
        <v>77415799</v>
      </c>
      <c r="F3261" s="7" t="s">
        <v>9009</v>
      </c>
      <c r="G3261" s="7" t="s">
        <v>866</v>
      </c>
      <c r="H3261" s="7" t="s">
        <v>9010</v>
      </c>
      <c r="I3261" s="9">
        <v>45371</v>
      </c>
    </row>
    <row r="3262" spans="1:9" x14ac:dyDescent="0.15">
      <c r="A3262" s="6">
        <v>3261</v>
      </c>
      <c r="B3262" s="7" t="s">
        <v>7</v>
      </c>
      <c r="C3262" s="8">
        <v>1890</v>
      </c>
      <c r="D3262" s="9">
        <v>45449</v>
      </c>
      <c r="E3262" s="13">
        <f>+HYPERLINK("http://trademark.i-assist.jp/data/china/image_1890th/77415821.pdf",77415821)</f>
        <v>77415821</v>
      </c>
      <c r="F3262" s="7" t="s">
        <v>9012</v>
      </c>
      <c r="G3262" s="7" t="s">
        <v>9011</v>
      </c>
      <c r="H3262" s="7" t="s">
        <v>9013</v>
      </c>
      <c r="I3262" s="9">
        <v>45371</v>
      </c>
    </row>
    <row r="3263" spans="1:9" x14ac:dyDescent="0.15">
      <c r="A3263" s="6">
        <v>3262</v>
      </c>
      <c r="B3263" s="7" t="s">
        <v>7</v>
      </c>
      <c r="C3263" s="8">
        <v>1890</v>
      </c>
      <c r="D3263" s="9">
        <v>45449</v>
      </c>
      <c r="E3263" s="13">
        <f>+HYPERLINK("http://trademark.i-assist.jp/data/china/image_1890th/77415859.pdf",77415859)</f>
        <v>77415859</v>
      </c>
      <c r="F3263" s="7" t="s">
        <v>9015</v>
      </c>
      <c r="G3263" s="7" t="s">
        <v>9014</v>
      </c>
      <c r="H3263" s="7" t="s">
        <v>9016</v>
      </c>
      <c r="I3263" s="9">
        <v>45371</v>
      </c>
    </row>
    <row r="3264" spans="1:9" x14ac:dyDescent="0.15">
      <c r="A3264" s="6">
        <v>3263</v>
      </c>
      <c r="B3264" s="7" t="s">
        <v>7</v>
      </c>
      <c r="C3264" s="8">
        <v>1890</v>
      </c>
      <c r="D3264" s="9">
        <v>45449</v>
      </c>
      <c r="E3264" s="13">
        <f>+HYPERLINK("http://trademark.i-assist.jp/data/china/image_1890th/77415920.pdf",77415920)</f>
        <v>77415920</v>
      </c>
      <c r="F3264" s="7" t="s">
        <v>9018</v>
      </c>
      <c r="G3264" s="7" t="s">
        <v>9017</v>
      </c>
      <c r="H3264" s="7" t="s">
        <v>9019</v>
      </c>
      <c r="I3264" s="9">
        <v>45371</v>
      </c>
    </row>
    <row r="3265" spans="1:9" x14ac:dyDescent="0.15">
      <c r="A3265" s="6">
        <v>3264</v>
      </c>
      <c r="B3265" s="7" t="s">
        <v>7</v>
      </c>
      <c r="C3265" s="8">
        <v>1890</v>
      </c>
      <c r="D3265" s="9">
        <v>45449</v>
      </c>
      <c r="E3265" s="13">
        <f>+HYPERLINK("http://trademark.i-assist.jp/data/china/image_1890th/77416110.pdf",77416110)</f>
        <v>77416110</v>
      </c>
      <c r="F3265" s="7" t="s">
        <v>9021</v>
      </c>
      <c r="G3265" s="7" t="s">
        <v>9020</v>
      </c>
      <c r="H3265" s="7" t="s">
        <v>9022</v>
      </c>
      <c r="I3265" s="9">
        <v>45371</v>
      </c>
    </row>
    <row r="3266" spans="1:9" x14ac:dyDescent="0.15">
      <c r="A3266" s="6">
        <v>3265</v>
      </c>
      <c r="B3266" s="7" t="s">
        <v>7</v>
      </c>
      <c r="C3266" s="8">
        <v>1890</v>
      </c>
      <c r="D3266" s="9">
        <v>45449</v>
      </c>
      <c r="E3266" s="13">
        <f>+HYPERLINK("http://trademark.i-assist.jp/data/china/image_1890th/77416325.pdf",77416325)</f>
        <v>77416325</v>
      </c>
      <c r="F3266" s="7" t="s">
        <v>9024</v>
      </c>
      <c r="G3266" s="7" t="s">
        <v>9023</v>
      </c>
      <c r="H3266" s="7" t="s">
        <v>9025</v>
      </c>
      <c r="I3266" s="9">
        <v>45371</v>
      </c>
    </row>
    <row r="3267" spans="1:9" x14ac:dyDescent="0.15">
      <c r="A3267" s="6">
        <v>3266</v>
      </c>
      <c r="B3267" s="7" t="s">
        <v>7</v>
      </c>
      <c r="C3267" s="8">
        <v>1890</v>
      </c>
      <c r="D3267" s="9">
        <v>45449</v>
      </c>
      <c r="E3267" s="13">
        <f>+HYPERLINK("http://trademark.i-assist.jp/data/china/image_1890th/77416431.pdf",77416431)</f>
        <v>77416431</v>
      </c>
      <c r="F3267" s="7" t="s">
        <v>9027</v>
      </c>
      <c r="G3267" s="7" t="s">
        <v>9026</v>
      </c>
      <c r="H3267" s="7" t="s">
        <v>9028</v>
      </c>
      <c r="I3267" s="9">
        <v>45371</v>
      </c>
    </row>
    <row r="3268" spans="1:9" x14ac:dyDescent="0.15">
      <c r="A3268" s="6">
        <v>3267</v>
      </c>
      <c r="B3268" s="7" t="s">
        <v>7</v>
      </c>
      <c r="C3268" s="8">
        <v>1890</v>
      </c>
      <c r="D3268" s="9">
        <v>45449</v>
      </c>
      <c r="E3268" s="13">
        <f>+HYPERLINK("http://trademark.i-assist.jp/data/china/image_1890th/77416563.pdf",77416563)</f>
        <v>77416563</v>
      </c>
      <c r="F3268" s="7" t="s">
        <v>9030</v>
      </c>
      <c r="G3268" s="7" t="s">
        <v>9029</v>
      </c>
      <c r="H3268" s="7" t="s">
        <v>9031</v>
      </c>
      <c r="I3268" s="9">
        <v>45371</v>
      </c>
    </row>
    <row r="3269" spans="1:9" x14ac:dyDescent="0.15">
      <c r="A3269" s="6">
        <v>3268</v>
      </c>
      <c r="B3269" s="7" t="s">
        <v>7</v>
      </c>
      <c r="C3269" s="8">
        <v>1890</v>
      </c>
      <c r="D3269" s="9">
        <v>45449</v>
      </c>
      <c r="E3269" s="13">
        <f>+HYPERLINK("http://trademark.i-assist.jp/data/china/image_1890th/77416769.pdf",77416769)</f>
        <v>77416769</v>
      </c>
      <c r="F3269" s="7" t="s">
        <v>9033</v>
      </c>
      <c r="G3269" s="7" t="s">
        <v>9032</v>
      </c>
      <c r="H3269" s="7" t="s">
        <v>9034</v>
      </c>
      <c r="I3269" s="9">
        <v>45371</v>
      </c>
    </row>
    <row r="3270" spans="1:9" x14ac:dyDescent="0.15">
      <c r="A3270" s="6">
        <v>3269</v>
      </c>
      <c r="B3270" s="7" t="s">
        <v>7</v>
      </c>
      <c r="C3270" s="8">
        <v>1890</v>
      </c>
      <c r="D3270" s="9">
        <v>45449</v>
      </c>
      <c r="E3270" s="13">
        <f>+HYPERLINK("http://trademark.i-assist.jp/data/china/image_1890th/77416828.pdf",77416828)</f>
        <v>77416828</v>
      </c>
      <c r="F3270" s="7" t="s">
        <v>9036</v>
      </c>
      <c r="G3270" s="7" t="s">
        <v>9035</v>
      </c>
      <c r="H3270" s="7" t="s">
        <v>9037</v>
      </c>
      <c r="I3270" s="9">
        <v>45371</v>
      </c>
    </row>
    <row r="3271" spans="1:9" x14ac:dyDescent="0.15">
      <c r="A3271" s="6">
        <v>3270</v>
      </c>
      <c r="B3271" s="7" t="s">
        <v>7</v>
      </c>
      <c r="C3271" s="8">
        <v>1890</v>
      </c>
      <c r="D3271" s="9">
        <v>45449</v>
      </c>
      <c r="E3271" s="13">
        <f>+HYPERLINK("http://trademark.i-assist.jp/data/china/image_1890th/77416999.pdf",77416999)</f>
        <v>77416999</v>
      </c>
      <c r="F3271" s="7" t="s">
        <v>9039</v>
      </c>
      <c r="G3271" s="7" t="s">
        <v>9038</v>
      </c>
      <c r="H3271" s="7" t="s">
        <v>9040</v>
      </c>
      <c r="I3271" s="9">
        <v>45371</v>
      </c>
    </row>
    <row r="3272" spans="1:9" x14ac:dyDescent="0.15">
      <c r="A3272" s="6">
        <v>3271</v>
      </c>
      <c r="B3272" s="7" t="s">
        <v>7</v>
      </c>
      <c r="C3272" s="8">
        <v>1890</v>
      </c>
      <c r="D3272" s="9">
        <v>45449</v>
      </c>
      <c r="E3272" s="13">
        <f>+HYPERLINK("http://trademark.i-assist.jp/data/china/image_1890th/77417029.pdf",77417029)</f>
        <v>77417029</v>
      </c>
      <c r="F3272" s="7" t="s">
        <v>9042</v>
      </c>
      <c r="G3272" s="7" t="s">
        <v>9041</v>
      </c>
      <c r="H3272" s="7" t="s">
        <v>9043</v>
      </c>
      <c r="I3272" s="9">
        <v>45371</v>
      </c>
    </row>
    <row r="3273" spans="1:9" x14ac:dyDescent="0.15">
      <c r="A3273" s="6">
        <v>3272</v>
      </c>
      <c r="B3273" s="7" t="s">
        <v>7</v>
      </c>
      <c r="C3273" s="8">
        <v>1890</v>
      </c>
      <c r="D3273" s="9">
        <v>45449</v>
      </c>
      <c r="E3273" s="13">
        <f>+HYPERLINK("http://trademark.i-assist.jp/data/china/image_1890th/77417079.pdf",77417079)</f>
        <v>77417079</v>
      </c>
      <c r="F3273" s="7" t="s">
        <v>9045</v>
      </c>
      <c r="G3273" s="7" t="s">
        <v>9044</v>
      </c>
      <c r="H3273" s="7" t="s">
        <v>9046</v>
      </c>
      <c r="I3273" s="9">
        <v>45371</v>
      </c>
    </row>
    <row r="3274" spans="1:9" x14ac:dyDescent="0.15">
      <c r="A3274" s="6">
        <v>3273</v>
      </c>
      <c r="B3274" s="7" t="s">
        <v>7</v>
      </c>
      <c r="C3274" s="8">
        <v>1890</v>
      </c>
      <c r="D3274" s="9">
        <v>45449</v>
      </c>
      <c r="E3274" s="13">
        <f>+HYPERLINK("http://trademark.i-assist.jp/data/china/image_1890th/77417124.pdf",77417124)</f>
        <v>77417124</v>
      </c>
      <c r="F3274" s="7" t="s">
        <v>9048</v>
      </c>
      <c r="G3274" s="7" t="s">
        <v>9047</v>
      </c>
      <c r="H3274" s="7" t="s">
        <v>9049</v>
      </c>
      <c r="I3274" s="9">
        <v>45371</v>
      </c>
    </row>
    <row r="3275" spans="1:9" ht="27" x14ac:dyDescent="0.15">
      <c r="A3275" s="6">
        <v>3274</v>
      </c>
      <c r="B3275" s="7" t="s">
        <v>7</v>
      </c>
      <c r="C3275" s="8">
        <v>1890</v>
      </c>
      <c r="D3275" s="9">
        <v>45449</v>
      </c>
      <c r="E3275" s="13">
        <f>+HYPERLINK("http://trademark.i-assist.jp/data/china/image_1890th/77417162.pdf",77417162)</f>
        <v>77417162</v>
      </c>
      <c r="F3275" s="7" t="s">
        <v>9051</v>
      </c>
      <c r="G3275" s="7" t="s">
        <v>9050</v>
      </c>
      <c r="H3275" s="7" t="s">
        <v>9052</v>
      </c>
      <c r="I3275" s="9">
        <v>45371</v>
      </c>
    </row>
    <row r="3276" spans="1:9" x14ac:dyDescent="0.15">
      <c r="A3276" s="6">
        <v>3275</v>
      </c>
      <c r="B3276" s="7" t="s">
        <v>7</v>
      </c>
      <c r="C3276" s="8">
        <v>1890</v>
      </c>
      <c r="D3276" s="9">
        <v>45449</v>
      </c>
      <c r="E3276" s="13">
        <f>+HYPERLINK("http://trademark.i-assist.jp/data/china/image_1890th/77417270.pdf",77417270)</f>
        <v>77417270</v>
      </c>
      <c r="F3276" s="7" t="s">
        <v>9054</v>
      </c>
      <c r="G3276" s="7" t="s">
        <v>9053</v>
      </c>
      <c r="H3276" s="7" t="s">
        <v>9055</v>
      </c>
      <c r="I3276" s="9">
        <v>45371</v>
      </c>
    </row>
    <row r="3277" spans="1:9" x14ac:dyDescent="0.15">
      <c r="A3277" s="6">
        <v>3276</v>
      </c>
      <c r="B3277" s="7" t="s">
        <v>7</v>
      </c>
      <c r="C3277" s="8">
        <v>1890</v>
      </c>
      <c r="D3277" s="9">
        <v>45449</v>
      </c>
      <c r="E3277" s="13">
        <f>+HYPERLINK("http://trademark.i-assist.jp/data/china/image_1890th/77417357.pdf",77417357)</f>
        <v>77417357</v>
      </c>
      <c r="F3277" s="7" t="s">
        <v>9057</v>
      </c>
      <c r="G3277" s="7" t="s">
        <v>9056</v>
      </c>
      <c r="H3277" s="7" t="s">
        <v>9058</v>
      </c>
      <c r="I3277" s="9">
        <v>45371</v>
      </c>
    </row>
    <row r="3278" spans="1:9" x14ac:dyDescent="0.15">
      <c r="A3278" s="6">
        <v>3277</v>
      </c>
      <c r="B3278" s="7" t="s">
        <v>7</v>
      </c>
      <c r="C3278" s="8">
        <v>1890</v>
      </c>
      <c r="D3278" s="9">
        <v>45449</v>
      </c>
      <c r="E3278" s="13">
        <f>+HYPERLINK("http://trademark.i-assist.jp/data/china/image_1890th/77417366.pdf",77417366)</f>
        <v>77417366</v>
      </c>
      <c r="F3278" s="7" t="s">
        <v>9060</v>
      </c>
      <c r="G3278" s="7" t="s">
        <v>9059</v>
      </c>
      <c r="H3278" s="7" t="s">
        <v>9061</v>
      </c>
      <c r="I3278" s="9">
        <v>45371</v>
      </c>
    </row>
    <row r="3279" spans="1:9" x14ac:dyDescent="0.15">
      <c r="A3279" s="6">
        <v>3278</v>
      </c>
      <c r="B3279" s="7" t="s">
        <v>7</v>
      </c>
      <c r="C3279" s="8">
        <v>1890</v>
      </c>
      <c r="D3279" s="9">
        <v>45449</v>
      </c>
      <c r="E3279" s="13">
        <f>+HYPERLINK("http://trademark.i-assist.jp/data/china/image_1890th/77417532.pdf",77417532)</f>
        <v>77417532</v>
      </c>
      <c r="F3279" s="7" t="s">
        <v>9062</v>
      </c>
      <c r="G3279" s="7" t="s">
        <v>6955</v>
      </c>
      <c r="H3279" s="7" t="s">
        <v>9063</v>
      </c>
      <c r="I3279" s="9">
        <v>45371</v>
      </c>
    </row>
    <row r="3280" spans="1:9" x14ac:dyDescent="0.15">
      <c r="A3280" s="6">
        <v>3279</v>
      </c>
      <c r="B3280" s="7" t="s">
        <v>7</v>
      </c>
      <c r="C3280" s="8">
        <v>1890</v>
      </c>
      <c r="D3280" s="9">
        <v>45449</v>
      </c>
      <c r="E3280" s="13">
        <f>+HYPERLINK("http://trademark.i-assist.jp/data/china/image_1890th/77417544.pdf",77417544)</f>
        <v>77417544</v>
      </c>
      <c r="F3280" s="7" t="s">
        <v>9065</v>
      </c>
      <c r="G3280" s="7" t="s">
        <v>9064</v>
      </c>
      <c r="H3280" s="7" t="s">
        <v>9066</v>
      </c>
      <c r="I3280" s="9">
        <v>45371</v>
      </c>
    </row>
    <row r="3281" spans="1:9" x14ac:dyDescent="0.15">
      <c r="A3281" s="6">
        <v>3280</v>
      </c>
      <c r="B3281" s="7" t="s">
        <v>7</v>
      </c>
      <c r="C3281" s="8">
        <v>1890</v>
      </c>
      <c r="D3281" s="9">
        <v>45449</v>
      </c>
      <c r="E3281" s="13">
        <f>+HYPERLINK("http://trademark.i-assist.jp/data/china/image_1890th/77417768.pdf",77417768)</f>
        <v>77417768</v>
      </c>
      <c r="F3281" s="7" t="s">
        <v>9067</v>
      </c>
      <c r="G3281" s="7" t="s">
        <v>5229</v>
      </c>
      <c r="H3281" s="7" t="s">
        <v>9068</v>
      </c>
      <c r="I3281" s="9">
        <v>45371</v>
      </c>
    </row>
    <row r="3282" spans="1:9" x14ac:dyDescent="0.15">
      <c r="A3282" s="6">
        <v>3281</v>
      </c>
      <c r="B3282" s="7" t="s">
        <v>7</v>
      </c>
      <c r="C3282" s="8">
        <v>1890</v>
      </c>
      <c r="D3282" s="9">
        <v>45449</v>
      </c>
      <c r="E3282" s="13">
        <f>+HYPERLINK("http://trademark.i-assist.jp/data/china/image_1890th/77417812.pdf",77417812)</f>
        <v>77417812</v>
      </c>
      <c r="F3282" s="7" t="s">
        <v>9070</v>
      </c>
      <c r="G3282" s="7" t="s">
        <v>9069</v>
      </c>
      <c r="H3282" s="7" t="s">
        <v>9071</v>
      </c>
      <c r="I3282" s="9">
        <v>45371</v>
      </c>
    </row>
    <row r="3283" spans="1:9" x14ac:dyDescent="0.15">
      <c r="A3283" s="6">
        <v>3282</v>
      </c>
      <c r="B3283" s="7" t="s">
        <v>7</v>
      </c>
      <c r="C3283" s="8">
        <v>1890</v>
      </c>
      <c r="D3283" s="9">
        <v>45449</v>
      </c>
      <c r="E3283" s="13">
        <f>+HYPERLINK("http://trademark.i-assist.jp/data/china/image_1890th/77417880.pdf",77417880)</f>
        <v>77417880</v>
      </c>
      <c r="F3283" s="7" t="s">
        <v>9073</v>
      </c>
      <c r="G3283" s="7" t="s">
        <v>9072</v>
      </c>
      <c r="H3283" s="7" t="s">
        <v>9074</v>
      </c>
      <c r="I3283" s="9">
        <v>45371</v>
      </c>
    </row>
    <row r="3284" spans="1:9" x14ac:dyDescent="0.15">
      <c r="A3284" s="6">
        <v>3283</v>
      </c>
      <c r="B3284" s="7" t="s">
        <v>7</v>
      </c>
      <c r="C3284" s="8">
        <v>1890</v>
      </c>
      <c r="D3284" s="9">
        <v>45449</v>
      </c>
      <c r="E3284" s="13">
        <f>+HYPERLINK("http://trademark.i-assist.jp/data/china/image_1890th/77417961.pdf",77417961)</f>
        <v>77417961</v>
      </c>
      <c r="F3284" s="7" t="s">
        <v>9076</v>
      </c>
      <c r="G3284" s="7" t="s">
        <v>9075</v>
      </c>
      <c r="H3284" s="7" t="s">
        <v>9077</v>
      </c>
      <c r="I3284" s="9">
        <v>45371</v>
      </c>
    </row>
    <row r="3285" spans="1:9" ht="27" x14ac:dyDescent="0.15">
      <c r="A3285" s="6">
        <v>3284</v>
      </c>
      <c r="B3285" s="7" t="s">
        <v>7</v>
      </c>
      <c r="C3285" s="8">
        <v>1890</v>
      </c>
      <c r="D3285" s="9">
        <v>45449</v>
      </c>
      <c r="E3285" s="13">
        <f>+HYPERLINK("http://trademark.i-assist.jp/data/china/image_1890th/77417970.pdf",77417970)</f>
        <v>77417970</v>
      </c>
      <c r="F3285" s="7" t="s">
        <v>9079</v>
      </c>
      <c r="G3285" s="7" t="s">
        <v>9078</v>
      </c>
      <c r="H3285" s="7" t="s">
        <v>9080</v>
      </c>
      <c r="I3285" s="9">
        <v>45371</v>
      </c>
    </row>
    <row r="3286" spans="1:9" x14ac:dyDescent="0.15">
      <c r="A3286" s="6">
        <v>3285</v>
      </c>
      <c r="B3286" s="7" t="s">
        <v>7</v>
      </c>
      <c r="C3286" s="8">
        <v>1890</v>
      </c>
      <c r="D3286" s="9">
        <v>45449</v>
      </c>
      <c r="E3286" s="13">
        <f>+HYPERLINK("http://trademark.i-assist.jp/data/china/image_1890th/77418194.pdf",77418194)</f>
        <v>77418194</v>
      </c>
      <c r="F3286" s="7" t="s">
        <v>9081</v>
      </c>
      <c r="G3286" s="7" t="s">
        <v>7259</v>
      </c>
      <c r="H3286" s="7" t="s">
        <v>9082</v>
      </c>
      <c r="I3286" s="9">
        <v>45371</v>
      </c>
    </row>
    <row r="3287" spans="1:9" x14ac:dyDescent="0.15">
      <c r="A3287" s="6">
        <v>3286</v>
      </c>
      <c r="B3287" s="7" t="s">
        <v>7</v>
      </c>
      <c r="C3287" s="8">
        <v>1890</v>
      </c>
      <c r="D3287" s="9">
        <v>45449</v>
      </c>
      <c r="E3287" s="13">
        <f>+HYPERLINK("http://trademark.i-assist.jp/data/china/image_1890th/77418236.pdf",77418236)</f>
        <v>77418236</v>
      </c>
      <c r="F3287" s="7" t="s">
        <v>9083</v>
      </c>
      <c r="G3287" s="7" t="s">
        <v>1470</v>
      </c>
      <c r="H3287" s="7" t="s">
        <v>9084</v>
      </c>
      <c r="I3287" s="9">
        <v>45371</v>
      </c>
    </row>
    <row r="3288" spans="1:9" x14ac:dyDescent="0.15">
      <c r="A3288" s="6">
        <v>3287</v>
      </c>
      <c r="B3288" s="7" t="s">
        <v>7</v>
      </c>
      <c r="C3288" s="8">
        <v>1890</v>
      </c>
      <c r="D3288" s="9">
        <v>45449</v>
      </c>
      <c r="E3288" s="13">
        <f>+HYPERLINK("http://trademark.i-assist.jp/data/china/image_1890th/77418319.pdf",77418319)</f>
        <v>77418319</v>
      </c>
      <c r="F3288" s="7" t="s">
        <v>9086</v>
      </c>
      <c r="G3288" s="7" t="s">
        <v>9085</v>
      </c>
      <c r="H3288" s="7" t="s">
        <v>9087</v>
      </c>
      <c r="I3288" s="9">
        <v>45371</v>
      </c>
    </row>
    <row r="3289" spans="1:9" x14ac:dyDescent="0.15">
      <c r="A3289" s="6">
        <v>3288</v>
      </c>
      <c r="B3289" s="7" t="s">
        <v>7</v>
      </c>
      <c r="C3289" s="8">
        <v>1890</v>
      </c>
      <c r="D3289" s="9">
        <v>45449</v>
      </c>
      <c r="E3289" s="13">
        <f>+HYPERLINK("http://trademark.i-assist.jp/data/china/image_1890th/77418356.pdf",77418356)</f>
        <v>77418356</v>
      </c>
      <c r="F3289" s="7" t="s">
        <v>9089</v>
      </c>
      <c r="G3289" s="7" t="s">
        <v>9088</v>
      </c>
      <c r="H3289" s="7" t="s">
        <v>9090</v>
      </c>
      <c r="I3289" s="9">
        <v>45371</v>
      </c>
    </row>
    <row r="3290" spans="1:9" x14ac:dyDescent="0.15">
      <c r="A3290" s="6">
        <v>3289</v>
      </c>
      <c r="B3290" s="7" t="s">
        <v>7</v>
      </c>
      <c r="C3290" s="8">
        <v>1890</v>
      </c>
      <c r="D3290" s="9">
        <v>45449</v>
      </c>
      <c r="E3290" s="13">
        <f>+HYPERLINK("http://trademark.i-assist.jp/data/china/image_1890th/77418607.pdf",77418607)</f>
        <v>77418607</v>
      </c>
      <c r="F3290" s="7" t="s">
        <v>9092</v>
      </c>
      <c r="G3290" s="7" t="s">
        <v>9091</v>
      </c>
      <c r="H3290" s="7" t="s">
        <v>9093</v>
      </c>
      <c r="I3290" s="9">
        <v>45371</v>
      </c>
    </row>
    <row r="3291" spans="1:9" x14ac:dyDescent="0.15">
      <c r="A3291" s="6">
        <v>3290</v>
      </c>
      <c r="B3291" s="7" t="s">
        <v>7</v>
      </c>
      <c r="C3291" s="8">
        <v>1890</v>
      </c>
      <c r="D3291" s="9">
        <v>45449</v>
      </c>
      <c r="E3291" s="13">
        <f>+HYPERLINK("http://trademark.i-assist.jp/data/china/image_1890th/77418636.pdf",77418636)</f>
        <v>77418636</v>
      </c>
      <c r="F3291" s="7" t="s">
        <v>9094</v>
      </c>
      <c r="G3291" s="7" t="s">
        <v>860</v>
      </c>
      <c r="H3291" s="7" t="s">
        <v>9095</v>
      </c>
      <c r="I3291" s="9">
        <v>45371</v>
      </c>
    </row>
    <row r="3292" spans="1:9" x14ac:dyDescent="0.15">
      <c r="A3292" s="6">
        <v>3291</v>
      </c>
      <c r="B3292" s="7" t="s">
        <v>7</v>
      </c>
      <c r="C3292" s="8">
        <v>1890</v>
      </c>
      <c r="D3292" s="9">
        <v>45449</v>
      </c>
      <c r="E3292" s="13">
        <f>+HYPERLINK("http://trademark.i-assist.jp/data/china/image_1890th/77418847.pdf",77418847)</f>
        <v>77418847</v>
      </c>
      <c r="F3292" s="7" t="s">
        <v>9097</v>
      </c>
      <c r="G3292" s="7" t="s">
        <v>9096</v>
      </c>
      <c r="H3292" s="7" t="s">
        <v>9098</v>
      </c>
      <c r="I3292" s="9">
        <v>45371</v>
      </c>
    </row>
    <row r="3293" spans="1:9" x14ac:dyDescent="0.15">
      <c r="A3293" s="6">
        <v>3292</v>
      </c>
      <c r="B3293" s="7" t="s">
        <v>7</v>
      </c>
      <c r="C3293" s="8">
        <v>1890</v>
      </c>
      <c r="D3293" s="9">
        <v>45449</v>
      </c>
      <c r="E3293" s="13">
        <f>+HYPERLINK("http://trademark.i-assist.jp/data/china/image_1890th/77418848.pdf",77418848)</f>
        <v>77418848</v>
      </c>
      <c r="F3293" s="7" t="s">
        <v>9100</v>
      </c>
      <c r="G3293" s="7" t="s">
        <v>9099</v>
      </c>
      <c r="H3293" s="7" t="s">
        <v>9101</v>
      </c>
      <c r="I3293" s="9">
        <v>45371</v>
      </c>
    </row>
    <row r="3294" spans="1:9" x14ac:dyDescent="0.15">
      <c r="A3294" s="6">
        <v>3293</v>
      </c>
      <c r="B3294" s="7" t="s">
        <v>7</v>
      </c>
      <c r="C3294" s="8">
        <v>1890</v>
      </c>
      <c r="D3294" s="9">
        <v>45449</v>
      </c>
      <c r="E3294" s="13">
        <f>+HYPERLINK("http://trademark.i-assist.jp/data/china/image_1890th/77418987.pdf",77418987)</f>
        <v>77418987</v>
      </c>
      <c r="F3294" s="7" t="s">
        <v>9102</v>
      </c>
      <c r="G3294" s="7" t="s">
        <v>860</v>
      </c>
      <c r="H3294" s="7" t="s">
        <v>9103</v>
      </c>
      <c r="I3294" s="9">
        <v>45371</v>
      </c>
    </row>
    <row r="3295" spans="1:9" ht="27" x14ac:dyDescent="0.15">
      <c r="A3295" s="6">
        <v>3294</v>
      </c>
      <c r="B3295" s="7" t="s">
        <v>7</v>
      </c>
      <c r="C3295" s="8">
        <v>1890</v>
      </c>
      <c r="D3295" s="9">
        <v>45449</v>
      </c>
      <c r="E3295" s="13">
        <f>+HYPERLINK("http://trademark.i-assist.jp/data/china/image_1890th/77419020.pdf",77419020)</f>
        <v>77419020</v>
      </c>
      <c r="F3295" s="7" t="s">
        <v>183</v>
      </c>
      <c r="G3295" s="7" t="s">
        <v>9104</v>
      </c>
      <c r="H3295" s="7" t="s">
        <v>9105</v>
      </c>
      <c r="I3295" s="9">
        <v>45371</v>
      </c>
    </row>
    <row r="3296" spans="1:9" x14ac:dyDescent="0.15">
      <c r="A3296" s="6">
        <v>3295</v>
      </c>
      <c r="B3296" s="7" t="s">
        <v>7</v>
      </c>
      <c r="C3296" s="8">
        <v>1890</v>
      </c>
      <c r="D3296" s="9">
        <v>45449</v>
      </c>
      <c r="E3296" s="13">
        <f>+HYPERLINK("http://trademark.i-assist.jp/data/china/image_1890th/77419120.pdf",77419120)</f>
        <v>77419120</v>
      </c>
      <c r="F3296" s="7" t="s">
        <v>9107</v>
      </c>
      <c r="G3296" s="7" t="s">
        <v>9106</v>
      </c>
      <c r="H3296" s="7" t="s">
        <v>9108</v>
      </c>
      <c r="I3296" s="9">
        <v>45371</v>
      </c>
    </row>
    <row r="3297" spans="1:9" x14ac:dyDescent="0.15">
      <c r="A3297" s="6">
        <v>3296</v>
      </c>
      <c r="B3297" s="7" t="s">
        <v>7</v>
      </c>
      <c r="C3297" s="8">
        <v>1890</v>
      </c>
      <c r="D3297" s="9">
        <v>45449</v>
      </c>
      <c r="E3297" s="13">
        <f>+HYPERLINK("http://trademark.i-assist.jp/data/china/image_1890th/77419131.pdf",77419131)</f>
        <v>77419131</v>
      </c>
      <c r="F3297" s="7" t="s">
        <v>9110</v>
      </c>
      <c r="G3297" s="7" t="s">
        <v>9109</v>
      </c>
      <c r="H3297" s="7" t="s">
        <v>9111</v>
      </c>
      <c r="I3297" s="9">
        <v>45371</v>
      </c>
    </row>
    <row r="3298" spans="1:9" x14ac:dyDescent="0.15">
      <c r="A3298" s="6">
        <v>3297</v>
      </c>
      <c r="B3298" s="7" t="s">
        <v>7</v>
      </c>
      <c r="C3298" s="8">
        <v>1890</v>
      </c>
      <c r="D3298" s="9">
        <v>45449</v>
      </c>
      <c r="E3298" s="13">
        <f>+HYPERLINK("http://trademark.i-assist.jp/data/china/image_1890th/77419266.pdf",77419266)</f>
        <v>77419266</v>
      </c>
      <c r="F3298" s="7" t="s">
        <v>9113</v>
      </c>
      <c r="G3298" s="7" t="s">
        <v>9112</v>
      </c>
      <c r="H3298" s="7" t="s">
        <v>9114</v>
      </c>
      <c r="I3298" s="9">
        <v>45371</v>
      </c>
    </row>
    <row r="3299" spans="1:9" x14ac:dyDescent="0.15">
      <c r="A3299" s="6">
        <v>3298</v>
      </c>
      <c r="B3299" s="7" t="s">
        <v>7</v>
      </c>
      <c r="C3299" s="8">
        <v>1890</v>
      </c>
      <c r="D3299" s="9">
        <v>45449</v>
      </c>
      <c r="E3299" s="13">
        <f>+HYPERLINK("http://trademark.i-assist.jp/data/china/image_1890th/77419440.pdf",77419440)</f>
        <v>77419440</v>
      </c>
      <c r="F3299" s="7" t="s">
        <v>9116</v>
      </c>
      <c r="G3299" s="7" t="s">
        <v>9115</v>
      </c>
      <c r="H3299" s="7" t="s">
        <v>9117</v>
      </c>
      <c r="I3299" s="9">
        <v>45371</v>
      </c>
    </row>
    <row r="3300" spans="1:9" x14ac:dyDescent="0.15">
      <c r="A3300" s="6">
        <v>3299</v>
      </c>
      <c r="B3300" s="7" t="s">
        <v>7</v>
      </c>
      <c r="C3300" s="8">
        <v>1890</v>
      </c>
      <c r="D3300" s="9">
        <v>45449</v>
      </c>
      <c r="E3300" s="13">
        <f>+HYPERLINK("http://trademark.i-assist.jp/data/china/image_1890th/77419491.pdf",77419491)</f>
        <v>77419491</v>
      </c>
      <c r="F3300" s="7" t="s">
        <v>9118</v>
      </c>
      <c r="G3300" s="7" t="s">
        <v>5389</v>
      </c>
      <c r="H3300" s="7" t="s">
        <v>9119</v>
      </c>
      <c r="I3300" s="9">
        <v>45371</v>
      </c>
    </row>
    <row r="3301" spans="1:9" x14ac:dyDescent="0.15">
      <c r="A3301" s="6">
        <v>3300</v>
      </c>
      <c r="B3301" s="7" t="s">
        <v>7</v>
      </c>
      <c r="C3301" s="8">
        <v>1890</v>
      </c>
      <c r="D3301" s="9">
        <v>45449</v>
      </c>
      <c r="E3301" s="13">
        <f>+HYPERLINK("http://trademark.i-assist.jp/data/china/image_1890th/77419633.pdf",77419633)</f>
        <v>77419633</v>
      </c>
      <c r="F3301" s="7" t="s">
        <v>9121</v>
      </c>
      <c r="G3301" s="7" t="s">
        <v>9120</v>
      </c>
      <c r="H3301" s="7" t="s">
        <v>9122</v>
      </c>
      <c r="I3301" s="9">
        <v>45371</v>
      </c>
    </row>
    <row r="3302" spans="1:9" x14ac:dyDescent="0.15">
      <c r="A3302" s="6">
        <v>3301</v>
      </c>
      <c r="B3302" s="7" t="s">
        <v>7</v>
      </c>
      <c r="C3302" s="8">
        <v>1890</v>
      </c>
      <c r="D3302" s="9">
        <v>45449</v>
      </c>
      <c r="E3302" s="13">
        <f>+HYPERLINK("http://trademark.i-assist.jp/data/china/image_1890th/77419671.pdf",77419671)</f>
        <v>77419671</v>
      </c>
      <c r="F3302" s="7" t="s">
        <v>9124</v>
      </c>
      <c r="G3302" s="7" t="s">
        <v>9123</v>
      </c>
      <c r="H3302" s="7" t="s">
        <v>9125</v>
      </c>
      <c r="I3302" s="9">
        <v>45371</v>
      </c>
    </row>
    <row r="3303" spans="1:9" x14ac:dyDescent="0.15">
      <c r="A3303" s="6">
        <v>3302</v>
      </c>
      <c r="B3303" s="7" t="s">
        <v>7</v>
      </c>
      <c r="C3303" s="8">
        <v>1890</v>
      </c>
      <c r="D3303" s="9">
        <v>45449</v>
      </c>
      <c r="E3303" s="13">
        <f>+HYPERLINK("http://trademark.i-assist.jp/data/china/image_1890th/77419712.pdf",77419712)</f>
        <v>77419712</v>
      </c>
      <c r="F3303" s="7" t="s">
        <v>9126</v>
      </c>
      <c r="G3303" s="7" t="s">
        <v>9120</v>
      </c>
      <c r="H3303" s="7" t="s">
        <v>9127</v>
      </c>
      <c r="I3303" s="9">
        <v>45371</v>
      </c>
    </row>
    <row r="3304" spans="1:9" ht="27" x14ac:dyDescent="0.15">
      <c r="A3304" s="6">
        <v>3303</v>
      </c>
      <c r="B3304" s="7" t="s">
        <v>7</v>
      </c>
      <c r="C3304" s="8">
        <v>1890</v>
      </c>
      <c r="D3304" s="9">
        <v>45449</v>
      </c>
      <c r="E3304" s="13">
        <f>+HYPERLINK("http://trademark.i-assist.jp/data/china/image_1890th/77419754.pdf",77419754)</f>
        <v>77419754</v>
      </c>
      <c r="F3304" s="7" t="s">
        <v>9129</v>
      </c>
      <c r="G3304" s="7" t="s">
        <v>9128</v>
      </c>
      <c r="H3304" s="7" t="s">
        <v>9130</v>
      </c>
      <c r="I3304" s="9">
        <v>45371</v>
      </c>
    </row>
    <row r="3305" spans="1:9" x14ac:dyDescent="0.15">
      <c r="A3305" s="6">
        <v>3304</v>
      </c>
      <c r="B3305" s="7" t="s">
        <v>7</v>
      </c>
      <c r="C3305" s="8">
        <v>1890</v>
      </c>
      <c r="D3305" s="9">
        <v>45449</v>
      </c>
      <c r="E3305" s="13">
        <f>+HYPERLINK("http://trademark.i-assist.jp/data/china/image_1890th/77419866.pdf",77419866)</f>
        <v>77419866</v>
      </c>
      <c r="F3305" s="7" t="s">
        <v>9131</v>
      </c>
      <c r="G3305" s="7" t="s">
        <v>828</v>
      </c>
      <c r="H3305" s="7" t="s">
        <v>9132</v>
      </c>
      <c r="I3305" s="9">
        <v>45371</v>
      </c>
    </row>
    <row r="3306" spans="1:9" x14ac:dyDescent="0.15">
      <c r="A3306" s="6">
        <v>3305</v>
      </c>
      <c r="B3306" s="7" t="s">
        <v>7</v>
      </c>
      <c r="C3306" s="8">
        <v>1890</v>
      </c>
      <c r="D3306" s="9">
        <v>45449</v>
      </c>
      <c r="E3306" s="13">
        <f>+HYPERLINK("http://trademark.i-assist.jp/data/china/image_1890th/77421480.pdf",77421480)</f>
        <v>77421480</v>
      </c>
      <c r="F3306" s="7" t="s">
        <v>9134</v>
      </c>
      <c r="G3306" s="7" t="s">
        <v>9133</v>
      </c>
      <c r="H3306" s="7" t="s">
        <v>9135</v>
      </c>
      <c r="I3306" s="9">
        <v>45371</v>
      </c>
    </row>
    <row r="3307" spans="1:9" x14ac:dyDescent="0.15">
      <c r="A3307" s="6">
        <v>3306</v>
      </c>
      <c r="B3307" s="7" t="s">
        <v>7</v>
      </c>
      <c r="C3307" s="8">
        <v>1890</v>
      </c>
      <c r="D3307" s="9">
        <v>45449</v>
      </c>
      <c r="E3307" s="13">
        <f>+HYPERLINK("http://trademark.i-assist.jp/data/china/image_1890th/77421504.pdf",77421504)</f>
        <v>77421504</v>
      </c>
      <c r="F3307" s="7" t="s">
        <v>9137</v>
      </c>
      <c r="G3307" s="7" t="s">
        <v>9136</v>
      </c>
      <c r="H3307" s="7" t="s">
        <v>9138</v>
      </c>
      <c r="I3307" s="9">
        <v>45371</v>
      </c>
    </row>
    <row r="3308" spans="1:9" x14ac:dyDescent="0.15">
      <c r="A3308" s="6">
        <v>3307</v>
      </c>
      <c r="B3308" s="7" t="s">
        <v>7</v>
      </c>
      <c r="C3308" s="8">
        <v>1890</v>
      </c>
      <c r="D3308" s="9">
        <v>45449</v>
      </c>
      <c r="E3308" s="13">
        <f>+HYPERLINK("http://trademark.i-assist.jp/data/china/image_1890th/77421555.pdf",77421555)</f>
        <v>77421555</v>
      </c>
      <c r="F3308" s="7" t="s">
        <v>9140</v>
      </c>
      <c r="G3308" s="7" t="s">
        <v>9139</v>
      </c>
      <c r="H3308" s="7" t="s">
        <v>9141</v>
      </c>
      <c r="I3308" s="9">
        <v>45371</v>
      </c>
    </row>
    <row r="3309" spans="1:9" x14ac:dyDescent="0.15">
      <c r="A3309" s="6">
        <v>3308</v>
      </c>
      <c r="B3309" s="7" t="s">
        <v>7</v>
      </c>
      <c r="C3309" s="8">
        <v>1890</v>
      </c>
      <c r="D3309" s="9">
        <v>45449</v>
      </c>
      <c r="E3309" s="13">
        <f>+HYPERLINK("http://trademark.i-assist.jp/data/china/image_1890th/77421613.pdf",77421613)</f>
        <v>77421613</v>
      </c>
      <c r="F3309" s="7" t="s">
        <v>9143</v>
      </c>
      <c r="G3309" s="7" t="s">
        <v>9142</v>
      </c>
      <c r="H3309" s="7" t="s">
        <v>9144</v>
      </c>
      <c r="I3309" s="9">
        <v>45371</v>
      </c>
    </row>
    <row r="3310" spans="1:9" x14ac:dyDescent="0.15">
      <c r="A3310" s="6">
        <v>3309</v>
      </c>
      <c r="B3310" s="7" t="s">
        <v>7</v>
      </c>
      <c r="C3310" s="8">
        <v>1890</v>
      </c>
      <c r="D3310" s="9">
        <v>45449</v>
      </c>
      <c r="E3310" s="13">
        <f>+HYPERLINK("http://trademark.i-assist.jp/data/china/image_1890th/77421799.pdf",77421799)</f>
        <v>77421799</v>
      </c>
      <c r="F3310" s="7" t="s">
        <v>9146</v>
      </c>
      <c r="G3310" s="7" t="s">
        <v>9145</v>
      </c>
      <c r="H3310" s="7" t="s">
        <v>9147</v>
      </c>
      <c r="I3310" s="9">
        <v>45371</v>
      </c>
    </row>
    <row r="3311" spans="1:9" x14ac:dyDescent="0.15">
      <c r="A3311" s="6">
        <v>3310</v>
      </c>
      <c r="B3311" s="7" t="s">
        <v>7</v>
      </c>
      <c r="C3311" s="8">
        <v>1890</v>
      </c>
      <c r="D3311" s="9">
        <v>45449</v>
      </c>
      <c r="E3311" s="13">
        <f>+HYPERLINK("http://trademark.i-assist.jp/data/china/image_1890th/77421830.pdf",77421830)</f>
        <v>77421830</v>
      </c>
      <c r="F3311" s="7" t="s">
        <v>9149</v>
      </c>
      <c r="G3311" s="7" t="s">
        <v>9148</v>
      </c>
      <c r="H3311" s="7" t="s">
        <v>9150</v>
      </c>
      <c r="I3311" s="9">
        <v>45371</v>
      </c>
    </row>
    <row r="3312" spans="1:9" x14ac:dyDescent="0.15">
      <c r="A3312" s="6">
        <v>3311</v>
      </c>
      <c r="B3312" s="7" t="s">
        <v>7</v>
      </c>
      <c r="C3312" s="8">
        <v>1890</v>
      </c>
      <c r="D3312" s="9">
        <v>45449</v>
      </c>
      <c r="E3312" s="13">
        <f>+HYPERLINK("http://trademark.i-assist.jp/data/china/image_1890th/77421841.pdf",77421841)</f>
        <v>77421841</v>
      </c>
      <c r="F3312" s="7" t="s">
        <v>9152</v>
      </c>
      <c r="G3312" s="7" t="s">
        <v>9151</v>
      </c>
      <c r="H3312" s="7" t="s">
        <v>9153</v>
      </c>
      <c r="I3312" s="9">
        <v>45371</v>
      </c>
    </row>
    <row r="3313" spans="1:9" ht="27" x14ac:dyDescent="0.15">
      <c r="A3313" s="6">
        <v>3312</v>
      </c>
      <c r="B3313" s="7" t="s">
        <v>7</v>
      </c>
      <c r="C3313" s="8">
        <v>1890</v>
      </c>
      <c r="D3313" s="9">
        <v>45449</v>
      </c>
      <c r="E3313" s="13">
        <f>+HYPERLINK("http://trademark.i-assist.jp/data/china/image_1890th/77422004.pdf",77422004)</f>
        <v>77422004</v>
      </c>
      <c r="F3313" s="7" t="s">
        <v>9155</v>
      </c>
      <c r="G3313" s="7" t="s">
        <v>9154</v>
      </c>
      <c r="H3313" s="7" t="s">
        <v>9156</v>
      </c>
      <c r="I3313" s="9">
        <v>45371</v>
      </c>
    </row>
    <row r="3314" spans="1:9" x14ac:dyDescent="0.15">
      <c r="A3314" s="6">
        <v>3313</v>
      </c>
      <c r="B3314" s="7" t="s">
        <v>7</v>
      </c>
      <c r="C3314" s="8">
        <v>1890</v>
      </c>
      <c r="D3314" s="9">
        <v>45449</v>
      </c>
      <c r="E3314" s="13">
        <f>+HYPERLINK("http://trademark.i-assist.jp/data/china/image_1890th/77422332.pdf",77422332)</f>
        <v>77422332</v>
      </c>
      <c r="F3314" s="7" t="s">
        <v>9158</v>
      </c>
      <c r="G3314" s="7" t="s">
        <v>9157</v>
      </c>
      <c r="H3314" s="7" t="s">
        <v>9159</v>
      </c>
      <c r="I3314" s="9">
        <v>45371</v>
      </c>
    </row>
    <row r="3315" spans="1:9" x14ac:dyDescent="0.15">
      <c r="A3315" s="6">
        <v>3314</v>
      </c>
      <c r="B3315" s="7" t="s">
        <v>7</v>
      </c>
      <c r="C3315" s="8">
        <v>1890</v>
      </c>
      <c r="D3315" s="9">
        <v>45449</v>
      </c>
      <c r="E3315" s="13">
        <f>+HYPERLINK("http://trademark.i-assist.jp/data/china/image_1890th/77422411.pdf",77422411)</f>
        <v>77422411</v>
      </c>
      <c r="F3315" s="7" t="s">
        <v>9161</v>
      </c>
      <c r="G3315" s="7" t="s">
        <v>9160</v>
      </c>
      <c r="H3315" s="7" t="s">
        <v>9162</v>
      </c>
      <c r="I3315" s="9">
        <v>45371</v>
      </c>
    </row>
    <row r="3316" spans="1:9" x14ac:dyDescent="0.15">
      <c r="A3316" s="6">
        <v>3315</v>
      </c>
      <c r="B3316" s="7" t="s">
        <v>7</v>
      </c>
      <c r="C3316" s="8">
        <v>1890</v>
      </c>
      <c r="D3316" s="9">
        <v>45449</v>
      </c>
      <c r="E3316" s="13">
        <f>+HYPERLINK("http://trademark.i-assist.jp/data/china/image_1890th/77422425.pdf",77422425)</f>
        <v>77422425</v>
      </c>
      <c r="F3316" s="7" t="s">
        <v>9163</v>
      </c>
      <c r="G3316" s="7" t="s">
        <v>4660</v>
      </c>
      <c r="H3316" s="7" t="s">
        <v>9164</v>
      </c>
      <c r="I3316" s="9">
        <v>45371</v>
      </c>
    </row>
    <row r="3317" spans="1:9" x14ac:dyDescent="0.15">
      <c r="A3317" s="6">
        <v>3316</v>
      </c>
      <c r="B3317" s="7" t="s">
        <v>7</v>
      </c>
      <c r="C3317" s="8">
        <v>1890</v>
      </c>
      <c r="D3317" s="9">
        <v>45449</v>
      </c>
      <c r="E3317" s="13">
        <f>+HYPERLINK("http://trademark.i-assist.jp/data/china/image_1890th/77422683.pdf",77422683)</f>
        <v>77422683</v>
      </c>
      <c r="F3317" s="7" t="s">
        <v>9166</v>
      </c>
      <c r="G3317" s="7" t="s">
        <v>9165</v>
      </c>
      <c r="H3317" s="7" t="s">
        <v>9167</v>
      </c>
      <c r="I3317" s="9">
        <v>45371</v>
      </c>
    </row>
    <row r="3318" spans="1:9" x14ac:dyDescent="0.15">
      <c r="A3318" s="6">
        <v>3317</v>
      </c>
      <c r="B3318" s="7" t="s">
        <v>7</v>
      </c>
      <c r="C3318" s="8">
        <v>1890</v>
      </c>
      <c r="D3318" s="9">
        <v>45449</v>
      </c>
      <c r="E3318" s="13">
        <f>+HYPERLINK("http://trademark.i-assist.jp/data/china/image_1890th/77422818.pdf",77422818)</f>
        <v>77422818</v>
      </c>
      <c r="F3318" s="7" t="s">
        <v>9169</v>
      </c>
      <c r="G3318" s="7" t="s">
        <v>9168</v>
      </c>
      <c r="H3318" s="7" t="s">
        <v>9170</v>
      </c>
      <c r="I3318" s="9">
        <v>45371</v>
      </c>
    </row>
    <row r="3319" spans="1:9" ht="27" x14ac:dyDescent="0.15">
      <c r="A3319" s="6">
        <v>3318</v>
      </c>
      <c r="B3319" s="7" t="s">
        <v>7</v>
      </c>
      <c r="C3319" s="8">
        <v>1890</v>
      </c>
      <c r="D3319" s="9">
        <v>45449</v>
      </c>
      <c r="E3319" s="13">
        <f>+HYPERLINK("http://trademark.i-assist.jp/data/china/image_1890th/77422961.pdf",77422961)</f>
        <v>77422961</v>
      </c>
      <c r="F3319" s="7" t="s">
        <v>9172</v>
      </c>
      <c r="G3319" s="7" t="s">
        <v>9171</v>
      </c>
      <c r="H3319" s="7" t="s">
        <v>9173</v>
      </c>
      <c r="I3319" s="9">
        <v>45371</v>
      </c>
    </row>
    <row r="3320" spans="1:9" x14ac:dyDescent="0.15">
      <c r="A3320" s="6">
        <v>3319</v>
      </c>
      <c r="B3320" s="7" t="s">
        <v>7</v>
      </c>
      <c r="C3320" s="8">
        <v>1890</v>
      </c>
      <c r="D3320" s="9">
        <v>45449</v>
      </c>
      <c r="E3320" s="13">
        <f>+HYPERLINK("http://trademark.i-assist.jp/data/china/image_1890th/77422963.pdf",77422963)</f>
        <v>77422963</v>
      </c>
      <c r="F3320" s="7" t="s">
        <v>9175</v>
      </c>
      <c r="G3320" s="7" t="s">
        <v>9174</v>
      </c>
      <c r="H3320" s="7" t="s">
        <v>9176</v>
      </c>
      <c r="I3320" s="9">
        <v>45371</v>
      </c>
    </row>
    <row r="3321" spans="1:9" x14ac:dyDescent="0.15">
      <c r="A3321" s="6">
        <v>3320</v>
      </c>
      <c r="B3321" s="7" t="s">
        <v>7</v>
      </c>
      <c r="C3321" s="8">
        <v>1890</v>
      </c>
      <c r="D3321" s="9">
        <v>45449</v>
      </c>
      <c r="E3321" s="13">
        <f>+HYPERLINK("http://trademark.i-assist.jp/data/china/image_1890th/77423034.pdf",77423034)</f>
        <v>77423034</v>
      </c>
      <c r="F3321" s="7" t="s">
        <v>9177</v>
      </c>
      <c r="G3321" s="7" t="s">
        <v>2179</v>
      </c>
      <c r="H3321" s="7" t="s">
        <v>9178</v>
      </c>
      <c r="I3321" s="9">
        <v>45371</v>
      </c>
    </row>
    <row r="3322" spans="1:9" x14ac:dyDescent="0.15">
      <c r="A3322" s="6">
        <v>3321</v>
      </c>
      <c r="B3322" s="7" t="s">
        <v>7</v>
      </c>
      <c r="C3322" s="8">
        <v>1890</v>
      </c>
      <c r="D3322" s="9">
        <v>45449</v>
      </c>
      <c r="E3322" s="13">
        <f>+HYPERLINK("http://trademark.i-assist.jp/data/china/image_1890th/77423197.pdf",77423197)</f>
        <v>77423197</v>
      </c>
      <c r="F3322" s="7" t="s">
        <v>9180</v>
      </c>
      <c r="G3322" s="7" t="s">
        <v>9179</v>
      </c>
      <c r="H3322" s="7" t="s">
        <v>9181</v>
      </c>
      <c r="I3322" s="9">
        <v>45371</v>
      </c>
    </row>
    <row r="3323" spans="1:9" x14ac:dyDescent="0.15">
      <c r="A3323" s="6">
        <v>3322</v>
      </c>
      <c r="B3323" s="7" t="s">
        <v>7</v>
      </c>
      <c r="C3323" s="8">
        <v>1890</v>
      </c>
      <c r="D3323" s="9">
        <v>45449</v>
      </c>
      <c r="E3323" s="13">
        <f>+HYPERLINK("http://trademark.i-assist.jp/data/china/image_1890th/77423224.pdf",77423224)</f>
        <v>77423224</v>
      </c>
      <c r="F3323" s="7" t="s">
        <v>9057</v>
      </c>
      <c r="G3323" s="7" t="s">
        <v>9056</v>
      </c>
      <c r="H3323" s="7" t="s">
        <v>9182</v>
      </c>
      <c r="I3323" s="9">
        <v>45371</v>
      </c>
    </row>
    <row r="3324" spans="1:9" x14ac:dyDescent="0.15">
      <c r="A3324" s="6">
        <v>3323</v>
      </c>
      <c r="B3324" s="7" t="s">
        <v>7</v>
      </c>
      <c r="C3324" s="8">
        <v>1890</v>
      </c>
      <c r="D3324" s="9">
        <v>45449</v>
      </c>
      <c r="E3324" s="13">
        <f>+HYPERLINK("http://trademark.i-assist.jp/data/china/image_1890th/77423469.pdf",77423469)</f>
        <v>77423469</v>
      </c>
      <c r="F3324" s="7" t="s">
        <v>9184</v>
      </c>
      <c r="G3324" s="7" t="s">
        <v>9183</v>
      </c>
      <c r="H3324" s="7" t="s">
        <v>9185</v>
      </c>
      <c r="I3324" s="9">
        <v>45371</v>
      </c>
    </row>
    <row r="3325" spans="1:9" x14ac:dyDescent="0.15">
      <c r="A3325" s="6">
        <v>3324</v>
      </c>
      <c r="B3325" s="7" t="s">
        <v>7</v>
      </c>
      <c r="C3325" s="8">
        <v>1890</v>
      </c>
      <c r="D3325" s="9">
        <v>45449</v>
      </c>
      <c r="E3325" s="13">
        <f>+HYPERLINK("http://trademark.i-assist.jp/data/china/image_1890th/77423559.pdf",77423559)</f>
        <v>77423559</v>
      </c>
      <c r="F3325" s="7" t="s">
        <v>9187</v>
      </c>
      <c r="G3325" s="7" t="s">
        <v>9186</v>
      </c>
      <c r="H3325" s="7" t="s">
        <v>9188</v>
      </c>
      <c r="I3325" s="9">
        <v>45371</v>
      </c>
    </row>
    <row r="3326" spans="1:9" x14ac:dyDescent="0.15">
      <c r="A3326" s="6">
        <v>3325</v>
      </c>
      <c r="B3326" s="7" t="s">
        <v>7</v>
      </c>
      <c r="C3326" s="8">
        <v>1890</v>
      </c>
      <c r="D3326" s="9">
        <v>45449</v>
      </c>
      <c r="E3326" s="13">
        <f>+HYPERLINK("http://trademark.i-assist.jp/data/china/image_1890th/77423807.pdf",77423807)</f>
        <v>77423807</v>
      </c>
      <c r="F3326" s="7" t="s">
        <v>9190</v>
      </c>
      <c r="G3326" s="7" t="s">
        <v>9189</v>
      </c>
      <c r="H3326" s="7" t="s">
        <v>9191</v>
      </c>
      <c r="I3326" s="9">
        <v>45371</v>
      </c>
    </row>
    <row r="3327" spans="1:9" x14ac:dyDescent="0.15">
      <c r="A3327" s="6">
        <v>3326</v>
      </c>
      <c r="B3327" s="7" t="s">
        <v>7</v>
      </c>
      <c r="C3327" s="8">
        <v>1890</v>
      </c>
      <c r="D3327" s="9">
        <v>45449</v>
      </c>
      <c r="E3327" s="13">
        <f>+HYPERLINK("http://trademark.i-assist.jp/data/china/image_1890th/77423973.pdf",77423973)</f>
        <v>77423973</v>
      </c>
      <c r="F3327" s="7" t="s">
        <v>9193</v>
      </c>
      <c r="G3327" s="7" t="s">
        <v>9192</v>
      </c>
      <c r="H3327" s="7" t="s">
        <v>9194</v>
      </c>
      <c r="I3327" s="9">
        <v>45371</v>
      </c>
    </row>
    <row r="3328" spans="1:9" x14ac:dyDescent="0.15">
      <c r="A3328" s="6">
        <v>3327</v>
      </c>
      <c r="B3328" s="7" t="s">
        <v>7</v>
      </c>
      <c r="C3328" s="8">
        <v>1890</v>
      </c>
      <c r="D3328" s="9">
        <v>45449</v>
      </c>
      <c r="E3328" s="13">
        <f>+HYPERLINK("http://trademark.i-assist.jp/data/china/image_1890th/77424021.pdf",77424021)</f>
        <v>77424021</v>
      </c>
      <c r="F3328" s="7" t="s">
        <v>9196</v>
      </c>
      <c r="G3328" s="7" t="s">
        <v>9195</v>
      </c>
      <c r="H3328" s="7" t="s">
        <v>9197</v>
      </c>
      <c r="I3328" s="9">
        <v>45371</v>
      </c>
    </row>
    <row r="3329" spans="1:9" x14ac:dyDescent="0.15">
      <c r="A3329" s="6">
        <v>3328</v>
      </c>
      <c r="B3329" s="7" t="s">
        <v>7</v>
      </c>
      <c r="C3329" s="8">
        <v>1890</v>
      </c>
      <c r="D3329" s="9">
        <v>45449</v>
      </c>
      <c r="E3329" s="13">
        <f>+HYPERLINK("http://trademark.i-assist.jp/data/china/image_1890th/77424087.pdf",77424087)</f>
        <v>77424087</v>
      </c>
      <c r="F3329" s="7" t="s">
        <v>9199</v>
      </c>
      <c r="G3329" s="7" t="s">
        <v>9198</v>
      </c>
      <c r="H3329" s="7" t="s">
        <v>9200</v>
      </c>
      <c r="I3329" s="9">
        <v>45371</v>
      </c>
    </row>
    <row r="3330" spans="1:9" x14ac:dyDescent="0.15">
      <c r="A3330" s="6">
        <v>3329</v>
      </c>
      <c r="B3330" s="7" t="s">
        <v>7</v>
      </c>
      <c r="C3330" s="8">
        <v>1890</v>
      </c>
      <c r="D3330" s="9">
        <v>45449</v>
      </c>
      <c r="E3330" s="13">
        <f>+HYPERLINK("http://trademark.i-assist.jp/data/china/image_1890th/77424158.pdf",77424158)</f>
        <v>77424158</v>
      </c>
      <c r="F3330" s="7" t="s">
        <v>183</v>
      </c>
      <c r="G3330" s="7" t="s">
        <v>9201</v>
      </c>
      <c r="H3330" s="7" t="s">
        <v>9202</v>
      </c>
      <c r="I3330" s="9">
        <v>45371</v>
      </c>
    </row>
    <row r="3331" spans="1:9" ht="27" x14ac:dyDescent="0.15">
      <c r="A3331" s="6">
        <v>3330</v>
      </c>
      <c r="B3331" s="7" t="s">
        <v>7</v>
      </c>
      <c r="C3331" s="8">
        <v>1890</v>
      </c>
      <c r="D3331" s="9">
        <v>45449</v>
      </c>
      <c r="E3331" s="13">
        <f>+HYPERLINK("http://trademark.i-assist.jp/data/china/image_1890th/77424175.pdf",77424175)</f>
        <v>77424175</v>
      </c>
      <c r="F3331" s="7" t="s">
        <v>9204</v>
      </c>
      <c r="G3331" s="7" t="s">
        <v>9203</v>
      </c>
      <c r="H3331" s="7" t="s">
        <v>9205</v>
      </c>
      <c r="I3331" s="9">
        <v>45371</v>
      </c>
    </row>
    <row r="3332" spans="1:9" x14ac:dyDescent="0.15">
      <c r="A3332" s="6">
        <v>3331</v>
      </c>
      <c r="B3332" s="7" t="s">
        <v>7</v>
      </c>
      <c r="C3332" s="8">
        <v>1890</v>
      </c>
      <c r="D3332" s="9">
        <v>45449</v>
      </c>
      <c r="E3332" s="13">
        <f>+HYPERLINK("http://trademark.i-assist.jp/data/china/image_1890th/77424382.pdf",77424382)</f>
        <v>77424382</v>
      </c>
      <c r="F3332" s="7" t="s">
        <v>9207</v>
      </c>
      <c r="G3332" s="7" t="s">
        <v>9206</v>
      </c>
      <c r="H3332" s="7" t="s">
        <v>9208</v>
      </c>
      <c r="I3332" s="9">
        <v>45371</v>
      </c>
    </row>
    <row r="3333" spans="1:9" x14ac:dyDescent="0.15">
      <c r="A3333" s="6">
        <v>3332</v>
      </c>
      <c r="B3333" s="7" t="s">
        <v>7</v>
      </c>
      <c r="C3333" s="8">
        <v>1890</v>
      </c>
      <c r="D3333" s="9">
        <v>45449</v>
      </c>
      <c r="E3333" s="13">
        <f>+HYPERLINK("http://trademark.i-assist.jp/data/china/image_1890th/77424400.pdf",77424400)</f>
        <v>77424400</v>
      </c>
      <c r="F3333" s="7" t="s">
        <v>9210</v>
      </c>
      <c r="G3333" s="7" t="s">
        <v>9209</v>
      </c>
      <c r="H3333" s="7" t="s">
        <v>9211</v>
      </c>
      <c r="I3333" s="9">
        <v>45371</v>
      </c>
    </row>
    <row r="3334" spans="1:9" ht="27" x14ac:dyDescent="0.15">
      <c r="A3334" s="6">
        <v>3333</v>
      </c>
      <c r="B3334" s="7" t="s">
        <v>7</v>
      </c>
      <c r="C3334" s="8">
        <v>1890</v>
      </c>
      <c r="D3334" s="9">
        <v>45449</v>
      </c>
      <c r="E3334" s="13">
        <f>+HYPERLINK("http://trademark.i-assist.jp/data/china/image_1890th/77424508.pdf",77424508)</f>
        <v>77424508</v>
      </c>
      <c r="F3334" s="7" t="s">
        <v>9213</v>
      </c>
      <c r="G3334" s="7" t="s">
        <v>9212</v>
      </c>
      <c r="H3334" s="7" t="s">
        <v>9214</v>
      </c>
      <c r="I3334" s="9">
        <v>45371</v>
      </c>
    </row>
    <row r="3335" spans="1:9" ht="27" x14ac:dyDescent="0.15">
      <c r="A3335" s="6">
        <v>3334</v>
      </c>
      <c r="B3335" s="7" t="s">
        <v>7</v>
      </c>
      <c r="C3335" s="8">
        <v>1890</v>
      </c>
      <c r="D3335" s="9">
        <v>45449</v>
      </c>
      <c r="E3335" s="13">
        <f>+HYPERLINK("http://trademark.i-assist.jp/data/china/image_1890th/77424540.pdf",77424540)</f>
        <v>77424540</v>
      </c>
      <c r="F3335" s="7" t="s">
        <v>9216</v>
      </c>
      <c r="G3335" s="7" t="s">
        <v>9215</v>
      </c>
      <c r="H3335" s="7" t="s">
        <v>9217</v>
      </c>
      <c r="I3335" s="9">
        <v>45371</v>
      </c>
    </row>
    <row r="3336" spans="1:9" x14ac:dyDescent="0.15">
      <c r="A3336" s="6">
        <v>3335</v>
      </c>
      <c r="B3336" s="7" t="s">
        <v>7</v>
      </c>
      <c r="C3336" s="8">
        <v>1890</v>
      </c>
      <c r="D3336" s="9">
        <v>45449</v>
      </c>
      <c r="E3336" s="13">
        <f>+HYPERLINK("http://trademark.i-assist.jp/data/china/image_1890th/77424593.pdf",77424593)</f>
        <v>77424593</v>
      </c>
      <c r="F3336" s="7" t="s">
        <v>9219</v>
      </c>
      <c r="G3336" s="7" t="s">
        <v>9218</v>
      </c>
      <c r="H3336" s="7" t="s">
        <v>9220</v>
      </c>
      <c r="I3336" s="9">
        <v>45371</v>
      </c>
    </row>
    <row r="3337" spans="1:9" x14ac:dyDescent="0.15">
      <c r="A3337" s="6">
        <v>3336</v>
      </c>
      <c r="B3337" s="7" t="s">
        <v>7</v>
      </c>
      <c r="C3337" s="8">
        <v>1890</v>
      </c>
      <c r="D3337" s="9">
        <v>45449</v>
      </c>
      <c r="E3337" s="13">
        <f>+HYPERLINK("http://trademark.i-assist.jp/data/china/image_1890th/77424631.pdf",77424631)</f>
        <v>77424631</v>
      </c>
      <c r="F3337" s="7" t="s">
        <v>9222</v>
      </c>
      <c r="G3337" s="7" t="s">
        <v>9221</v>
      </c>
      <c r="H3337" s="7" t="s">
        <v>9223</v>
      </c>
      <c r="I3337" s="9">
        <v>45371</v>
      </c>
    </row>
    <row r="3338" spans="1:9" x14ac:dyDescent="0.15">
      <c r="A3338" s="6">
        <v>3337</v>
      </c>
      <c r="B3338" s="7" t="s">
        <v>7</v>
      </c>
      <c r="C3338" s="8">
        <v>1890</v>
      </c>
      <c r="D3338" s="9">
        <v>45449</v>
      </c>
      <c r="E3338" s="13">
        <f>+HYPERLINK("http://trademark.i-assist.jp/data/china/image_1890th/77424722.pdf",77424722)</f>
        <v>77424722</v>
      </c>
      <c r="F3338" s="7" t="s">
        <v>9225</v>
      </c>
      <c r="G3338" s="7" t="s">
        <v>9224</v>
      </c>
      <c r="H3338" s="7" t="s">
        <v>9226</v>
      </c>
      <c r="I3338" s="9">
        <v>45371</v>
      </c>
    </row>
    <row r="3339" spans="1:9" x14ac:dyDescent="0.15">
      <c r="A3339" s="6">
        <v>3338</v>
      </c>
      <c r="B3339" s="7" t="s">
        <v>7</v>
      </c>
      <c r="C3339" s="8">
        <v>1890</v>
      </c>
      <c r="D3339" s="9">
        <v>45449</v>
      </c>
      <c r="E3339" s="13">
        <f>+HYPERLINK("http://trademark.i-assist.jp/data/china/image_1890th/77424890.pdf",77424890)</f>
        <v>77424890</v>
      </c>
      <c r="F3339" s="7" t="s">
        <v>183</v>
      </c>
      <c r="G3339" s="7" t="s">
        <v>9020</v>
      </c>
      <c r="H3339" s="7" t="s">
        <v>9227</v>
      </c>
      <c r="I3339" s="9">
        <v>45371</v>
      </c>
    </row>
    <row r="3340" spans="1:9" x14ac:dyDescent="0.15">
      <c r="A3340" s="6">
        <v>3339</v>
      </c>
      <c r="B3340" s="7" t="s">
        <v>7</v>
      </c>
      <c r="C3340" s="8">
        <v>1890</v>
      </c>
      <c r="D3340" s="9">
        <v>45449</v>
      </c>
      <c r="E3340" s="13">
        <f>+HYPERLINK("http://trademark.i-assist.jp/data/china/image_1890th/77424894.pdf",77424894)</f>
        <v>77424894</v>
      </c>
      <c r="F3340" s="7" t="s">
        <v>9228</v>
      </c>
      <c r="G3340" s="7" t="s">
        <v>5389</v>
      </c>
      <c r="H3340" s="7" t="s">
        <v>9229</v>
      </c>
      <c r="I3340" s="9">
        <v>45371</v>
      </c>
    </row>
    <row r="3341" spans="1:9" x14ac:dyDescent="0.15">
      <c r="A3341" s="6">
        <v>3340</v>
      </c>
      <c r="B3341" s="7" t="s">
        <v>7</v>
      </c>
      <c r="C3341" s="8">
        <v>1890</v>
      </c>
      <c r="D3341" s="9">
        <v>45449</v>
      </c>
      <c r="E3341" s="13">
        <f>+HYPERLINK("http://trademark.i-assist.jp/data/china/image_1890th/77425150.pdf",77425150)</f>
        <v>77425150</v>
      </c>
      <c r="F3341" s="7" t="s">
        <v>9231</v>
      </c>
      <c r="G3341" s="7" t="s">
        <v>9230</v>
      </c>
      <c r="H3341" s="7" t="s">
        <v>9232</v>
      </c>
      <c r="I3341" s="9">
        <v>45371</v>
      </c>
    </row>
    <row r="3342" spans="1:9" x14ac:dyDescent="0.15">
      <c r="A3342" s="6">
        <v>3341</v>
      </c>
      <c r="B3342" s="7" t="s">
        <v>7</v>
      </c>
      <c r="C3342" s="8">
        <v>1890</v>
      </c>
      <c r="D3342" s="9">
        <v>45449</v>
      </c>
      <c r="E3342" s="13">
        <f>+HYPERLINK("http://trademark.i-assist.jp/data/china/image_1890th/77425198.pdf",77425198)</f>
        <v>77425198</v>
      </c>
      <c r="F3342" s="7" t="s">
        <v>9233</v>
      </c>
      <c r="G3342" s="7" t="s">
        <v>6955</v>
      </c>
      <c r="H3342" s="7" t="s">
        <v>9234</v>
      </c>
      <c r="I3342" s="9">
        <v>45371</v>
      </c>
    </row>
    <row r="3343" spans="1:9" x14ac:dyDescent="0.15">
      <c r="A3343" s="6">
        <v>3342</v>
      </c>
      <c r="B3343" s="7" t="s">
        <v>7</v>
      </c>
      <c r="C3343" s="8">
        <v>1890</v>
      </c>
      <c r="D3343" s="9">
        <v>45449</v>
      </c>
      <c r="E3343" s="13">
        <f>+HYPERLINK("http://trademark.i-assist.jp/data/china/image_1890th/77426227.pdf",77426227)</f>
        <v>77426227</v>
      </c>
      <c r="F3343" s="7" t="s">
        <v>9236</v>
      </c>
      <c r="G3343" s="7" t="s">
        <v>9235</v>
      </c>
      <c r="H3343" s="7" t="s">
        <v>9237</v>
      </c>
      <c r="I3343" s="9">
        <v>45371</v>
      </c>
    </row>
    <row r="3344" spans="1:9" x14ac:dyDescent="0.15">
      <c r="A3344" s="6">
        <v>3343</v>
      </c>
      <c r="B3344" s="7" t="s">
        <v>7</v>
      </c>
      <c r="C3344" s="8">
        <v>1890</v>
      </c>
      <c r="D3344" s="9">
        <v>45449</v>
      </c>
      <c r="E3344" s="13">
        <f>+HYPERLINK("http://trademark.i-assist.jp/data/china/image_1890th/77426334.pdf",77426334)</f>
        <v>77426334</v>
      </c>
      <c r="F3344" s="7" t="s">
        <v>9239</v>
      </c>
      <c r="G3344" s="7" t="s">
        <v>9238</v>
      </c>
      <c r="H3344" s="7" t="s">
        <v>9240</v>
      </c>
      <c r="I3344" s="9">
        <v>45371</v>
      </c>
    </row>
    <row r="3345" spans="1:9" x14ac:dyDescent="0.15">
      <c r="A3345" s="6">
        <v>3344</v>
      </c>
      <c r="B3345" s="7" t="s">
        <v>7</v>
      </c>
      <c r="C3345" s="8">
        <v>1890</v>
      </c>
      <c r="D3345" s="9">
        <v>45449</v>
      </c>
      <c r="E3345" s="13">
        <f>+HYPERLINK("http://trademark.i-assist.jp/data/china/image_1890th/77426354.pdf",77426354)</f>
        <v>77426354</v>
      </c>
      <c r="F3345" s="7" t="s">
        <v>9242</v>
      </c>
      <c r="G3345" s="7" t="s">
        <v>9241</v>
      </c>
      <c r="H3345" s="7" t="s">
        <v>9243</v>
      </c>
      <c r="I3345" s="9">
        <v>45371</v>
      </c>
    </row>
    <row r="3346" spans="1:9" x14ac:dyDescent="0.15">
      <c r="A3346" s="6">
        <v>3345</v>
      </c>
      <c r="B3346" s="7" t="s">
        <v>7</v>
      </c>
      <c r="C3346" s="8">
        <v>1890</v>
      </c>
      <c r="D3346" s="9">
        <v>45449</v>
      </c>
      <c r="E3346" s="13">
        <f>+HYPERLINK("http://trademark.i-assist.jp/data/china/image_1890th/77426499.pdf",77426499)</f>
        <v>77426499</v>
      </c>
      <c r="F3346" s="7" t="s">
        <v>9244</v>
      </c>
      <c r="G3346" s="7" t="s">
        <v>2179</v>
      </c>
      <c r="H3346" s="7" t="s">
        <v>9245</v>
      </c>
      <c r="I3346" s="9">
        <v>45371</v>
      </c>
    </row>
    <row r="3347" spans="1:9" x14ac:dyDescent="0.15">
      <c r="A3347" s="6">
        <v>3346</v>
      </c>
      <c r="B3347" s="7" t="s">
        <v>7</v>
      </c>
      <c r="C3347" s="8">
        <v>1890</v>
      </c>
      <c r="D3347" s="9">
        <v>45449</v>
      </c>
      <c r="E3347" s="13">
        <f>+HYPERLINK("http://trademark.i-assist.jp/data/china/image_1890th/77426605.pdf",77426605)</f>
        <v>77426605</v>
      </c>
      <c r="F3347" s="7" t="s">
        <v>9247</v>
      </c>
      <c r="G3347" s="7" t="s">
        <v>9246</v>
      </c>
      <c r="H3347" s="7" t="s">
        <v>9248</v>
      </c>
      <c r="I3347" s="9">
        <v>45371</v>
      </c>
    </row>
    <row r="3348" spans="1:9" x14ac:dyDescent="0.15">
      <c r="A3348" s="6">
        <v>3347</v>
      </c>
      <c r="B3348" s="7" t="s">
        <v>7</v>
      </c>
      <c r="C3348" s="8">
        <v>1890</v>
      </c>
      <c r="D3348" s="9">
        <v>45449</v>
      </c>
      <c r="E3348" s="13">
        <f>+HYPERLINK("http://trademark.i-assist.jp/data/china/image_1890th/77426617.pdf",77426617)</f>
        <v>77426617</v>
      </c>
      <c r="F3348" s="7" t="s">
        <v>9250</v>
      </c>
      <c r="G3348" s="7" t="s">
        <v>9249</v>
      </c>
      <c r="H3348" s="7" t="s">
        <v>9251</v>
      </c>
      <c r="I3348" s="9">
        <v>45371</v>
      </c>
    </row>
    <row r="3349" spans="1:9" ht="27" x14ac:dyDescent="0.15">
      <c r="A3349" s="6">
        <v>3348</v>
      </c>
      <c r="B3349" s="7" t="s">
        <v>7</v>
      </c>
      <c r="C3349" s="8">
        <v>1890</v>
      </c>
      <c r="D3349" s="9">
        <v>45449</v>
      </c>
      <c r="E3349" s="13">
        <f>+HYPERLINK("http://trademark.i-assist.jp/data/china/image_1890th/77426636.pdf",77426636)</f>
        <v>77426636</v>
      </c>
      <c r="F3349" s="7" t="s">
        <v>9253</v>
      </c>
      <c r="G3349" s="7" t="s">
        <v>9252</v>
      </c>
      <c r="H3349" s="7" t="s">
        <v>9254</v>
      </c>
      <c r="I3349" s="9">
        <v>45371</v>
      </c>
    </row>
    <row r="3350" spans="1:9" x14ac:dyDescent="0.15">
      <c r="A3350" s="6">
        <v>3349</v>
      </c>
      <c r="B3350" s="7" t="s">
        <v>7</v>
      </c>
      <c r="C3350" s="8">
        <v>1890</v>
      </c>
      <c r="D3350" s="9">
        <v>45449</v>
      </c>
      <c r="E3350" s="13">
        <f>+HYPERLINK("http://trademark.i-assist.jp/data/china/image_1890th/77426642.pdf",77426642)</f>
        <v>77426642</v>
      </c>
      <c r="F3350" s="7" t="s">
        <v>9256</v>
      </c>
      <c r="G3350" s="7" t="s">
        <v>9255</v>
      </c>
      <c r="H3350" s="7" t="s">
        <v>9257</v>
      </c>
      <c r="I3350" s="9">
        <v>45371</v>
      </c>
    </row>
    <row r="3351" spans="1:9" x14ac:dyDescent="0.15">
      <c r="A3351" s="6">
        <v>3350</v>
      </c>
      <c r="B3351" s="7" t="s">
        <v>7</v>
      </c>
      <c r="C3351" s="8">
        <v>1890</v>
      </c>
      <c r="D3351" s="9">
        <v>45449</v>
      </c>
      <c r="E3351" s="13">
        <f>+HYPERLINK("http://trademark.i-assist.jp/data/china/image_1890th/77426694.pdf",77426694)</f>
        <v>77426694</v>
      </c>
      <c r="F3351" s="7" t="s">
        <v>9259</v>
      </c>
      <c r="G3351" s="7" t="s">
        <v>9258</v>
      </c>
      <c r="H3351" s="7" t="s">
        <v>9260</v>
      </c>
      <c r="I3351" s="9">
        <v>45371</v>
      </c>
    </row>
    <row r="3352" spans="1:9" ht="27" x14ac:dyDescent="0.15">
      <c r="A3352" s="6">
        <v>3351</v>
      </c>
      <c r="B3352" s="7" t="s">
        <v>7</v>
      </c>
      <c r="C3352" s="8">
        <v>1890</v>
      </c>
      <c r="D3352" s="9">
        <v>45449</v>
      </c>
      <c r="E3352" s="13">
        <f>+HYPERLINK("http://trademark.i-assist.jp/data/china/image_1890th/77426728.pdf",77426728)</f>
        <v>77426728</v>
      </c>
      <c r="F3352" s="7" t="s">
        <v>9261</v>
      </c>
      <c r="G3352" s="7" t="s">
        <v>9128</v>
      </c>
      <c r="H3352" s="7" t="s">
        <v>9262</v>
      </c>
      <c r="I3352" s="9">
        <v>45371</v>
      </c>
    </row>
    <row r="3353" spans="1:9" x14ac:dyDescent="0.15">
      <c r="A3353" s="6">
        <v>3352</v>
      </c>
      <c r="B3353" s="7" t="s">
        <v>7</v>
      </c>
      <c r="C3353" s="8">
        <v>1890</v>
      </c>
      <c r="D3353" s="9">
        <v>45449</v>
      </c>
      <c r="E3353" s="13">
        <f>+HYPERLINK("http://trademark.i-assist.jp/data/china/image_1890th/77426807.pdf",77426807)</f>
        <v>77426807</v>
      </c>
      <c r="F3353" s="7" t="s">
        <v>9264</v>
      </c>
      <c r="G3353" s="7" t="s">
        <v>9263</v>
      </c>
      <c r="H3353" s="7" t="s">
        <v>9265</v>
      </c>
      <c r="I3353" s="9">
        <v>45371</v>
      </c>
    </row>
    <row r="3354" spans="1:9" ht="27" x14ac:dyDescent="0.15">
      <c r="A3354" s="6">
        <v>3353</v>
      </c>
      <c r="B3354" s="7" t="s">
        <v>7</v>
      </c>
      <c r="C3354" s="8">
        <v>1890</v>
      </c>
      <c r="D3354" s="9">
        <v>45449</v>
      </c>
      <c r="E3354" s="13">
        <f>+HYPERLINK("http://trademark.i-assist.jp/data/china/image_1890th/77426874.pdf",77426874)</f>
        <v>77426874</v>
      </c>
      <c r="F3354" s="7" t="s">
        <v>9267</v>
      </c>
      <c r="G3354" s="7" t="s">
        <v>9266</v>
      </c>
      <c r="H3354" s="7" t="s">
        <v>9268</v>
      </c>
      <c r="I3354" s="9">
        <v>45371</v>
      </c>
    </row>
    <row r="3355" spans="1:9" ht="27" x14ac:dyDescent="0.15">
      <c r="A3355" s="6">
        <v>3354</v>
      </c>
      <c r="B3355" s="7" t="s">
        <v>7</v>
      </c>
      <c r="C3355" s="8">
        <v>1890</v>
      </c>
      <c r="D3355" s="9">
        <v>45449</v>
      </c>
      <c r="E3355" s="13">
        <f>+HYPERLINK("http://trademark.i-assist.jp/data/china/image_1890th/77427139.pdf",77427139)</f>
        <v>77427139</v>
      </c>
      <c r="F3355" s="7" t="s">
        <v>9269</v>
      </c>
      <c r="G3355" s="7" t="s">
        <v>9078</v>
      </c>
      <c r="H3355" s="7" t="s">
        <v>9270</v>
      </c>
      <c r="I3355" s="9">
        <v>45371</v>
      </c>
    </row>
    <row r="3356" spans="1:9" x14ac:dyDescent="0.15">
      <c r="A3356" s="6">
        <v>3355</v>
      </c>
      <c r="B3356" s="7" t="s">
        <v>7</v>
      </c>
      <c r="C3356" s="8">
        <v>1890</v>
      </c>
      <c r="D3356" s="9">
        <v>45449</v>
      </c>
      <c r="E3356" s="13">
        <f>+HYPERLINK("http://trademark.i-assist.jp/data/china/image_1890th/77427163.pdf",77427163)</f>
        <v>77427163</v>
      </c>
      <c r="F3356" s="7" t="s">
        <v>9272</v>
      </c>
      <c r="G3356" s="7" t="s">
        <v>9271</v>
      </c>
      <c r="H3356" s="7" t="s">
        <v>9273</v>
      </c>
      <c r="I3356" s="9">
        <v>45371</v>
      </c>
    </row>
    <row r="3357" spans="1:9" x14ac:dyDescent="0.15">
      <c r="A3357" s="6">
        <v>3356</v>
      </c>
      <c r="B3357" s="7" t="s">
        <v>7</v>
      </c>
      <c r="C3357" s="8">
        <v>1890</v>
      </c>
      <c r="D3357" s="9">
        <v>45449</v>
      </c>
      <c r="E3357" s="13">
        <f>+HYPERLINK("http://trademark.i-assist.jp/data/china/image_1890th/77427192.pdf",77427192)</f>
        <v>77427192</v>
      </c>
      <c r="F3357" s="7" t="s">
        <v>9274</v>
      </c>
      <c r="G3357" s="7" t="s">
        <v>1962</v>
      </c>
      <c r="H3357" s="7" t="s">
        <v>9275</v>
      </c>
      <c r="I3357" s="9">
        <v>45371</v>
      </c>
    </row>
    <row r="3358" spans="1:9" x14ac:dyDescent="0.15">
      <c r="A3358" s="6">
        <v>3357</v>
      </c>
      <c r="B3358" s="7" t="s">
        <v>7</v>
      </c>
      <c r="C3358" s="8">
        <v>1890</v>
      </c>
      <c r="D3358" s="9">
        <v>45449</v>
      </c>
      <c r="E3358" s="13">
        <f>+HYPERLINK("http://trademark.i-assist.jp/data/china/image_1890th/77427283.pdf",77427283)</f>
        <v>77427283</v>
      </c>
      <c r="F3358" s="7" t="s">
        <v>9276</v>
      </c>
      <c r="G3358" s="7" t="s">
        <v>9241</v>
      </c>
      <c r="H3358" s="7" t="s">
        <v>9277</v>
      </c>
      <c r="I3358" s="9">
        <v>45371</v>
      </c>
    </row>
    <row r="3359" spans="1:9" ht="27" x14ac:dyDescent="0.15">
      <c r="A3359" s="6">
        <v>3358</v>
      </c>
      <c r="B3359" s="7" t="s">
        <v>7</v>
      </c>
      <c r="C3359" s="8">
        <v>1890</v>
      </c>
      <c r="D3359" s="9">
        <v>45449</v>
      </c>
      <c r="E3359" s="13">
        <f>+HYPERLINK("http://trademark.i-assist.jp/data/china/image_1890th/77427312.pdf",77427312)</f>
        <v>77427312</v>
      </c>
      <c r="F3359" s="7" t="s">
        <v>9279</v>
      </c>
      <c r="G3359" s="7" t="s">
        <v>9278</v>
      </c>
      <c r="H3359" s="7" t="s">
        <v>9280</v>
      </c>
      <c r="I3359" s="9">
        <v>45371</v>
      </c>
    </row>
    <row r="3360" spans="1:9" x14ac:dyDescent="0.15">
      <c r="A3360" s="6">
        <v>3359</v>
      </c>
      <c r="B3360" s="7" t="s">
        <v>7</v>
      </c>
      <c r="C3360" s="8">
        <v>1890</v>
      </c>
      <c r="D3360" s="9">
        <v>45449</v>
      </c>
      <c r="E3360" s="13">
        <f>+HYPERLINK("http://trademark.i-assist.jp/data/china/image_1890th/77427329.pdf",77427329)</f>
        <v>77427329</v>
      </c>
      <c r="F3360" s="7" t="s">
        <v>9281</v>
      </c>
      <c r="G3360" s="7" t="s">
        <v>9258</v>
      </c>
      <c r="H3360" s="7" t="s">
        <v>9282</v>
      </c>
      <c r="I3360" s="9">
        <v>45371</v>
      </c>
    </row>
    <row r="3361" spans="1:9" x14ac:dyDescent="0.15">
      <c r="A3361" s="6">
        <v>3360</v>
      </c>
      <c r="B3361" s="7" t="s">
        <v>7</v>
      </c>
      <c r="C3361" s="8">
        <v>1890</v>
      </c>
      <c r="D3361" s="9">
        <v>45449</v>
      </c>
      <c r="E3361" s="13">
        <f>+HYPERLINK("http://trademark.i-assist.jp/data/china/image_1890th/77427346.pdf",77427346)</f>
        <v>77427346</v>
      </c>
      <c r="F3361" s="7" t="s">
        <v>9284</v>
      </c>
      <c r="G3361" s="7" t="s">
        <v>9283</v>
      </c>
      <c r="H3361" s="7" t="s">
        <v>9285</v>
      </c>
      <c r="I3361" s="9">
        <v>45371</v>
      </c>
    </row>
    <row r="3362" spans="1:9" x14ac:dyDescent="0.15">
      <c r="A3362" s="6">
        <v>3361</v>
      </c>
      <c r="B3362" s="7" t="s">
        <v>7</v>
      </c>
      <c r="C3362" s="8">
        <v>1890</v>
      </c>
      <c r="D3362" s="9">
        <v>45449</v>
      </c>
      <c r="E3362" s="13">
        <f>+HYPERLINK("http://trademark.i-assist.jp/data/china/image_1890th/77427385.pdf",77427385)</f>
        <v>77427385</v>
      </c>
      <c r="F3362" s="7" t="s">
        <v>9287</v>
      </c>
      <c r="G3362" s="7" t="s">
        <v>9286</v>
      </c>
      <c r="H3362" s="7" t="s">
        <v>9288</v>
      </c>
      <c r="I3362" s="9">
        <v>45371</v>
      </c>
    </row>
    <row r="3363" spans="1:9" x14ac:dyDescent="0.15">
      <c r="A3363" s="6">
        <v>3362</v>
      </c>
      <c r="B3363" s="7" t="s">
        <v>7</v>
      </c>
      <c r="C3363" s="8">
        <v>1890</v>
      </c>
      <c r="D3363" s="9">
        <v>45449</v>
      </c>
      <c r="E3363" s="13">
        <f>+HYPERLINK("http://trademark.i-assist.jp/data/china/image_1890th/77429314.pdf",77429314)</f>
        <v>77429314</v>
      </c>
      <c r="F3363" s="7" t="s">
        <v>9289</v>
      </c>
      <c r="G3363" s="7" t="s">
        <v>5447</v>
      </c>
      <c r="H3363" s="7" t="s">
        <v>9290</v>
      </c>
      <c r="I3363" s="9">
        <v>45371</v>
      </c>
    </row>
    <row r="3364" spans="1:9" x14ac:dyDescent="0.15">
      <c r="A3364" s="6">
        <v>3363</v>
      </c>
      <c r="B3364" s="7" t="s">
        <v>7</v>
      </c>
      <c r="C3364" s="8">
        <v>1890</v>
      </c>
      <c r="D3364" s="9">
        <v>45449</v>
      </c>
      <c r="E3364" s="13">
        <f>+HYPERLINK("http://trademark.i-assist.jp/data/china/image_1890th/77429356.pdf",77429356)</f>
        <v>77429356</v>
      </c>
      <c r="F3364" s="7" t="s">
        <v>9292</v>
      </c>
      <c r="G3364" s="7" t="s">
        <v>9291</v>
      </c>
      <c r="H3364" s="7" t="s">
        <v>9293</v>
      </c>
      <c r="I3364" s="9">
        <v>45371</v>
      </c>
    </row>
    <row r="3365" spans="1:9" ht="27" x14ac:dyDescent="0.15">
      <c r="A3365" s="6">
        <v>3364</v>
      </c>
      <c r="B3365" s="7" t="s">
        <v>7</v>
      </c>
      <c r="C3365" s="8">
        <v>1890</v>
      </c>
      <c r="D3365" s="9">
        <v>45449</v>
      </c>
      <c r="E3365" s="13">
        <f>+HYPERLINK("http://trademark.i-assist.jp/data/china/image_1890th/77429360.pdf",77429360)</f>
        <v>77429360</v>
      </c>
      <c r="F3365" s="7" t="s">
        <v>9295</v>
      </c>
      <c r="G3365" s="7" t="s">
        <v>9294</v>
      </c>
      <c r="H3365" s="7" t="s">
        <v>9296</v>
      </c>
      <c r="I3365" s="9">
        <v>45371</v>
      </c>
    </row>
    <row r="3366" spans="1:9" x14ac:dyDescent="0.15">
      <c r="A3366" s="6">
        <v>3365</v>
      </c>
      <c r="B3366" s="7" t="s">
        <v>7</v>
      </c>
      <c r="C3366" s="8">
        <v>1890</v>
      </c>
      <c r="D3366" s="9">
        <v>45449</v>
      </c>
      <c r="E3366" s="13">
        <f>+HYPERLINK("http://trademark.i-assist.jp/data/china/image_1890th/77429365.pdf",77429365)</f>
        <v>77429365</v>
      </c>
      <c r="F3366" s="7" t="s">
        <v>9297</v>
      </c>
      <c r="G3366" s="7" t="s">
        <v>5365</v>
      </c>
      <c r="H3366" s="7" t="s">
        <v>9298</v>
      </c>
      <c r="I3366" s="9">
        <v>45371</v>
      </c>
    </row>
    <row r="3367" spans="1:9" ht="27" x14ac:dyDescent="0.15">
      <c r="A3367" s="6">
        <v>3366</v>
      </c>
      <c r="B3367" s="7" t="s">
        <v>7</v>
      </c>
      <c r="C3367" s="8">
        <v>1890</v>
      </c>
      <c r="D3367" s="9">
        <v>45449</v>
      </c>
      <c r="E3367" s="13">
        <f>+HYPERLINK("http://trademark.i-assist.jp/data/china/image_1890th/77429434.pdf",77429434)</f>
        <v>77429434</v>
      </c>
      <c r="F3367" s="7" t="s">
        <v>9300</v>
      </c>
      <c r="G3367" s="7" t="s">
        <v>9299</v>
      </c>
      <c r="H3367" s="7" t="s">
        <v>9301</v>
      </c>
      <c r="I3367" s="9">
        <v>45371</v>
      </c>
    </row>
    <row r="3368" spans="1:9" x14ac:dyDescent="0.15">
      <c r="A3368" s="6">
        <v>3367</v>
      </c>
      <c r="B3368" s="7" t="s">
        <v>7</v>
      </c>
      <c r="C3368" s="8">
        <v>1890</v>
      </c>
      <c r="D3368" s="9">
        <v>45449</v>
      </c>
      <c r="E3368" s="13">
        <f>+HYPERLINK("http://trademark.i-assist.jp/data/china/image_1890th/77429801.pdf",77429801)</f>
        <v>77429801</v>
      </c>
      <c r="F3368" s="7" t="s">
        <v>9302</v>
      </c>
      <c r="G3368" s="7" t="s">
        <v>860</v>
      </c>
      <c r="H3368" s="7" t="s">
        <v>9303</v>
      </c>
      <c r="I3368" s="9">
        <v>45371</v>
      </c>
    </row>
    <row r="3369" spans="1:9" x14ac:dyDescent="0.15">
      <c r="A3369" s="6">
        <v>3368</v>
      </c>
      <c r="B3369" s="7" t="s">
        <v>7</v>
      </c>
      <c r="C3369" s="8">
        <v>1890</v>
      </c>
      <c r="D3369" s="9">
        <v>45449</v>
      </c>
      <c r="E3369" s="13">
        <f>+HYPERLINK("http://trademark.i-assist.jp/data/china/image_1890th/77429888.pdf",77429888)</f>
        <v>77429888</v>
      </c>
      <c r="F3369" s="7" t="s">
        <v>9305</v>
      </c>
      <c r="G3369" s="7" t="s">
        <v>9304</v>
      </c>
      <c r="H3369" s="7" t="s">
        <v>9306</v>
      </c>
      <c r="I3369" s="9">
        <v>45371</v>
      </c>
    </row>
    <row r="3370" spans="1:9" ht="27" x14ac:dyDescent="0.15">
      <c r="A3370" s="6">
        <v>3369</v>
      </c>
      <c r="B3370" s="7" t="s">
        <v>7</v>
      </c>
      <c r="C3370" s="8">
        <v>1890</v>
      </c>
      <c r="D3370" s="9">
        <v>45449</v>
      </c>
      <c r="E3370" s="13">
        <f>+HYPERLINK("http://trademark.i-assist.jp/data/china/image_1890th/77429892.pdf",77429892)</f>
        <v>77429892</v>
      </c>
      <c r="F3370" s="7" t="s">
        <v>9307</v>
      </c>
      <c r="G3370" s="7" t="s">
        <v>3444</v>
      </c>
      <c r="H3370" s="7" t="s">
        <v>9308</v>
      </c>
      <c r="I3370" s="9">
        <v>45371</v>
      </c>
    </row>
    <row r="3371" spans="1:9" x14ac:dyDescent="0.15">
      <c r="A3371" s="6">
        <v>3370</v>
      </c>
      <c r="B3371" s="7" t="s">
        <v>7</v>
      </c>
      <c r="C3371" s="8">
        <v>1890</v>
      </c>
      <c r="D3371" s="9">
        <v>45449</v>
      </c>
      <c r="E3371" s="13">
        <f>+HYPERLINK("http://trademark.i-assist.jp/data/china/image_1890th/77429959.pdf",77429959)</f>
        <v>77429959</v>
      </c>
      <c r="F3371" s="7" t="s">
        <v>9310</v>
      </c>
      <c r="G3371" s="7" t="s">
        <v>9309</v>
      </c>
      <c r="H3371" s="7" t="s">
        <v>9311</v>
      </c>
      <c r="I3371" s="9">
        <v>45371</v>
      </c>
    </row>
    <row r="3372" spans="1:9" x14ac:dyDescent="0.15">
      <c r="A3372" s="6">
        <v>3371</v>
      </c>
      <c r="B3372" s="7" t="s">
        <v>7</v>
      </c>
      <c r="C3372" s="8">
        <v>1890</v>
      </c>
      <c r="D3372" s="9">
        <v>45449</v>
      </c>
      <c r="E3372" s="13">
        <f>+HYPERLINK("http://trademark.i-assist.jp/data/china/image_1890th/77430174.pdf",77430174)</f>
        <v>77430174</v>
      </c>
      <c r="F3372" s="7" t="s">
        <v>9312</v>
      </c>
      <c r="G3372" s="7" t="s">
        <v>9241</v>
      </c>
      <c r="H3372" s="7" t="s">
        <v>9313</v>
      </c>
      <c r="I3372" s="9">
        <v>45371</v>
      </c>
    </row>
    <row r="3373" spans="1:9" ht="27" x14ac:dyDescent="0.15">
      <c r="A3373" s="6">
        <v>3372</v>
      </c>
      <c r="B3373" s="7" t="s">
        <v>7</v>
      </c>
      <c r="C3373" s="8">
        <v>1890</v>
      </c>
      <c r="D3373" s="9">
        <v>45449</v>
      </c>
      <c r="E3373" s="13">
        <f>+HYPERLINK("http://trademark.i-assist.jp/data/china/image_1890th/77430332.pdf",77430332)</f>
        <v>77430332</v>
      </c>
      <c r="F3373" s="7" t="s">
        <v>9315</v>
      </c>
      <c r="G3373" s="7" t="s">
        <v>9314</v>
      </c>
      <c r="H3373" s="7" t="s">
        <v>9316</v>
      </c>
      <c r="I3373" s="9">
        <v>45371</v>
      </c>
    </row>
    <row r="3374" spans="1:9" x14ac:dyDescent="0.15">
      <c r="A3374" s="6">
        <v>3373</v>
      </c>
      <c r="B3374" s="7" t="s">
        <v>7</v>
      </c>
      <c r="C3374" s="8">
        <v>1890</v>
      </c>
      <c r="D3374" s="9">
        <v>45449</v>
      </c>
      <c r="E3374" s="13">
        <f>+HYPERLINK("http://trademark.i-assist.jp/data/china/image_1890th/77430403.pdf",77430403)</f>
        <v>77430403</v>
      </c>
      <c r="F3374" s="7" t="s">
        <v>9318</v>
      </c>
      <c r="G3374" s="7" t="s">
        <v>9317</v>
      </c>
      <c r="H3374" s="7" t="s">
        <v>9319</v>
      </c>
      <c r="I3374" s="9">
        <v>45371</v>
      </c>
    </row>
    <row r="3375" spans="1:9" x14ac:dyDescent="0.15">
      <c r="A3375" s="6">
        <v>3374</v>
      </c>
      <c r="B3375" s="7" t="s">
        <v>7</v>
      </c>
      <c r="C3375" s="8">
        <v>1890</v>
      </c>
      <c r="D3375" s="9">
        <v>45449</v>
      </c>
      <c r="E3375" s="13">
        <f>+HYPERLINK("http://trademark.i-assist.jp/data/china/image_1890th/77430676.pdf",77430676)</f>
        <v>77430676</v>
      </c>
      <c r="F3375" s="7" t="s">
        <v>9320</v>
      </c>
      <c r="G3375" s="7" t="s">
        <v>3444</v>
      </c>
      <c r="H3375" s="7" t="s">
        <v>9321</v>
      </c>
      <c r="I3375" s="9">
        <v>45371</v>
      </c>
    </row>
    <row r="3376" spans="1:9" x14ac:dyDescent="0.15">
      <c r="A3376" s="6">
        <v>3375</v>
      </c>
      <c r="B3376" s="7" t="s">
        <v>7</v>
      </c>
      <c r="C3376" s="8">
        <v>1890</v>
      </c>
      <c r="D3376" s="9">
        <v>45449</v>
      </c>
      <c r="E3376" s="13">
        <f>+HYPERLINK("http://trademark.i-assist.jp/data/china/image_1890th/77431042.pdf",77431042)</f>
        <v>77431042</v>
      </c>
      <c r="F3376" s="7" t="s">
        <v>9323</v>
      </c>
      <c r="G3376" s="7" t="s">
        <v>9322</v>
      </c>
      <c r="H3376" s="7" t="s">
        <v>9324</v>
      </c>
      <c r="I3376" s="9">
        <v>45371</v>
      </c>
    </row>
    <row r="3377" spans="1:9" x14ac:dyDescent="0.15">
      <c r="A3377" s="6">
        <v>3376</v>
      </c>
      <c r="B3377" s="7" t="s">
        <v>7</v>
      </c>
      <c r="C3377" s="8">
        <v>1890</v>
      </c>
      <c r="D3377" s="9">
        <v>45449</v>
      </c>
      <c r="E3377" s="13">
        <f>+HYPERLINK("http://trademark.i-assist.jp/data/china/image_1890th/77431166.pdf",77431166)</f>
        <v>77431166</v>
      </c>
      <c r="F3377" s="7" t="s">
        <v>9326</v>
      </c>
      <c r="G3377" s="7" t="s">
        <v>9325</v>
      </c>
      <c r="H3377" s="7" t="s">
        <v>9327</v>
      </c>
      <c r="I3377" s="9">
        <v>45371</v>
      </c>
    </row>
    <row r="3378" spans="1:9" x14ac:dyDescent="0.15">
      <c r="A3378" s="6">
        <v>3377</v>
      </c>
      <c r="B3378" s="7" t="s">
        <v>7</v>
      </c>
      <c r="C3378" s="8">
        <v>1890</v>
      </c>
      <c r="D3378" s="9">
        <v>45449</v>
      </c>
      <c r="E3378" s="13">
        <f>+HYPERLINK("http://trademark.i-assist.jp/data/china/image_1890th/77431288.pdf",77431288)</f>
        <v>77431288</v>
      </c>
      <c r="F3378" s="7" t="s">
        <v>9328</v>
      </c>
      <c r="G3378" s="7" t="s">
        <v>9209</v>
      </c>
      <c r="H3378" s="7" t="s">
        <v>9329</v>
      </c>
      <c r="I3378" s="9">
        <v>45371</v>
      </c>
    </row>
    <row r="3379" spans="1:9" x14ac:dyDescent="0.15">
      <c r="A3379" s="6">
        <v>3378</v>
      </c>
      <c r="B3379" s="7" t="s">
        <v>7</v>
      </c>
      <c r="C3379" s="8">
        <v>1890</v>
      </c>
      <c r="D3379" s="9">
        <v>45449</v>
      </c>
      <c r="E3379" s="13">
        <f>+HYPERLINK("http://trademark.i-assist.jp/data/china/image_1890th/77431307.pdf",77431307)</f>
        <v>77431307</v>
      </c>
      <c r="F3379" s="7" t="s">
        <v>9330</v>
      </c>
      <c r="G3379" s="7" t="s">
        <v>9157</v>
      </c>
      <c r="H3379" s="7" t="s">
        <v>9331</v>
      </c>
      <c r="I3379" s="9">
        <v>45371</v>
      </c>
    </row>
    <row r="3380" spans="1:9" x14ac:dyDescent="0.15">
      <c r="A3380" s="6">
        <v>3379</v>
      </c>
      <c r="B3380" s="7" t="s">
        <v>7</v>
      </c>
      <c r="C3380" s="8">
        <v>1890</v>
      </c>
      <c r="D3380" s="9">
        <v>45449</v>
      </c>
      <c r="E3380" s="13">
        <f>+HYPERLINK("http://trademark.i-assist.jp/data/china/image_1890th/77431439.pdf",77431439)</f>
        <v>77431439</v>
      </c>
      <c r="F3380" s="7" t="s">
        <v>9333</v>
      </c>
      <c r="G3380" s="7" t="s">
        <v>9332</v>
      </c>
      <c r="H3380" s="7" t="s">
        <v>9334</v>
      </c>
      <c r="I3380" s="9">
        <v>45371</v>
      </c>
    </row>
    <row r="3381" spans="1:9" x14ac:dyDescent="0.15">
      <c r="A3381" s="6">
        <v>3380</v>
      </c>
      <c r="B3381" s="7" t="s">
        <v>7</v>
      </c>
      <c r="C3381" s="8">
        <v>1890</v>
      </c>
      <c r="D3381" s="9">
        <v>45449</v>
      </c>
      <c r="E3381" s="13">
        <f>+HYPERLINK("http://trademark.i-assist.jp/data/china/image_1890th/77431440.pdf",77431440)</f>
        <v>77431440</v>
      </c>
      <c r="F3381" s="7" t="s">
        <v>9336</v>
      </c>
      <c r="G3381" s="7" t="s">
        <v>9335</v>
      </c>
      <c r="H3381" s="7" t="s">
        <v>9337</v>
      </c>
      <c r="I3381" s="9">
        <v>45371</v>
      </c>
    </row>
    <row r="3382" spans="1:9" x14ac:dyDescent="0.15">
      <c r="A3382" s="6">
        <v>3381</v>
      </c>
      <c r="B3382" s="7" t="s">
        <v>7</v>
      </c>
      <c r="C3382" s="8">
        <v>1890</v>
      </c>
      <c r="D3382" s="9">
        <v>45449</v>
      </c>
      <c r="E3382" s="13">
        <f>+HYPERLINK("http://trademark.i-assist.jp/data/china/image_1890th/77431574.pdf",77431574)</f>
        <v>77431574</v>
      </c>
      <c r="F3382" s="7" t="s">
        <v>9339</v>
      </c>
      <c r="G3382" s="7" t="s">
        <v>9338</v>
      </c>
      <c r="H3382" s="7" t="s">
        <v>9340</v>
      </c>
      <c r="I3382" s="9">
        <v>45371</v>
      </c>
    </row>
    <row r="3383" spans="1:9" ht="27" x14ac:dyDescent="0.15">
      <c r="A3383" s="6">
        <v>3382</v>
      </c>
      <c r="B3383" s="7" t="s">
        <v>7</v>
      </c>
      <c r="C3383" s="8">
        <v>1890</v>
      </c>
      <c r="D3383" s="9">
        <v>45449</v>
      </c>
      <c r="E3383" s="13">
        <f>+HYPERLINK("http://trademark.i-assist.jp/data/china/image_1890th/77431632.pdf",77431632)</f>
        <v>77431632</v>
      </c>
      <c r="F3383" s="7" t="s">
        <v>9341</v>
      </c>
      <c r="G3383" s="7" t="s">
        <v>837</v>
      </c>
      <c r="H3383" s="7" t="s">
        <v>9342</v>
      </c>
      <c r="I3383" s="9">
        <v>45371</v>
      </c>
    </row>
    <row r="3384" spans="1:9" x14ac:dyDescent="0.15">
      <c r="A3384" s="6">
        <v>3383</v>
      </c>
      <c r="B3384" s="7" t="s">
        <v>7</v>
      </c>
      <c r="C3384" s="8">
        <v>1890</v>
      </c>
      <c r="D3384" s="9">
        <v>45449</v>
      </c>
      <c r="E3384" s="13">
        <f>+HYPERLINK("http://trademark.i-assist.jp/data/china/image_1890th/77431761.pdf",77431761)</f>
        <v>77431761</v>
      </c>
      <c r="F3384" s="7" t="s">
        <v>9343</v>
      </c>
      <c r="G3384" s="7" t="s">
        <v>8402</v>
      </c>
      <c r="H3384" s="7" t="s">
        <v>9344</v>
      </c>
      <c r="I3384" s="9">
        <v>45371</v>
      </c>
    </row>
    <row r="3385" spans="1:9" x14ac:dyDescent="0.15">
      <c r="A3385" s="6">
        <v>3384</v>
      </c>
      <c r="B3385" s="7" t="s">
        <v>7</v>
      </c>
      <c r="C3385" s="8">
        <v>1890</v>
      </c>
      <c r="D3385" s="9">
        <v>45449</v>
      </c>
      <c r="E3385" s="13">
        <f>+HYPERLINK("http://trademark.i-assist.jp/data/china/image_1890th/77431795.pdf",77431795)</f>
        <v>77431795</v>
      </c>
      <c r="F3385" s="7" t="s">
        <v>9345</v>
      </c>
      <c r="G3385" s="7" t="s">
        <v>1483</v>
      </c>
      <c r="H3385" s="7" t="s">
        <v>9346</v>
      </c>
      <c r="I3385" s="9">
        <v>45371</v>
      </c>
    </row>
    <row r="3386" spans="1:9" ht="27" x14ac:dyDescent="0.15">
      <c r="A3386" s="6">
        <v>3385</v>
      </c>
      <c r="B3386" s="7" t="s">
        <v>7</v>
      </c>
      <c r="C3386" s="8">
        <v>1890</v>
      </c>
      <c r="D3386" s="9">
        <v>45449</v>
      </c>
      <c r="E3386" s="13">
        <f>+HYPERLINK("http://trademark.i-assist.jp/data/china/image_1890th/77431912.pdf",77431912)</f>
        <v>77431912</v>
      </c>
      <c r="F3386" s="7" t="s">
        <v>9348</v>
      </c>
      <c r="G3386" s="7" t="s">
        <v>9347</v>
      </c>
      <c r="H3386" s="7" t="s">
        <v>9349</v>
      </c>
      <c r="I3386" s="9">
        <v>45371</v>
      </c>
    </row>
    <row r="3387" spans="1:9" x14ac:dyDescent="0.15">
      <c r="A3387" s="6">
        <v>3386</v>
      </c>
      <c r="B3387" s="7" t="s">
        <v>7</v>
      </c>
      <c r="C3387" s="8">
        <v>1890</v>
      </c>
      <c r="D3387" s="9">
        <v>45449</v>
      </c>
      <c r="E3387" s="13">
        <f>+HYPERLINK("http://trademark.i-assist.jp/data/china/image_1890th/77431998.pdf",77431998)</f>
        <v>77431998</v>
      </c>
      <c r="F3387" s="7" t="s">
        <v>9351</v>
      </c>
      <c r="G3387" s="7" t="s">
        <v>9350</v>
      </c>
      <c r="H3387" s="7" t="s">
        <v>9352</v>
      </c>
      <c r="I3387" s="9">
        <v>45371</v>
      </c>
    </row>
    <row r="3388" spans="1:9" x14ac:dyDescent="0.15">
      <c r="A3388" s="6">
        <v>3387</v>
      </c>
      <c r="B3388" s="7" t="s">
        <v>7</v>
      </c>
      <c r="C3388" s="8">
        <v>1890</v>
      </c>
      <c r="D3388" s="9">
        <v>45449</v>
      </c>
      <c r="E3388" s="13">
        <f>+HYPERLINK("http://trademark.i-assist.jp/data/china/image_1890th/77432090.pdf",77432090)</f>
        <v>77432090</v>
      </c>
      <c r="F3388" s="7" t="s">
        <v>9354</v>
      </c>
      <c r="G3388" s="7" t="s">
        <v>9353</v>
      </c>
      <c r="H3388" s="7" t="s">
        <v>9355</v>
      </c>
      <c r="I3388" s="9">
        <v>45371</v>
      </c>
    </row>
    <row r="3389" spans="1:9" x14ac:dyDescent="0.15">
      <c r="A3389" s="6">
        <v>3388</v>
      </c>
      <c r="B3389" s="7" t="s">
        <v>7</v>
      </c>
      <c r="C3389" s="8">
        <v>1890</v>
      </c>
      <c r="D3389" s="9">
        <v>45449</v>
      </c>
      <c r="E3389" s="13">
        <f>+HYPERLINK("http://trademark.i-assist.jp/data/china/image_1890th/77432108.pdf",77432108)</f>
        <v>77432108</v>
      </c>
      <c r="F3389" s="7" t="s">
        <v>9356</v>
      </c>
      <c r="G3389" s="7" t="s">
        <v>9168</v>
      </c>
      <c r="H3389" s="7" t="s">
        <v>9357</v>
      </c>
      <c r="I3389" s="9">
        <v>45371</v>
      </c>
    </row>
    <row r="3390" spans="1:9" x14ac:dyDescent="0.15">
      <c r="A3390" s="6">
        <v>3389</v>
      </c>
      <c r="B3390" s="7" t="s">
        <v>7</v>
      </c>
      <c r="C3390" s="8">
        <v>1890</v>
      </c>
      <c r="D3390" s="9">
        <v>45449</v>
      </c>
      <c r="E3390" s="13">
        <f>+HYPERLINK("http://trademark.i-assist.jp/data/china/image_1890th/77432150.pdf",77432150)</f>
        <v>77432150</v>
      </c>
      <c r="F3390" s="7" t="s">
        <v>9359</v>
      </c>
      <c r="G3390" s="7" t="s">
        <v>9358</v>
      </c>
      <c r="H3390" s="7" t="s">
        <v>2101</v>
      </c>
      <c r="I3390" s="9">
        <v>45371</v>
      </c>
    </row>
    <row r="3391" spans="1:9" x14ac:dyDescent="0.15">
      <c r="A3391" s="6">
        <v>3390</v>
      </c>
      <c r="B3391" s="7" t="s">
        <v>7</v>
      </c>
      <c r="C3391" s="8">
        <v>1890</v>
      </c>
      <c r="D3391" s="9">
        <v>45449</v>
      </c>
      <c r="E3391" s="13">
        <f>+HYPERLINK("http://trademark.i-assist.jp/data/china/image_1890th/77432177.pdf",77432177)</f>
        <v>77432177</v>
      </c>
      <c r="F3391" s="7" t="s">
        <v>9360</v>
      </c>
      <c r="G3391" s="7" t="s">
        <v>9338</v>
      </c>
      <c r="H3391" s="7" t="s">
        <v>9361</v>
      </c>
      <c r="I3391" s="9">
        <v>45371</v>
      </c>
    </row>
    <row r="3392" spans="1:9" x14ac:dyDescent="0.15">
      <c r="A3392" s="6">
        <v>3391</v>
      </c>
      <c r="B3392" s="7" t="s">
        <v>7</v>
      </c>
      <c r="C3392" s="8">
        <v>1890</v>
      </c>
      <c r="D3392" s="9">
        <v>45449</v>
      </c>
      <c r="E3392" s="13">
        <f>+HYPERLINK("http://trademark.i-assist.jp/data/china/image_1890th/77432242.pdf",77432242)</f>
        <v>77432242</v>
      </c>
      <c r="F3392" s="7" t="s">
        <v>9363</v>
      </c>
      <c r="G3392" s="7" t="s">
        <v>9362</v>
      </c>
      <c r="H3392" s="7" t="s">
        <v>9364</v>
      </c>
      <c r="I3392" s="9">
        <v>45371</v>
      </c>
    </row>
    <row r="3393" spans="1:9" x14ac:dyDescent="0.15">
      <c r="A3393" s="6">
        <v>3392</v>
      </c>
      <c r="B3393" s="7" t="s">
        <v>7</v>
      </c>
      <c r="C3393" s="8">
        <v>1890</v>
      </c>
      <c r="D3393" s="9">
        <v>45449</v>
      </c>
      <c r="E3393" s="13">
        <f>+HYPERLINK("http://trademark.i-assist.jp/data/china/image_1890th/77432344.pdf",77432344)</f>
        <v>77432344</v>
      </c>
      <c r="F3393" s="7" t="s">
        <v>9366</v>
      </c>
      <c r="G3393" s="7" t="s">
        <v>9365</v>
      </c>
      <c r="H3393" s="7" t="s">
        <v>9367</v>
      </c>
      <c r="I3393" s="9">
        <v>45371</v>
      </c>
    </row>
    <row r="3394" spans="1:9" x14ac:dyDescent="0.15">
      <c r="A3394" s="6">
        <v>3393</v>
      </c>
      <c r="B3394" s="7" t="s">
        <v>7</v>
      </c>
      <c r="C3394" s="8">
        <v>1890</v>
      </c>
      <c r="D3394" s="9">
        <v>45449</v>
      </c>
      <c r="E3394" s="13">
        <f>+HYPERLINK("http://trademark.i-assist.jp/data/china/image_1890th/77432401.pdf",77432401)</f>
        <v>77432401</v>
      </c>
      <c r="F3394" s="7" t="s">
        <v>183</v>
      </c>
      <c r="G3394" s="7" t="s">
        <v>840</v>
      </c>
      <c r="H3394" s="7" t="s">
        <v>9368</v>
      </c>
      <c r="I3394" s="9">
        <v>45371</v>
      </c>
    </row>
    <row r="3395" spans="1:9" x14ac:dyDescent="0.15">
      <c r="A3395" s="6">
        <v>3394</v>
      </c>
      <c r="B3395" s="7" t="s">
        <v>7</v>
      </c>
      <c r="C3395" s="8">
        <v>1890</v>
      </c>
      <c r="D3395" s="9">
        <v>45449</v>
      </c>
      <c r="E3395" s="13">
        <f>+HYPERLINK("http://trademark.i-assist.jp/data/china/image_1890th/77432434.pdf",77432434)</f>
        <v>77432434</v>
      </c>
      <c r="F3395" s="7" t="s">
        <v>9369</v>
      </c>
      <c r="G3395" s="7" t="s">
        <v>5389</v>
      </c>
      <c r="H3395" s="7" t="s">
        <v>9370</v>
      </c>
      <c r="I3395" s="9">
        <v>45371</v>
      </c>
    </row>
    <row r="3396" spans="1:9" x14ac:dyDescent="0.15">
      <c r="A3396" s="6">
        <v>3395</v>
      </c>
      <c r="B3396" s="7" t="s">
        <v>7</v>
      </c>
      <c r="C3396" s="8">
        <v>1890</v>
      </c>
      <c r="D3396" s="9">
        <v>45449</v>
      </c>
      <c r="E3396" s="13">
        <f>+HYPERLINK("http://trademark.i-assist.jp/data/china/image_1890th/77437114.pdf",77437114)</f>
        <v>77437114</v>
      </c>
      <c r="F3396" s="7" t="s">
        <v>9372</v>
      </c>
      <c r="G3396" s="7" t="s">
        <v>9371</v>
      </c>
      <c r="H3396" s="7" t="s">
        <v>9373</v>
      </c>
      <c r="I3396" s="9">
        <v>45371</v>
      </c>
    </row>
    <row r="3397" spans="1:9" x14ac:dyDescent="0.15">
      <c r="A3397" s="6">
        <v>3396</v>
      </c>
      <c r="B3397" s="7" t="s">
        <v>7</v>
      </c>
      <c r="C3397" s="8">
        <v>1890</v>
      </c>
      <c r="D3397" s="9">
        <v>45449</v>
      </c>
      <c r="E3397" s="13">
        <f>+HYPERLINK("http://trademark.i-assist.jp/data/china/image_1890th/77437269.pdf",77437269)</f>
        <v>77437269</v>
      </c>
      <c r="F3397" s="7" t="s">
        <v>9375</v>
      </c>
      <c r="G3397" s="7" t="s">
        <v>9374</v>
      </c>
      <c r="H3397" s="7" t="s">
        <v>9376</v>
      </c>
      <c r="I3397" s="9">
        <v>45371</v>
      </c>
    </row>
    <row r="3398" spans="1:9" x14ac:dyDescent="0.15">
      <c r="A3398" s="6">
        <v>3397</v>
      </c>
      <c r="B3398" s="7" t="s">
        <v>7</v>
      </c>
      <c r="C3398" s="8">
        <v>1890</v>
      </c>
      <c r="D3398" s="9">
        <v>45449</v>
      </c>
      <c r="E3398" s="13">
        <f>+HYPERLINK("http://trademark.i-assist.jp/data/china/image_1890th/77437496.pdf",77437496)</f>
        <v>77437496</v>
      </c>
      <c r="F3398" s="7" t="s">
        <v>9378</v>
      </c>
      <c r="G3398" s="7" t="s">
        <v>9377</v>
      </c>
      <c r="H3398" s="7" t="s">
        <v>9379</v>
      </c>
      <c r="I3398" s="9">
        <v>45371</v>
      </c>
    </row>
    <row r="3399" spans="1:9" x14ac:dyDescent="0.15">
      <c r="A3399" s="6">
        <v>3398</v>
      </c>
      <c r="B3399" s="7" t="s">
        <v>7</v>
      </c>
      <c r="C3399" s="8">
        <v>1890</v>
      </c>
      <c r="D3399" s="9">
        <v>45449</v>
      </c>
      <c r="E3399" s="13">
        <f>+HYPERLINK("http://trademark.i-assist.jp/data/china/image_1890th/77437849.pdf",77437849)</f>
        <v>77437849</v>
      </c>
      <c r="F3399" s="7" t="s">
        <v>9381</v>
      </c>
      <c r="G3399" s="7" t="s">
        <v>9380</v>
      </c>
      <c r="H3399" s="7" t="s">
        <v>9382</v>
      </c>
      <c r="I3399" s="9">
        <v>45371</v>
      </c>
    </row>
    <row r="3400" spans="1:9" x14ac:dyDescent="0.15">
      <c r="A3400" s="6">
        <v>3399</v>
      </c>
      <c r="B3400" s="7" t="s">
        <v>7</v>
      </c>
      <c r="C3400" s="8">
        <v>1890</v>
      </c>
      <c r="D3400" s="9">
        <v>45449</v>
      </c>
      <c r="E3400" s="13">
        <f>+HYPERLINK("http://trademark.i-assist.jp/data/china/image_1890th/77438202.pdf",77438202)</f>
        <v>77438202</v>
      </c>
      <c r="F3400" s="7" t="s">
        <v>9383</v>
      </c>
      <c r="G3400" s="7" t="s">
        <v>5414</v>
      </c>
      <c r="H3400" s="7" t="s">
        <v>9384</v>
      </c>
      <c r="I3400" s="9">
        <v>45371</v>
      </c>
    </row>
    <row r="3401" spans="1:9" x14ac:dyDescent="0.15">
      <c r="A3401" s="6">
        <v>3400</v>
      </c>
      <c r="B3401" s="7" t="s">
        <v>7</v>
      </c>
      <c r="C3401" s="8">
        <v>1890</v>
      </c>
      <c r="D3401" s="9">
        <v>45449</v>
      </c>
      <c r="E3401" s="13">
        <f>+HYPERLINK("http://trademark.i-assist.jp/data/china/image_1890th/77438257.pdf",77438257)</f>
        <v>77438257</v>
      </c>
      <c r="F3401" s="7" t="s">
        <v>9385</v>
      </c>
      <c r="G3401" s="7" t="s">
        <v>9350</v>
      </c>
      <c r="H3401" s="7" t="s">
        <v>9386</v>
      </c>
      <c r="I3401" s="9">
        <v>45371</v>
      </c>
    </row>
    <row r="3402" spans="1:9" x14ac:dyDescent="0.15">
      <c r="A3402" s="6">
        <v>3401</v>
      </c>
      <c r="B3402" s="7" t="s">
        <v>7</v>
      </c>
      <c r="C3402" s="8">
        <v>1890</v>
      </c>
      <c r="D3402" s="9">
        <v>45449</v>
      </c>
      <c r="E3402" s="13">
        <f>+HYPERLINK("http://trademark.i-assist.jp/data/china/image_1890th/77438336.pdf",77438336)</f>
        <v>77438336</v>
      </c>
      <c r="F3402" s="7" t="s">
        <v>9387</v>
      </c>
      <c r="G3402" s="7" t="s">
        <v>863</v>
      </c>
      <c r="H3402" s="7" t="s">
        <v>9388</v>
      </c>
      <c r="I3402" s="9">
        <v>45371</v>
      </c>
    </row>
    <row r="3403" spans="1:9" x14ac:dyDescent="0.15">
      <c r="A3403" s="6">
        <v>3402</v>
      </c>
      <c r="B3403" s="7" t="s">
        <v>7</v>
      </c>
      <c r="C3403" s="8">
        <v>1890</v>
      </c>
      <c r="D3403" s="9">
        <v>45449</v>
      </c>
      <c r="E3403" s="13">
        <f>+HYPERLINK("http://trademark.i-assist.jp/data/china/image_1890th/77438460.pdf",77438460)</f>
        <v>77438460</v>
      </c>
      <c r="F3403" s="7" t="s">
        <v>9390</v>
      </c>
      <c r="G3403" s="7" t="s">
        <v>9389</v>
      </c>
      <c r="H3403" s="7" t="s">
        <v>9391</v>
      </c>
      <c r="I3403" s="9">
        <v>45371</v>
      </c>
    </row>
    <row r="3404" spans="1:9" x14ac:dyDescent="0.15">
      <c r="A3404" s="6">
        <v>3403</v>
      </c>
      <c r="B3404" s="7" t="s">
        <v>7</v>
      </c>
      <c r="C3404" s="8">
        <v>1890</v>
      </c>
      <c r="D3404" s="9">
        <v>45449</v>
      </c>
      <c r="E3404" s="13">
        <f>+HYPERLINK("http://trademark.i-assist.jp/data/china/image_1890th/77438729.pdf",77438729)</f>
        <v>77438729</v>
      </c>
      <c r="F3404" s="7" t="s">
        <v>9393</v>
      </c>
      <c r="G3404" s="7" t="s">
        <v>9392</v>
      </c>
      <c r="H3404" s="7" t="s">
        <v>9394</v>
      </c>
      <c r="I3404" s="9">
        <v>45371</v>
      </c>
    </row>
    <row r="3405" spans="1:9" ht="27" x14ac:dyDescent="0.15">
      <c r="A3405" s="6">
        <v>3404</v>
      </c>
      <c r="B3405" s="7" t="s">
        <v>7</v>
      </c>
      <c r="C3405" s="8">
        <v>1890</v>
      </c>
      <c r="D3405" s="9">
        <v>45449</v>
      </c>
      <c r="E3405" s="13">
        <f>+HYPERLINK("http://trademark.i-assist.jp/data/china/image_1890th/77439667.pdf",77439667)</f>
        <v>77439667</v>
      </c>
      <c r="F3405" s="7" t="s">
        <v>1480</v>
      </c>
      <c r="G3405" s="7" t="s">
        <v>1479</v>
      </c>
      <c r="H3405" s="7" t="s">
        <v>9395</v>
      </c>
      <c r="I3405" s="9">
        <v>45371</v>
      </c>
    </row>
    <row r="3406" spans="1:9" x14ac:dyDescent="0.15">
      <c r="A3406" s="6">
        <v>3405</v>
      </c>
      <c r="B3406" s="7" t="s">
        <v>7</v>
      </c>
      <c r="C3406" s="8">
        <v>1890</v>
      </c>
      <c r="D3406" s="9">
        <v>45449</v>
      </c>
      <c r="E3406" s="13">
        <f>+HYPERLINK("http://trademark.i-assist.jp/data/china/image_1890th/77439738.pdf",77439738)</f>
        <v>77439738</v>
      </c>
      <c r="F3406" s="7" t="s">
        <v>9396</v>
      </c>
      <c r="G3406" s="7" t="s">
        <v>7578</v>
      </c>
      <c r="H3406" s="7" t="s">
        <v>9397</v>
      </c>
      <c r="I3406" s="9">
        <v>45371</v>
      </c>
    </row>
    <row r="3407" spans="1:9" x14ac:dyDescent="0.15">
      <c r="A3407" s="6">
        <v>3406</v>
      </c>
      <c r="B3407" s="7" t="s">
        <v>7</v>
      </c>
      <c r="C3407" s="8">
        <v>1890</v>
      </c>
      <c r="D3407" s="9">
        <v>45449</v>
      </c>
      <c r="E3407" s="13">
        <f>+HYPERLINK("http://trademark.i-assist.jp/data/china/image_1890th/77439792.pdf",77439792)</f>
        <v>77439792</v>
      </c>
      <c r="F3407" s="7" t="s">
        <v>9398</v>
      </c>
      <c r="G3407" s="7" t="s">
        <v>5439</v>
      </c>
      <c r="H3407" s="7" t="s">
        <v>9399</v>
      </c>
      <c r="I3407" s="9">
        <v>45371</v>
      </c>
    </row>
    <row r="3408" spans="1:9" x14ac:dyDescent="0.15">
      <c r="A3408" s="6">
        <v>3407</v>
      </c>
      <c r="B3408" s="7" t="s">
        <v>7</v>
      </c>
      <c r="C3408" s="8">
        <v>1890</v>
      </c>
      <c r="D3408" s="9">
        <v>45449</v>
      </c>
      <c r="E3408" s="13">
        <f>+HYPERLINK("http://trademark.i-assist.jp/data/china/image_1890th/77439883.pdf",77439883)</f>
        <v>77439883</v>
      </c>
      <c r="F3408" s="7" t="s">
        <v>9401</v>
      </c>
      <c r="G3408" s="7" t="s">
        <v>9400</v>
      </c>
      <c r="H3408" s="7" t="s">
        <v>9402</v>
      </c>
      <c r="I3408" s="9">
        <v>45371</v>
      </c>
    </row>
    <row r="3409" spans="1:9" x14ac:dyDescent="0.15">
      <c r="A3409" s="6">
        <v>3408</v>
      </c>
      <c r="B3409" s="7" t="s">
        <v>7</v>
      </c>
      <c r="C3409" s="8">
        <v>1890</v>
      </c>
      <c r="D3409" s="9">
        <v>45449</v>
      </c>
      <c r="E3409" s="13">
        <f>+HYPERLINK("http://trademark.i-assist.jp/data/china/image_1890th/77440075.pdf",77440075)</f>
        <v>77440075</v>
      </c>
      <c r="F3409" s="7" t="s">
        <v>9403</v>
      </c>
      <c r="G3409" s="7" t="s">
        <v>5229</v>
      </c>
      <c r="H3409" s="7" t="s">
        <v>9404</v>
      </c>
      <c r="I3409" s="9">
        <v>45371</v>
      </c>
    </row>
    <row r="3410" spans="1:9" x14ac:dyDescent="0.15">
      <c r="A3410" s="6">
        <v>3409</v>
      </c>
      <c r="B3410" s="7" t="s">
        <v>7</v>
      </c>
      <c r="C3410" s="8">
        <v>1890</v>
      </c>
      <c r="D3410" s="9">
        <v>45449</v>
      </c>
      <c r="E3410" s="13">
        <f>+HYPERLINK("http://trademark.i-assist.jp/data/china/image_1890th/77440641.pdf",77440641)</f>
        <v>77440641</v>
      </c>
      <c r="F3410" s="7" t="s">
        <v>9405</v>
      </c>
      <c r="G3410" s="7" t="s">
        <v>1943</v>
      </c>
      <c r="H3410" s="7" t="s">
        <v>9406</v>
      </c>
      <c r="I3410" s="9">
        <v>45371</v>
      </c>
    </row>
    <row r="3411" spans="1:9" x14ac:dyDescent="0.15">
      <c r="A3411" s="6">
        <v>3410</v>
      </c>
      <c r="B3411" s="7" t="s">
        <v>7</v>
      </c>
      <c r="C3411" s="8">
        <v>1890</v>
      </c>
      <c r="D3411" s="9">
        <v>45449</v>
      </c>
      <c r="E3411" s="13">
        <f>+HYPERLINK("http://trademark.i-assist.jp/data/china/image_1890th/77440905.pdf",77440905)</f>
        <v>77440905</v>
      </c>
      <c r="F3411" s="7" t="s">
        <v>9407</v>
      </c>
      <c r="G3411" s="7" t="s">
        <v>8027</v>
      </c>
      <c r="H3411" s="7" t="s">
        <v>9408</v>
      </c>
      <c r="I3411" s="9">
        <v>45371</v>
      </c>
    </row>
    <row r="3412" spans="1:9" x14ac:dyDescent="0.15">
      <c r="A3412" s="6">
        <v>3411</v>
      </c>
      <c r="B3412" s="7" t="s">
        <v>7</v>
      </c>
      <c r="C3412" s="8">
        <v>1890</v>
      </c>
      <c r="D3412" s="9">
        <v>45449</v>
      </c>
      <c r="E3412" s="13">
        <f>+HYPERLINK("http://trademark.i-assist.jp/data/china/image_1890th/77440965.pdf",77440965)</f>
        <v>77440965</v>
      </c>
      <c r="F3412" s="7" t="s">
        <v>9409</v>
      </c>
      <c r="G3412" s="7" t="s">
        <v>6955</v>
      </c>
      <c r="H3412" s="7" t="s">
        <v>9410</v>
      </c>
      <c r="I3412" s="9">
        <v>45371</v>
      </c>
    </row>
    <row r="3413" spans="1:9" x14ac:dyDescent="0.15">
      <c r="A3413" s="6">
        <v>3412</v>
      </c>
      <c r="B3413" s="7" t="s">
        <v>7</v>
      </c>
      <c r="C3413" s="8">
        <v>1890</v>
      </c>
      <c r="D3413" s="9">
        <v>45449</v>
      </c>
      <c r="E3413" s="13">
        <f>+HYPERLINK("http://trademark.i-assist.jp/data/china/image_1890th/77441029.pdf",77441029)</f>
        <v>77441029</v>
      </c>
      <c r="F3413" s="7" t="s">
        <v>9412</v>
      </c>
      <c r="G3413" s="7" t="s">
        <v>9411</v>
      </c>
      <c r="H3413" s="7" t="s">
        <v>9413</v>
      </c>
      <c r="I3413" s="9">
        <v>45371</v>
      </c>
    </row>
    <row r="3414" spans="1:9" x14ac:dyDescent="0.15">
      <c r="A3414" s="6">
        <v>3413</v>
      </c>
      <c r="B3414" s="7" t="s">
        <v>7</v>
      </c>
      <c r="C3414" s="8">
        <v>1890</v>
      </c>
      <c r="D3414" s="9">
        <v>45449</v>
      </c>
      <c r="E3414" s="13">
        <f>+HYPERLINK("http://trademark.i-assist.jp/data/china/image_1890th/77441079.pdf",77441079)</f>
        <v>77441079</v>
      </c>
      <c r="F3414" s="7" t="s">
        <v>9414</v>
      </c>
      <c r="G3414" s="7" t="s">
        <v>860</v>
      </c>
      <c r="H3414" s="7" t="s">
        <v>9415</v>
      </c>
      <c r="I3414" s="9">
        <v>45371</v>
      </c>
    </row>
    <row r="3415" spans="1:9" x14ac:dyDescent="0.15">
      <c r="A3415" s="6">
        <v>3414</v>
      </c>
      <c r="B3415" s="7" t="s">
        <v>7</v>
      </c>
      <c r="C3415" s="8">
        <v>1890</v>
      </c>
      <c r="D3415" s="9">
        <v>45449</v>
      </c>
      <c r="E3415" s="13">
        <f>+HYPERLINK("http://trademark.i-assist.jp/data/china/image_1890th/77441133.pdf",77441133)</f>
        <v>77441133</v>
      </c>
      <c r="F3415" s="7" t="s">
        <v>9417</v>
      </c>
      <c r="G3415" s="7" t="s">
        <v>9416</v>
      </c>
      <c r="H3415" s="7" t="s">
        <v>9418</v>
      </c>
      <c r="I3415" s="9">
        <v>45371</v>
      </c>
    </row>
    <row r="3416" spans="1:9" x14ac:dyDescent="0.15">
      <c r="A3416" s="6">
        <v>3415</v>
      </c>
      <c r="B3416" s="7" t="s">
        <v>7</v>
      </c>
      <c r="C3416" s="8">
        <v>1890</v>
      </c>
      <c r="D3416" s="9">
        <v>45449</v>
      </c>
      <c r="E3416" s="13">
        <f>+HYPERLINK("http://trademark.i-assist.jp/data/china/image_1890th/77441158.pdf",77441158)</f>
        <v>77441158</v>
      </c>
      <c r="F3416" s="7" t="s">
        <v>9420</v>
      </c>
      <c r="G3416" s="7" t="s">
        <v>9419</v>
      </c>
      <c r="H3416" s="7" t="s">
        <v>9421</v>
      </c>
      <c r="I3416" s="9">
        <v>45371</v>
      </c>
    </row>
    <row r="3417" spans="1:9" x14ac:dyDescent="0.15">
      <c r="A3417" s="6">
        <v>3416</v>
      </c>
      <c r="B3417" s="7" t="s">
        <v>7</v>
      </c>
      <c r="C3417" s="8">
        <v>1890</v>
      </c>
      <c r="D3417" s="9">
        <v>45449</v>
      </c>
      <c r="E3417" s="13">
        <f>+HYPERLINK("http://trademark.i-assist.jp/data/china/image_1890th/77441197.pdf",77441197)</f>
        <v>77441197</v>
      </c>
      <c r="F3417" s="7" t="s">
        <v>9423</v>
      </c>
      <c r="G3417" s="7" t="s">
        <v>9422</v>
      </c>
      <c r="H3417" s="7" t="s">
        <v>9424</v>
      </c>
      <c r="I3417" s="9">
        <v>45371</v>
      </c>
    </row>
    <row r="3418" spans="1:9" x14ac:dyDescent="0.15">
      <c r="A3418" s="6">
        <v>3417</v>
      </c>
      <c r="B3418" s="7" t="s">
        <v>7</v>
      </c>
      <c r="C3418" s="8">
        <v>1890</v>
      </c>
      <c r="D3418" s="9">
        <v>45449</v>
      </c>
      <c r="E3418" s="13">
        <f>+HYPERLINK("http://trademark.i-assist.jp/data/china/image_1890th/77441294.pdf",77441294)</f>
        <v>77441294</v>
      </c>
      <c r="F3418" s="7" t="s">
        <v>9425</v>
      </c>
      <c r="G3418" s="7" t="s">
        <v>9241</v>
      </c>
      <c r="H3418" s="7" t="s">
        <v>9426</v>
      </c>
      <c r="I3418" s="9">
        <v>45371</v>
      </c>
    </row>
    <row r="3419" spans="1:9" x14ac:dyDescent="0.15">
      <c r="A3419" s="6">
        <v>3418</v>
      </c>
      <c r="B3419" s="7" t="s">
        <v>7</v>
      </c>
      <c r="C3419" s="8">
        <v>1890</v>
      </c>
      <c r="D3419" s="9">
        <v>45449</v>
      </c>
      <c r="E3419" s="13">
        <f>+HYPERLINK("http://trademark.i-assist.jp/data/china/image_1890th/77441354.pdf",77441354)</f>
        <v>77441354</v>
      </c>
      <c r="F3419" s="7" t="s">
        <v>9428</v>
      </c>
      <c r="G3419" s="7" t="s">
        <v>9427</v>
      </c>
      <c r="H3419" s="7" t="s">
        <v>9429</v>
      </c>
      <c r="I3419" s="9">
        <v>45371</v>
      </c>
    </row>
    <row r="3420" spans="1:9" x14ac:dyDescent="0.15">
      <c r="A3420" s="6">
        <v>3419</v>
      </c>
      <c r="B3420" s="7" t="s">
        <v>7</v>
      </c>
      <c r="C3420" s="8">
        <v>1890</v>
      </c>
      <c r="D3420" s="9">
        <v>45449</v>
      </c>
      <c r="E3420" s="13">
        <f>+HYPERLINK("http://trademark.i-assist.jp/data/china/image_1890th/77441417.pdf",77441417)</f>
        <v>77441417</v>
      </c>
      <c r="F3420" s="7" t="s">
        <v>9431</v>
      </c>
      <c r="G3420" s="7" t="s">
        <v>9430</v>
      </c>
      <c r="H3420" s="7" t="s">
        <v>9432</v>
      </c>
      <c r="I3420" s="9">
        <v>45371</v>
      </c>
    </row>
    <row r="3421" spans="1:9" x14ac:dyDescent="0.15">
      <c r="A3421" s="6">
        <v>3420</v>
      </c>
      <c r="B3421" s="7" t="s">
        <v>7</v>
      </c>
      <c r="C3421" s="8">
        <v>1890</v>
      </c>
      <c r="D3421" s="9">
        <v>45449</v>
      </c>
      <c r="E3421" s="13">
        <f>+HYPERLINK("http://trademark.i-assist.jp/data/china/image_1890th/77441456.pdf",77441456)</f>
        <v>77441456</v>
      </c>
      <c r="F3421" s="7" t="s">
        <v>9433</v>
      </c>
      <c r="G3421" s="7" t="s">
        <v>15</v>
      </c>
      <c r="H3421" s="7" t="s">
        <v>9434</v>
      </c>
      <c r="I3421" s="9">
        <v>45371</v>
      </c>
    </row>
    <row r="3422" spans="1:9" x14ac:dyDescent="0.15">
      <c r="A3422" s="6">
        <v>3421</v>
      </c>
      <c r="B3422" s="7" t="s">
        <v>7</v>
      </c>
      <c r="C3422" s="8">
        <v>1890</v>
      </c>
      <c r="D3422" s="9">
        <v>45449</v>
      </c>
      <c r="E3422" s="13">
        <f>+HYPERLINK("http://trademark.i-assist.jp/data/china/image_1890th/77441555.pdf",77441555)</f>
        <v>77441555</v>
      </c>
      <c r="F3422" s="7" t="s">
        <v>9436</v>
      </c>
      <c r="G3422" s="7" t="s">
        <v>9435</v>
      </c>
      <c r="H3422" s="7" t="s">
        <v>9437</v>
      </c>
      <c r="I3422" s="9">
        <v>45371</v>
      </c>
    </row>
    <row r="3423" spans="1:9" x14ac:dyDescent="0.15">
      <c r="A3423" s="6">
        <v>3422</v>
      </c>
      <c r="B3423" s="7" t="s">
        <v>7</v>
      </c>
      <c r="C3423" s="8">
        <v>1890</v>
      </c>
      <c r="D3423" s="9">
        <v>45449</v>
      </c>
      <c r="E3423" s="13">
        <f>+HYPERLINK("http://trademark.i-assist.jp/data/china/image_1890th/77441768.pdf",77441768)</f>
        <v>77441768</v>
      </c>
      <c r="F3423" s="7" t="s">
        <v>9439</v>
      </c>
      <c r="G3423" s="7" t="s">
        <v>9438</v>
      </c>
      <c r="H3423" s="7" t="s">
        <v>9440</v>
      </c>
      <c r="I3423" s="9">
        <v>45371</v>
      </c>
    </row>
    <row r="3424" spans="1:9" x14ac:dyDescent="0.15">
      <c r="A3424" s="6">
        <v>3423</v>
      </c>
      <c r="B3424" s="7" t="s">
        <v>7</v>
      </c>
      <c r="C3424" s="8">
        <v>1890</v>
      </c>
      <c r="D3424" s="9">
        <v>45449</v>
      </c>
      <c r="E3424" s="13">
        <f>+HYPERLINK("http://trademark.i-assist.jp/data/china/image_1890th/77441847.pdf",77441847)</f>
        <v>77441847</v>
      </c>
      <c r="F3424" s="7" t="s">
        <v>9441</v>
      </c>
      <c r="G3424" s="7" t="s">
        <v>4203</v>
      </c>
      <c r="H3424" s="7" t="s">
        <v>9442</v>
      </c>
      <c r="I3424" s="9">
        <v>45371</v>
      </c>
    </row>
    <row r="3425" spans="1:9" x14ac:dyDescent="0.15">
      <c r="A3425" s="6">
        <v>3424</v>
      </c>
      <c r="B3425" s="7" t="s">
        <v>7</v>
      </c>
      <c r="C3425" s="8">
        <v>1890</v>
      </c>
      <c r="D3425" s="9">
        <v>45449</v>
      </c>
      <c r="E3425" s="13">
        <f>+HYPERLINK("http://trademark.i-assist.jp/data/china/image_1890th/77441893.pdf",77441893)</f>
        <v>77441893</v>
      </c>
      <c r="F3425" s="7" t="s">
        <v>9443</v>
      </c>
      <c r="G3425" s="7" t="s">
        <v>9374</v>
      </c>
      <c r="H3425" s="7" t="s">
        <v>9444</v>
      </c>
      <c r="I3425" s="9">
        <v>45371</v>
      </c>
    </row>
    <row r="3426" spans="1:9" x14ac:dyDescent="0.15">
      <c r="A3426" s="6">
        <v>3425</v>
      </c>
      <c r="B3426" s="7" t="s">
        <v>7</v>
      </c>
      <c r="C3426" s="8">
        <v>1890</v>
      </c>
      <c r="D3426" s="9">
        <v>45449</v>
      </c>
      <c r="E3426" s="13">
        <f>+HYPERLINK("http://trademark.i-assist.jp/data/china/image_1890th/77442178.pdf",77442178)</f>
        <v>77442178</v>
      </c>
      <c r="F3426" s="7" t="s">
        <v>9445</v>
      </c>
      <c r="G3426" s="7" t="s">
        <v>5203</v>
      </c>
      <c r="H3426" s="7" t="s">
        <v>9446</v>
      </c>
      <c r="I3426" s="9">
        <v>45371</v>
      </c>
    </row>
    <row r="3427" spans="1:9" x14ac:dyDescent="0.15">
      <c r="A3427" s="6">
        <v>3426</v>
      </c>
      <c r="B3427" s="7" t="s">
        <v>7</v>
      </c>
      <c r="C3427" s="8">
        <v>1890</v>
      </c>
      <c r="D3427" s="9">
        <v>45449</v>
      </c>
      <c r="E3427" s="13">
        <f>+HYPERLINK("http://trademark.i-assist.jp/data/china/image_1890th/77445635.pdf",77445635)</f>
        <v>77445635</v>
      </c>
      <c r="F3427" s="7" t="s">
        <v>9448</v>
      </c>
      <c r="G3427" s="7" t="s">
        <v>9447</v>
      </c>
      <c r="H3427" s="7" t="s">
        <v>9449</v>
      </c>
      <c r="I3427" s="9">
        <v>45372</v>
      </c>
    </row>
    <row r="3428" spans="1:9" x14ac:dyDescent="0.15">
      <c r="A3428" s="6">
        <v>3427</v>
      </c>
      <c r="B3428" s="7" t="s">
        <v>7</v>
      </c>
      <c r="C3428" s="8">
        <v>1890</v>
      </c>
      <c r="D3428" s="9">
        <v>45449</v>
      </c>
      <c r="E3428" s="13">
        <f>+HYPERLINK("http://trademark.i-assist.jp/data/china/image_1890th/77445670.pdf",77445670)</f>
        <v>77445670</v>
      </c>
      <c r="F3428" s="7" t="s">
        <v>9451</v>
      </c>
      <c r="G3428" s="7" t="s">
        <v>9450</v>
      </c>
      <c r="H3428" s="7" t="s">
        <v>9452</v>
      </c>
      <c r="I3428" s="9">
        <v>45372</v>
      </c>
    </row>
    <row r="3429" spans="1:9" ht="27" x14ac:dyDescent="0.15">
      <c r="A3429" s="6">
        <v>3428</v>
      </c>
      <c r="B3429" s="7" t="s">
        <v>7</v>
      </c>
      <c r="C3429" s="8">
        <v>1890</v>
      </c>
      <c r="D3429" s="9">
        <v>45449</v>
      </c>
      <c r="E3429" s="13">
        <f>+HYPERLINK("http://trademark.i-assist.jp/data/china/image_1890th/77445674.pdf",77445674)</f>
        <v>77445674</v>
      </c>
      <c r="F3429" s="7" t="s">
        <v>9453</v>
      </c>
      <c r="G3429" s="7" t="s">
        <v>182</v>
      </c>
      <c r="H3429" s="7" t="s">
        <v>9454</v>
      </c>
      <c r="I3429" s="9">
        <v>45372</v>
      </c>
    </row>
    <row r="3430" spans="1:9" x14ac:dyDescent="0.15">
      <c r="A3430" s="6">
        <v>3429</v>
      </c>
      <c r="B3430" s="7" t="s">
        <v>7</v>
      </c>
      <c r="C3430" s="8">
        <v>1890</v>
      </c>
      <c r="D3430" s="9">
        <v>45449</v>
      </c>
      <c r="E3430" s="13">
        <f>+HYPERLINK("http://trademark.i-assist.jp/data/china/image_1890th/77445746.pdf",77445746)</f>
        <v>77445746</v>
      </c>
      <c r="F3430" s="7" t="s">
        <v>9456</v>
      </c>
      <c r="G3430" s="7" t="s">
        <v>9455</v>
      </c>
      <c r="H3430" s="7" t="s">
        <v>9457</v>
      </c>
      <c r="I3430" s="9">
        <v>45372</v>
      </c>
    </row>
    <row r="3431" spans="1:9" x14ac:dyDescent="0.15">
      <c r="A3431" s="6">
        <v>3430</v>
      </c>
      <c r="B3431" s="7" t="s">
        <v>7</v>
      </c>
      <c r="C3431" s="8">
        <v>1890</v>
      </c>
      <c r="D3431" s="9">
        <v>45449</v>
      </c>
      <c r="E3431" s="13">
        <f>+HYPERLINK("http://trademark.i-assist.jp/data/china/image_1890th/77445828.pdf",77445828)</f>
        <v>77445828</v>
      </c>
      <c r="F3431" s="7" t="s">
        <v>9459</v>
      </c>
      <c r="G3431" s="7" t="s">
        <v>9458</v>
      </c>
      <c r="H3431" s="7" t="s">
        <v>9460</v>
      </c>
      <c r="I3431" s="9">
        <v>45372</v>
      </c>
    </row>
    <row r="3432" spans="1:9" x14ac:dyDescent="0.15">
      <c r="A3432" s="6">
        <v>3431</v>
      </c>
      <c r="B3432" s="7" t="s">
        <v>7</v>
      </c>
      <c r="C3432" s="8">
        <v>1890</v>
      </c>
      <c r="D3432" s="9">
        <v>45449</v>
      </c>
      <c r="E3432" s="13">
        <f>+HYPERLINK("http://trademark.i-assist.jp/data/china/image_1890th/77445909.pdf",77445909)</f>
        <v>77445909</v>
      </c>
      <c r="F3432" s="7" t="s">
        <v>9461</v>
      </c>
      <c r="G3432" s="7" t="s">
        <v>4684</v>
      </c>
      <c r="H3432" s="7" t="s">
        <v>9462</v>
      </c>
      <c r="I3432" s="9">
        <v>45372</v>
      </c>
    </row>
    <row r="3433" spans="1:9" x14ac:dyDescent="0.15">
      <c r="A3433" s="6">
        <v>3432</v>
      </c>
      <c r="B3433" s="7" t="s">
        <v>7</v>
      </c>
      <c r="C3433" s="8">
        <v>1890</v>
      </c>
      <c r="D3433" s="9">
        <v>45449</v>
      </c>
      <c r="E3433" s="13">
        <f>+HYPERLINK("http://trademark.i-assist.jp/data/china/image_1890th/77445960.pdf",77445960)</f>
        <v>77445960</v>
      </c>
      <c r="F3433" s="7" t="s">
        <v>9464</v>
      </c>
      <c r="G3433" s="7" t="s">
        <v>9463</v>
      </c>
      <c r="H3433" s="7" t="s">
        <v>9465</v>
      </c>
      <c r="I3433" s="9">
        <v>45372</v>
      </c>
    </row>
    <row r="3434" spans="1:9" x14ac:dyDescent="0.15">
      <c r="A3434" s="6">
        <v>3433</v>
      </c>
      <c r="B3434" s="7" t="s">
        <v>7</v>
      </c>
      <c r="C3434" s="8">
        <v>1890</v>
      </c>
      <c r="D3434" s="9">
        <v>45449</v>
      </c>
      <c r="E3434" s="13">
        <f>+HYPERLINK("http://trademark.i-assist.jp/data/china/image_1890th/77445966.pdf",77445966)</f>
        <v>77445966</v>
      </c>
      <c r="F3434" s="7" t="s">
        <v>9466</v>
      </c>
      <c r="G3434" s="7" t="s">
        <v>7179</v>
      </c>
      <c r="H3434" s="7" t="s">
        <v>9467</v>
      </c>
      <c r="I3434" s="9">
        <v>45372</v>
      </c>
    </row>
    <row r="3435" spans="1:9" x14ac:dyDescent="0.15">
      <c r="A3435" s="6">
        <v>3434</v>
      </c>
      <c r="B3435" s="7" t="s">
        <v>7</v>
      </c>
      <c r="C3435" s="8">
        <v>1890</v>
      </c>
      <c r="D3435" s="9">
        <v>45449</v>
      </c>
      <c r="E3435" s="13">
        <f>+HYPERLINK("http://trademark.i-assist.jp/data/china/image_1890th/77446044.pdf",77446044)</f>
        <v>77446044</v>
      </c>
      <c r="F3435" s="7" t="s">
        <v>9469</v>
      </c>
      <c r="G3435" s="7" t="s">
        <v>9468</v>
      </c>
      <c r="H3435" s="7" t="s">
        <v>9470</v>
      </c>
      <c r="I3435" s="9">
        <v>45372</v>
      </c>
    </row>
    <row r="3436" spans="1:9" x14ac:dyDescent="0.15">
      <c r="A3436" s="6">
        <v>3435</v>
      </c>
      <c r="B3436" s="7" t="s">
        <v>7</v>
      </c>
      <c r="C3436" s="8">
        <v>1890</v>
      </c>
      <c r="D3436" s="9">
        <v>45449</v>
      </c>
      <c r="E3436" s="13">
        <f>+HYPERLINK("http://trademark.i-assist.jp/data/china/image_1890th/77446050.pdf",77446050)</f>
        <v>77446050</v>
      </c>
      <c r="F3436" s="7" t="s">
        <v>9472</v>
      </c>
      <c r="G3436" s="7" t="s">
        <v>9471</v>
      </c>
      <c r="H3436" s="7" t="s">
        <v>9473</v>
      </c>
      <c r="I3436" s="9">
        <v>45372</v>
      </c>
    </row>
    <row r="3437" spans="1:9" ht="27" x14ac:dyDescent="0.15">
      <c r="A3437" s="6">
        <v>3436</v>
      </c>
      <c r="B3437" s="7" t="s">
        <v>7</v>
      </c>
      <c r="C3437" s="8">
        <v>1890</v>
      </c>
      <c r="D3437" s="9">
        <v>45449</v>
      </c>
      <c r="E3437" s="13">
        <f>+HYPERLINK("http://trademark.i-assist.jp/data/china/image_1890th/77446053.pdf",77446053)</f>
        <v>77446053</v>
      </c>
      <c r="F3437" s="7" t="s">
        <v>9475</v>
      </c>
      <c r="G3437" s="7" t="s">
        <v>9474</v>
      </c>
      <c r="H3437" s="7" t="s">
        <v>9476</v>
      </c>
      <c r="I3437" s="9">
        <v>45372</v>
      </c>
    </row>
    <row r="3438" spans="1:9" x14ac:dyDescent="0.15">
      <c r="A3438" s="6">
        <v>3437</v>
      </c>
      <c r="B3438" s="7" t="s">
        <v>7</v>
      </c>
      <c r="C3438" s="8">
        <v>1890</v>
      </c>
      <c r="D3438" s="9">
        <v>45449</v>
      </c>
      <c r="E3438" s="13">
        <f>+HYPERLINK("http://trademark.i-assist.jp/data/china/image_1890th/77446055.pdf",77446055)</f>
        <v>77446055</v>
      </c>
      <c r="F3438" s="7" t="s">
        <v>9477</v>
      </c>
      <c r="G3438" s="7" t="s">
        <v>4684</v>
      </c>
      <c r="H3438" s="7" t="s">
        <v>9478</v>
      </c>
      <c r="I3438" s="9">
        <v>45372</v>
      </c>
    </row>
    <row r="3439" spans="1:9" x14ac:dyDescent="0.15">
      <c r="A3439" s="6">
        <v>3438</v>
      </c>
      <c r="B3439" s="7" t="s">
        <v>7</v>
      </c>
      <c r="C3439" s="8">
        <v>1890</v>
      </c>
      <c r="D3439" s="9">
        <v>45449</v>
      </c>
      <c r="E3439" s="13">
        <f>+HYPERLINK("http://trademark.i-assist.jp/data/china/image_1890th/77446358.pdf",77446358)</f>
        <v>77446358</v>
      </c>
      <c r="F3439" s="7" t="s">
        <v>183</v>
      </c>
      <c r="G3439" s="7" t="s">
        <v>9479</v>
      </c>
      <c r="H3439" s="7" t="s">
        <v>9480</v>
      </c>
      <c r="I3439" s="9">
        <v>45372</v>
      </c>
    </row>
    <row r="3440" spans="1:9" x14ac:dyDescent="0.15">
      <c r="A3440" s="6">
        <v>3439</v>
      </c>
      <c r="B3440" s="7" t="s">
        <v>7</v>
      </c>
      <c r="C3440" s="8">
        <v>1890</v>
      </c>
      <c r="D3440" s="9">
        <v>45449</v>
      </c>
      <c r="E3440" s="13">
        <f>+HYPERLINK("http://trademark.i-assist.jp/data/china/image_1890th/77446372.pdf",77446372)</f>
        <v>77446372</v>
      </c>
      <c r="F3440" s="7" t="s">
        <v>9482</v>
      </c>
      <c r="G3440" s="7" t="s">
        <v>9481</v>
      </c>
      <c r="H3440" s="7" t="s">
        <v>9483</v>
      </c>
      <c r="I3440" s="9">
        <v>45372</v>
      </c>
    </row>
    <row r="3441" spans="1:9" x14ac:dyDescent="0.15">
      <c r="A3441" s="6">
        <v>3440</v>
      </c>
      <c r="B3441" s="7" t="s">
        <v>7</v>
      </c>
      <c r="C3441" s="8">
        <v>1890</v>
      </c>
      <c r="D3441" s="9">
        <v>45449</v>
      </c>
      <c r="E3441" s="13">
        <f>+HYPERLINK("http://trademark.i-assist.jp/data/china/image_1890th/77478638.pdf",77478638)</f>
        <v>77478638</v>
      </c>
      <c r="F3441" s="7" t="s">
        <v>9485</v>
      </c>
      <c r="G3441" s="7" t="s">
        <v>9484</v>
      </c>
      <c r="H3441" s="7" t="s">
        <v>9486</v>
      </c>
      <c r="I3441" s="9">
        <v>45375</v>
      </c>
    </row>
    <row r="3442" spans="1:9" x14ac:dyDescent="0.15">
      <c r="A3442" s="6">
        <v>3441</v>
      </c>
      <c r="B3442" s="7" t="s">
        <v>7</v>
      </c>
      <c r="C3442" s="8">
        <v>1890</v>
      </c>
      <c r="D3442" s="9">
        <v>45449</v>
      </c>
      <c r="E3442" s="13">
        <f>+HYPERLINK("http://trademark.i-assist.jp/data/china/image_1890th/77478707.pdf",77478707)</f>
        <v>77478707</v>
      </c>
      <c r="F3442" s="7" t="s">
        <v>9488</v>
      </c>
      <c r="G3442" s="7" t="s">
        <v>9487</v>
      </c>
      <c r="H3442" s="7" t="s">
        <v>9489</v>
      </c>
      <c r="I3442" s="9">
        <v>45375</v>
      </c>
    </row>
    <row r="3443" spans="1:9" x14ac:dyDescent="0.15">
      <c r="A3443" s="6">
        <v>3442</v>
      </c>
      <c r="B3443" s="7" t="s">
        <v>7</v>
      </c>
      <c r="C3443" s="8">
        <v>1890</v>
      </c>
      <c r="D3443" s="9">
        <v>45449</v>
      </c>
      <c r="E3443" s="13">
        <f>+HYPERLINK("http://trademark.i-assist.jp/data/china/image_1890th/77478725.pdf",77478725)</f>
        <v>77478725</v>
      </c>
      <c r="F3443" s="7" t="s">
        <v>9491</v>
      </c>
      <c r="G3443" s="7" t="s">
        <v>9490</v>
      </c>
      <c r="H3443" s="7" t="s">
        <v>9492</v>
      </c>
      <c r="I3443" s="9">
        <v>45375</v>
      </c>
    </row>
    <row r="3444" spans="1:9" x14ac:dyDescent="0.15">
      <c r="A3444" s="6">
        <v>3443</v>
      </c>
      <c r="B3444" s="7" t="s">
        <v>7</v>
      </c>
      <c r="C3444" s="8">
        <v>1890</v>
      </c>
      <c r="D3444" s="9">
        <v>45449</v>
      </c>
      <c r="E3444" s="13">
        <f>+HYPERLINK("http://trademark.i-assist.jp/data/china/image_1890th/77479023.pdf",77479023)</f>
        <v>77479023</v>
      </c>
      <c r="F3444" s="7" t="s">
        <v>9493</v>
      </c>
      <c r="G3444" s="7" t="s">
        <v>5462</v>
      </c>
      <c r="H3444" s="7" t="s">
        <v>9494</v>
      </c>
      <c r="I3444" s="9">
        <v>45375</v>
      </c>
    </row>
    <row r="3445" spans="1:9" x14ac:dyDescent="0.15">
      <c r="A3445" s="6">
        <v>3444</v>
      </c>
      <c r="B3445" s="7" t="s">
        <v>7</v>
      </c>
      <c r="C3445" s="8">
        <v>1890</v>
      </c>
      <c r="D3445" s="9">
        <v>45449</v>
      </c>
      <c r="E3445" s="13">
        <f>+HYPERLINK("http://trademark.i-assist.jp/data/china/image_1890th/77479130.pdf",77479130)</f>
        <v>77479130</v>
      </c>
      <c r="F3445" s="7" t="s">
        <v>9496</v>
      </c>
      <c r="G3445" s="7" t="s">
        <v>9495</v>
      </c>
      <c r="H3445" s="7" t="s">
        <v>9497</v>
      </c>
      <c r="I3445" s="9">
        <v>45375</v>
      </c>
    </row>
    <row r="3446" spans="1:9" ht="27" x14ac:dyDescent="0.15">
      <c r="A3446" s="6">
        <v>3445</v>
      </c>
      <c r="B3446" s="7" t="s">
        <v>7</v>
      </c>
      <c r="C3446" s="8">
        <v>1890</v>
      </c>
      <c r="D3446" s="9">
        <v>45449</v>
      </c>
      <c r="E3446" s="13">
        <f>+HYPERLINK("http://trademark.i-assist.jp/data/china/image_1890th/77479240.pdf",77479240)</f>
        <v>77479240</v>
      </c>
      <c r="F3446" s="7" t="s">
        <v>9498</v>
      </c>
      <c r="G3446" s="7" t="s">
        <v>5476</v>
      </c>
      <c r="H3446" s="7" t="s">
        <v>9499</v>
      </c>
      <c r="I3446" s="9">
        <v>45375</v>
      </c>
    </row>
    <row r="3447" spans="1:9" x14ac:dyDescent="0.15">
      <c r="A3447" s="6">
        <v>3446</v>
      </c>
      <c r="B3447" s="7" t="s">
        <v>7</v>
      </c>
      <c r="C3447" s="8">
        <v>1890</v>
      </c>
      <c r="D3447" s="9">
        <v>45449</v>
      </c>
      <c r="E3447" s="13">
        <f>+HYPERLINK("http://trademark.i-assist.jp/data/china/image_1890th/77479255.pdf",77479255)</f>
        <v>77479255</v>
      </c>
      <c r="F3447" s="7" t="s">
        <v>9501</v>
      </c>
      <c r="G3447" s="7" t="s">
        <v>9500</v>
      </c>
      <c r="H3447" s="7" t="s">
        <v>9502</v>
      </c>
      <c r="I3447" s="9">
        <v>45375</v>
      </c>
    </row>
    <row r="3448" spans="1:9" x14ac:dyDescent="0.15">
      <c r="A3448" s="6">
        <v>3447</v>
      </c>
      <c r="B3448" s="7" t="s">
        <v>7</v>
      </c>
      <c r="C3448" s="8">
        <v>1890</v>
      </c>
      <c r="D3448" s="9">
        <v>45449</v>
      </c>
      <c r="E3448" s="13">
        <f>+HYPERLINK("http://trademark.i-assist.jp/data/china/image_1890th/77479268.pdf",77479268)</f>
        <v>77479268</v>
      </c>
      <c r="F3448" s="7" t="s">
        <v>9504</v>
      </c>
      <c r="G3448" s="7" t="s">
        <v>9503</v>
      </c>
      <c r="H3448" s="7" t="s">
        <v>9505</v>
      </c>
      <c r="I3448" s="9">
        <v>45375</v>
      </c>
    </row>
    <row r="3449" spans="1:9" x14ac:dyDescent="0.15">
      <c r="A3449" s="6">
        <v>3448</v>
      </c>
      <c r="B3449" s="7" t="s">
        <v>7</v>
      </c>
      <c r="C3449" s="8">
        <v>1890</v>
      </c>
      <c r="D3449" s="9">
        <v>45449</v>
      </c>
      <c r="E3449" s="13">
        <f>+HYPERLINK("http://trademark.i-assist.jp/data/china/image_1890th/77479293.pdf",77479293)</f>
        <v>77479293</v>
      </c>
      <c r="F3449" s="7" t="s">
        <v>9507</v>
      </c>
      <c r="G3449" s="7" t="s">
        <v>9506</v>
      </c>
      <c r="H3449" s="7" t="s">
        <v>9508</v>
      </c>
      <c r="I3449" s="9">
        <v>45375</v>
      </c>
    </row>
    <row r="3450" spans="1:9" x14ac:dyDescent="0.15">
      <c r="A3450" s="6">
        <v>3449</v>
      </c>
      <c r="B3450" s="7" t="s">
        <v>7</v>
      </c>
      <c r="C3450" s="8">
        <v>1890</v>
      </c>
      <c r="D3450" s="9">
        <v>45449</v>
      </c>
      <c r="E3450" s="13">
        <f>+HYPERLINK("http://trademark.i-assist.jp/data/china/image_1890th/77479329.pdf",77479329)</f>
        <v>77479329</v>
      </c>
      <c r="F3450" s="7" t="s">
        <v>9510</v>
      </c>
      <c r="G3450" s="7" t="s">
        <v>9509</v>
      </c>
      <c r="H3450" s="7" t="s">
        <v>9511</v>
      </c>
      <c r="I3450" s="9">
        <v>45375</v>
      </c>
    </row>
    <row r="3451" spans="1:9" x14ac:dyDescent="0.15">
      <c r="A3451" s="6">
        <v>3450</v>
      </c>
      <c r="B3451" s="7" t="s">
        <v>7</v>
      </c>
      <c r="C3451" s="8">
        <v>1890</v>
      </c>
      <c r="D3451" s="9">
        <v>45449</v>
      </c>
      <c r="E3451" s="13">
        <f>+HYPERLINK("http://trademark.i-assist.jp/data/china/image_1890th/77479347.pdf",77479347)</f>
        <v>77479347</v>
      </c>
      <c r="F3451" s="7" t="s">
        <v>9512</v>
      </c>
      <c r="G3451" s="7" t="s">
        <v>2837</v>
      </c>
      <c r="H3451" s="7" t="s">
        <v>9513</v>
      </c>
      <c r="I3451" s="9">
        <v>45375</v>
      </c>
    </row>
    <row r="3452" spans="1:9" x14ac:dyDescent="0.15">
      <c r="A3452" s="6">
        <v>3451</v>
      </c>
      <c r="B3452" s="7" t="s">
        <v>7</v>
      </c>
      <c r="C3452" s="8">
        <v>1890</v>
      </c>
      <c r="D3452" s="9">
        <v>45449</v>
      </c>
      <c r="E3452" s="13">
        <f>+HYPERLINK("http://trademark.i-assist.jp/data/china/image_1890th/77479638.pdf",77479638)</f>
        <v>77479638</v>
      </c>
      <c r="F3452" s="7" t="s">
        <v>9515</v>
      </c>
      <c r="G3452" s="7" t="s">
        <v>9514</v>
      </c>
      <c r="H3452" s="7" t="s">
        <v>9516</v>
      </c>
      <c r="I3452" s="9">
        <v>45375</v>
      </c>
    </row>
    <row r="3453" spans="1:9" x14ac:dyDescent="0.15">
      <c r="A3453" s="6">
        <v>3452</v>
      </c>
      <c r="B3453" s="7" t="s">
        <v>7</v>
      </c>
      <c r="C3453" s="8">
        <v>1890</v>
      </c>
      <c r="D3453" s="9">
        <v>45449</v>
      </c>
      <c r="E3453" s="13">
        <f>+HYPERLINK("http://trademark.i-assist.jp/data/china/image_1890th/77479665.pdf",77479665)</f>
        <v>77479665</v>
      </c>
      <c r="F3453" s="7" t="s">
        <v>9518</v>
      </c>
      <c r="G3453" s="7" t="s">
        <v>9517</v>
      </c>
      <c r="H3453" s="7" t="s">
        <v>9519</v>
      </c>
      <c r="I3453" s="9">
        <v>45375</v>
      </c>
    </row>
    <row r="3454" spans="1:9" x14ac:dyDescent="0.15">
      <c r="A3454" s="6">
        <v>3453</v>
      </c>
      <c r="B3454" s="7" t="s">
        <v>7</v>
      </c>
      <c r="C3454" s="8">
        <v>1890</v>
      </c>
      <c r="D3454" s="9">
        <v>45449</v>
      </c>
      <c r="E3454" s="13">
        <f>+HYPERLINK("http://trademark.i-assist.jp/data/china/image_1890th/77479734.pdf",77479734)</f>
        <v>77479734</v>
      </c>
      <c r="F3454" s="7" t="s">
        <v>9521</v>
      </c>
      <c r="G3454" s="7" t="s">
        <v>9520</v>
      </c>
      <c r="H3454" s="7" t="s">
        <v>9522</v>
      </c>
      <c r="I3454" s="9">
        <v>45375</v>
      </c>
    </row>
    <row r="3455" spans="1:9" x14ac:dyDescent="0.15">
      <c r="A3455" s="6">
        <v>3454</v>
      </c>
      <c r="B3455" s="7" t="s">
        <v>7</v>
      </c>
      <c r="C3455" s="8">
        <v>1890</v>
      </c>
      <c r="D3455" s="9">
        <v>45449</v>
      </c>
      <c r="E3455" s="13">
        <f>+HYPERLINK("http://trademark.i-assist.jp/data/china/image_1890th/77479740.pdf",77479740)</f>
        <v>77479740</v>
      </c>
      <c r="F3455" s="7" t="s">
        <v>9524</v>
      </c>
      <c r="G3455" s="7" t="s">
        <v>9523</v>
      </c>
      <c r="H3455" s="7" t="s">
        <v>9525</v>
      </c>
      <c r="I3455" s="9">
        <v>45375</v>
      </c>
    </row>
    <row r="3456" spans="1:9" ht="27" x14ac:dyDescent="0.15">
      <c r="A3456" s="6">
        <v>3455</v>
      </c>
      <c r="B3456" s="7" t="s">
        <v>7</v>
      </c>
      <c r="C3456" s="8">
        <v>1890</v>
      </c>
      <c r="D3456" s="9">
        <v>45449</v>
      </c>
      <c r="E3456" s="13">
        <f>+HYPERLINK("http://trademark.i-assist.jp/data/china/image_1890th/77480162.pdf",77480162)</f>
        <v>77480162</v>
      </c>
      <c r="F3456" s="7" t="s">
        <v>9527</v>
      </c>
      <c r="G3456" s="7" t="s">
        <v>9526</v>
      </c>
      <c r="H3456" s="7" t="s">
        <v>9528</v>
      </c>
      <c r="I3456" s="9">
        <v>45375</v>
      </c>
    </row>
    <row r="3457" spans="1:9" x14ac:dyDescent="0.15">
      <c r="A3457" s="6">
        <v>3456</v>
      </c>
      <c r="B3457" s="7" t="s">
        <v>7</v>
      </c>
      <c r="C3457" s="8">
        <v>1890</v>
      </c>
      <c r="D3457" s="9">
        <v>45449</v>
      </c>
      <c r="E3457" s="13">
        <f>+HYPERLINK("http://trademark.i-assist.jp/data/china/image_1890th/77480493.pdf",77480493)</f>
        <v>77480493</v>
      </c>
      <c r="F3457" s="7" t="s">
        <v>9530</v>
      </c>
      <c r="G3457" s="7" t="s">
        <v>9529</v>
      </c>
      <c r="H3457" s="7" t="s">
        <v>9531</v>
      </c>
      <c r="I3457" s="9">
        <v>45375</v>
      </c>
    </row>
    <row r="3458" spans="1:9" x14ac:dyDescent="0.15">
      <c r="A3458" s="6">
        <v>3457</v>
      </c>
      <c r="B3458" s="7" t="s">
        <v>7</v>
      </c>
      <c r="C3458" s="8">
        <v>1890</v>
      </c>
      <c r="D3458" s="9">
        <v>45449</v>
      </c>
      <c r="E3458" s="13">
        <f>+HYPERLINK("http://trademark.i-assist.jp/data/china/image_1890th/77480693.pdf",77480693)</f>
        <v>77480693</v>
      </c>
      <c r="F3458" s="7" t="s">
        <v>9533</v>
      </c>
      <c r="G3458" s="7" t="s">
        <v>9532</v>
      </c>
      <c r="H3458" s="7" t="s">
        <v>9534</v>
      </c>
      <c r="I3458" s="9">
        <v>45375</v>
      </c>
    </row>
    <row r="3459" spans="1:9" x14ac:dyDescent="0.15">
      <c r="A3459" s="6">
        <v>3458</v>
      </c>
      <c r="B3459" s="7" t="s">
        <v>7</v>
      </c>
      <c r="C3459" s="8">
        <v>1890</v>
      </c>
      <c r="D3459" s="9">
        <v>45449</v>
      </c>
      <c r="E3459" s="13">
        <f>+HYPERLINK("http://trademark.i-assist.jp/data/china/image_1890th/77480809.pdf",77480809)</f>
        <v>77480809</v>
      </c>
      <c r="F3459" s="7" t="s">
        <v>9536</v>
      </c>
      <c r="G3459" s="7" t="s">
        <v>9535</v>
      </c>
      <c r="H3459" s="7" t="s">
        <v>9537</v>
      </c>
      <c r="I3459" s="9">
        <v>45375</v>
      </c>
    </row>
    <row r="3460" spans="1:9" x14ac:dyDescent="0.15">
      <c r="A3460" s="6">
        <v>3459</v>
      </c>
      <c r="B3460" s="7" t="s">
        <v>7</v>
      </c>
      <c r="C3460" s="8">
        <v>1890</v>
      </c>
      <c r="D3460" s="9">
        <v>45449</v>
      </c>
      <c r="E3460" s="13">
        <f>+HYPERLINK("http://trademark.i-assist.jp/data/china/image_1890th/77480836.pdf",77480836)</f>
        <v>77480836</v>
      </c>
      <c r="F3460" s="7" t="s">
        <v>9539</v>
      </c>
      <c r="G3460" s="7" t="s">
        <v>9538</v>
      </c>
      <c r="H3460" s="7" t="s">
        <v>9540</v>
      </c>
      <c r="I3460" s="9">
        <v>45375</v>
      </c>
    </row>
    <row r="3461" spans="1:9" x14ac:dyDescent="0.15">
      <c r="A3461" s="6">
        <v>3460</v>
      </c>
      <c r="B3461" s="7" t="s">
        <v>7</v>
      </c>
      <c r="C3461" s="8">
        <v>1890</v>
      </c>
      <c r="D3461" s="9">
        <v>45449</v>
      </c>
      <c r="E3461" s="13">
        <f>+HYPERLINK("http://trademark.i-assist.jp/data/china/image_1890th/77480906.pdf",77480906)</f>
        <v>77480906</v>
      </c>
      <c r="F3461" s="7" t="s">
        <v>9542</v>
      </c>
      <c r="G3461" s="7" t="s">
        <v>9541</v>
      </c>
      <c r="H3461" s="7" t="s">
        <v>9543</v>
      </c>
      <c r="I3461" s="9">
        <v>45375</v>
      </c>
    </row>
    <row r="3462" spans="1:9" x14ac:dyDescent="0.15">
      <c r="A3462" s="6">
        <v>3461</v>
      </c>
      <c r="B3462" s="7" t="s">
        <v>7</v>
      </c>
      <c r="C3462" s="8">
        <v>1890</v>
      </c>
      <c r="D3462" s="9">
        <v>45449</v>
      </c>
      <c r="E3462" s="13">
        <f>+HYPERLINK("http://trademark.i-assist.jp/data/china/image_1890th/77480907.pdf",77480907)</f>
        <v>77480907</v>
      </c>
      <c r="F3462" s="7" t="s">
        <v>9545</v>
      </c>
      <c r="G3462" s="7" t="s">
        <v>9544</v>
      </c>
      <c r="H3462" s="7" t="s">
        <v>9546</v>
      </c>
      <c r="I3462" s="9">
        <v>45375</v>
      </c>
    </row>
    <row r="3463" spans="1:9" x14ac:dyDescent="0.15">
      <c r="A3463" s="6">
        <v>3462</v>
      </c>
      <c r="B3463" s="7" t="s">
        <v>7</v>
      </c>
      <c r="C3463" s="8">
        <v>1890</v>
      </c>
      <c r="D3463" s="9">
        <v>45449</v>
      </c>
      <c r="E3463" s="13">
        <f>+HYPERLINK("http://trademark.i-assist.jp/data/china/image_1890th/77481062.pdf",77481062)</f>
        <v>77481062</v>
      </c>
      <c r="F3463" s="7" t="s">
        <v>9548</v>
      </c>
      <c r="G3463" s="7" t="s">
        <v>9547</v>
      </c>
      <c r="H3463" s="7" t="s">
        <v>9549</v>
      </c>
      <c r="I3463" s="9">
        <v>45375</v>
      </c>
    </row>
    <row r="3464" spans="1:9" x14ac:dyDescent="0.15">
      <c r="A3464" s="6">
        <v>3463</v>
      </c>
      <c r="B3464" s="7" t="s">
        <v>7</v>
      </c>
      <c r="C3464" s="8">
        <v>1890</v>
      </c>
      <c r="D3464" s="9">
        <v>45449</v>
      </c>
      <c r="E3464" s="13">
        <f>+HYPERLINK("http://trademark.i-assist.jp/data/china/image_1890th/77481163.pdf",77481163)</f>
        <v>77481163</v>
      </c>
      <c r="F3464" s="7" t="s">
        <v>9551</v>
      </c>
      <c r="G3464" s="7" t="s">
        <v>9550</v>
      </c>
      <c r="H3464" s="7" t="s">
        <v>9552</v>
      </c>
      <c r="I3464" s="9">
        <v>45375</v>
      </c>
    </row>
    <row r="3465" spans="1:9" x14ac:dyDescent="0.15">
      <c r="A3465" s="6">
        <v>3464</v>
      </c>
      <c r="B3465" s="7" t="s">
        <v>7</v>
      </c>
      <c r="C3465" s="8">
        <v>1890</v>
      </c>
      <c r="D3465" s="9">
        <v>45449</v>
      </c>
      <c r="E3465" s="13">
        <f>+HYPERLINK("http://trademark.i-assist.jp/data/china/image_1890th/77481357.pdf",77481357)</f>
        <v>77481357</v>
      </c>
      <c r="F3465" s="7" t="s">
        <v>9554</v>
      </c>
      <c r="G3465" s="7" t="s">
        <v>9553</v>
      </c>
      <c r="H3465" s="7" t="s">
        <v>9555</v>
      </c>
      <c r="I3465" s="9">
        <v>45375</v>
      </c>
    </row>
    <row r="3466" spans="1:9" x14ac:dyDescent="0.15">
      <c r="A3466" s="6">
        <v>3465</v>
      </c>
      <c r="B3466" s="7" t="s">
        <v>7</v>
      </c>
      <c r="C3466" s="8">
        <v>1890</v>
      </c>
      <c r="D3466" s="9">
        <v>45449</v>
      </c>
      <c r="E3466" s="13">
        <f>+HYPERLINK("http://trademark.i-assist.jp/data/china/image_1890th/77481361.pdf",77481361)</f>
        <v>77481361</v>
      </c>
      <c r="F3466" s="7" t="s">
        <v>9557</v>
      </c>
      <c r="G3466" s="7" t="s">
        <v>9556</v>
      </c>
      <c r="H3466" s="7" t="s">
        <v>9558</v>
      </c>
      <c r="I3466" s="9">
        <v>45375</v>
      </c>
    </row>
    <row r="3467" spans="1:9" x14ac:dyDescent="0.15">
      <c r="A3467" s="6">
        <v>3466</v>
      </c>
      <c r="B3467" s="7" t="s">
        <v>7</v>
      </c>
      <c r="C3467" s="8">
        <v>1890</v>
      </c>
      <c r="D3467" s="9">
        <v>45449</v>
      </c>
      <c r="E3467" s="13">
        <f>+HYPERLINK("http://trademark.i-assist.jp/data/china/image_1890th/77481437.pdf",77481437)</f>
        <v>77481437</v>
      </c>
      <c r="F3467" s="7" t="s">
        <v>9560</v>
      </c>
      <c r="G3467" s="7" t="s">
        <v>9559</v>
      </c>
      <c r="H3467" s="7" t="s">
        <v>9561</v>
      </c>
      <c r="I3467" s="9">
        <v>45375</v>
      </c>
    </row>
    <row r="3468" spans="1:9" x14ac:dyDescent="0.15">
      <c r="A3468" s="6">
        <v>3467</v>
      </c>
      <c r="B3468" s="7" t="s">
        <v>7</v>
      </c>
      <c r="C3468" s="8">
        <v>1890</v>
      </c>
      <c r="D3468" s="9">
        <v>45449</v>
      </c>
      <c r="E3468" s="13">
        <f>+HYPERLINK("http://trademark.i-assist.jp/data/china/image_1890th/77481438.pdf",77481438)</f>
        <v>77481438</v>
      </c>
      <c r="F3468" s="7" t="s">
        <v>9563</v>
      </c>
      <c r="G3468" s="7" t="s">
        <v>9562</v>
      </c>
      <c r="H3468" s="7" t="s">
        <v>9564</v>
      </c>
      <c r="I3468" s="9">
        <v>45375</v>
      </c>
    </row>
    <row r="3469" spans="1:9" x14ac:dyDescent="0.15">
      <c r="A3469" s="6">
        <v>3468</v>
      </c>
      <c r="B3469" s="7" t="s">
        <v>7</v>
      </c>
      <c r="C3469" s="8">
        <v>1890</v>
      </c>
      <c r="D3469" s="9">
        <v>45449</v>
      </c>
      <c r="E3469" s="13">
        <f>+HYPERLINK("http://trademark.i-assist.jp/data/china/image_1890th/77481587.pdf",77481587)</f>
        <v>77481587</v>
      </c>
      <c r="F3469" s="7" t="s">
        <v>9566</v>
      </c>
      <c r="G3469" s="7" t="s">
        <v>9565</v>
      </c>
      <c r="H3469" s="7" t="s">
        <v>9567</v>
      </c>
      <c r="I3469" s="9">
        <v>45375</v>
      </c>
    </row>
    <row r="3470" spans="1:9" x14ac:dyDescent="0.15">
      <c r="A3470" s="6">
        <v>3469</v>
      </c>
      <c r="B3470" s="7" t="s">
        <v>7</v>
      </c>
      <c r="C3470" s="8">
        <v>1890</v>
      </c>
      <c r="D3470" s="9">
        <v>45449</v>
      </c>
      <c r="E3470" s="13">
        <f>+HYPERLINK("http://trademark.i-assist.jp/data/china/image_1890th/77446404.pdf",77446404)</f>
        <v>77446404</v>
      </c>
      <c r="F3470" s="7" t="s">
        <v>9569</v>
      </c>
      <c r="G3470" s="7" t="s">
        <v>9568</v>
      </c>
      <c r="H3470" s="7" t="s">
        <v>9570</v>
      </c>
      <c r="I3470" s="9">
        <v>45372</v>
      </c>
    </row>
    <row r="3471" spans="1:9" x14ac:dyDescent="0.15">
      <c r="A3471" s="6">
        <v>3470</v>
      </c>
      <c r="B3471" s="7" t="s">
        <v>7</v>
      </c>
      <c r="C3471" s="8">
        <v>1890</v>
      </c>
      <c r="D3471" s="9">
        <v>45449</v>
      </c>
      <c r="E3471" s="13">
        <f>+HYPERLINK("http://trademark.i-assist.jp/data/china/image_1890th/77446430.pdf",77446430)</f>
        <v>77446430</v>
      </c>
      <c r="F3471" s="7" t="s">
        <v>9572</v>
      </c>
      <c r="G3471" s="7" t="s">
        <v>9571</v>
      </c>
      <c r="H3471" s="7" t="s">
        <v>9573</v>
      </c>
      <c r="I3471" s="9">
        <v>45372</v>
      </c>
    </row>
    <row r="3472" spans="1:9" x14ac:dyDescent="0.15">
      <c r="A3472" s="6">
        <v>3471</v>
      </c>
      <c r="B3472" s="7" t="s">
        <v>7</v>
      </c>
      <c r="C3472" s="8">
        <v>1890</v>
      </c>
      <c r="D3472" s="9">
        <v>45449</v>
      </c>
      <c r="E3472" s="13">
        <f>+HYPERLINK("http://trademark.i-assist.jp/data/china/image_1890th/77446454.pdf",77446454)</f>
        <v>77446454</v>
      </c>
      <c r="F3472" s="7" t="s">
        <v>9574</v>
      </c>
      <c r="G3472" s="7" t="s">
        <v>2387</v>
      </c>
      <c r="H3472" s="7" t="s">
        <v>9575</v>
      </c>
      <c r="I3472" s="9">
        <v>45372</v>
      </c>
    </row>
    <row r="3473" spans="1:9" x14ac:dyDescent="0.15">
      <c r="A3473" s="6">
        <v>3472</v>
      </c>
      <c r="B3473" s="7" t="s">
        <v>7</v>
      </c>
      <c r="C3473" s="8">
        <v>1890</v>
      </c>
      <c r="D3473" s="9">
        <v>45449</v>
      </c>
      <c r="E3473" s="13">
        <f>+HYPERLINK("http://trademark.i-assist.jp/data/china/image_1890th/77446607.pdf",77446607)</f>
        <v>77446607</v>
      </c>
      <c r="F3473" s="7" t="s">
        <v>9576</v>
      </c>
      <c r="G3473" s="7" t="s">
        <v>4646</v>
      </c>
      <c r="H3473" s="7" t="s">
        <v>9577</v>
      </c>
      <c r="I3473" s="9">
        <v>45372</v>
      </c>
    </row>
    <row r="3474" spans="1:9" x14ac:dyDescent="0.15">
      <c r="A3474" s="6">
        <v>3473</v>
      </c>
      <c r="B3474" s="7" t="s">
        <v>7</v>
      </c>
      <c r="C3474" s="8">
        <v>1890</v>
      </c>
      <c r="D3474" s="9">
        <v>45449</v>
      </c>
      <c r="E3474" s="13">
        <f>+HYPERLINK("http://trademark.i-assist.jp/data/china/image_1890th/77447003.pdf",77447003)</f>
        <v>77447003</v>
      </c>
      <c r="F3474" s="7" t="s">
        <v>9579</v>
      </c>
      <c r="G3474" s="7" t="s">
        <v>9578</v>
      </c>
      <c r="H3474" s="7" t="s">
        <v>9580</v>
      </c>
      <c r="I3474" s="9">
        <v>45372</v>
      </c>
    </row>
    <row r="3475" spans="1:9" x14ac:dyDescent="0.15">
      <c r="A3475" s="6">
        <v>3474</v>
      </c>
      <c r="B3475" s="7" t="s">
        <v>7</v>
      </c>
      <c r="C3475" s="8">
        <v>1890</v>
      </c>
      <c r="D3475" s="9">
        <v>45449</v>
      </c>
      <c r="E3475" s="13">
        <f>+HYPERLINK("http://trademark.i-assist.jp/data/china/image_1890th/77447125.pdf",77447125)</f>
        <v>77447125</v>
      </c>
      <c r="F3475" s="7" t="s">
        <v>9582</v>
      </c>
      <c r="G3475" s="7" t="s">
        <v>9581</v>
      </c>
      <c r="H3475" s="7" t="s">
        <v>9583</v>
      </c>
      <c r="I3475" s="9">
        <v>45372</v>
      </c>
    </row>
    <row r="3476" spans="1:9" x14ac:dyDescent="0.15">
      <c r="A3476" s="6">
        <v>3475</v>
      </c>
      <c r="B3476" s="7" t="s">
        <v>7</v>
      </c>
      <c r="C3476" s="8">
        <v>1890</v>
      </c>
      <c r="D3476" s="9">
        <v>45449</v>
      </c>
      <c r="E3476" s="13">
        <f>+HYPERLINK("http://trademark.i-assist.jp/data/china/image_1890th/77447130.pdf",77447130)</f>
        <v>77447130</v>
      </c>
      <c r="F3476" s="7" t="s">
        <v>9585</v>
      </c>
      <c r="G3476" s="7" t="s">
        <v>9584</v>
      </c>
      <c r="H3476" s="7" t="s">
        <v>9586</v>
      </c>
      <c r="I3476" s="9">
        <v>45372</v>
      </c>
    </row>
    <row r="3477" spans="1:9" x14ac:dyDescent="0.15">
      <c r="A3477" s="6">
        <v>3476</v>
      </c>
      <c r="B3477" s="7" t="s">
        <v>7</v>
      </c>
      <c r="C3477" s="8">
        <v>1890</v>
      </c>
      <c r="D3477" s="9">
        <v>45449</v>
      </c>
      <c r="E3477" s="13">
        <f>+HYPERLINK("http://trademark.i-assist.jp/data/china/image_1890th/77447162.pdf",77447162)</f>
        <v>77447162</v>
      </c>
      <c r="F3477" s="7" t="s">
        <v>9588</v>
      </c>
      <c r="G3477" s="7" t="s">
        <v>9587</v>
      </c>
      <c r="H3477" s="7" t="s">
        <v>9589</v>
      </c>
      <c r="I3477" s="9">
        <v>45372</v>
      </c>
    </row>
    <row r="3478" spans="1:9" x14ac:dyDescent="0.15">
      <c r="A3478" s="6">
        <v>3477</v>
      </c>
      <c r="B3478" s="7" t="s">
        <v>7</v>
      </c>
      <c r="C3478" s="8">
        <v>1890</v>
      </c>
      <c r="D3478" s="9">
        <v>45449</v>
      </c>
      <c r="E3478" s="13">
        <f>+HYPERLINK("http://trademark.i-assist.jp/data/china/image_1890th/77447215.pdf",77447215)</f>
        <v>77447215</v>
      </c>
      <c r="F3478" s="7" t="s">
        <v>9590</v>
      </c>
      <c r="G3478" s="7" t="s">
        <v>1532</v>
      </c>
      <c r="H3478" s="7" t="s">
        <v>9591</v>
      </c>
      <c r="I3478" s="9">
        <v>45372</v>
      </c>
    </row>
    <row r="3479" spans="1:9" x14ac:dyDescent="0.15">
      <c r="A3479" s="6">
        <v>3478</v>
      </c>
      <c r="B3479" s="7" t="s">
        <v>7</v>
      </c>
      <c r="C3479" s="8">
        <v>1890</v>
      </c>
      <c r="D3479" s="9">
        <v>45449</v>
      </c>
      <c r="E3479" s="13">
        <f>+HYPERLINK("http://trademark.i-assist.jp/data/china/image_1890th/77447318.pdf",77447318)</f>
        <v>77447318</v>
      </c>
      <c r="F3479" s="7" t="s">
        <v>9592</v>
      </c>
      <c r="G3479" s="7" t="s">
        <v>2387</v>
      </c>
      <c r="H3479" s="7" t="s">
        <v>9593</v>
      </c>
      <c r="I3479" s="9">
        <v>45372</v>
      </c>
    </row>
    <row r="3480" spans="1:9" x14ac:dyDescent="0.15">
      <c r="A3480" s="6">
        <v>3479</v>
      </c>
      <c r="B3480" s="7" t="s">
        <v>7</v>
      </c>
      <c r="C3480" s="8">
        <v>1890</v>
      </c>
      <c r="D3480" s="9">
        <v>45449</v>
      </c>
      <c r="E3480" s="13">
        <f>+HYPERLINK("http://trademark.i-assist.jp/data/china/image_1890th/77447583.pdf",77447583)</f>
        <v>77447583</v>
      </c>
      <c r="F3480" s="7" t="s">
        <v>9595</v>
      </c>
      <c r="G3480" s="7" t="s">
        <v>9594</v>
      </c>
      <c r="H3480" s="7" t="s">
        <v>9596</v>
      </c>
      <c r="I3480" s="9">
        <v>45372</v>
      </c>
    </row>
    <row r="3481" spans="1:9" x14ac:dyDescent="0.15">
      <c r="A3481" s="6">
        <v>3480</v>
      </c>
      <c r="B3481" s="7" t="s">
        <v>7</v>
      </c>
      <c r="C3481" s="8">
        <v>1890</v>
      </c>
      <c r="D3481" s="9">
        <v>45449</v>
      </c>
      <c r="E3481" s="13">
        <f>+HYPERLINK("http://trademark.i-assist.jp/data/china/image_1890th/77447619.pdf",77447619)</f>
        <v>77447619</v>
      </c>
      <c r="F3481" s="7" t="s">
        <v>9597</v>
      </c>
      <c r="G3481" s="7" t="s">
        <v>7286</v>
      </c>
      <c r="H3481" s="7" t="s">
        <v>9598</v>
      </c>
      <c r="I3481" s="9">
        <v>45372</v>
      </c>
    </row>
    <row r="3482" spans="1:9" x14ac:dyDescent="0.15">
      <c r="A3482" s="6">
        <v>3481</v>
      </c>
      <c r="B3482" s="7" t="s">
        <v>7</v>
      </c>
      <c r="C3482" s="8">
        <v>1890</v>
      </c>
      <c r="D3482" s="9">
        <v>45449</v>
      </c>
      <c r="E3482" s="13">
        <f>+HYPERLINK("http://trademark.i-assist.jp/data/china/image_1890th/77447764.pdf",77447764)</f>
        <v>77447764</v>
      </c>
      <c r="F3482" s="7" t="s">
        <v>9600</v>
      </c>
      <c r="G3482" s="7" t="s">
        <v>9599</v>
      </c>
      <c r="H3482" s="7" t="s">
        <v>9601</v>
      </c>
      <c r="I3482" s="9">
        <v>45372</v>
      </c>
    </row>
    <row r="3483" spans="1:9" x14ac:dyDescent="0.15">
      <c r="A3483" s="6">
        <v>3482</v>
      </c>
      <c r="B3483" s="7" t="s">
        <v>7</v>
      </c>
      <c r="C3483" s="8">
        <v>1890</v>
      </c>
      <c r="D3483" s="9">
        <v>45449</v>
      </c>
      <c r="E3483" s="13">
        <f>+HYPERLINK("http://trademark.i-assist.jp/data/china/image_1890th/77447768.pdf",77447768)</f>
        <v>77447768</v>
      </c>
      <c r="F3483" s="7" t="s">
        <v>9603</v>
      </c>
      <c r="G3483" s="7" t="s">
        <v>9602</v>
      </c>
      <c r="H3483" s="7" t="s">
        <v>9604</v>
      </c>
      <c r="I3483" s="9">
        <v>45372</v>
      </c>
    </row>
    <row r="3484" spans="1:9" x14ac:dyDescent="0.15">
      <c r="A3484" s="6">
        <v>3483</v>
      </c>
      <c r="B3484" s="7" t="s">
        <v>7</v>
      </c>
      <c r="C3484" s="8">
        <v>1890</v>
      </c>
      <c r="D3484" s="9">
        <v>45449</v>
      </c>
      <c r="E3484" s="13">
        <f>+HYPERLINK("http://trademark.i-assist.jp/data/china/image_1890th/77447810.pdf",77447810)</f>
        <v>77447810</v>
      </c>
      <c r="F3484" s="7" t="s">
        <v>183</v>
      </c>
      <c r="G3484" s="7" t="s">
        <v>9605</v>
      </c>
      <c r="H3484" s="7" t="s">
        <v>9606</v>
      </c>
      <c r="I3484" s="9">
        <v>45372</v>
      </c>
    </row>
    <row r="3485" spans="1:9" ht="27" x14ac:dyDescent="0.15">
      <c r="A3485" s="6">
        <v>3484</v>
      </c>
      <c r="B3485" s="7" t="s">
        <v>7</v>
      </c>
      <c r="C3485" s="8">
        <v>1890</v>
      </c>
      <c r="D3485" s="9">
        <v>45449</v>
      </c>
      <c r="E3485" s="13">
        <f>+HYPERLINK("http://trademark.i-assist.jp/data/china/image_1890th/77448016.pdf",77448016)</f>
        <v>77448016</v>
      </c>
      <c r="F3485" s="7" t="s">
        <v>9608</v>
      </c>
      <c r="G3485" s="7" t="s">
        <v>9607</v>
      </c>
      <c r="H3485" s="7" t="s">
        <v>9609</v>
      </c>
      <c r="I3485" s="9">
        <v>45372</v>
      </c>
    </row>
    <row r="3486" spans="1:9" x14ac:dyDescent="0.15">
      <c r="A3486" s="6">
        <v>3485</v>
      </c>
      <c r="B3486" s="7" t="s">
        <v>7</v>
      </c>
      <c r="C3486" s="8">
        <v>1890</v>
      </c>
      <c r="D3486" s="9">
        <v>45449</v>
      </c>
      <c r="E3486" s="13">
        <f>+HYPERLINK("http://trademark.i-assist.jp/data/china/image_1890th/77448200.pdf",77448200)</f>
        <v>77448200</v>
      </c>
      <c r="F3486" s="7" t="s">
        <v>9611</v>
      </c>
      <c r="G3486" s="7" t="s">
        <v>9610</v>
      </c>
      <c r="H3486" s="7" t="s">
        <v>9612</v>
      </c>
      <c r="I3486" s="9">
        <v>45372</v>
      </c>
    </row>
    <row r="3487" spans="1:9" x14ac:dyDescent="0.15">
      <c r="A3487" s="6">
        <v>3486</v>
      </c>
      <c r="B3487" s="7" t="s">
        <v>7</v>
      </c>
      <c r="C3487" s="8">
        <v>1890</v>
      </c>
      <c r="D3487" s="9">
        <v>45449</v>
      </c>
      <c r="E3487" s="13">
        <f>+HYPERLINK("http://trademark.i-assist.jp/data/china/image_1890th/77448271.pdf",77448271)</f>
        <v>77448271</v>
      </c>
      <c r="F3487" s="7" t="s">
        <v>9613</v>
      </c>
      <c r="G3487" s="7" t="s">
        <v>7064</v>
      </c>
      <c r="H3487" s="7" t="s">
        <v>9614</v>
      </c>
      <c r="I3487" s="9">
        <v>45372</v>
      </c>
    </row>
    <row r="3488" spans="1:9" x14ac:dyDescent="0.15">
      <c r="A3488" s="6">
        <v>3487</v>
      </c>
      <c r="B3488" s="7" t="s">
        <v>7</v>
      </c>
      <c r="C3488" s="8">
        <v>1890</v>
      </c>
      <c r="D3488" s="9">
        <v>45449</v>
      </c>
      <c r="E3488" s="13">
        <f>+HYPERLINK("http://trademark.i-assist.jp/data/china/image_1890th/77448532.pdf",77448532)</f>
        <v>77448532</v>
      </c>
      <c r="F3488" s="7" t="s">
        <v>9616</v>
      </c>
      <c r="G3488" s="7" t="s">
        <v>9615</v>
      </c>
      <c r="H3488" s="7" t="s">
        <v>9617</v>
      </c>
      <c r="I3488" s="9">
        <v>45372</v>
      </c>
    </row>
    <row r="3489" spans="1:9" x14ac:dyDescent="0.15">
      <c r="A3489" s="6">
        <v>3488</v>
      </c>
      <c r="B3489" s="7" t="s">
        <v>7</v>
      </c>
      <c r="C3489" s="8">
        <v>1890</v>
      </c>
      <c r="D3489" s="9">
        <v>45449</v>
      </c>
      <c r="E3489" s="13">
        <f>+HYPERLINK("http://trademark.i-assist.jp/data/china/image_1890th/77448564.pdf",77448564)</f>
        <v>77448564</v>
      </c>
      <c r="F3489" s="7" t="s">
        <v>9619</v>
      </c>
      <c r="G3489" s="7" t="s">
        <v>9618</v>
      </c>
      <c r="H3489" s="7" t="s">
        <v>9620</v>
      </c>
      <c r="I3489" s="9">
        <v>45372</v>
      </c>
    </row>
    <row r="3490" spans="1:9" x14ac:dyDescent="0.15">
      <c r="A3490" s="6">
        <v>3489</v>
      </c>
      <c r="B3490" s="7" t="s">
        <v>7</v>
      </c>
      <c r="C3490" s="8">
        <v>1890</v>
      </c>
      <c r="D3490" s="9">
        <v>45449</v>
      </c>
      <c r="E3490" s="13">
        <f>+HYPERLINK("http://trademark.i-assist.jp/data/china/image_1890th/77448901.pdf",77448901)</f>
        <v>77448901</v>
      </c>
      <c r="F3490" s="7" t="s">
        <v>9622</v>
      </c>
      <c r="G3490" s="7" t="s">
        <v>9621</v>
      </c>
      <c r="H3490" s="7" t="s">
        <v>9623</v>
      </c>
      <c r="I3490" s="9">
        <v>45372</v>
      </c>
    </row>
    <row r="3491" spans="1:9" ht="27" x14ac:dyDescent="0.15">
      <c r="A3491" s="6">
        <v>3490</v>
      </c>
      <c r="B3491" s="7" t="s">
        <v>7</v>
      </c>
      <c r="C3491" s="8">
        <v>1890</v>
      </c>
      <c r="D3491" s="9">
        <v>45449</v>
      </c>
      <c r="E3491" s="13">
        <f>+HYPERLINK("http://trademark.i-assist.jp/data/china/image_1890th/77449160.pdf",77449160)</f>
        <v>77449160</v>
      </c>
      <c r="F3491" s="7" t="s">
        <v>9625</v>
      </c>
      <c r="G3491" s="7" t="s">
        <v>9624</v>
      </c>
      <c r="H3491" s="7" t="s">
        <v>9626</v>
      </c>
      <c r="I3491" s="9">
        <v>45372</v>
      </c>
    </row>
    <row r="3492" spans="1:9" x14ac:dyDescent="0.15">
      <c r="A3492" s="6">
        <v>3491</v>
      </c>
      <c r="B3492" s="7" t="s">
        <v>7</v>
      </c>
      <c r="C3492" s="8">
        <v>1890</v>
      </c>
      <c r="D3492" s="9">
        <v>45449</v>
      </c>
      <c r="E3492" s="13">
        <f>+HYPERLINK("http://trademark.i-assist.jp/data/china/image_1890th/77453718.pdf",77453718)</f>
        <v>77453718</v>
      </c>
      <c r="F3492" s="7" t="s">
        <v>9627</v>
      </c>
      <c r="G3492" s="7" t="s">
        <v>1516</v>
      </c>
      <c r="H3492" s="7" t="s">
        <v>9628</v>
      </c>
      <c r="I3492" s="9">
        <v>45372</v>
      </c>
    </row>
    <row r="3493" spans="1:9" x14ac:dyDescent="0.15">
      <c r="A3493" s="6">
        <v>3492</v>
      </c>
      <c r="B3493" s="7" t="s">
        <v>7</v>
      </c>
      <c r="C3493" s="8">
        <v>1890</v>
      </c>
      <c r="D3493" s="9">
        <v>45449</v>
      </c>
      <c r="E3493" s="13">
        <f>+HYPERLINK("http://trademark.i-assist.jp/data/china/image_1890th/77453780.pdf",77453780)</f>
        <v>77453780</v>
      </c>
      <c r="F3493" s="7" t="s">
        <v>9630</v>
      </c>
      <c r="G3493" s="7" t="s">
        <v>9629</v>
      </c>
      <c r="H3493" s="7" t="s">
        <v>9631</v>
      </c>
      <c r="I3493" s="9">
        <v>45372</v>
      </c>
    </row>
    <row r="3494" spans="1:9" x14ac:dyDescent="0.15">
      <c r="A3494" s="6">
        <v>3493</v>
      </c>
      <c r="B3494" s="7" t="s">
        <v>7</v>
      </c>
      <c r="C3494" s="8">
        <v>1890</v>
      </c>
      <c r="D3494" s="9">
        <v>45449</v>
      </c>
      <c r="E3494" s="13">
        <f>+HYPERLINK("http://trademark.i-assist.jp/data/china/image_1890th/77453879.pdf",77453879)</f>
        <v>77453879</v>
      </c>
      <c r="F3494" s="7" t="s">
        <v>9632</v>
      </c>
      <c r="G3494" s="7" t="s">
        <v>5256</v>
      </c>
      <c r="H3494" s="7" t="s">
        <v>3989</v>
      </c>
      <c r="I3494" s="9">
        <v>45372</v>
      </c>
    </row>
    <row r="3495" spans="1:9" x14ac:dyDescent="0.15">
      <c r="A3495" s="6">
        <v>3494</v>
      </c>
      <c r="B3495" s="7" t="s">
        <v>7</v>
      </c>
      <c r="C3495" s="8">
        <v>1890</v>
      </c>
      <c r="D3495" s="9">
        <v>45449</v>
      </c>
      <c r="E3495" s="13">
        <f>+HYPERLINK("http://trademark.i-assist.jp/data/china/image_1890th/77453986.pdf",77453986)</f>
        <v>77453986</v>
      </c>
      <c r="F3495" s="7" t="s">
        <v>9633</v>
      </c>
      <c r="G3495" s="7" t="s">
        <v>1489</v>
      </c>
      <c r="H3495" s="7" t="s">
        <v>9634</v>
      </c>
      <c r="I3495" s="9">
        <v>45372</v>
      </c>
    </row>
    <row r="3496" spans="1:9" x14ac:dyDescent="0.15">
      <c r="A3496" s="6">
        <v>3495</v>
      </c>
      <c r="B3496" s="7" t="s">
        <v>7</v>
      </c>
      <c r="C3496" s="8">
        <v>1890</v>
      </c>
      <c r="D3496" s="9">
        <v>45449</v>
      </c>
      <c r="E3496" s="13">
        <f>+HYPERLINK("http://trademark.i-assist.jp/data/china/image_1890th/77454058.pdf",77454058)</f>
        <v>77454058</v>
      </c>
      <c r="F3496" s="7" t="s">
        <v>9636</v>
      </c>
      <c r="G3496" s="7" t="s">
        <v>9635</v>
      </c>
      <c r="H3496" s="7" t="s">
        <v>9637</v>
      </c>
      <c r="I3496" s="9">
        <v>45372</v>
      </c>
    </row>
    <row r="3497" spans="1:9" x14ac:dyDescent="0.15">
      <c r="A3497" s="6">
        <v>3496</v>
      </c>
      <c r="B3497" s="7" t="s">
        <v>7</v>
      </c>
      <c r="C3497" s="8">
        <v>1890</v>
      </c>
      <c r="D3497" s="9">
        <v>45449</v>
      </c>
      <c r="E3497" s="13">
        <f>+HYPERLINK("http://trademark.i-assist.jp/data/china/image_1890th/77454097.pdf",77454097)</f>
        <v>77454097</v>
      </c>
      <c r="F3497" s="7" t="s">
        <v>9639</v>
      </c>
      <c r="G3497" s="7" t="s">
        <v>9638</v>
      </c>
      <c r="H3497" s="7" t="s">
        <v>9640</v>
      </c>
      <c r="I3497" s="9">
        <v>45372</v>
      </c>
    </row>
    <row r="3498" spans="1:9" x14ac:dyDescent="0.15">
      <c r="A3498" s="6">
        <v>3497</v>
      </c>
      <c r="B3498" s="7" t="s">
        <v>7</v>
      </c>
      <c r="C3498" s="8">
        <v>1890</v>
      </c>
      <c r="D3498" s="9">
        <v>45449</v>
      </c>
      <c r="E3498" s="13">
        <f>+HYPERLINK("http://trademark.i-assist.jp/data/china/image_1890th/77454153.pdf",77454153)</f>
        <v>77454153</v>
      </c>
      <c r="F3498" s="7" t="s">
        <v>9642</v>
      </c>
      <c r="G3498" s="7" t="s">
        <v>9641</v>
      </c>
      <c r="H3498" s="7" t="s">
        <v>9643</v>
      </c>
      <c r="I3498" s="9">
        <v>45372</v>
      </c>
    </row>
    <row r="3499" spans="1:9" x14ac:dyDescent="0.15">
      <c r="A3499" s="6">
        <v>3498</v>
      </c>
      <c r="B3499" s="7" t="s">
        <v>7</v>
      </c>
      <c r="C3499" s="8">
        <v>1890</v>
      </c>
      <c r="D3499" s="9">
        <v>45449</v>
      </c>
      <c r="E3499" s="13">
        <f>+HYPERLINK("http://trademark.i-assist.jp/data/china/image_1890th/77454179.pdf",77454179)</f>
        <v>77454179</v>
      </c>
      <c r="F3499" s="7" t="s">
        <v>9644</v>
      </c>
      <c r="G3499" s="7" t="s">
        <v>6987</v>
      </c>
      <c r="H3499" s="7" t="s">
        <v>9645</v>
      </c>
      <c r="I3499" s="9">
        <v>45372</v>
      </c>
    </row>
    <row r="3500" spans="1:9" x14ac:dyDescent="0.15">
      <c r="A3500" s="6">
        <v>3499</v>
      </c>
      <c r="B3500" s="7" t="s">
        <v>7</v>
      </c>
      <c r="C3500" s="8">
        <v>1890</v>
      </c>
      <c r="D3500" s="9">
        <v>45449</v>
      </c>
      <c r="E3500" s="13">
        <f>+HYPERLINK("http://trademark.i-assist.jp/data/china/image_1890th/77454206.pdf",77454206)</f>
        <v>77454206</v>
      </c>
      <c r="F3500" s="7" t="s">
        <v>9646</v>
      </c>
      <c r="G3500" s="7" t="s">
        <v>6987</v>
      </c>
      <c r="H3500" s="7" t="s">
        <v>9647</v>
      </c>
      <c r="I3500" s="9">
        <v>45372</v>
      </c>
    </row>
    <row r="3501" spans="1:9" x14ac:dyDescent="0.15">
      <c r="A3501" s="6">
        <v>3500</v>
      </c>
      <c r="B3501" s="7" t="s">
        <v>7</v>
      </c>
      <c r="C3501" s="8">
        <v>1890</v>
      </c>
      <c r="D3501" s="9">
        <v>45449</v>
      </c>
      <c r="E3501" s="13">
        <f>+HYPERLINK("http://trademark.i-assist.jp/data/china/image_1890th/77454246.pdf",77454246)</f>
        <v>77454246</v>
      </c>
      <c r="F3501" s="7" t="s">
        <v>9648</v>
      </c>
      <c r="G3501" s="7" t="s">
        <v>6592</v>
      </c>
      <c r="H3501" s="7" t="s">
        <v>9649</v>
      </c>
      <c r="I3501" s="9">
        <v>45372</v>
      </c>
    </row>
    <row r="3502" spans="1:9" x14ac:dyDescent="0.15">
      <c r="A3502" s="6">
        <v>3501</v>
      </c>
      <c r="B3502" s="7" t="s">
        <v>7</v>
      </c>
      <c r="C3502" s="8">
        <v>1890</v>
      </c>
      <c r="D3502" s="9">
        <v>45449</v>
      </c>
      <c r="E3502" s="13">
        <f>+HYPERLINK("http://trademark.i-assist.jp/data/china/image_1890th/77454291.pdf",77454291)</f>
        <v>77454291</v>
      </c>
      <c r="F3502" s="7" t="s">
        <v>9651</v>
      </c>
      <c r="G3502" s="7" t="s">
        <v>9650</v>
      </c>
      <c r="H3502" s="7" t="s">
        <v>9652</v>
      </c>
      <c r="I3502" s="9">
        <v>45372</v>
      </c>
    </row>
    <row r="3503" spans="1:9" x14ac:dyDescent="0.15">
      <c r="A3503" s="6">
        <v>3502</v>
      </c>
      <c r="B3503" s="7" t="s">
        <v>7</v>
      </c>
      <c r="C3503" s="8">
        <v>1890</v>
      </c>
      <c r="D3503" s="9">
        <v>45449</v>
      </c>
      <c r="E3503" s="13">
        <f>+HYPERLINK("http://trademark.i-assist.jp/data/china/image_1890th/77457286.pdf",77457286)</f>
        <v>77457286</v>
      </c>
      <c r="F3503" s="7" t="s">
        <v>9654</v>
      </c>
      <c r="G3503" s="7" t="s">
        <v>9653</v>
      </c>
      <c r="H3503" s="7" t="s">
        <v>9655</v>
      </c>
      <c r="I3503" s="9">
        <v>45372</v>
      </c>
    </row>
    <row r="3504" spans="1:9" x14ac:dyDescent="0.15">
      <c r="A3504" s="6">
        <v>3503</v>
      </c>
      <c r="B3504" s="7" t="s">
        <v>7</v>
      </c>
      <c r="C3504" s="8">
        <v>1890</v>
      </c>
      <c r="D3504" s="9">
        <v>45449</v>
      </c>
      <c r="E3504" s="13">
        <f>+HYPERLINK("http://trademark.i-assist.jp/data/china/image_1890th/77457310.pdf",77457310)</f>
        <v>77457310</v>
      </c>
      <c r="F3504" s="7" t="s">
        <v>9657</v>
      </c>
      <c r="G3504" s="7" t="s">
        <v>9656</v>
      </c>
      <c r="H3504" s="7" t="s">
        <v>9658</v>
      </c>
      <c r="I3504" s="9">
        <v>45372</v>
      </c>
    </row>
    <row r="3505" spans="1:9" x14ac:dyDescent="0.15">
      <c r="A3505" s="6">
        <v>3504</v>
      </c>
      <c r="B3505" s="7" t="s">
        <v>7</v>
      </c>
      <c r="C3505" s="8">
        <v>1890</v>
      </c>
      <c r="D3505" s="9">
        <v>45449</v>
      </c>
      <c r="E3505" s="13">
        <f>+HYPERLINK("http://trademark.i-assist.jp/data/china/image_1890th/77457401.pdf",77457401)</f>
        <v>77457401</v>
      </c>
      <c r="F3505" s="7" t="s">
        <v>9659</v>
      </c>
      <c r="G3505" s="7" t="s">
        <v>1532</v>
      </c>
      <c r="H3505" s="7" t="s">
        <v>9660</v>
      </c>
      <c r="I3505" s="9">
        <v>45372</v>
      </c>
    </row>
    <row r="3506" spans="1:9" x14ac:dyDescent="0.15">
      <c r="A3506" s="6">
        <v>3505</v>
      </c>
      <c r="B3506" s="7" t="s">
        <v>7</v>
      </c>
      <c r="C3506" s="8">
        <v>1890</v>
      </c>
      <c r="D3506" s="9">
        <v>45449</v>
      </c>
      <c r="E3506" s="13">
        <f>+HYPERLINK("http://trademark.i-assist.jp/data/china/image_1890th/77457440.pdf",77457440)</f>
        <v>77457440</v>
      </c>
      <c r="F3506" s="7" t="s">
        <v>9662</v>
      </c>
      <c r="G3506" s="7" t="s">
        <v>9661</v>
      </c>
      <c r="H3506" s="7" t="s">
        <v>9663</v>
      </c>
      <c r="I3506" s="9">
        <v>45372</v>
      </c>
    </row>
    <row r="3507" spans="1:9" x14ac:dyDescent="0.15">
      <c r="A3507" s="6">
        <v>3506</v>
      </c>
      <c r="B3507" s="7" t="s">
        <v>7</v>
      </c>
      <c r="C3507" s="8">
        <v>1890</v>
      </c>
      <c r="D3507" s="9">
        <v>45449</v>
      </c>
      <c r="E3507" s="13">
        <f>+HYPERLINK("http://trademark.i-assist.jp/data/china/image_1890th/77457457.pdf",77457457)</f>
        <v>77457457</v>
      </c>
      <c r="F3507" s="7" t="s">
        <v>9665</v>
      </c>
      <c r="G3507" s="7" t="s">
        <v>9664</v>
      </c>
      <c r="H3507" s="7" t="s">
        <v>9666</v>
      </c>
      <c r="I3507" s="9">
        <v>45372</v>
      </c>
    </row>
    <row r="3508" spans="1:9" ht="27" x14ac:dyDescent="0.15">
      <c r="A3508" s="6">
        <v>3507</v>
      </c>
      <c r="B3508" s="7" t="s">
        <v>7</v>
      </c>
      <c r="C3508" s="8">
        <v>1890</v>
      </c>
      <c r="D3508" s="9">
        <v>45449</v>
      </c>
      <c r="E3508" s="13">
        <f>+HYPERLINK("http://trademark.i-assist.jp/data/china/image_1890th/77457592.pdf",77457592)</f>
        <v>77457592</v>
      </c>
      <c r="F3508" s="7" t="s">
        <v>9668</v>
      </c>
      <c r="G3508" s="7" t="s">
        <v>9667</v>
      </c>
      <c r="H3508" s="7" t="s">
        <v>9669</v>
      </c>
      <c r="I3508" s="9">
        <v>45372</v>
      </c>
    </row>
    <row r="3509" spans="1:9" x14ac:dyDescent="0.15">
      <c r="A3509" s="6">
        <v>3508</v>
      </c>
      <c r="B3509" s="7" t="s">
        <v>7</v>
      </c>
      <c r="C3509" s="8">
        <v>1890</v>
      </c>
      <c r="D3509" s="9">
        <v>45449</v>
      </c>
      <c r="E3509" s="13">
        <f>+HYPERLINK("http://trademark.i-assist.jp/data/china/image_1890th/77457657.pdf",77457657)</f>
        <v>77457657</v>
      </c>
      <c r="F3509" s="7" t="s">
        <v>9670</v>
      </c>
      <c r="G3509" s="7" t="s">
        <v>4693</v>
      </c>
      <c r="H3509" s="7" t="s">
        <v>9671</v>
      </c>
      <c r="I3509" s="9">
        <v>45372</v>
      </c>
    </row>
    <row r="3510" spans="1:9" x14ac:dyDescent="0.15">
      <c r="A3510" s="6">
        <v>3509</v>
      </c>
      <c r="B3510" s="7" t="s">
        <v>7</v>
      </c>
      <c r="C3510" s="8">
        <v>1890</v>
      </c>
      <c r="D3510" s="9">
        <v>45449</v>
      </c>
      <c r="E3510" s="13">
        <f>+HYPERLINK("http://trademark.i-assist.jp/data/china/image_1890th/77457737.pdf",77457737)</f>
        <v>77457737</v>
      </c>
      <c r="F3510" s="7" t="s">
        <v>9673</v>
      </c>
      <c r="G3510" s="7" t="s">
        <v>9672</v>
      </c>
      <c r="H3510" s="7" t="s">
        <v>9674</v>
      </c>
      <c r="I3510" s="9">
        <v>45372</v>
      </c>
    </row>
    <row r="3511" spans="1:9" x14ac:dyDescent="0.15">
      <c r="A3511" s="6">
        <v>3510</v>
      </c>
      <c r="B3511" s="7" t="s">
        <v>7</v>
      </c>
      <c r="C3511" s="8">
        <v>1890</v>
      </c>
      <c r="D3511" s="9">
        <v>45449</v>
      </c>
      <c r="E3511" s="13">
        <f>+HYPERLINK("http://trademark.i-assist.jp/data/china/image_1890th/77457747.pdf",77457747)</f>
        <v>77457747</v>
      </c>
      <c r="F3511" s="7" t="s">
        <v>9675</v>
      </c>
      <c r="G3511" s="7" t="s">
        <v>9650</v>
      </c>
      <c r="H3511" s="7" t="s">
        <v>9676</v>
      </c>
      <c r="I3511" s="9">
        <v>45372</v>
      </c>
    </row>
    <row r="3512" spans="1:9" x14ac:dyDescent="0.15">
      <c r="A3512" s="6">
        <v>3511</v>
      </c>
      <c r="B3512" s="7" t="s">
        <v>7</v>
      </c>
      <c r="C3512" s="8">
        <v>1890</v>
      </c>
      <c r="D3512" s="9">
        <v>45449</v>
      </c>
      <c r="E3512" s="13">
        <f>+HYPERLINK("http://trademark.i-assist.jp/data/china/image_1890th/77457772.pdf",77457772)</f>
        <v>77457772</v>
      </c>
      <c r="F3512" s="7" t="s">
        <v>9678</v>
      </c>
      <c r="G3512" s="7" t="s">
        <v>9677</v>
      </c>
      <c r="H3512" s="7" t="s">
        <v>9679</v>
      </c>
      <c r="I3512" s="9">
        <v>45372</v>
      </c>
    </row>
    <row r="3513" spans="1:9" x14ac:dyDescent="0.15">
      <c r="A3513" s="6">
        <v>3512</v>
      </c>
      <c r="B3513" s="7" t="s">
        <v>7</v>
      </c>
      <c r="C3513" s="8">
        <v>1890</v>
      </c>
      <c r="D3513" s="9">
        <v>45449</v>
      </c>
      <c r="E3513" s="13">
        <f>+HYPERLINK("http://trademark.i-assist.jp/data/china/image_1890th/77458036.pdf",77458036)</f>
        <v>77458036</v>
      </c>
      <c r="F3513" s="7" t="s">
        <v>9681</v>
      </c>
      <c r="G3513" s="7" t="s">
        <v>9680</v>
      </c>
      <c r="H3513" s="7" t="s">
        <v>9682</v>
      </c>
      <c r="I3513" s="9">
        <v>45372</v>
      </c>
    </row>
    <row r="3514" spans="1:9" x14ac:dyDescent="0.15">
      <c r="A3514" s="6">
        <v>3513</v>
      </c>
      <c r="B3514" s="7" t="s">
        <v>7</v>
      </c>
      <c r="C3514" s="8">
        <v>1890</v>
      </c>
      <c r="D3514" s="9">
        <v>45449</v>
      </c>
      <c r="E3514" s="13">
        <f>+HYPERLINK("http://trademark.i-assist.jp/data/china/image_1890th/77458259.pdf",77458259)</f>
        <v>77458259</v>
      </c>
      <c r="F3514" s="7" t="s">
        <v>9684</v>
      </c>
      <c r="G3514" s="7" t="s">
        <v>9683</v>
      </c>
      <c r="H3514" s="7" t="s">
        <v>9685</v>
      </c>
      <c r="I3514" s="9">
        <v>45372</v>
      </c>
    </row>
    <row r="3515" spans="1:9" x14ac:dyDescent="0.15">
      <c r="A3515" s="6">
        <v>3514</v>
      </c>
      <c r="B3515" s="7" t="s">
        <v>7</v>
      </c>
      <c r="C3515" s="8">
        <v>1890</v>
      </c>
      <c r="D3515" s="9">
        <v>45449</v>
      </c>
      <c r="E3515" s="13">
        <f>+HYPERLINK("http://trademark.i-assist.jp/data/china/image_1890th/77458312.pdf",77458312)</f>
        <v>77458312</v>
      </c>
      <c r="F3515" s="7" t="s">
        <v>9687</v>
      </c>
      <c r="G3515" s="7" t="s">
        <v>9686</v>
      </c>
      <c r="H3515" s="7" t="s">
        <v>9688</v>
      </c>
      <c r="I3515" s="9">
        <v>45372</v>
      </c>
    </row>
    <row r="3516" spans="1:9" x14ac:dyDescent="0.15">
      <c r="A3516" s="6">
        <v>3515</v>
      </c>
      <c r="B3516" s="7" t="s">
        <v>7</v>
      </c>
      <c r="C3516" s="8">
        <v>1890</v>
      </c>
      <c r="D3516" s="9">
        <v>45449</v>
      </c>
      <c r="E3516" s="13">
        <f>+HYPERLINK("http://trademark.i-assist.jp/data/china/image_1890th/77458338.pdf",77458338)</f>
        <v>77458338</v>
      </c>
      <c r="F3516" s="7" t="s">
        <v>9690</v>
      </c>
      <c r="G3516" s="7" t="s">
        <v>9689</v>
      </c>
      <c r="H3516" s="7" t="s">
        <v>9691</v>
      </c>
      <c r="I3516" s="9">
        <v>45372</v>
      </c>
    </row>
    <row r="3517" spans="1:9" x14ac:dyDescent="0.15">
      <c r="A3517" s="6">
        <v>3516</v>
      </c>
      <c r="B3517" s="7" t="s">
        <v>7</v>
      </c>
      <c r="C3517" s="8">
        <v>1890</v>
      </c>
      <c r="D3517" s="9">
        <v>45449</v>
      </c>
      <c r="E3517" s="13">
        <f>+HYPERLINK("http://trademark.i-assist.jp/data/china/image_1890th/77458695.pdf",77458695)</f>
        <v>77458695</v>
      </c>
      <c r="F3517" s="7" t="s">
        <v>9693</v>
      </c>
      <c r="G3517" s="7" t="s">
        <v>9692</v>
      </c>
      <c r="H3517" s="7" t="s">
        <v>9694</v>
      </c>
      <c r="I3517" s="9">
        <v>45372</v>
      </c>
    </row>
    <row r="3518" spans="1:9" x14ac:dyDescent="0.15">
      <c r="A3518" s="6">
        <v>3517</v>
      </c>
      <c r="B3518" s="7" t="s">
        <v>7</v>
      </c>
      <c r="C3518" s="8">
        <v>1890</v>
      </c>
      <c r="D3518" s="9">
        <v>45449</v>
      </c>
      <c r="E3518" s="13">
        <f>+HYPERLINK("http://trademark.i-assist.jp/data/china/image_1890th/77458754.pdf",77458754)</f>
        <v>77458754</v>
      </c>
      <c r="F3518" s="7" t="s">
        <v>9695</v>
      </c>
      <c r="G3518" s="7" t="s">
        <v>1516</v>
      </c>
      <c r="H3518" s="7" t="s">
        <v>9696</v>
      </c>
      <c r="I3518" s="9">
        <v>45372</v>
      </c>
    </row>
    <row r="3519" spans="1:9" x14ac:dyDescent="0.15">
      <c r="A3519" s="6">
        <v>3518</v>
      </c>
      <c r="B3519" s="7" t="s">
        <v>7</v>
      </c>
      <c r="C3519" s="8">
        <v>1890</v>
      </c>
      <c r="D3519" s="9">
        <v>45449</v>
      </c>
      <c r="E3519" s="13">
        <f>+HYPERLINK("http://trademark.i-assist.jp/data/china/image_1890th/77458837.pdf",77458837)</f>
        <v>77458837</v>
      </c>
      <c r="F3519" s="7" t="s">
        <v>9698</v>
      </c>
      <c r="G3519" s="7" t="s">
        <v>9697</v>
      </c>
      <c r="H3519" s="7" t="s">
        <v>9699</v>
      </c>
      <c r="I3519" s="9">
        <v>45372</v>
      </c>
    </row>
    <row r="3520" spans="1:9" x14ac:dyDescent="0.15">
      <c r="A3520" s="6">
        <v>3519</v>
      </c>
      <c r="B3520" s="7" t="s">
        <v>7</v>
      </c>
      <c r="C3520" s="8">
        <v>1890</v>
      </c>
      <c r="D3520" s="9">
        <v>45449</v>
      </c>
      <c r="E3520" s="13">
        <f>+HYPERLINK("http://trademark.i-assist.jp/data/china/image_1890th/77458905.pdf",77458905)</f>
        <v>77458905</v>
      </c>
      <c r="F3520" s="7" t="s">
        <v>9701</v>
      </c>
      <c r="G3520" s="7" t="s">
        <v>9700</v>
      </c>
      <c r="H3520" s="7" t="s">
        <v>9702</v>
      </c>
      <c r="I3520" s="9">
        <v>45372</v>
      </c>
    </row>
    <row r="3521" spans="1:9" x14ac:dyDescent="0.15">
      <c r="A3521" s="6">
        <v>3520</v>
      </c>
      <c r="B3521" s="7" t="s">
        <v>7</v>
      </c>
      <c r="C3521" s="8">
        <v>1890</v>
      </c>
      <c r="D3521" s="9">
        <v>45449</v>
      </c>
      <c r="E3521" s="13">
        <f>+HYPERLINK("http://trademark.i-assist.jp/data/china/image_1890th/77458932.pdf",77458932)</f>
        <v>77458932</v>
      </c>
      <c r="F3521" s="7" t="s">
        <v>183</v>
      </c>
      <c r="G3521" s="7" t="s">
        <v>9703</v>
      </c>
      <c r="H3521" s="7" t="s">
        <v>9704</v>
      </c>
      <c r="I3521" s="9">
        <v>45372</v>
      </c>
    </row>
    <row r="3522" spans="1:9" x14ac:dyDescent="0.15">
      <c r="A3522" s="6">
        <v>3521</v>
      </c>
      <c r="B3522" s="7" t="s">
        <v>7</v>
      </c>
      <c r="C3522" s="8">
        <v>1890</v>
      </c>
      <c r="D3522" s="9">
        <v>45449</v>
      </c>
      <c r="E3522" s="13">
        <f>+HYPERLINK("http://trademark.i-assist.jp/data/china/image_1890th/77459082.pdf",77459082)</f>
        <v>77459082</v>
      </c>
      <c r="F3522" s="7" t="s">
        <v>9706</v>
      </c>
      <c r="G3522" s="7" t="s">
        <v>9705</v>
      </c>
      <c r="H3522" s="7" t="s">
        <v>9707</v>
      </c>
      <c r="I3522" s="9">
        <v>45372</v>
      </c>
    </row>
    <row r="3523" spans="1:9" x14ac:dyDescent="0.15">
      <c r="A3523" s="6">
        <v>3522</v>
      </c>
      <c r="B3523" s="7" t="s">
        <v>7</v>
      </c>
      <c r="C3523" s="8">
        <v>1890</v>
      </c>
      <c r="D3523" s="9">
        <v>45449</v>
      </c>
      <c r="E3523" s="13">
        <f>+HYPERLINK("http://trademark.i-assist.jp/data/china/image_1890th/77459092.pdf",77459092)</f>
        <v>77459092</v>
      </c>
      <c r="F3523" s="7" t="s">
        <v>9709</v>
      </c>
      <c r="G3523" s="7" t="s">
        <v>9708</v>
      </c>
      <c r="H3523" s="7" t="s">
        <v>9710</v>
      </c>
      <c r="I3523" s="9">
        <v>45372</v>
      </c>
    </row>
    <row r="3524" spans="1:9" x14ac:dyDescent="0.15">
      <c r="A3524" s="6">
        <v>3523</v>
      </c>
      <c r="B3524" s="7" t="s">
        <v>7</v>
      </c>
      <c r="C3524" s="8">
        <v>1890</v>
      </c>
      <c r="D3524" s="9">
        <v>45449</v>
      </c>
      <c r="E3524" s="13">
        <f>+HYPERLINK("http://trademark.i-assist.jp/data/china/image_1890th/77459130.pdf",77459130)</f>
        <v>77459130</v>
      </c>
      <c r="F3524" s="7" t="s">
        <v>9711</v>
      </c>
      <c r="G3524" s="7" t="s">
        <v>1532</v>
      </c>
      <c r="H3524" s="7" t="s">
        <v>9712</v>
      </c>
      <c r="I3524" s="9">
        <v>45372</v>
      </c>
    </row>
    <row r="3525" spans="1:9" x14ac:dyDescent="0.15">
      <c r="A3525" s="6">
        <v>3524</v>
      </c>
      <c r="B3525" s="7" t="s">
        <v>7</v>
      </c>
      <c r="C3525" s="8">
        <v>1890</v>
      </c>
      <c r="D3525" s="9">
        <v>45449</v>
      </c>
      <c r="E3525" s="13">
        <f>+HYPERLINK("http://trademark.i-assist.jp/data/china/image_1890th/77459177.pdf",77459177)</f>
        <v>77459177</v>
      </c>
      <c r="F3525" s="7" t="s">
        <v>9714</v>
      </c>
      <c r="G3525" s="7" t="s">
        <v>9713</v>
      </c>
      <c r="H3525" s="7" t="s">
        <v>9715</v>
      </c>
      <c r="I3525" s="9">
        <v>45372</v>
      </c>
    </row>
    <row r="3526" spans="1:9" x14ac:dyDescent="0.15">
      <c r="A3526" s="6">
        <v>3525</v>
      </c>
      <c r="B3526" s="7" t="s">
        <v>7</v>
      </c>
      <c r="C3526" s="8">
        <v>1890</v>
      </c>
      <c r="D3526" s="9">
        <v>45449</v>
      </c>
      <c r="E3526" s="13">
        <f>+HYPERLINK("http://trademark.i-assist.jp/data/china/image_1890th/77459196.pdf",77459196)</f>
        <v>77459196</v>
      </c>
      <c r="F3526" s="7" t="s">
        <v>9717</v>
      </c>
      <c r="G3526" s="7" t="s">
        <v>9716</v>
      </c>
      <c r="H3526" s="7" t="s">
        <v>9718</v>
      </c>
      <c r="I3526" s="9">
        <v>45372</v>
      </c>
    </row>
    <row r="3527" spans="1:9" x14ac:dyDescent="0.15">
      <c r="A3527" s="6">
        <v>3526</v>
      </c>
      <c r="B3527" s="7" t="s">
        <v>7</v>
      </c>
      <c r="C3527" s="8">
        <v>1890</v>
      </c>
      <c r="D3527" s="9">
        <v>45449</v>
      </c>
      <c r="E3527" s="13">
        <f>+HYPERLINK("http://trademark.i-assist.jp/data/china/image_1890th/77459311.pdf",77459311)</f>
        <v>77459311</v>
      </c>
      <c r="F3527" s="7" t="s">
        <v>9719</v>
      </c>
      <c r="G3527" s="7" t="s">
        <v>2387</v>
      </c>
      <c r="H3527" s="7" t="s">
        <v>9720</v>
      </c>
      <c r="I3527" s="9">
        <v>45372</v>
      </c>
    </row>
    <row r="3528" spans="1:9" x14ac:dyDescent="0.15">
      <c r="A3528" s="6">
        <v>3527</v>
      </c>
      <c r="B3528" s="7" t="s">
        <v>7</v>
      </c>
      <c r="C3528" s="8">
        <v>1890</v>
      </c>
      <c r="D3528" s="9">
        <v>45449</v>
      </c>
      <c r="E3528" s="13">
        <f>+HYPERLINK("http://trademark.i-assist.jp/data/china/image_1890th/77459476.pdf",77459476)</f>
        <v>77459476</v>
      </c>
      <c r="F3528" s="7" t="s">
        <v>183</v>
      </c>
      <c r="G3528" s="7" t="s">
        <v>9721</v>
      </c>
      <c r="H3528" s="7" t="s">
        <v>9722</v>
      </c>
      <c r="I3528" s="9">
        <v>45372</v>
      </c>
    </row>
    <row r="3529" spans="1:9" x14ac:dyDescent="0.15">
      <c r="A3529" s="6">
        <v>3528</v>
      </c>
      <c r="B3529" s="7" t="s">
        <v>7</v>
      </c>
      <c r="C3529" s="8">
        <v>1890</v>
      </c>
      <c r="D3529" s="9">
        <v>45449</v>
      </c>
      <c r="E3529" s="13">
        <f>+HYPERLINK("http://trademark.i-assist.jp/data/china/image_1890th/77459523.pdf",77459523)</f>
        <v>77459523</v>
      </c>
      <c r="F3529" s="7" t="s">
        <v>9724</v>
      </c>
      <c r="G3529" s="7" t="s">
        <v>9723</v>
      </c>
      <c r="H3529" s="7" t="s">
        <v>9725</v>
      </c>
      <c r="I3529" s="9">
        <v>45372</v>
      </c>
    </row>
    <row r="3530" spans="1:9" ht="27" x14ac:dyDescent="0.15">
      <c r="A3530" s="6">
        <v>3529</v>
      </c>
      <c r="B3530" s="7" t="s">
        <v>7</v>
      </c>
      <c r="C3530" s="8">
        <v>1890</v>
      </c>
      <c r="D3530" s="9">
        <v>45449</v>
      </c>
      <c r="E3530" s="13">
        <f>+HYPERLINK("http://trademark.i-assist.jp/data/china/image_1890th/77460191.pdf",77460191)</f>
        <v>77460191</v>
      </c>
      <c r="F3530" s="7" t="s">
        <v>183</v>
      </c>
      <c r="G3530" s="7" t="s">
        <v>9726</v>
      </c>
      <c r="H3530" s="7" t="s">
        <v>9727</v>
      </c>
      <c r="I3530" s="9">
        <v>45372</v>
      </c>
    </row>
    <row r="3531" spans="1:9" x14ac:dyDescent="0.15">
      <c r="A3531" s="6">
        <v>3530</v>
      </c>
      <c r="B3531" s="7" t="s">
        <v>7</v>
      </c>
      <c r="C3531" s="8">
        <v>1890</v>
      </c>
      <c r="D3531" s="9">
        <v>45449</v>
      </c>
      <c r="E3531" s="13">
        <f>+HYPERLINK("http://trademark.i-assist.jp/data/china/image_1890th/77460193.pdf",77460193)</f>
        <v>77460193</v>
      </c>
      <c r="F3531" s="7" t="s">
        <v>9729</v>
      </c>
      <c r="G3531" s="7" t="s">
        <v>9728</v>
      </c>
      <c r="H3531" s="7" t="s">
        <v>9730</v>
      </c>
      <c r="I3531" s="9">
        <v>45372</v>
      </c>
    </row>
    <row r="3532" spans="1:9" x14ac:dyDescent="0.15">
      <c r="A3532" s="6">
        <v>3531</v>
      </c>
      <c r="B3532" s="7" t="s">
        <v>7</v>
      </c>
      <c r="C3532" s="8">
        <v>1890</v>
      </c>
      <c r="D3532" s="9">
        <v>45449</v>
      </c>
      <c r="E3532" s="13">
        <f>+HYPERLINK("http://trademark.i-assist.jp/data/china/image_1890th/77460198.pdf",77460198)</f>
        <v>77460198</v>
      </c>
      <c r="F3532" s="7" t="s">
        <v>9732</v>
      </c>
      <c r="G3532" s="7" t="s">
        <v>9731</v>
      </c>
      <c r="H3532" s="7" t="s">
        <v>9733</v>
      </c>
      <c r="I3532" s="9">
        <v>45372</v>
      </c>
    </row>
    <row r="3533" spans="1:9" x14ac:dyDescent="0.15">
      <c r="A3533" s="6">
        <v>3532</v>
      </c>
      <c r="B3533" s="7" t="s">
        <v>7</v>
      </c>
      <c r="C3533" s="8">
        <v>1890</v>
      </c>
      <c r="D3533" s="9">
        <v>45449</v>
      </c>
      <c r="E3533" s="13">
        <f>+HYPERLINK("http://trademark.i-assist.jp/data/china/image_1890th/77460244.pdf",77460244)</f>
        <v>77460244</v>
      </c>
      <c r="F3533" s="7" t="s">
        <v>9735</v>
      </c>
      <c r="G3533" s="7" t="s">
        <v>9734</v>
      </c>
      <c r="H3533" s="7" t="s">
        <v>9736</v>
      </c>
      <c r="I3533" s="9">
        <v>45372</v>
      </c>
    </row>
    <row r="3534" spans="1:9" x14ac:dyDescent="0.15">
      <c r="A3534" s="6">
        <v>3533</v>
      </c>
      <c r="B3534" s="7" t="s">
        <v>7</v>
      </c>
      <c r="C3534" s="8">
        <v>1890</v>
      </c>
      <c r="D3534" s="9">
        <v>45449</v>
      </c>
      <c r="E3534" s="13">
        <f>+HYPERLINK("http://trademark.i-assist.jp/data/china/image_1890th/77460326.pdf",77460326)</f>
        <v>77460326</v>
      </c>
      <c r="F3534" s="7" t="s">
        <v>9738</v>
      </c>
      <c r="G3534" s="7" t="s">
        <v>9737</v>
      </c>
      <c r="H3534" s="7" t="s">
        <v>9739</v>
      </c>
      <c r="I3534" s="9">
        <v>45372</v>
      </c>
    </row>
    <row r="3535" spans="1:9" x14ac:dyDescent="0.15">
      <c r="A3535" s="6">
        <v>3534</v>
      </c>
      <c r="B3535" s="7" t="s">
        <v>7</v>
      </c>
      <c r="C3535" s="8">
        <v>1890</v>
      </c>
      <c r="D3535" s="9">
        <v>45449</v>
      </c>
      <c r="E3535" s="13">
        <f>+HYPERLINK("http://trademark.i-assist.jp/data/china/image_1890th/77460478.pdf",77460478)</f>
        <v>77460478</v>
      </c>
      <c r="F3535" s="7" t="s">
        <v>9741</v>
      </c>
      <c r="G3535" s="7" t="s">
        <v>9740</v>
      </c>
      <c r="H3535" s="7" t="s">
        <v>9742</v>
      </c>
      <c r="I3535" s="9">
        <v>45372</v>
      </c>
    </row>
    <row r="3536" spans="1:9" x14ac:dyDescent="0.15">
      <c r="A3536" s="6">
        <v>3535</v>
      </c>
      <c r="B3536" s="7" t="s">
        <v>7</v>
      </c>
      <c r="C3536" s="8">
        <v>1890</v>
      </c>
      <c r="D3536" s="9">
        <v>45449</v>
      </c>
      <c r="E3536" s="13">
        <f>+HYPERLINK("http://trademark.i-assist.jp/data/china/image_1890th/77460492.pdf",77460492)</f>
        <v>77460492</v>
      </c>
      <c r="F3536" s="7" t="s">
        <v>9744</v>
      </c>
      <c r="G3536" s="7" t="s">
        <v>9743</v>
      </c>
      <c r="H3536" s="7" t="s">
        <v>9745</v>
      </c>
      <c r="I3536" s="9">
        <v>45372</v>
      </c>
    </row>
    <row r="3537" spans="1:9" x14ac:dyDescent="0.15">
      <c r="A3537" s="6">
        <v>3536</v>
      </c>
      <c r="B3537" s="7" t="s">
        <v>7</v>
      </c>
      <c r="C3537" s="8">
        <v>1890</v>
      </c>
      <c r="D3537" s="9">
        <v>45449</v>
      </c>
      <c r="E3537" s="13">
        <f>+HYPERLINK("http://trademark.i-assist.jp/data/china/image_1890th/77460698.pdf",77460698)</f>
        <v>77460698</v>
      </c>
      <c r="F3537" s="7" t="s">
        <v>9747</v>
      </c>
      <c r="G3537" s="7" t="s">
        <v>9746</v>
      </c>
      <c r="H3537" s="7" t="s">
        <v>9748</v>
      </c>
      <c r="I3537" s="9">
        <v>45372</v>
      </c>
    </row>
    <row r="3538" spans="1:9" x14ac:dyDescent="0.15">
      <c r="A3538" s="6">
        <v>3537</v>
      </c>
      <c r="B3538" s="7" t="s">
        <v>7</v>
      </c>
      <c r="C3538" s="8">
        <v>1890</v>
      </c>
      <c r="D3538" s="9">
        <v>45449</v>
      </c>
      <c r="E3538" s="13">
        <f>+HYPERLINK("http://trademark.i-assist.jp/data/china/image_1890th/77460717.pdf",77460717)</f>
        <v>77460717</v>
      </c>
      <c r="F3538" s="7" t="s">
        <v>9750</v>
      </c>
      <c r="G3538" s="7" t="s">
        <v>9749</v>
      </c>
      <c r="H3538" s="7" t="s">
        <v>9751</v>
      </c>
      <c r="I3538" s="9">
        <v>45372</v>
      </c>
    </row>
    <row r="3539" spans="1:9" x14ac:dyDescent="0.15">
      <c r="A3539" s="6">
        <v>3538</v>
      </c>
      <c r="B3539" s="7" t="s">
        <v>7</v>
      </c>
      <c r="C3539" s="8">
        <v>1890</v>
      </c>
      <c r="D3539" s="9">
        <v>45449</v>
      </c>
      <c r="E3539" s="13">
        <f>+HYPERLINK("http://trademark.i-assist.jp/data/china/image_1890th/77460861.pdf",77460861)</f>
        <v>77460861</v>
      </c>
      <c r="F3539" s="7" t="s">
        <v>9753</v>
      </c>
      <c r="G3539" s="7" t="s">
        <v>9752</v>
      </c>
      <c r="H3539" s="7" t="s">
        <v>9754</v>
      </c>
      <c r="I3539" s="9">
        <v>45372</v>
      </c>
    </row>
    <row r="3540" spans="1:9" x14ac:dyDescent="0.15">
      <c r="A3540" s="6">
        <v>3539</v>
      </c>
      <c r="B3540" s="7" t="s">
        <v>7</v>
      </c>
      <c r="C3540" s="8">
        <v>1890</v>
      </c>
      <c r="D3540" s="9">
        <v>45449</v>
      </c>
      <c r="E3540" s="13">
        <f>+HYPERLINK("http://trademark.i-assist.jp/data/china/image_1890th/77460906.pdf",77460906)</f>
        <v>77460906</v>
      </c>
      <c r="F3540" s="7" t="s">
        <v>9756</v>
      </c>
      <c r="G3540" s="7" t="s">
        <v>9755</v>
      </c>
      <c r="H3540" s="7" t="s">
        <v>9757</v>
      </c>
      <c r="I3540" s="9">
        <v>45372</v>
      </c>
    </row>
    <row r="3541" spans="1:9" x14ac:dyDescent="0.15">
      <c r="A3541" s="6">
        <v>3540</v>
      </c>
      <c r="B3541" s="7" t="s">
        <v>7</v>
      </c>
      <c r="C3541" s="8">
        <v>1890</v>
      </c>
      <c r="D3541" s="9">
        <v>45449</v>
      </c>
      <c r="E3541" s="13">
        <f>+HYPERLINK("http://trademark.i-assist.jp/data/china/image_1890th/77460936.pdf",77460936)</f>
        <v>77460936</v>
      </c>
      <c r="F3541" s="7" t="s">
        <v>9759</v>
      </c>
      <c r="G3541" s="7" t="s">
        <v>9758</v>
      </c>
      <c r="H3541" s="7" t="s">
        <v>9760</v>
      </c>
      <c r="I3541" s="9">
        <v>45372</v>
      </c>
    </row>
    <row r="3542" spans="1:9" x14ac:dyDescent="0.15">
      <c r="A3542" s="6">
        <v>3541</v>
      </c>
      <c r="B3542" s="7" t="s">
        <v>7</v>
      </c>
      <c r="C3542" s="8">
        <v>1890</v>
      </c>
      <c r="D3542" s="9">
        <v>45449</v>
      </c>
      <c r="E3542" s="13">
        <f>+HYPERLINK("http://trademark.i-assist.jp/data/china/image_1890th/77461075.pdf",77461075)</f>
        <v>77461075</v>
      </c>
      <c r="F3542" s="7" t="s">
        <v>9762</v>
      </c>
      <c r="G3542" s="7" t="s">
        <v>9761</v>
      </c>
      <c r="H3542" s="7" t="s">
        <v>9763</v>
      </c>
      <c r="I3542" s="9">
        <v>45372</v>
      </c>
    </row>
    <row r="3543" spans="1:9" x14ac:dyDescent="0.15">
      <c r="A3543" s="6">
        <v>3542</v>
      </c>
      <c r="B3543" s="7" t="s">
        <v>7</v>
      </c>
      <c r="C3543" s="8">
        <v>1890</v>
      </c>
      <c r="D3543" s="9">
        <v>45449</v>
      </c>
      <c r="E3543" s="13">
        <f>+HYPERLINK("http://trademark.i-assist.jp/data/china/image_1890th/77461123.pdf",77461123)</f>
        <v>77461123</v>
      </c>
      <c r="F3543" s="7" t="s">
        <v>9765</v>
      </c>
      <c r="G3543" s="7" t="s">
        <v>9764</v>
      </c>
      <c r="H3543" s="7" t="s">
        <v>9766</v>
      </c>
      <c r="I3543" s="9">
        <v>45372</v>
      </c>
    </row>
    <row r="3544" spans="1:9" x14ac:dyDescent="0.15">
      <c r="A3544" s="6">
        <v>3543</v>
      </c>
      <c r="B3544" s="7" t="s">
        <v>7</v>
      </c>
      <c r="C3544" s="8">
        <v>1890</v>
      </c>
      <c r="D3544" s="9">
        <v>45449</v>
      </c>
      <c r="E3544" s="13">
        <f>+HYPERLINK("http://trademark.i-assist.jp/data/china/image_1890th/77461298.pdf",77461298)</f>
        <v>77461298</v>
      </c>
      <c r="F3544" s="7" t="s">
        <v>9768</v>
      </c>
      <c r="G3544" s="7" t="s">
        <v>9767</v>
      </c>
      <c r="H3544" s="7" t="s">
        <v>9769</v>
      </c>
      <c r="I3544" s="9">
        <v>45372</v>
      </c>
    </row>
    <row r="3545" spans="1:9" x14ac:dyDescent="0.15">
      <c r="A3545" s="6">
        <v>3544</v>
      </c>
      <c r="B3545" s="7" t="s">
        <v>7</v>
      </c>
      <c r="C3545" s="8">
        <v>1890</v>
      </c>
      <c r="D3545" s="9">
        <v>45449</v>
      </c>
      <c r="E3545" s="13">
        <f>+HYPERLINK("http://trademark.i-assist.jp/data/china/image_1890th/77461410.pdf",77461410)</f>
        <v>77461410</v>
      </c>
      <c r="F3545" s="7" t="s">
        <v>9771</v>
      </c>
      <c r="G3545" s="7" t="s">
        <v>9770</v>
      </c>
      <c r="H3545" s="7" t="s">
        <v>9772</v>
      </c>
      <c r="I3545" s="9">
        <v>45372</v>
      </c>
    </row>
    <row r="3546" spans="1:9" x14ac:dyDescent="0.15">
      <c r="A3546" s="6">
        <v>3545</v>
      </c>
      <c r="B3546" s="7" t="s">
        <v>7</v>
      </c>
      <c r="C3546" s="8">
        <v>1890</v>
      </c>
      <c r="D3546" s="9">
        <v>45449</v>
      </c>
      <c r="E3546" s="13">
        <f>+HYPERLINK("http://trademark.i-assist.jp/data/china/image_1890th/77461457.pdf",77461457)</f>
        <v>77461457</v>
      </c>
      <c r="F3546" s="7" t="s">
        <v>9774</v>
      </c>
      <c r="G3546" s="7" t="s">
        <v>9773</v>
      </c>
      <c r="H3546" s="7" t="s">
        <v>9775</v>
      </c>
      <c r="I3546" s="9">
        <v>45372</v>
      </c>
    </row>
    <row r="3547" spans="1:9" x14ac:dyDescent="0.15">
      <c r="A3547" s="6">
        <v>3546</v>
      </c>
      <c r="B3547" s="7" t="s">
        <v>7</v>
      </c>
      <c r="C3547" s="8">
        <v>1890</v>
      </c>
      <c r="D3547" s="9">
        <v>45449</v>
      </c>
      <c r="E3547" s="13">
        <f>+HYPERLINK("http://trademark.i-assist.jp/data/china/image_1890th/77461529.pdf",77461529)</f>
        <v>77461529</v>
      </c>
      <c r="F3547" s="7" t="s">
        <v>9776</v>
      </c>
      <c r="G3547" s="7" t="s">
        <v>2387</v>
      </c>
      <c r="H3547" s="7" t="s">
        <v>9777</v>
      </c>
      <c r="I3547" s="9">
        <v>45372</v>
      </c>
    </row>
    <row r="3548" spans="1:9" x14ac:dyDescent="0.15">
      <c r="A3548" s="6">
        <v>3547</v>
      </c>
      <c r="B3548" s="7" t="s">
        <v>7</v>
      </c>
      <c r="C3548" s="8">
        <v>1890</v>
      </c>
      <c r="D3548" s="9">
        <v>45449</v>
      </c>
      <c r="E3548" s="13">
        <f>+HYPERLINK("http://trademark.i-assist.jp/data/china/image_1890th/77461561.pdf",77461561)</f>
        <v>77461561</v>
      </c>
      <c r="F3548" s="7" t="s">
        <v>9779</v>
      </c>
      <c r="G3548" s="7" t="s">
        <v>9778</v>
      </c>
      <c r="H3548" s="7" t="s">
        <v>9780</v>
      </c>
      <c r="I3548" s="9">
        <v>45372</v>
      </c>
    </row>
    <row r="3549" spans="1:9" x14ac:dyDescent="0.15">
      <c r="A3549" s="6">
        <v>3548</v>
      </c>
      <c r="B3549" s="7" t="s">
        <v>7</v>
      </c>
      <c r="C3549" s="8">
        <v>1890</v>
      </c>
      <c r="D3549" s="9">
        <v>45449</v>
      </c>
      <c r="E3549" s="13">
        <f>+HYPERLINK("http://trademark.i-assist.jp/data/china/image_1890th/77461727.pdf",77461727)</f>
        <v>77461727</v>
      </c>
      <c r="F3549" s="7" t="s">
        <v>9782</v>
      </c>
      <c r="G3549" s="7" t="s">
        <v>9781</v>
      </c>
      <c r="H3549" s="7" t="s">
        <v>9783</v>
      </c>
      <c r="I3549" s="9">
        <v>45372</v>
      </c>
    </row>
    <row r="3550" spans="1:9" x14ac:dyDescent="0.15">
      <c r="A3550" s="6">
        <v>3549</v>
      </c>
      <c r="B3550" s="7" t="s">
        <v>7</v>
      </c>
      <c r="C3550" s="8">
        <v>1890</v>
      </c>
      <c r="D3550" s="9">
        <v>45449</v>
      </c>
      <c r="E3550" s="13">
        <f>+HYPERLINK("http://trademark.i-assist.jp/data/china/image_1890th/77461888.pdf",77461888)</f>
        <v>77461888</v>
      </c>
      <c r="F3550" s="7" t="s">
        <v>9785</v>
      </c>
      <c r="G3550" s="7" t="s">
        <v>9784</v>
      </c>
      <c r="H3550" s="7" t="s">
        <v>9786</v>
      </c>
      <c r="I3550" s="9">
        <v>45372</v>
      </c>
    </row>
    <row r="3551" spans="1:9" x14ac:dyDescent="0.15">
      <c r="A3551" s="6">
        <v>3550</v>
      </c>
      <c r="B3551" s="7" t="s">
        <v>7</v>
      </c>
      <c r="C3551" s="8">
        <v>1890</v>
      </c>
      <c r="D3551" s="9">
        <v>45449</v>
      </c>
      <c r="E3551" s="13">
        <f>+HYPERLINK("http://trademark.i-assist.jp/data/china/image_1890th/77461920.pdf",77461920)</f>
        <v>77461920</v>
      </c>
      <c r="F3551" s="7" t="s">
        <v>9788</v>
      </c>
      <c r="G3551" s="7" t="s">
        <v>9787</v>
      </c>
      <c r="H3551" s="7" t="s">
        <v>9789</v>
      </c>
      <c r="I3551" s="9">
        <v>45372</v>
      </c>
    </row>
    <row r="3552" spans="1:9" x14ac:dyDescent="0.15">
      <c r="A3552" s="6">
        <v>3551</v>
      </c>
      <c r="B3552" s="7" t="s">
        <v>7</v>
      </c>
      <c r="C3552" s="8">
        <v>1890</v>
      </c>
      <c r="D3552" s="9">
        <v>45449</v>
      </c>
      <c r="E3552" s="13">
        <f>+HYPERLINK("http://trademark.i-assist.jp/data/china/image_1890th/77461933.pdf",77461933)</f>
        <v>77461933</v>
      </c>
      <c r="F3552" s="7" t="s">
        <v>9791</v>
      </c>
      <c r="G3552" s="7" t="s">
        <v>9790</v>
      </c>
      <c r="H3552" s="7" t="s">
        <v>9792</v>
      </c>
      <c r="I3552" s="9">
        <v>45372</v>
      </c>
    </row>
    <row r="3553" spans="1:9" x14ac:dyDescent="0.15">
      <c r="A3553" s="6">
        <v>3552</v>
      </c>
      <c r="B3553" s="7" t="s">
        <v>7</v>
      </c>
      <c r="C3553" s="8">
        <v>1890</v>
      </c>
      <c r="D3553" s="9">
        <v>45449</v>
      </c>
      <c r="E3553" s="13">
        <f>+HYPERLINK("http://trademark.i-assist.jp/data/china/image_1890th/77461936.pdf",77461936)</f>
        <v>77461936</v>
      </c>
      <c r="F3553" s="7" t="s">
        <v>9793</v>
      </c>
      <c r="G3553" s="7" t="s">
        <v>9793</v>
      </c>
      <c r="H3553" s="7" t="s">
        <v>9794</v>
      </c>
      <c r="I3553" s="9">
        <v>45372</v>
      </c>
    </row>
    <row r="3554" spans="1:9" x14ac:dyDescent="0.15">
      <c r="A3554" s="6">
        <v>3553</v>
      </c>
      <c r="B3554" s="7" t="s">
        <v>7</v>
      </c>
      <c r="C3554" s="8">
        <v>1890</v>
      </c>
      <c r="D3554" s="9">
        <v>45449</v>
      </c>
      <c r="E3554" s="13">
        <f>+HYPERLINK("http://trademark.i-assist.jp/data/china/image_1890th/77462000.pdf",77462000)</f>
        <v>77462000</v>
      </c>
      <c r="F3554" s="7" t="s">
        <v>9796</v>
      </c>
      <c r="G3554" s="7" t="s">
        <v>9795</v>
      </c>
      <c r="H3554" s="7" t="s">
        <v>9797</v>
      </c>
      <c r="I3554" s="9">
        <v>45372</v>
      </c>
    </row>
    <row r="3555" spans="1:9" x14ac:dyDescent="0.15">
      <c r="A3555" s="6">
        <v>3554</v>
      </c>
      <c r="B3555" s="7" t="s">
        <v>7</v>
      </c>
      <c r="C3555" s="8">
        <v>1890</v>
      </c>
      <c r="D3555" s="9">
        <v>45449</v>
      </c>
      <c r="E3555" s="13">
        <f>+HYPERLINK("http://trademark.i-assist.jp/data/china/image_1890th/77462037.pdf",77462037)</f>
        <v>77462037</v>
      </c>
      <c r="F3555" s="7" t="s">
        <v>9799</v>
      </c>
      <c r="G3555" s="7" t="s">
        <v>9798</v>
      </c>
      <c r="H3555" s="7" t="s">
        <v>9800</v>
      </c>
      <c r="I3555" s="9">
        <v>45372</v>
      </c>
    </row>
    <row r="3556" spans="1:9" x14ac:dyDescent="0.15">
      <c r="A3556" s="6">
        <v>3555</v>
      </c>
      <c r="B3556" s="7" t="s">
        <v>7</v>
      </c>
      <c r="C3556" s="8">
        <v>1890</v>
      </c>
      <c r="D3556" s="9">
        <v>45449</v>
      </c>
      <c r="E3556" s="13">
        <f>+HYPERLINK("http://trademark.i-assist.jp/data/china/image_1890th/77462131.pdf",77462131)</f>
        <v>77462131</v>
      </c>
      <c r="F3556" s="7" t="s">
        <v>9801</v>
      </c>
      <c r="G3556" s="7" t="s">
        <v>1489</v>
      </c>
      <c r="H3556" s="7" t="s">
        <v>9802</v>
      </c>
      <c r="I3556" s="9">
        <v>45372</v>
      </c>
    </row>
    <row r="3557" spans="1:9" x14ac:dyDescent="0.15">
      <c r="A3557" s="6">
        <v>3556</v>
      </c>
      <c r="B3557" s="7" t="s">
        <v>7</v>
      </c>
      <c r="C3557" s="8">
        <v>1890</v>
      </c>
      <c r="D3557" s="9">
        <v>45449</v>
      </c>
      <c r="E3557" s="13">
        <f>+HYPERLINK("http://trademark.i-assist.jp/data/china/image_1890th/77462141.pdf",77462141)</f>
        <v>77462141</v>
      </c>
      <c r="F3557" s="7" t="s">
        <v>9804</v>
      </c>
      <c r="G3557" s="7" t="s">
        <v>9803</v>
      </c>
      <c r="H3557" s="7" t="s">
        <v>9805</v>
      </c>
      <c r="I3557" s="9">
        <v>45372</v>
      </c>
    </row>
    <row r="3558" spans="1:9" x14ac:dyDescent="0.15">
      <c r="A3558" s="6">
        <v>3557</v>
      </c>
      <c r="B3558" s="7" t="s">
        <v>7</v>
      </c>
      <c r="C3558" s="8">
        <v>1890</v>
      </c>
      <c r="D3558" s="9">
        <v>45449</v>
      </c>
      <c r="E3558" s="13">
        <f>+HYPERLINK("http://trademark.i-assist.jp/data/china/image_1890th/77462169.pdf",77462169)</f>
        <v>77462169</v>
      </c>
      <c r="F3558" s="7" t="s">
        <v>9807</v>
      </c>
      <c r="G3558" s="7" t="s">
        <v>9806</v>
      </c>
      <c r="H3558" s="7" t="s">
        <v>9808</v>
      </c>
      <c r="I3558" s="9">
        <v>45372</v>
      </c>
    </row>
    <row r="3559" spans="1:9" x14ac:dyDescent="0.15">
      <c r="A3559" s="6">
        <v>3558</v>
      </c>
      <c r="B3559" s="7" t="s">
        <v>7</v>
      </c>
      <c r="C3559" s="8">
        <v>1890</v>
      </c>
      <c r="D3559" s="9">
        <v>45449</v>
      </c>
      <c r="E3559" s="13">
        <f>+HYPERLINK("http://trademark.i-assist.jp/data/china/image_1890th/77462190.pdf",77462190)</f>
        <v>77462190</v>
      </c>
      <c r="F3559" s="7" t="s">
        <v>9810</v>
      </c>
      <c r="G3559" s="7" t="s">
        <v>9809</v>
      </c>
      <c r="H3559" s="7" t="s">
        <v>9811</v>
      </c>
      <c r="I3559" s="9">
        <v>45372</v>
      </c>
    </row>
    <row r="3560" spans="1:9" x14ac:dyDescent="0.15">
      <c r="A3560" s="6">
        <v>3559</v>
      </c>
      <c r="B3560" s="7" t="s">
        <v>7</v>
      </c>
      <c r="C3560" s="8">
        <v>1890</v>
      </c>
      <c r="D3560" s="9">
        <v>45449</v>
      </c>
      <c r="E3560" s="13">
        <f>+HYPERLINK("http://trademark.i-assist.jp/data/china/image_1890th/77462215.pdf",77462215)</f>
        <v>77462215</v>
      </c>
      <c r="F3560" s="7" t="s">
        <v>9813</v>
      </c>
      <c r="G3560" s="7" t="s">
        <v>9812</v>
      </c>
      <c r="H3560" s="7" t="s">
        <v>9814</v>
      </c>
      <c r="I3560" s="9">
        <v>45372</v>
      </c>
    </row>
    <row r="3561" spans="1:9" x14ac:dyDescent="0.15">
      <c r="A3561" s="6">
        <v>3560</v>
      </c>
      <c r="B3561" s="7" t="s">
        <v>7</v>
      </c>
      <c r="C3561" s="8">
        <v>1890</v>
      </c>
      <c r="D3561" s="9">
        <v>45449</v>
      </c>
      <c r="E3561" s="13">
        <f>+HYPERLINK("http://trademark.i-assist.jp/data/china/image_1890th/77462259.pdf",77462259)</f>
        <v>77462259</v>
      </c>
      <c r="F3561" s="7" t="s">
        <v>9816</v>
      </c>
      <c r="G3561" s="7" t="s">
        <v>9815</v>
      </c>
      <c r="H3561" s="7" t="s">
        <v>9817</v>
      </c>
      <c r="I3561" s="9">
        <v>45372</v>
      </c>
    </row>
    <row r="3562" spans="1:9" ht="27" x14ac:dyDescent="0.15">
      <c r="A3562" s="6">
        <v>3561</v>
      </c>
      <c r="B3562" s="7" t="s">
        <v>7</v>
      </c>
      <c r="C3562" s="8">
        <v>1890</v>
      </c>
      <c r="D3562" s="9">
        <v>45449</v>
      </c>
      <c r="E3562" s="13">
        <f>+HYPERLINK("http://trademark.i-assist.jp/data/china/image_1890th/77462320.pdf",77462320)</f>
        <v>77462320</v>
      </c>
      <c r="F3562" s="7" t="s">
        <v>183</v>
      </c>
      <c r="G3562" s="7" t="s">
        <v>9818</v>
      </c>
      <c r="H3562" s="7" t="s">
        <v>9819</v>
      </c>
      <c r="I3562" s="9">
        <v>45372</v>
      </c>
    </row>
    <row r="3563" spans="1:9" x14ac:dyDescent="0.15">
      <c r="A3563" s="6">
        <v>3562</v>
      </c>
      <c r="B3563" s="7" t="s">
        <v>7</v>
      </c>
      <c r="C3563" s="8">
        <v>1890</v>
      </c>
      <c r="D3563" s="9">
        <v>45449</v>
      </c>
      <c r="E3563" s="13">
        <f>+HYPERLINK("http://trademark.i-assist.jp/data/china/image_1890th/77462537.pdf",77462537)</f>
        <v>77462537</v>
      </c>
      <c r="F3563" s="7" t="s">
        <v>9820</v>
      </c>
      <c r="G3563" s="7" t="s">
        <v>9471</v>
      </c>
      <c r="H3563" s="7" t="s">
        <v>9821</v>
      </c>
      <c r="I3563" s="9">
        <v>45372</v>
      </c>
    </row>
    <row r="3564" spans="1:9" x14ac:dyDescent="0.15">
      <c r="A3564" s="6">
        <v>3563</v>
      </c>
      <c r="B3564" s="7" t="s">
        <v>7</v>
      </c>
      <c r="C3564" s="8">
        <v>1890</v>
      </c>
      <c r="D3564" s="9">
        <v>45449</v>
      </c>
      <c r="E3564" s="13">
        <f>+HYPERLINK("http://trademark.i-assist.jp/data/china/image_1890th/77462646.pdf",77462646)</f>
        <v>77462646</v>
      </c>
      <c r="F3564" s="7" t="s">
        <v>9823</v>
      </c>
      <c r="G3564" s="7" t="s">
        <v>9822</v>
      </c>
      <c r="H3564" s="7" t="s">
        <v>9824</v>
      </c>
      <c r="I3564" s="9">
        <v>45372</v>
      </c>
    </row>
    <row r="3565" spans="1:9" x14ac:dyDescent="0.15">
      <c r="A3565" s="6">
        <v>3564</v>
      </c>
      <c r="B3565" s="7" t="s">
        <v>7</v>
      </c>
      <c r="C3565" s="8">
        <v>1890</v>
      </c>
      <c r="D3565" s="9">
        <v>45449</v>
      </c>
      <c r="E3565" s="13">
        <f>+HYPERLINK("http://trademark.i-assist.jp/data/china/image_1890th/77462782.pdf",77462782)</f>
        <v>77462782</v>
      </c>
      <c r="F3565" s="7" t="s">
        <v>9826</v>
      </c>
      <c r="G3565" s="7" t="s">
        <v>9825</v>
      </c>
      <c r="H3565" s="7" t="s">
        <v>9827</v>
      </c>
      <c r="I3565" s="9">
        <v>45372</v>
      </c>
    </row>
    <row r="3566" spans="1:9" x14ac:dyDescent="0.15">
      <c r="A3566" s="6">
        <v>3565</v>
      </c>
      <c r="B3566" s="7" t="s">
        <v>7</v>
      </c>
      <c r="C3566" s="8">
        <v>1890</v>
      </c>
      <c r="D3566" s="9">
        <v>45449</v>
      </c>
      <c r="E3566" s="13">
        <f>+HYPERLINK("http://trademark.i-assist.jp/data/china/image_1890th/77462792.pdf",77462792)</f>
        <v>77462792</v>
      </c>
      <c r="F3566" s="7" t="s">
        <v>9829</v>
      </c>
      <c r="G3566" s="7" t="s">
        <v>9828</v>
      </c>
      <c r="H3566" s="7" t="s">
        <v>9830</v>
      </c>
      <c r="I3566" s="9">
        <v>45372</v>
      </c>
    </row>
    <row r="3567" spans="1:9" x14ac:dyDescent="0.15">
      <c r="A3567" s="6">
        <v>3566</v>
      </c>
      <c r="B3567" s="7" t="s">
        <v>7</v>
      </c>
      <c r="C3567" s="8">
        <v>1890</v>
      </c>
      <c r="D3567" s="9">
        <v>45449</v>
      </c>
      <c r="E3567" s="13">
        <f>+HYPERLINK("http://trademark.i-assist.jp/data/china/image_1890th/77462832.pdf",77462832)</f>
        <v>77462832</v>
      </c>
      <c r="F3567" s="7" t="s">
        <v>9832</v>
      </c>
      <c r="G3567" s="7" t="s">
        <v>9831</v>
      </c>
      <c r="H3567" s="7" t="s">
        <v>9833</v>
      </c>
      <c r="I3567" s="9">
        <v>45372</v>
      </c>
    </row>
    <row r="3568" spans="1:9" x14ac:dyDescent="0.15">
      <c r="A3568" s="6">
        <v>3567</v>
      </c>
      <c r="B3568" s="7" t="s">
        <v>7</v>
      </c>
      <c r="C3568" s="8">
        <v>1890</v>
      </c>
      <c r="D3568" s="9">
        <v>45449</v>
      </c>
      <c r="E3568" s="13">
        <f>+HYPERLINK("http://trademark.i-assist.jp/data/china/image_1890th/77463038.pdf",77463038)</f>
        <v>77463038</v>
      </c>
      <c r="F3568" s="7" t="s">
        <v>9835</v>
      </c>
      <c r="G3568" s="7" t="s">
        <v>9834</v>
      </c>
      <c r="H3568" s="7" t="s">
        <v>9836</v>
      </c>
      <c r="I3568" s="9">
        <v>45372</v>
      </c>
    </row>
    <row r="3569" spans="1:9" x14ac:dyDescent="0.15">
      <c r="A3569" s="6">
        <v>3568</v>
      </c>
      <c r="B3569" s="7" t="s">
        <v>7</v>
      </c>
      <c r="C3569" s="8">
        <v>1890</v>
      </c>
      <c r="D3569" s="9">
        <v>45449</v>
      </c>
      <c r="E3569" s="13">
        <f>+HYPERLINK("http://trademark.i-assist.jp/data/china/image_1890th/77463145.pdf",77463145)</f>
        <v>77463145</v>
      </c>
      <c r="F3569" s="7" t="s">
        <v>9837</v>
      </c>
      <c r="G3569" s="7" t="s">
        <v>9837</v>
      </c>
      <c r="H3569" s="7" t="s">
        <v>9838</v>
      </c>
      <c r="I3569" s="9">
        <v>45372</v>
      </c>
    </row>
    <row r="3570" spans="1:9" x14ac:dyDescent="0.15">
      <c r="A3570" s="6">
        <v>3569</v>
      </c>
      <c r="B3570" s="7" t="s">
        <v>7</v>
      </c>
      <c r="C3570" s="8">
        <v>1890</v>
      </c>
      <c r="D3570" s="9">
        <v>45449</v>
      </c>
      <c r="E3570" s="13">
        <f>+HYPERLINK("http://trademark.i-assist.jp/data/china/image_1890th/77463172.pdf",77463172)</f>
        <v>77463172</v>
      </c>
      <c r="F3570" s="7" t="s">
        <v>9840</v>
      </c>
      <c r="G3570" s="7" t="s">
        <v>9839</v>
      </c>
      <c r="H3570" s="7" t="s">
        <v>9841</v>
      </c>
      <c r="I3570" s="9">
        <v>45372</v>
      </c>
    </row>
    <row r="3571" spans="1:9" ht="27" x14ac:dyDescent="0.15">
      <c r="A3571" s="6">
        <v>3570</v>
      </c>
      <c r="B3571" s="7" t="s">
        <v>7</v>
      </c>
      <c r="C3571" s="8">
        <v>1890</v>
      </c>
      <c r="D3571" s="9">
        <v>45449</v>
      </c>
      <c r="E3571" s="13">
        <f>+HYPERLINK("http://trademark.i-assist.jp/data/china/image_1890th/77463192.pdf",77463192)</f>
        <v>77463192</v>
      </c>
      <c r="F3571" s="7" t="s">
        <v>9842</v>
      </c>
      <c r="G3571" s="7" t="s">
        <v>7034</v>
      </c>
      <c r="H3571" s="7" t="s">
        <v>9843</v>
      </c>
      <c r="I3571" s="9">
        <v>45372</v>
      </c>
    </row>
    <row r="3572" spans="1:9" x14ac:dyDescent="0.15">
      <c r="A3572" s="6">
        <v>3571</v>
      </c>
      <c r="B3572" s="7" t="s">
        <v>7</v>
      </c>
      <c r="C3572" s="8">
        <v>1890</v>
      </c>
      <c r="D3572" s="9">
        <v>45449</v>
      </c>
      <c r="E3572" s="13">
        <f>+HYPERLINK("http://trademark.i-assist.jp/data/china/image_1890th/77463275.pdf",77463275)</f>
        <v>77463275</v>
      </c>
      <c r="F3572" s="7" t="s">
        <v>9845</v>
      </c>
      <c r="G3572" s="7" t="s">
        <v>9844</v>
      </c>
      <c r="H3572" s="7" t="s">
        <v>9846</v>
      </c>
      <c r="I3572" s="9">
        <v>45372</v>
      </c>
    </row>
    <row r="3573" spans="1:9" ht="27" x14ac:dyDescent="0.15">
      <c r="A3573" s="6">
        <v>3572</v>
      </c>
      <c r="B3573" s="7" t="s">
        <v>7</v>
      </c>
      <c r="C3573" s="8">
        <v>1890</v>
      </c>
      <c r="D3573" s="9">
        <v>45449</v>
      </c>
      <c r="E3573" s="13">
        <f>+HYPERLINK("http://trademark.i-assist.jp/data/china/image_1890th/77463375.pdf",77463375)</f>
        <v>77463375</v>
      </c>
      <c r="F3573" s="7" t="s">
        <v>9848</v>
      </c>
      <c r="G3573" s="7" t="s">
        <v>9847</v>
      </c>
      <c r="H3573" s="7" t="s">
        <v>9849</v>
      </c>
      <c r="I3573" s="9">
        <v>45372</v>
      </c>
    </row>
    <row r="3574" spans="1:9" x14ac:dyDescent="0.15">
      <c r="A3574" s="6">
        <v>3573</v>
      </c>
      <c r="B3574" s="7" t="s">
        <v>7</v>
      </c>
      <c r="C3574" s="8">
        <v>1890</v>
      </c>
      <c r="D3574" s="9">
        <v>45449</v>
      </c>
      <c r="E3574" s="13">
        <f>+HYPERLINK("http://trademark.i-assist.jp/data/china/image_1890th/77463517.pdf",77463517)</f>
        <v>77463517</v>
      </c>
      <c r="F3574" s="7" t="s">
        <v>9851</v>
      </c>
      <c r="G3574" s="7" t="s">
        <v>9850</v>
      </c>
      <c r="H3574" s="7" t="s">
        <v>9852</v>
      </c>
      <c r="I3574" s="9">
        <v>45372</v>
      </c>
    </row>
    <row r="3575" spans="1:9" x14ac:dyDescent="0.15">
      <c r="A3575" s="6">
        <v>3574</v>
      </c>
      <c r="B3575" s="7" t="s">
        <v>7</v>
      </c>
      <c r="C3575" s="8">
        <v>1890</v>
      </c>
      <c r="D3575" s="9">
        <v>45449</v>
      </c>
      <c r="E3575" s="13">
        <f>+HYPERLINK("http://trademark.i-assist.jp/data/china/image_1890th/77463696.pdf",77463696)</f>
        <v>77463696</v>
      </c>
      <c r="F3575" s="7" t="s">
        <v>9854</v>
      </c>
      <c r="G3575" s="7" t="s">
        <v>9853</v>
      </c>
      <c r="H3575" s="7" t="s">
        <v>9855</v>
      </c>
      <c r="I3575" s="9">
        <v>45372</v>
      </c>
    </row>
    <row r="3576" spans="1:9" x14ac:dyDescent="0.15">
      <c r="A3576" s="6">
        <v>3575</v>
      </c>
      <c r="B3576" s="7" t="s">
        <v>7</v>
      </c>
      <c r="C3576" s="8">
        <v>1890</v>
      </c>
      <c r="D3576" s="9">
        <v>45449</v>
      </c>
      <c r="E3576" s="13">
        <f>+HYPERLINK("http://trademark.i-assist.jp/data/china/image_1890th/77463732.pdf",77463732)</f>
        <v>77463732</v>
      </c>
      <c r="F3576" s="7" t="s">
        <v>9857</v>
      </c>
      <c r="G3576" s="7" t="s">
        <v>9856</v>
      </c>
      <c r="H3576" s="7" t="s">
        <v>9858</v>
      </c>
      <c r="I3576" s="9">
        <v>45372</v>
      </c>
    </row>
    <row r="3577" spans="1:9" x14ac:dyDescent="0.15">
      <c r="A3577" s="6">
        <v>3576</v>
      </c>
      <c r="B3577" s="7" t="s">
        <v>7</v>
      </c>
      <c r="C3577" s="8">
        <v>1890</v>
      </c>
      <c r="D3577" s="9">
        <v>45449</v>
      </c>
      <c r="E3577" s="13">
        <f>+HYPERLINK("http://trademark.i-assist.jp/data/china/image_1890th/77463773.pdf",77463773)</f>
        <v>77463773</v>
      </c>
      <c r="F3577" s="7" t="s">
        <v>9859</v>
      </c>
      <c r="G3577" s="7" t="s">
        <v>9859</v>
      </c>
      <c r="H3577" s="7" t="s">
        <v>9860</v>
      </c>
      <c r="I3577" s="9">
        <v>45372</v>
      </c>
    </row>
    <row r="3578" spans="1:9" x14ac:dyDescent="0.15">
      <c r="A3578" s="6">
        <v>3577</v>
      </c>
      <c r="B3578" s="7" t="s">
        <v>7</v>
      </c>
      <c r="C3578" s="8">
        <v>1890</v>
      </c>
      <c r="D3578" s="9">
        <v>45449</v>
      </c>
      <c r="E3578" s="13">
        <f>+HYPERLINK("http://trademark.i-assist.jp/data/china/image_1890th/77463927.pdf",77463927)</f>
        <v>77463927</v>
      </c>
      <c r="F3578" s="7" t="s">
        <v>9862</v>
      </c>
      <c r="G3578" s="7" t="s">
        <v>9861</v>
      </c>
      <c r="H3578" s="7" t="s">
        <v>9863</v>
      </c>
      <c r="I3578" s="9">
        <v>45372</v>
      </c>
    </row>
    <row r="3579" spans="1:9" x14ac:dyDescent="0.15">
      <c r="A3579" s="6">
        <v>3578</v>
      </c>
      <c r="B3579" s="7" t="s">
        <v>7</v>
      </c>
      <c r="C3579" s="8">
        <v>1890</v>
      </c>
      <c r="D3579" s="9">
        <v>45449</v>
      </c>
      <c r="E3579" s="13">
        <f>+HYPERLINK("http://trademark.i-assist.jp/data/china/image_1890th/77464035.pdf",77464035)</f>
        <v>77464035</v>
      </c>
      <c r="F3579" s="7" t="s">
        <v>9864</v>
      </c>
      <c r="G3579" s="7" t="s">
        <v>9136</v>
      </c>
      <c r="H3579" s="7" t="s">
        <v>9865</v>
      </c>
      <c r="I3579" s="9">
        <v>45372</v>
      </c>
    </row>
    <row r="3580" spans="1:9" x14ac:dyDescent="0.15">
      <c r="A3580" s="6">
        <v>3579</v>
      </c>
      <c r="B3580" s="7" t="s">
        <v>7</v>
      </c>
      <c r="C3580" s="8">
        <v>1890</v>
      </c>
      <c r="D3580" s="9">
        <v>45449</v>
      </c>
      <c r="E3580" s="13">
        <f>+HYPERLINK("http://trademark.i-assist.jp/data/china/image_1890th/77464219.pdf",77464219)</f>
        <v>77464219</v>
      </c>
      <c r="F3580" s="7" t="s">
        <v>183</v>
      </c>
      <c r="G3580" s="7" t="s">
        <v>9866</v>
      </c>
      <c r="H3580" s="7" t="s">
        <v>9867</v>
      </c>
      <c r="I3580" s="9">
        <v>45372</v>
      </c>
    </row>
    <row r="3581" spans="1:9" x14ac:dyDescent="0.15">
      <c r="A3581" s="6">
        <v>3580</v>
      </c>
      <c r="B3581" s="7" t="s">
        <v>7</v>
      </c>
      <c r="C3581" s="8">
        <v>1890</v>
      </c>
      <c r="D3581" s="9">
        <v>45449</v>
      </c>
      <c r="E3581" s="13">
        <f>+HYPERLINK("http://trademark.i-assist.jp/data/china/image_1890th/77464257.pdf",77464257)</f>
        <v>77464257</v>
      </c>
      <c r="F3581" s="7" t="s">
        <v>9869</v>
      </c>
      <c r="G3581" s="7" t="s">
        <v>9868</v>
      </c>
      <c r="H3581" s="7" t="s">
        <v>9870</v>
      </c>
      <c r="I3581" s="9">
        <v>45372</v>
      </c>
    </row>
    <row r="3582" spans="1:9" x14ac:dyDescent="0.15">
      <c r="A3582" s="6">
        <v>3581</v>
      </c>
      <c r="B3582" s="7" t="s">
        <v>7</v>
      </c>
      <c r="C3582" s="8">
        <v>1890</v>
      </c>
      <c r="D3582" s="9">
        <v>45449</v>
      </c>
      <c r="E3582" s="13">
        <f>+HYPERLINK("http://trademark.i-assist.jp/data/china/image_1890th/77464283.pdf",77464283)</f>
        <v>77464283</v>
      </c>
      <c r="F3582" s="7" t="s">
        <v>9872</v>
      </c>
      <c r="G3582" s="7" t="s">
        <v>9871</v>
      </c>
      <c r="H3582" s="7" t="s">
        <v>9873</v>
      </c>
      <c r="I3582" s="9">
        <v>45372</v>
      </c>
    </row>
    <row r="3583" spans="1:9" x14ac:dyDescent="0.15">
      <c r="A3583" s="6">
        <v>3582</v>
      </c>
      <c r="B3583" s="7" t="s">
        <v>7</v>
      </c>
      <c r="C3583" s="8">
        <v>1890</v>
      </c>
      <c r="D3583" s="9">
        <v>45449</v>
      </c>
      <c r="E3583" s="13">
        <f>+HYPERLINK("http://trademark.i-assist.jp/data/china/image_1890th/77464398.pdf",77464398)</f>
        <v>77464398</v>
      </c>
      <c r="F3583" s="7" t="s">
        <v>9875</v>
      </c>
      <c r="G3583" s="7" t="s">
        <v>9874</v>
      </c>
      <c r="H3583" s="7" t="s">
        <v>9876</v>
      </c>
      <c r="I3583" s="9">
        <v>45372</v>
      </c>
    </row>
    <row r="3584" spans="1:9" x14ac:dyDescent="0.15">
      <c r="A3584" s="6">
        <v>3583</v>
      </c>
      <c r="B3584" s="7" t="s">
        <v>7</v>
      </c>
      <c r="C3584" s="8">
        <v>1890</v>
      </c>
      <c r="D3584" s="9">
        <v>45449</v>
      </c>
      <c r="E3584" s="13">
        <f>+HYPERLINK("http://trademark.i-assist.jp/data/china/image_1890th/77464452.pdf",77464452)</f>
        <v>77464452</v>
      </c>
      <c r="F3584" s="7" t="s">
        <v>183</v>
      </c>
      <c r="G3584" s="7" t="s">
        <v>9877</v>
      </c>
      <c r="H3584" s="7" t="s">
        <v>9878</v>
      </c>
      <c r="I3584" s="9">
        <v>45372</v>
      </c>
    </row>
    <row r="3585" spans="1:9" x14ac:dyDescent="0.15">
      <c r="A3585" s="6">
        <v>3584</v>
      </c>
      <c r="B3585" s="7" t="s">
        <v>7</v>
      </c>
      <c r="C3585" s="8">
        <v>1890</v>
      </c>
      <c r="D3585" s="9">
        <v>45449</v>
      </c>
      <c r="E3585" s="13">
        <f>+HYPERLINK("http://trademark.i-assist.jp/data/china/image_1890th/77464680.pdf",77464680)</f>
        <v>77464680</v>
      </c>
      <c r="F3585" s="7" t="s">
        <v>9880</v>
      </c>
      <c r="G3585" s="7" t="s">
        <v>9879</v>
      </c>
      <c r="H3585" s="7" t="s">
        <v>9881</v>
      </c>
      <c r="I3585" s="9">
        <v>45372</v>
      </c>
    </row>
    <row r="3586" spans="1:9" x14ac:dyDescent="0.15">
      <c r="A3586" s="6">
        <v>3585</v>
      </c>
      <c r="B3586" s="7" t="s">
        <v>7</v>
      </c>
      <c r="C3586" s="8">
        <v>1890</v>
      </c>
      <c r="D3586" s="9">
        <v>45449</v>
      </c>
      <c r="E3586" s="13">
        <f>+HYPERLINK("http://trademark.i-assist.jp/data/china/image_1890th/77464817.pdf",77464817)</f>
        <v>77464817</v>
      </c>
      <c r="F3586" s="7" t="s">
        <v>9883</v>
      </c>
      <c r="G3586" s="7" t="s">
        <v>9882</v>
      </c>
      <c r="H3586" s="7" t="s">
        <v>9884</v>
      </c>
      <c r="I3586" s="9">
        <v>45372</v>
      </c>
    </row>
    <row r="3587" spans="1:9" ht="27" x14ac:dyDescent="0.15">
      <c r="A3587" s="6">
        <v>3586</v>
      </c>
      <c r="B3587" s="7" t="s">
        <v>7</v>
      </c>
      <c r="C3587" s="8">
        <v>1890</v>
      </c>
      <c r="D3587" s="9">
        <v>45449</v>
      </c>
      <c r="E3587" s="13">
        <f>+HYPERLINK("http://trademark.i-assist.jp/data/china/image_1890th/77464915.pdf",77464915)</f>
        <v>77464915</v>
      </c>
      <c r="F3587" s="7" t="s">
        <v>9886</v>
      </c>
      <c r="G3587" s="7" t="s">
        <v>9885</v>
      </c>
      <c r="H3587" s="7" t="s">
        <v>9887</v>
      </c>
      <c r="I3587" s="9">
        <v>45372</v>
      </c>
    </row>
    <row r="3588" spans="1:9" x14ac:dyDescent="0.15">
      <c r="A3588" s="6">
        <v>3587</v>
      </c>
      <c r="B3588" s="7" t="s">
        <v>7</v>
      </c>
      <c r="C3588" s="8">
        <v>1890</v>
      </c>
      <c r="D3588" s="9">
        <v>45449</v>
      </c>
      <c r="E3588" s="13">
        <f>+HYPERLINK("http://trademark.i-assist.jp/data/china/image_1890th/77465208.pdf",77465208)</f>
        <v>77465208</v>
      </c>
      <c r="F3588" s="7" t="s">
        <v>9888</v>
      </c>
      <c r="G3588" s="7" t="s">
        <v>9798</v>
      </c>
      <c r="H3588" s="7" t="s">
        <v>9889</v>
      </c>
      <c r="I3588" s="9">
        <v>45372</v>
      </c>
    </row>
    <row r="3589" spans="1:9" ht="27" x14ac:dyDescent="0.15">
      <c r="A3589" s="6">
        <v>3588</v>
      </c>
      <c r="B3589" s="7" t="s">
        <v>7</v>
      </c>
      <c r="C3589" s="8">
        <v>1890</v>
      </c>
      <c r="D3589" s="9">
        <v>45449</v>
      </c>
      <c r="E3589" s="13">
        <f>+HYPERLINK("http://trademark.i-assist.jp/data/china/image_1890th/77465268.pdf",77465268)</f>
        <v>77465268</v>
      </c>
      <c r="F3589" s="7" t="s">
        <v>9890</v>
      </c>
      <c r="G3589" s="7" t="s">
        <v>2119</v>
      </c>
      <c r="H3589" s="7" t="s">
        <v>9891</v>
      </c>
      <c r="I3589" s="9">
        <v>45372</v>
      </c>
    </row>
    <row r="3590" spans="1:9" ht="27" x14ac:dyDescent="0.15">
      <c r="A3590" s="6">
        <v>3589</v>
      </c>
      <c r="B3590" s="7" t="s">
        <v>7</v>
      </c>
      <c r="C3590" s="8">
        <v>1890</v>
      </c>
      <c r="D3590" s="9">
        <v>45449</v>
      </c>
      <c r="E3590" s="13">
        <f>+HYPERLINK("http://trademark.i-assist.jp/data/china/image_1890th/77465325.pdf",77465325)</f>
        <v>77465325</v>
      </c>
      <c r="F3590" s="7" t="s">
        <v>9893</v>
      </c>
      <c r="G3590" s="7" t="s">
        <v>9892</v>
      </c>
      <c r="H3590" s="7" t="s">
        <v>9894</v>
      </c>
      <c r="I3590" s="9">
        <v>45372</v>
      </c>
    </row>
    <row r="3591" spans="1:9" x14ac:dyDescent="0.15">
      <c r="A3591" s="6">
        <v>3590</v>
      </c>
      <c r="B3591" s="7" t="s">
        <v>7</v>
      </c>
      <c r="C3591" s="8">
        <v>1890</v>
      </c>
      <c r="D3591" s="9">
        <v>45449</v>
      </c>
      <c r="E3591" s="13">
        <f>+HYPERLINK("http://trademark.i-assist.jp/data/china/image_1890th/77465434.pdf",77465434)</f>
        <v>77465434</v>
      </c>
      <c r="F3591" s="7" t="s">
        <v>9896</v>
      </c>
      <c r="G3591" s="7" t="s">
        <v>9895</v>
      </c>
      <c r="H3591" s="7" t="s">
        <v>9897</v>
      </c>
      <c r="I3591" s="9">
        <v>45372</v>
      </c>
    </row>
    <row r="3592" spans="1:9" x14ac:dyDescent="0.15">
      <c r="A3592" s="6">
        <v>3591</v>
      </c>
      <c r="B3592" s="7" t="s">
        <v>7</v>
      </c>
      <c r="C3592" s="8">
        <v>1890</v>
      </c>
      <c r="D3592" s="9">
        <v>45449</v>
      </c>
      <c r="E3592" s="13">
        <f>+HYPERLINK("http://trademark.i-assist.jp/data/china/image_1890th/77465616.pdf",77465616)</f>
        <v>77465616</v>
      </c>
      <c r="F3592" s="7" t="s">
        <v>9899</v>
      </c>
      <c r="G3592" s="7" t="s">
        <v>9898</v>
      </c>
      <c r="H3592" s="7" t="s">
        <v>9900</v>
      </c>
      <c r="I3592" s="9">
        <v>45372</v>
      </c>
    </row>
    <row r="3593" spans="1:9" ht="27" x14ac:dyDescent="0.15">
      <c r="A3593" s="6">
        <v>3592</v>
      </c>
      <c r="B3593" s="7" t="s">
        <v>7</v>
      </c>
      <c r="C3593" s="8">
        <v>1890</v>
      </c>
      <c r="D3593" s="9">
        <v>45449</v>
      </c>
      <c r="E3593" s="13">
        <f>+HYPERLINK("http://trademark.i-assist.jp/data/china/image_1890th/77465740.pdf",77465740)</f>
        <v>77465740</v>
      </c>
      <c r="F3593" s="7" t="s">
        <v>9902</v>
      </c>
      <c r="G3593" s="7" t="s">
        <v>9901</v>
      </c>
      <c r="H3593" s="7" t="s">
        <v>9903</v>
      </c>
      <c r="I3593" s="9">
        <v>45372</v>
      </c>
    </row>
    <row r="3594" spans="1:9" x14ac:dyDescent="0.15">
      <c r="A3594" s="6">
        <v>3593</v>
      </c>
      <c r="B3594" s="7" t="s">
        <v>7</v>
      </c>
      <c r="C3594" s="8">
        <v>1890</v>
      </c>
      <c r="D3594" s="9">
        <v>45449</v>
      </c>
      <c r="E3594" s="13">
        <f>+HYPERLINK("http://trademark.i-assist.jp/data/china/image_1890th/77465786.pdf",77465786)</f>
        <v>77465786</v>
      </c>
      <c r="F3594" s="7" t="s">
        <v>9905</v>
      </c>
      <c r="G3594" s="7" t="s">
        <v>9904</v>
      </c>
      <c r="H3594" s="7" t="s">
        <v>9906</v>
      </c>
      <c r="I3594" s="9">
        <v>45372</v>
      </c>
    </row>
    <row r="3595" spans="1:9" ht="27" x14ac:dyDescent="0.15">
      <c r="A3595" s="6">
        <v>3594</v>
      </c>
      <c r="B3595" s="7" t="s">
        <v>7</v>
      </c>
      <c r="C3595" s="8">
        <v>1890</v>
      </c>
      <c r="D3595" s="9">
        <v>45449</v>
      </c>
      <c r="E3595" s="13">
        <f>+HYPERLINK("http://trademark.i-assist.jp/data/china/image_1890th/77465837.pdf",77465837)</f>
        <v>77465837</v>
      </c>
      <c r="F3595" s="7" t="s">
        <v>9908</v>
      </c>
      <c r="G3595" s="7" t="s">
        <v>9907</v>
      </c>
      <c r="H3595" s="7" t="s">
        <v>9909</v>
      </c>
      <c r="I3595" s="9">
        <v>45372</v>
      </c>
    </row>
    <row r="3596" spans="1:9" x14ac:dyDescent="0.15">
      <c r="A3596" s="6">
        <v>3595</v>
      </c>
      <c r="B3596" s="7" t="s">
        <v>7</v>
      </c>
      <c r="C3596" s="8">
        <v>1890</v>
      </c>
      <c r="D3596" s="9">
        <v>45449</v>
      </c>
      <c r="E3596" s="13">
        <f>+HYPERLINK("http://trademark.i-assist.jp/data/china/image_1890th/77466020.pdf",77466020)</f>
        <v>77466020</v>
      </c>
      <c r="F3596" s="7" t="s">
        <v>9911</v>
      </c>
      <c r="G3596" s="7" t="s">
        <v>9910</v>
      </c>
      <c r="H3596" s="7" t="s">
        <v>9912</v>
      </c>
      <c r="I3596" s="9">
        <v>45372</v>
      </c>
    </row>
    <row r="3597" spans="1:9" x14ac:dyDescent="0.15">
      <c r="A3597" s="6">
        <v>3596</v>
      </c>
      <c r="B3597" s="7" t="s">
        <v>7</v>
      </c>
      <c r="C3597" s="8">
        <v>1890</v>
      </c>
      <c r="D3597" s="9">
        <v>45449</v>
      </c>
      <c r="E3597" s="13">
        <f>+HYPERLINK("http://trademark.i-assist.jp/data/china/image_1890th/77466066.pdf",77466066)</f>
        <v>77466066</v>
      </c>
      <c r="F3597" s="7" t="s">
        <v>9914</v>
      </c>
      <c r="G3597" s="7" t="s">
        <v>9913</v>
      </c>
      <c r="H3597" s="7" t="s">
        <v>9915</v>
      </c>
      <c r="I3597" s="9">
        <v>45372</v>
      </c>
    </row>
    <row r="3598" spans="1:9" x14ac:dyDescent="0.15">
      <c r="A3598" s="6">
        <v>3597</v>
      </c>
      <c r="B3598" s="7" t="s">
        <v>7</v>
      </c>
      <c r="C3598" s="8">
        <v>1890</v>
      </c>
      <c r="D3598" s="9">
        <v>45449</v>
      </c>
      <c r="E3598" s="13">
        <f>+HYPERLINK("http://trademark.i-assist.jp/data/china/image_1890th/77466121.pdf",77466121)</f>
        <v>77466121</v>
      </c>
      <c r="F3598" s="7" t="s">
        <v>9917</v>
      </c>
      <c r="G3598" s="7" t="s">
        <v>9916</v>
      </c>
      <c r="H3598" s="7" t="s">
        <v>9918</v>
      </c>
      <c r="I3598" s="9">
        <v>45372</v>
      </c>
    </row>
    <row r="3599" spans="1:9" x14ac:dyDescent="0.15">
      <c r="A3599" s="6">
        <v>3598</v>
      </c>
      <c r="B3599" s="7" t="s">
        <v>7</v>
      </c>
      <c r="C3599" s="8">
        <v>1890</v>
      </c>
      <c r="D3599" s="9">
        <v>45449</v>
      </c>
      <c r="E3599" s="13">
        <f>+HYPERLINK("http://trademark.i-assist.jp/data/china/image_1890th/77466241.pdf",77466241)</f>
        <v>77466241</v>
      </c>
      <c r="F3599" s="7" t="s">
        <v>9920</v>
      </c>
      <c r="G3599" s="7" t="s">
        <v>9919</v>
      </c>
      <c r="H3599" s="7" t="s">
        <v>9921</v>
      </c>
      <c r="I3599" s="9">
        <v>45372</v>
      </c>
    </row>
    <row r="3600" spans="1:9" x14ac:dyDescent="0.15">
      <c r="A3600" s="6">
        <v>3599</v>
      </c>
      <c r="B3600" s="7" t="s">
        <v>7</v>
      </c>
      <c r="C3600" s="8">
        <v>1890</v>
      </c>
      <c r="D3600" s="9">
        <v>45449</v>
      </c>
      <c r="E3600" s="13">
        <f>+HYPERLINK("http://trademark.i-assist.jp/data/china/image_1890th/77466275.pdf",77466275)</f>
        <v>77466275</v>
      </c>
      <c r="F3600" s="7" t="s">
        <v>9923</v>
      </c>
      <c r="G3600" s="7" t="s">
        <v>9922</v>
      </c>
      <c r="H3600" s="7" t="s">
        <v>9924</v>
      </c>
      <c r="I3600" s="9">
        <v>45372</v>
      </c>
    </row>
    <row r="3601" spans="1:9" x14ac:dyDescent="0.15">
      <c r="A3601" s="6">
        <v>3600</v>
      </c>
      <c r="B3601" s="7" t="s">
        <v>7</v>
      </c>
      <c r="C3601" s="8">
        <v>1890</v>
      </c>
      <c r="D3601" s="9">
        <v>45449</v>
      </c>
      <c r="E3601" s="13">
        <f>+HYPERLINK("http://trademark.i-assist.jp/data/china/image_1890th/77466312.pdf",77466312)</f>
        <v>77466312</v>
      </c>
      <c r="F3601" s="7" t="s">
        <v>9926</v>
      </c>
      <c r="G3601" s="7" t="s">
        <v>9925</v>
      </c>
      <c r="H3601" s="7" t="s">
        <v>9927</v>
      </c>
      <c r="I3601" s="9">
        <v>45372</v>
      </c>
    </row>
    <row r="3602" spans="1:9" x14ac:dyDescent="0.15">
      <c r="A3602" s="6">
        <v>3601</v>
      </c>
      <c r="B3602" s="7" t="s">
        <v>7</v>
      </c>
      <c r="C3602" s="8">
        <v>1890</v>
      </c>
      <c r="D3602" s="9">
        <v>45449</v>
      </c>
      <c r="E3602" s="13">
        <f>+HYPERLINK("http://trademark.i-assist.jp/data/china/image_1890th/77466318.pdf",77466318)</f>
        <v>77466318</v>
      </c>
      <c r="F3602" s="7" t="s">
        <v>9929</v>
      </c>
      <c r="G3602" s="7" t="s">
        <v>9928</v>
      </c>
      <c r="H3602" s="7" t="s">
        <v>9930</v>
      </c>
      <c r="I3602" s="9">
        <v>45372</v>
      </c>
    </row>
    <row r="3603" spans="1:9" ht="27" x14ac:dyDescent="0.15">
      <c r="A3603" s="6">
        <v>3602</v>
      </c>
      <c r="B3603" s="7" t="s">
        <v>7</v>
      </c>
      <c r="C3603" s="8">
        <v>1890</v>
      </c>
      <c r="D3603" s="9">
        <v>45449</v>
      </c>
      <c r="E3603" s="13">
        <f>+HYPERLINK("http://trademark.i-assist.jp/data/china/image_1890th/77466333.pdf",77466333)</f>
        <v>77466333</v>
      </c>
      <c r="F3603" s="7" t="s">
        <v>9932</v>
      </c>
      <c r="G3603" s="7" t="s">
        <v>9931</v>
      </c>
      <c r="H3603" s="7" t="s">
        <v>9933</v>
      </c>
      <c r="I3603" s="9">
        <v>45372</v>
      </c>
    </row>
    <row r="3604" spans="1:9" ht="27" x14ac:dyDescent="0.15">
      <c r="A3604" s="6">
        <v>3603</v>
      </c>
      <c r="B3604" s="7" t="s">
        <v>7</v>
      </c>
      <c r="C3604" s="8">
        <v>1890</v>
      </c>
      <c r="D3604" s="9">
        <v>45449</v>
      </c>
      <c r="E3604" s="13">
        <f>+HYPERLINK("http://trademark.i-assist.jp/data/china/image_1890th/77466459.pdf",77466459)</f>
        <v>77466459</v>
      </c>
      <c r="F3604" s="7" t="s">
        <v>9935</v>
      </c>
      <c r="G3604" s="7" t="s">
        <v>9934</v>
      </c>
      <c r="H3604" s="7" t="s">
        <v>9936</v>
      </c>
      <c r="I3604" s="9">
        <v>45372</v>
      </c>
    </row>
    <row r="3605" spans="1:9" x14ac:dyDescent="0.15">
      <c r="A3605" s="6">
        <v>3604</v>
      </c>
      <c r="B3605" s="7" t="s">
        <v>7</v>
      </c>
      <c r="C3605" s="8">
        <v>1890</v>
      </c>
      <c r="D3605" s="9">
        <v>45449</v>
      </c>
      <c r="E3605" s="13">
        <f>+HYPERLINK("http://trademark.i-assist.jp/data/china/image_1890th/77466490.pdf",77466490)</f>
        <v>77466490</v>
      </c>
      <c r="F3605" s="7" t="s">
        <v>9938</v>
      </c>
      <c r="G3605" s="7" t="s">
        <v>9937</v>
      </c>
      <c r="H3605" s="7" t="s">
        <v>9939</v>
      </c>
      <c r="I3605" s="9">
        <v>45372</v>
      </c>
    </row>
    <row r="3606" spans="1:9" x14ac:dyDescent="0.15">
      <c r="A3606" s="6">
        <v>3605</v>
      </c>
      <c r="B3606" s="7" t="s">
        <v>7</v>
      </c>
      <c r="C3606" s="8">
        <v>1890</v>
      </c>
      <c r="D3606" s="9">
        <v>45449</v>
      </c>
      <c r="E3606" s="13">
        <f>+HYPERLINK("http://trademark.i-assist.jp/data/china/image_1890th/77466596.pdf",77466596)</f>
        <v>77466596</v>
      </c>
      <c r="F3606" s="7" t="s">
        <v>9941</v>
      </c>
      <c r="G3606" s="7" t="s">
        <v>9940</v>
      </c>
      <c r="H3606" s="7" t="s">
        <v>9942</v>
      </c>
      <c r="I3606" s="9">
        <v>45372</v>
      </c>
    </row>
    <row r="3607" spans="1:9" x14ac:dyDescent="0.15">
      <c r="A3607" s="6">
        <v>3606</v>
      </c>
      <c r="B3607" s="7" t="s">
        <v>7</v>
      </c>
      <c r="C3607" s="8">
        <v>1890</v>
      </c>
      <c r="D3607" s="9">
        <v>45449</v>
      </c>
      <c r="E3607" s="13">
        <f>+HYPERLINK("http://trademark.i-assist.jp/data/china/image_1890th/77466614.pdf",77466614)</f>
        <v>77466614</v>
      </c>
      <c r="F3607" s="7" t="s">
        <v>9944</v>
      </c>
      <c r="G3607" s="7" t="s">
        <v>9943</v>
      </c>
      <c r="H3607" s="7" t="s">
        <v>9945</v>
      </c>
      <c r="I3607" s="9">
        <v>45372</v>
      </c>
    </row>
    <row r="3608" spans="1:9" x14ac:dyDescent="0.15">
      <c r="A3608" s="6">
        <v>3607</v>
      </c>
      <c r="B3608" s="7" t="s">
        <v>7</v>
      </c>
      <c r="C3608" s="8">
        <v>1890</v>
      </c>
      <c r="D3608" s="9">
        <v>45449</v>
      </c>
      <c r="E3608" s="13">
        <f>+HYPERLINK("http://trademark.i-assist.jp/data/china/image_1890th/77466660.pdf",77466660)</f>
        <v>77466660</v>
      </c>
      <c r="F3608" s="7" t="s">
        <v>9946</v>
      </c>
      <c r="G3608" s="7" t="s">
        <v>4646</v>
      </c>
      <c r="H3608" s="7" t="s">
        <v>9947</v>
      </c>
      <c r="I3608" s="9">
        <v>45372</v>
      </c>
    </row>
    <row r="3609" spans="1:9" x14ac:dyDescent="0.15">
      <c r="A3609" s="6">
        <v>3608</v>
      </c>
      <c r="B3609" s="7" t="s">
        <v>7</v>
      </c>
      <c r="C3609" s="8">
        <v>1890</v>
      </c>
      <c r="D3609" s="9">
        <v>45449</v>
      </c>
      <c r="E3609" s="13">
        <f>+HYPERLINK("http://trademark.i-assist.jp/data/china/image_1890th/77466678.pdf",77466678)</f>
        <v>77466678</v>
      </c>
      <c r="F3609" s="7" t="s">
        <v>9948</v>
      </c>
      <c r="G3609" s="7" t="s">
        <v>5256</v>
      </c>
      <c r="H3609" s="7" t="s">
        <v>3989</v>
      </c>
      <c r="I3609" s="9">
        <v>45372</v>
      </c>
    </row>
    <row r="3610" spans="1:9" x14ac:dyDescent="0.15">
      <c r="A3610" s="6">
        <v>3609</v>
      </c>
      <c r="B3610" s="7" t="s">
        <v>7</v>
      </c>
      <c r="C3610" s="8">
        <v>1890</v>
      </c>
      <c r="D3610" s="9">
        <v>45449</v>
      </c>
      <c r="E3610" s="13">
        <f>+HYPERLINK("http://trademark.i-assist.jp/data/china/image_1890th/77466693.pdf",77466693)</f>
        <v>77466693</v>
      </c>
      <c r="F3610" s="7" t="s">
        <v>9949</v>
      </c>
      <c r="G3610" s="7" t="s">
        <v>5256</v>
      </c>
      <c r="H3610" s="7" t="s">
        <v>3989</v>
      </c>
      <c r="I3610" s="9">
        <v>45372</v>
      </c>
    </row>
    <row r="3611" spans="1:9" x14ac:dyDescent="0.15">
      <c r="A3611" s="6">
        <v>3610</v>
      </c>
      <c r="B3611" s="7" t="s">
        <v>7</v>
      </c>
      <c r="C3611" s="8">
        <v>1890</v>
      </c>
      <c r="D3611" s="9">
        <v>45449</v>
      </c>
      <c r="E3611" s="13">
        <f>+HYPERLINK("http://trademark.i-assist.jp/data/china/image_1890th/77466700.pdf",77466700)</f>
        <v>77466700</v>
      </c>
      <c r="F3611" s="7" t="s">
        <v>9951</v>
      </c>
      <c r="G3611" s="7" t="s">
        <v>9950</v>
      </c>
      <c r="H3611" s="7" t="s">
        <v>9952</v>
      </c>
      <c r="I3611" s="9">
        <v>45372</v>
      </c>
    </row>
    <row r="3612" spans="1:9" x14ac:dyDescent="0.15">
      <c r="A3612" s="6">
        <v>3611</v>
      </c>
      <c r="B3612" s="7" t="s">
        <v>7</v>
      </c>
      <c r="C3612" s="8">
        <v>1890</v>
      </c>
      <c r="D3612" s="9">
        <v>45449</v>
      </c>
      <c r="E3612" s="13">
        <f>+HYPERLINK("http://trademark.i-assist.jp/data/china/image_1890th/77466708.pdf",77466708)</f>
        <v>77466708</v>
      </c>
      <c r="F3612" s="7" t="s">
        <v>9954</v>
      </c>
      <c r="G3612" s="7" t="s">
        <v>9953</v>
      </c>
      <c r="H3612" s="7" t="s">
        <v>9955</v>
      </c>
      <c r="I3612" s="9">
        <v>45372</v>
      </c>
    </row>
    <row r="3613" spans="1:9" x14ac:dyDescent="0.15">
      <c r="A3613" s="6">
        <v>3612</v>
      </c>
      <c r="B3613" s="7" t="s">
        <v>7</v>
      </c>
      <c r="C3613" s="8">
        <v>1890</v>
      </c>
      <c r="D3613" s="9">
        <v>45449</v>
      </c>
      <c r="E3613" s="13">
        <f>+HYPERLINK("http://trademark.i-assist.jp/data/china/image_1890th/77466709.pdf",77466709)</f>
        <v>77466709</v>
      </c>
      <c r="F3613" s="7" t="s">
        <v>9957</v>
      </c>
      <c r="G3613" s="7" t="s">
        <v>9956</v>
      </c>
      <c r="H3613" s="7" t="s">
        <v>9958</v>
      </c>
      <c r="I3613" s="9">
        <v>45372</v>
      </c>
    </row>
    <row r="3614" spans="1:9" x14ac:dyDescent="0.15">
      <c r="A3614" s="6">
        <v>3613</v>
      </c>
      <c r="B3614" s="7" t="s">
        <v>7</v>
      </c>
      <c r="C3614" s="8">
        <v>1890</v>
      </c>
      <c r="D3614" s="9">
        <v>45449</v>
      </c>
      <c r="E3614" s="13">
        <f>+HYPERLINK("http://trademark.i-assist.jp/data/china/image_1890th/77466729.pdf",77466729)</f>
        <v>77466729</v>
      </c>
      <c r="F3614" s="7" t="s">
        <v>9959</v>
      </c>
      <c r="G3614" s="7" t="s">
        <v>5164</v>
      </c>
      <c r="H3614" s="7" t="s">
        <v>9960</v>
      </c>
      <c r="I3614" s="9">
        <v>45372</v>
      </c>
    </row>
    <row r="3615" spans="1:9" x14ac:dyDescent="0.15">
      <c r="A3615" s="6">
        <v>3614</v>
      </c>
      <c r="B3615" s="7" t="s">
        <v>7</v>
      </c>
      <c r="C3615" s="8">
        <v>1890</v>
      </c>
      <c r="D3615" s="9">
        <v>45449</v>
      </c>
      <c r="E3615" s="13">
        <f>+HYPERLINK("http://trademark.i-assist.jp/data/china/image_1890th/77466765.pdf",77466765)</f>
        <v>77466765</v>
      </c>
      <c r="F3615" s="7" t="s">
        <v>9962</v>
      </c>
      <c r="G3615" s="7" t="s">
        <v>9961</v>
      </c>
      <c r="H3615" s="7" t="s">
        <v>9963</v>
      </c>
      <c r="I3615" s="9">
        <v>45372</v>
      </c>
    </row>
    <row r="3616" spans="1:9" ht="27" x14ac:dyDescent="0.15">
      <c r="A3616" s="6">
        <v>3615</v>
      </c>
      <c r="B3616" s="7" t="s">
        <v>7</v>
      </c>
      <c r="C3616" s="8">
        <v>1890</v>
      </c>
      <c r="D3616" s="9">
        <v>45449</v>
      </c>
      <c r="E3616" s="13">
        <f>+HYPERLINK("http://trademark.i-assist.jp/data/china/image_1890th/77466821.pdf",77466821)</f>
        <v>77466821</v>
      </c>
      <c r="F3616" s="7" t="s">
        <v>9965</v>
      </c>
      <c r="G3616" s="7" t="s">
        <v>9964</v>
      </c>
      <c r="H3616" s="7" t="s">
        <v>9966</v>
      </c>
      <c r="I3616" s="9">
        <v>45372</v>
      </c>
    </row>
    <row r="3617" spans="1:9" x14ac:dyDescent="0.15">
      <c r="A3617" s="6">
        <v>3616</v>
      </c>
      <c r="B3617" s="7" t="s">
        <v>7</v>
      </c>
      <c r="C3617" s="8">
        <v>1890</v>
      </c>
      <c r="D3617" s="9">
        <v>45449</v>
      </c>
      <c r="E3617" s="13">
        <f>+HYPERLINK("http://trademark.i-assist.jp/data/china/image_1890th/77466921.pdf",77466921)</f>
        <v>77466921</v>
      </c>
      <c r="F3617" s="7" t="s">
        <v>9968</v>
      </c>
      <c r="G3617" s="7" t="s">
        <v>9967</v>
      </c>
      <c r="H3617" s="7" t="s">
        <v>9969</v>
      </c>
      <c r="I3617" s="9">
        <v>45372</v>
      </c>
    </row>
    <row r="3618" spans="1:9" x14ac:dyDescent="0.15">
      <c r="A3618" s="6">
        <v>3617</v>
      </c>
      <c r="B3618" s="7" t="s">
        <v>7</v>
      </c>
      <c r="C3618" s="8">
        <v>1890</v>
      </c>
      <c r="D3618" s="9">
        <v>45449</v>
      </c>
      <c r="E3618" s="13">
        <f>+HYPERLINK("http://trademark.i-assist.jp/data/china/image_1890th/77466946.pdf",77466946)</f>
        <v>77466946</v>
      </c>
      <c r="F3618" s="7" t="s">
        <v>9970</v>
      </c>
      <c r="G3618" s="7" t="s">
        <v>6967</v>
      </c>
      <c r="H3618" s="7" t="s">
        <v>9971</v>
      </c>
      <c r="I3618" s="9">
        <v>45372</v>
      </c>
    </row>
    <row r="3619" spans="1:9" x14ac:dyDescent="0.15">
      <c r="A3619" s="6">
        <v>3618</v>
      </c>
      <c r="B3619" s="7" t="s">
        <v>7</v>
      </c>
      <c r="C3619" s="8">
        <v>1890</v>
      </c>
      <c r="D3619" s="9">
        <v>45449</v>
      </c>
      <c r="E3619" s="13">
        <f>+HYPERLINK("http://trademark.i-assist.jp/data/china/image_1890th/77466987.pdf",77466987)</f>
        <v>77466987</v>
      </c>
      <c r="F3619" s="7" t="s">
        <v>9972</v>
      </c>
      <c r="G3619" s="7" t="s">
        <v>9767</v>
      </c>
      <c r="H3619" s="7" t="s">
        <v>9973</v>
      </c>
      <c r="I3619" s="9">
        <v>45372</v>
      </c>
    </row>
    <row r="3620" spans="1:9" ht="27" x14ac:dyDescent="0.15">
      <c r="A3620" s="6">
        <v>3619</v>
      </c>
      <c r="B3620" s="7" t="s">
        <v>7</v>
      </c>
      <c r="C3620" s="8">
        <v>1890</v>
      </c>
      <c r="D3620" s="9">
        <v>45449</v>
      </c>
      <c r="E3620" s="13">
        <f>+HYPERLINK("http://trademark.i-assist.jp/data/china/image_1890th/77467216.pdf",77467216)</f>
        <v>77467216</v>
      </c>
      <c r="F3620" s="7" t="s">
        <v>9974</v>
      </c>
      <c r="G3620" s="7" t="s">
        <v>6964</v>
      </c>
      <c r="H3620" s="7" t="s">
        <v>9975</v>
      </c>
      <c r="I3620" s="9">
        <v>45372</v>
      </c>
    </row>
    <row r="3621" spans="1:9" x14ac:dyDescent="0.15">
      <c r="A3621" s="6">
        <v>3620</v>
      </c>
      <c r="B3621" s="7" t="s">
        <v>7</v>
      </c>
      <c r="C3621" s="8">
        <v>1890</v>
      </c>
      <c r="D3621" s="9">
        <v>45449</v>
      </c>
      <c r="E3621" s="13">
        <f>+HYPERLINK("http://trademark.i-assist.jp/data/china/image_1890th/77467255.pdf",77467255)</f>
        <v>77467255</v>
      </c>
      <c r="F3621" s="7" t="s">
        <v>9977</v>
      </c>
      <c r="G3621" s="7" t="s">
        <v>9976</v>
      </c>
      <c r="H3621" s="7" t="s">
        <v>9978</v>
      </c>
      <c r="I3621" s="9">
        <v>45372</v>
      </c>
    </row>
    <row r="3622" spans="1:9" x14ac:dyDescent="0.15">
      <c r="A3622" s="6">
        <v>3621</v>
      </c>
      <c r="B3622" s="7" t="s">
        <v>7</v>
      </c>
      <c r="C3622" s="8">
        <v>1890</v>
      </c>
      <c r="D3622" s="9">
        <v>45449</v>
      </c>
      <c r="E3622" s="13">
        <f>+HYPERLINK("http://trademark.i-assist.jp/data/china/image_1890th/77467300.pdf",77467300)</f>
        <v>77467300</v>
      </c>
      <c r="F3622" s="7" t="s">
        <v>9980</v>
      </c>
      <c r="G3622" s="7" t="s">
        <v>9979</v>
      </c>
      <c r="H3622" s="7" t="s">
        <v>9981</v>
      </c>
      <c r="I3622" s="9">
        <v>45372</v>
      </c>
    </row>
    <row r="3623" spans="1:9" x14ac:dyDescent="0.15">
      <c r="A3623" s="6">
        <v>3622</v>
      </c>
      <c r="B3623" s="7" t="s">
        <v>7</v>
      </c>
      <c r="C3623" s="8">
        <v>1890</v>
      </c>
      <c r="D3623" s="9">
        <v>45449</v>
      </c>
      <c r="E3623" s="13">
        <f>+HYPERLINK("http://trademark.i-assist.jp/data/china/image_1890th/77467496.pdf",77467496)</f>
        <v>77467496</v>
      </c>
      <c r="F3623" s="7" t="s">
        <v>9983</v>
      </c>
      <c r="G3623" s="7" t="s">
        <v>9982</v>
      </c>
      <c r="H3623" s="7" t="s">
        <v>9984</v>
      </c>
      <c r="I3623" s="9">
        <v>45372</v>
      </c>
    </row>
    <row r="3624" spans="1:9" x14ac:dyDescent="0.15">
      <c r="A3624" s="6">
        <v>3623</v>
      </c>
      <c r="B3624" s="7" t="s">
        <v>7</v>
      </c>
      <c r="C3624" s="8">
        <v>1890</v>
      </c>
      <c r="D3624" s="9">
        <v>45449</v>
      </c>
      <c r="E3624" s="13">
        <f>+HYPERLINK("http://trademark.i-assist.jp/data/china/image_1890th/77467573.pdf",77467573)</f>
        <v>77467573</v>
      </c>
      <c r="F3624" s="7" t="s">
        <v>9986</v>
      </c>
      <c r="G3624" s="7" t="s">
        <v>9985</v>
      </c>
      <c r="H3624" s="7" t="s">
        <v>9987</v>
      </c>
      <c r="I3624" s="9">
        <v>45372</v>
      </c>
    </row>
    <row r="3625" spans="1:9" x14ac:dyDescent="0.15">
      <c r="A3625" s="6">
        <v>3624</v>
      </c>
      <c r="B3625" s="7" t="s">
        <v>7</v>
      </c>
      <c r="C3625" s="8">
        <v>1890</v>
      </c>
      <c r="D3625" s="9">
        <v>45449</v>
      </c>
      <c r="E3625" s="13">
        <f>+HYPERLINK("http://trademark.i-assist.jp/data/china/image_1890th/77467636.pdf",77467636)</f>
        <v>77467636</v>
      </c>
      <c r="F3625" s="7" t="s">
        <v>9989</v>
      </c>
      <c r="G3625" s="7" t="s">
        <v>9988</v>
      </c>
      <c r="H3625" s="7" t="s">
        <v>9990</v>
      </c>
      <c r="I3625" s="9">
        <v>45372</v>
      </c>
    </row>
    <row r="3626" spans="1:9" x14ac:dyDescent="0.15">
      <c r="A3626" s="6">
        <v>3625</v>
      </c>
      <c r="B3626" s="7" t="s">
        <v>7</v>
      </c>
      <c r="C3626" s="8">
        <v>1890</v>
      </c>
      <c r="D3626" s="9">
        <v>45449</v>
      </c>
      <c r="E3626" s="13">
        <f>+HYPERLINK("http://trademark.i-assist.jp/data/china/image_1890th/77467664.pdf",77467664)</f>
        <v>77467664</v>
      </c>
      <c r="F3626" s="7" t="s">
        <v>9991</v>
      </c>
      <c r="G3626" s="7" t="s">
        <v>2387</v>
      </c>
      <c r="H3626" s="7" t="s">
        <v>9992</v>
      </c>
      <c r="I3626" s="9">
        <v>45372</v>
      </c>
    </row>
    <row r="3627" spans="1:9" x14ac:dyDescent="0.15">
      <c r="A3627" s="6">
        <v>3626</v>
      </c>
      <c r="B3627" s="7" t="s">
        <v>7</v>
      </c>
      <c r="C3627" s="8">
        <v>1890</v>
      </c>
      <c r="D3627" s="9">
        <v>45449</v>
      </c>
      <c r="E3627" s="13">
        <f>+HYPERLINK("http://trademark.i-assist.jp/data/china/image_1890th/77467685.pdf",77467685)</f>
        <v>77467685</v>
      </c>
      <c r="F3627" s="7" t="s">
        <v>9994</v>
      </c>
      <c r="G3627" s="7" t="s">
        <v>9993</v>
      </c>
      <c r="H3627" s="7" t="s">
        <v>9995</v>
      </c>
      <c r="I3627" s="9">
        <v>45372</v>
      </c>
    </row>
    <row r="3628" spans="1:9" x14ac:dyDescent="0.15">
      <c r="A3628" s="6">
        <v>3627</v>
      </c>
      <c r="B3628" s="7" t="s">
        <v>7</v>
      </c>
      <c r="C3628" s="8">
        <v>1890</v>
      </c>
      <c r="D3628" s="9">
        <v>45449</v>
      </c>
      <c r="E3628" s="13">
        <f>+HYPERLINK("http://trademark.i-assist.jp/data/china/image_1890th/77467856.pdf",77467856)</f>
        <v>77467856</v>
      </c>
      <c r="F3628" s="7" t="s">
        <v>9997</v>
      </c>
      <c r="G3628" s="7" t="s">
        <v>9996</v>
      </c>
      <c r="H3628" s="7" t="s">
        <v>9998</v>
      </c>
      <c r="I3628" s="9">
        <v>45372</v>
      </c>
    </row>
    <row r="3629" spans="1:9" x14ac:dyDescent="0.15">
      <c r="A3629" s="6">
        <v>3628</v>
      </c>
      <c r="B3629" s="7" t="s">
        <v>7</v>
      </c>
      <c r="C3629" s="8">
        <v>1890</v>
      </c>
      <c r="D3629" s="9">
        <v>45449</v>
      </c>
      <c r="E3629" s="13">
        <f>+HYPERLINK("http://trademark.i-assist.jp/data/china/image_1890th/77467888.pdf",77467888)</f>
        <v>77467888</v>
      </c>
      <c r="F3629" s="7" t="s">
        <v>10000</v>
      </c>
      <c r="G3629" s="7" t="s">
        <v>9999</v>
      </c>
      <c r="H3629" s="7" t="s">
        <v>10001</v>
      </c>
      <c r="I3629" s="9">
        <v>45372</v>
      </c>
    </row>
    <row r="3630" spans="1:9" x14ac:dyDescent="0.15">
      <c r="A3630" s="6">
        <v>3629</v>
      </c>
      <c r="B3630" s="7" t="s">
        <v>7</v>
      </c>
      <c r="C3630" s="8">
        <v>1890</v>
      </c>
      <c r="D3630" s="9">
        <v>45449</v>
      </c>
      <c r="E3630" s="13">
        <f>+HYPERLINK("http://trademark.i-assist.jp/data/china/image_1890th/77468081.pdf",77468081)</f>
        <v>77468081</v>
      </c>
      <c r="F3630" s="7" t="s">
        <v>10003</v>
      </c>
      <c r="G3630" s="7" t="s">
        <v>10002</v>
      </c>
      <c r="H3630" s="7" t="s">
        <v>10004</v>
      </c>
      <c r="I3630" s="9">
        <v>45372</v>
      </c>
    </row>
    <row r="3631" spans="1:9" x14ac:dyDescent="0.15">
      <c r="A3631" s="6">
        <v>3630</v>
      </c>
      <c r="B3631" s="7" t="s">
        <v>7</v>
      </c>
      <c r="C3631" s="8">
        <v>1890</v>
      </c>
      <c r="D3631" s="9">
        <v>45449</v>
      </c>
      <c r="E3631" s="13">
        <f>+HYPERLINK("http://trademark.i-assist.jp/data/china/image_1890th/77476544.pdf",77476544)</f>
        <v>77476544</v>
      </c>
      <c r="F3631" s="7" t="s">
        <v>10005</v>
      </c>
      <c r="G3631" s="7" t="s">
        <v>9517</v>
      </c>
      <c r="H3631" s="7" t="s">
        <v>10006</v>
      </c>
      <c r="I3631" s="9">
        <v>45375</v>
      </c>
    </row>
    <row r="3632" spans="1:9" x14ac:dyDescent="0.15">
      <c r="A3632" s="6">
        <v>3631</v>
      </c>
      <c r="B3632" s="7" t="s">
        <v>7</v>
      </c>
      <c r="C3632" s="8">
        <v>1890</v>
      </c>
      <c r="D3632" s="9">
        <v>45449</v>
      </c>
      <c r="E3632" s="13">
        <f>+HYPERLINK("http://trademark.i-assist.jp/data/china/image_1890th/77476889.pdf",77476889)</f>
        <v>77476889</v>
      </c>
      <c r="F3632" s="7" t="s">
        <v>10008</v>
      </c>
      <c r="G3632" s="7" t="s">
        <v>10007</v>
      </c>
      <c r="H3632" s="7" t="s">
        <v>10009</v>
      </c>
      <c r="I3632" s="9">
        <v>45375</v>
      </c>
    </row>
    <row r="3633" spans="1:9" x14ac:dyDescent="0.15">
      <c r="A3633" s="6">
        <v>3632</v>
      </c>
      <c r="B3633" s="7" t="s">
        <v>7</v>
      </c>
      <c r="C3633" s="8">
        <v>1890</v>
      </c>
      <c r="D3633" s="9">
        <v>45449</v>
      </c>
      <c r="E3633" s="13">
        <f>+HYPERLINK("http://trademark.i-assist.jp/data/china/image_1890th/77476961.pdf",77476961)</f>
        <v>77476961</v>
      </c>
      <c r="F3633" s="7" t="s">
        <v>10011</v>
      </c>
      <c r="G3633" s="7" t="s">
        <v>10010</v>
      </c>
      <c r="H3633" s="7" t="s">
        <v>10012</v>
      </c>
      <c r="I3633" s="9">
        <v>45375</v>
      </c>
    </row>
    <row r="3634" spans="1:9" x14ac:dyDescent="0.15">
      <c r="A3634" s="6">
        <v>3633</v>
      </c>
      <c r="B3634" s="7" t="s">
        <v>7</v>
      </c>
      <c r="C3634" s="8">
        <v>1890</v>
      </c>
      <c r="D3634" s="9">
        <v>45449</v>
      </c>
      <c r="E3634" s="13">
        <f>+HYPERLINK("http://trademark.i-assist.jp/data/china/image_1890th/77476962.pdf",77476962)</f>
        <v>77476962</v>
      </c>
      <c r="F3634" s="7" t="s">
        <v>10014</v>
      </c>
      <c r="G3634" s="7" t="s">
        <v>10013</v>
      </c>
      <c r="H3634" s="7" t="s">
        <v>3989</v>
      </c>
      <c r="I3634" s="9">
        <v>45375</v>
      </c>
    </row>
    <row r="3635" spans="1:9" x14ac:dyDescent="0.15">
      <c r="A3635" s="6">
        <v>3634</v>
      </c>
      <c r="B3635" s="7" t="s">
        <v>7</v>
      </c>
      <c r="C3635" s="8">
        <v>1890</v>
      </c>
      <c r="D3635" s="9">
        <v>45449</v>
      </c>
      <c r="E3635" s="13">
        <f>+HYPERLINK("http://trademark.i-assist.jp/data/china/image_1890th/77477007.pdf",77477007)</f>
        <v>77477007</v>
      </c>
      <c r="F3635" s="7" t="s">
        <v>10016</v>
      </c>
      <c r="G3635" s="7" t="s">
        <v>10015</v>
      </c>
      <c r="H3635" s="7" t="s">
        <v>10017</v>
      </c>
      <c r="I3635" s="9">
        <v>45375</v>
      </c>
    </row>
    <row r="3636" spans="1:9" x14ac:dyDescent="0.15">
      <c r="A3636" s="6">
        <v>3635</v>
      </c>
      <c r="B3636" s="7" t="s">
        <v>7</v>
      </c>
      <c r="C3636" s="8">
        <v>1890</v>
      </c>
      <c r="D3636" s="9">
        <v>45449</v>
      </c>
      <c r="E3636" s="13">
        <f>+HYPERLINK("http://trademark.i-assist.jp/data/china/image_1890th/77477013.pdf",77477013)</f>
        <v>77477013</v>
      </c>
      <c r="F3636" s="7" t="s">
        <v>10019</v>
      </c>
      <c r="G3636" s="7" t="s">
        <v>10018</v>
      </c>
      <c r="H3636" s="7" t="s">
        <v>10020</v>
      </c>
      <c r="I3636" s="9">
        <v>45375</v>
      </c>
    </row>
    <row r="3637" spans="1:9" x14ac:dyDescent="0.15">
      <c r="A3637" s="6">
        <v>3636</v>
      </c>
      <c r="B3637" s="7" t="s">
        <v>7</v>
      </c>
      <c r="C3637" s="8">
        <v>1890</v>
      </c>
      <c r="D3637" s="9">
        <v>45449</v>
      </c>
      <c r="E3637" s="13">
        <f>+HYPERLINK("http://trademark.i-assist.jp/data/china/image_1890th/77477034.pdf",77477034)</f>
        <v>77477034</v>
      </c>
      <c r="F3637" s="7" t="s">
        <v>10022</v>
      </c>
      <c r="G3637" s="7" t="s">
        <v>10021</v>
      </c>
      <c r="H3637" s="7" t="s">
        <v>10023</v>
      </c>
      <c r="I3637" s="9">
        <v>45375</v>
      </c>
    </row>
    <row r="3638" spans="1:9" x14ac:dyDescent="0.15">
      <c r="A3638" s="6">
        <v>3637</v>
      </c>
      <c r="B3638" s="7" t="s">
        <v>7</v>
      </c>
      <c r="C3638" s="8">
        <v>1890</v>
      </c>
      <c r="D3638" s="9">
        <v>45449</v>
      </c>
      <c r="E3638" s="13">
        <f>+HYPERLINK("http://trademark.i-assist.jp/data/china/image_1890th/77482072.pdf",77482072)</f>
        <v>77482072</v>
      </c>
      <c r="F3638" s="7" t="s">
        <v>10025</v>
      </c>
      <c r="G3638" s="7" t="s">
        <v>10024</v>
      </c>
      <c r="H3638" s="7" t="s">
        <v>10026</v>
      </c>
      <c r="I3638" s="9">
        <v>45375</v>
      </c>
    </row>
    <row r="3639" spans="1:9" x14ac:dyDescent="0.15">
      <c r="A3639" s="6">
        <v>3638</v>
      </c>
      <c r="B3639" s="7" t="s">
        <v>7</v>
      </c>
      <c r="C3639" s="8">
        <v>1890</v>
      </c>
      <c r="D3639" s="9">
        <v>45449</v>
      </c>
      <c r="E3639" s="13">
        <f>+HYPERLINK("http://trademark.i-assist.jp/data/china/image_1890th/77482090.pdf",77482090)</f>
        <v>77482090</v>
      </c>
      <c r="F3639" s="7" t="s">
        <v>10028</v>
      </c>
      <c r="G3639" s="7" t="s">
        <v>10027</v>
      </c>
      <c r="H3639" s="7" t="s">
        <v>10029</v>
      </c>
      <c r="I3639" s="9">
        <v>45375</v>
      </c>
    </row>
    <row r="3640" spans="1:9" x14ac:dyDescent="0.15">
      <c r="A3640" s="6">
        <v>3639</v>
      </c>
      <c r="B3640" s="7" t="s">
        <v>7</v>
      </c>
      <c r="C3640" s="8">
        <v>1890</v>
      </c>
      <c r="D3640" s="9">
        <v>45449</v>
      </c>
      <c r="E3640" s="13">
        <f>+HYPERLINK("http://trademark.i-assist.jp/data/china/image_1890th/77482093.pdf",77482093)</f>
        <v>77482093</v>
      </c>
      <c r="F3640" s="7" t="s">
        <v>10031</v>
      </c>
      <c r="G3640" s="7" t="s">
        <v>10030</v>
      </c>
      <c r="H3640" s="7" t="s">
        <v>10032</v>
      </c>
      <c r="I3640" s="9">
        <v>45375</v>
      </c>
    </row>
    <row r="3641" spans="1:9" x14ac:dyDescent="0.15">
      <c r="A3641" s="6">
        <v>3640</v>
      </c>
      <c r="B3641" s="7" t="s">
        <v>7</v>
      </c>
      <c r="C3641" s="8">
        <v>1890</v>
      </c>
      <c r="D3641" s="9">
        <v>45449</v>
      </c>
      <c r="E3641" s="13">
        <f>+HYPERLINK("http://trademark.i-assist.jp/data/china/image_1890th/77482265.pdf",77482265)</f>
        <v>77482265</v>
      </c>
      <c r="F3641" s="7" t="s">
        <v>10034</v>
      </c>
      <c r="G3641" s="7" t="s">
        <v>10033</v>
      </c>
      <c r="H3641" s="7" t="s">
        <v>10035</v>
      </c>
      <c r="I3641" s="9">
        <v>45375</v>
      </c>
    </row>
    <row r="3642" spans="1:9" x14ac:dyDescent="0.15">
      <c r="A3642" s="6">
        <v>3641</v>
      </c>
      <c r="B3642" s="7" t="s">
        <v>7</v>
      </c>
      <c r="C3642" s="8">
        <v>1890</v>
      </c>
      <c r="D3642" s="9">
        <v>45449</v>
      </c>
      <c r="E3642" s="13">
        <f>+HYPERLINK("http://trademark.i-assist.jp/data/china/image_1890th/77482308.pdf",77482308)</f>
        <v>77482308</v>
      </c>
      <c r="F3642" s="7" t="s">
        <v>9521</v>
      </c>
      <c r="G3642" s="7" t="s">
        <v>9520</v>
      </c>
      <c r="H3642" s="7" t="s">
        <v>10036</v>
      </c>
      <c r="I3642" s="9">
        <v>45375</v>
      </c>
    </row>
    <row r="3643" spans="1:9" x14ac:dyDescent="0.15">
      <c r="A3643" s="6">
        <v>3642</v>
      </c>
      <c r="B3643" s="7" t="s">
        <v>7</v>
      </c>
      <c r="C3643" s="8">
        <v>1890</v>
      </c>
      <c r="D3643" s="9">
        <v>45449</v>
      </c>
      <c r="E3643" s="13">
        <f>+HYPERLINK("http://trademark.i-assist.jp/data/china/image_1890th/77482651.pdf",77482651)</f>
        <v>77482651</v>
      </c>
      <c r="F3643" s="7" t="s">
        <v>10037</v>
      </c>
      <c r="G3643" s="7" t="s">
        <v>5488</v>
      </c>
      <c r="H3643" s="7" t="s">
        <v>10038</v>
      </c>
      <c r="I3643" s="9">
        <v>45375</v>
      </c>
    </row>
    <row r="3644" spans="1:9" ht="27" x14ac:dyDescent="0.15">
      <c r="A3644" s="6">
        <v>3643</v>
      </c>
      <c r="B3644" s="7" t="s">
        <v>7</v>
      </c>
      <c r="C3644" s="8">
        <v>1890</v>
      </c>
      <c r="D3644" s="9">
        <v>45449</v>
      </c>
      <c r="E3644" s="13">
        <f>+HYPERLINK("http://trademark.i-assist.jp/data/china/image_1890th/77482935.pdf",77482935)</f>
        <v>77482935</v>
      </c>
      <c r="F3644" s="7" t="s">
        <v>10040</v>
      </c>
      <c r="G3644" s="7" t="s">
        <v>10039</v>
      </c>
      <c r="H3644" s="7" t="s">
        <v>10041</v>
      </c>
      <c r="I3644" s="9">
        <v>45375</v>
      </c>
    </row>
    <row r="3645" spans="1:9" x14ac:dyDescent="0.15">
      <c r="A3645" s="6">
        <v>3644</v>
      </c>
      <c r="B3645" s="7" t="s">
        <v>7</v>
      </c>
      <c r="C3645" s="8">
        <v>1890</v>
      </c>
      <c r="D3645" s="9">
        <v>45449</v>
      </c>
      <c r="E3645" s="13">
        <f>+HYPERLINK("http://trademark.i-assist.jp/data/china/image_1890th/77483172.pdf",77483172)</f>
        <v>77483172</v>
      </c>
      <c r="F3645" s="7" t="s">
        <v>10042</v>
      </c>
      <c r="G3645" s="7" t="s">
        <v>5762</v>
      </c>
      <c r="H3645" s="7" t="s">
        <v>10043</v>
      </c>
      <c r="I3645" s="9">
        <v>45375</v>
      </c>
    </row>
    <row r="3646" spans="1:9" x14ac:dyDescent="0.15">
      <c r="A3646" s="6">
        <v>3645</v>
      </c>
      <c r="B3646" s="7" t="s">
        <v>7</v>
      </c>
      <c r="C3646" s="8">
        <v>1890</v>
      </c>
      <c r="D3646" s="9">
        <v>45449</v>
      </c>
      <c r="E3646" s="13">
        <f>+HYPERLINK("http://trademark.i-assist.jp/data/china/image_1890th/77483223.pdf",77483223)</f>
        <v>77483223</v>
      </c>
      <c r="F3646" s="7" t="s">
        <v>10045</v>
      </c>
      <c r="G3646" s="7" t="s">
        <v>10044</v>
      </c>
      <c r="H3646" s="7" t="s">
        <v>10046</v>
      </c>
      <c r="I3646" s="9">
        <v>45375</v>
      </c>
    </row>
    <row r="3647" spans="1:9" x14ac:dyDescent="0.15">
      <c r="A3647" s="6">
        <v>3646</v>
      </c>
      <c r="B3647" s="7" t="s">
        <v>7</v>
      </c>
      <c r="C3647" s="8">
        <v>1890</v>
      </c>
      <c r="D3647" s="9">
        <v>45449</v>
      </c>
      <c r="E3647" s="13">
        <f>+HYPERLINK("http://trademark.i-assist.jp/data/china/image_1890th/77483374.pdf",77483374)</f>
        <v>77483374</v>
      </c>
      <c r="F3647" s="7" t="s">
        <v>10048</v>
      </c>
      <c r="G3647" s="7" t="s">
        <v>10047</v>
      </c>
      <c r="H3647" s="7" t="s">
        <v>10049</v>
      </c>
      <c r="I3647" s="9">
        <v>45375</v>
      </c>
    </row>
    <row r="3648" spans="1:9" x14ac:dyDescent="0.15">
      <c r="A3648" s="6">
        <v>3647</v>
      </c>
      <c r="B3648" s="7" t="s">
        <v>7</v>
      </c>
      <c r="C3648" s="8">
        <v>1890</v>
      </c>
      <c r="D3648" s="9">
        <v>45449</v>
      </c>
      <c r="E3648" s="13">
        <f>+HYPERLINK("http://trademark.i-assist.jp/data/china/image_1890th/77483375.pdf",77483375)</f>
        <v>77483375</v>
      </c>
      <c r="F3648" s="7" t="s">
        <v>10051</v>
      </c>
      <c r="G3648" s="7" t="s">
        <v>10050</v>
      </c>
      <c r="H3648" s="7" t="s">
        <v>10052</v>
      </c>
      <c r="I3648" s="9">
        <v>45375</v>
      </c>
    </row>
    <row r="3649" spans="1:9" x14ac:dyDescent="0.15">
      <c r="A3649" s="6">
        <v>3648</v>
      </c>
      <c r="B3649" s="7" t="s">
        <v>7</v>
      </c>
      <c r="C3649" s="8">
        <v>1890</v>
      </c>
      <c r="D3649" s="9">
        <v>45449</v>
      </c>
      <c r="E3649" s="13">
        <f>+HYPERLINK("http://trademark.i-assist.jp/data/china/image_1890th/77483390.pdf",77483390)</f>
        <v>77483390</v>
      </c>
      <c r="F3649" s="7" t="s">
        <v>10054</v>
      </c>
      <c r="G3649" s="7" t="s">
        <v>10053</v>
      </c>
      <c r="H3649" s="7" t="s">
        <v>10055</v>
      </c>
      <c r="I3649" s="9">
        <v>45375</v>
      </c>
    </row>
    <row r="3650" spans="1:9" x14ac:dyDescent="0.15">
      <c r="A3650" s="6">
        <v>3649</v>
      </c>
      <c r="B3650" s="7" t="s">
        <v>7</v>
      </c>
      <c r="C3650" s="8">
        <v>1890</v>
      </c>
      <c r="D3650" s="9">
        <v>45449</v>
      </c>
      <c r="E3650" s="13">
        <f>+HYPERLINK("http://trademark.i-assist.jp/data/china/image_1890th/77483433.pdf",77483433)</f>
        <v>77483433</v>
      </c>
      <c r="F3650" s="7" t="s">
        <v>10056</v>
      </c>
      <c r="G3650" s="7" t="s">
        <v>5164</v>
      </c>
      <c r="H3650" s="7" t="s">
        <v>10057</v>
      </c>
      <c r="I3650" s="9">
        <v>45375</v>
      </c>
    </row>
    <row r="3651" spans="1:9" x14ac:dyDescent="0.15">
      <c r="A3651" s="6">
        <v>3650</v>
      </c>
      <c r="B3651" s="7" t="s">
        <v>7</v>
      </c>
      <c r="C3651" s="8">
        <v>1890</v>
      </c>
      <c r="D3651" s="9">
        <v>45449</v>
      </c>
      <c r="E3651" s="13">
        <f>+HYPERLINK("http://trademark.i-assist.jp/data/china/image_1890th/77483600.pdf",77483600)</f>
        <v>77483600</v>
      </c>
      <c r="F3651" s="7" t="s">
        <v>10059</v>
      </c>
      <c r="G3651" s="7" t="s">
        <v>10058</v>
      </c>
      <c r="H3651" s="7" t="s">
        <v>10060</v>
      </c>
      <c r="I3651" s="9">
        <v>45374</v>
      </c>
    </row>
    <row r="3652" spans="1:9" x14ac:dyDescent="0.15">
      <c r="A3652" s="6">
        <v>3651</v>
      </c>
      <c r="B3652" s="7" t="s">
        <v>7</v>
      </c>
      <c r="C3652" s="8">
        <v>1890</v>
      </c>
      <c r="D3652" s="9">
        <v>45449</v>
      </c>
      <c r="E3652" s="13">
        <f>+HYPERLINK("http://trademark.i-assist.jp/data/china/image_1890th/77483640.pdf",77483640)</f>
        <v>77483640</v>
      </c>
      <c r="F3652" s="7" t="s">
        <v>10062</v>
      </c>
      <c r="G3652" s="7" t="s">
        <v>10061</v>
      </c>
      <c r="H3652" s="7" t="s">
        <v>10063</v>
      </c>
      <c r="I3652" s="9">
        <v>45374</v>
      </c>
    </row>
    <row r="3653" spans="1:9" x14ac:dyDescent="0.15">
      <c r="A3653" s="6">
        <v>3652</v>
      </c>
      <c r="B3653" s="7" t="s">
        <v>7</v>
      </c>
      <c r="C3653" s="8">
        <v>1890</v>
      </c>
      <c r="D3653" s="9">
        <v>45449</v>
      </c>
      <c r="E3653" s="13">
        <f>+HYPERLINK("http://trademark.i-assist.jp/data/china/image_1890th/77483859.pdf",77483859)</f>
        <v>77483859</v>
      </c>
      <c r="F3653" s="7" t="s">
        <v>10065</v>
      </c>
      <c r="G3653" s="7" t="s">
        <v>10064</v>
      </c>
      <c r="H3653" s="7" t="s">
        <v>10066</v>
      </c>
      <c r="I3653" s="9">
        <v>45374</v>
      </c>
    </row>
    <row r="3654" spans="1:9" x14ac:dyDescent="0.15">
      <c r="A3654" s="6">
        <v>3653</v>
      </c>
      <c r="B3654" s="7" t="s">
        <v>7</v>
      </c>
      <c r="C3654" s="8">
        <v>1890</v>
      </c>
      <c r="D3654" s="9">
        <v>45449</v>
      </c>
      <c r="E3654" s="13">
        <f>+HYPERLINK("http://trademark.i-assist.jp/data/china/image_1890th/77483930.pdf",77483930)</f>
        <v>77483930</v>
      </c>
      <c r="F3654" s="7" t="s">
        <v>10068</v>
      </c>
      <c r="G3654" s="7" t="s">
        <v>10067</v>
      </c>
      <c r="H3654" s="7" t="s">
        <v>10069</v>
      </c>
      <c r="I3654" s="9">
        <v>45374</v>
      </c>
    </row>
    <row r="3655" spans="1:9" x14ac:dyDescent="0.15">
      <c r="A3655" s="6">
        <v>3654</v>
      </c>
      <c r="B3655" s="7" t="s">
        <v>7</v>
      </c>
      <c r="C3655" s="8">
        <v>1890</v>
      </c>
      <c r="D3655" s="9">
        <v>45449</v>
      </c>
      <c r="E3655" s="13">
        <f>+HYPERLINK("http://trademark.i-assist.jp/data/china/image_1890th/77484115.pdf",77484115)</f>
        <v>77484115</v>
      </c>
      <c r="F3655" s="7" t="s">
        <v>10071</v>
      </c>
      <c r="G3655" s="7" t="s">
        <v>10070</v>
      </c>
      <c r="H3655" s="7" t="s">
        <v>10072</v>
      </c>
      <c r="I3655" s="9">
        <v>45374</v>
      </c>
    </row>
    <row r="3656" spans="1:9" x14ac:dyDescent="0.15">
      <c r="A3656" s="6">
        <v>3655</v>
      </c>
      <c r="B3656" s="7" t="s">
        <v>7</v>
      </c>
      <c r="C3656" s="8">
        <v>1890</v>
      </c>
      <c r="D3656" s="9">
        <v>45449</v>
      </c>
      <c r="E3656" s="13">
        <f>+HYPERLINK("http://trademark.i-assist.jp/data/china/image_1890th/77484346.pdf",77484346)</f>
        <v>77484346</v>
      </c>
      <c r="F3656" s="7" t="s">
        <v>183</v>
      </c>
      <c r="G3656" s="7" t="s">
        <v>10073</v>
      </c>
      <c r="H3656" s="7" t="s">
        <v>10074</v>
      </c>
      <c r="I3656" s="9">
        <v>45374</v>
      </c>
    </row>
    <row r="3657" spans="1:9" x14ac:dyDescent="0.15">
      <c r="A3657" s="6">
        <v>3656</v>
      </c>
      <c r="B3657" s="7" t="s">
        <v>7</v>
      </c>
      <c r="C3657" s="8">
        <v>1890</v>
      </c>
      <c r="D3657" s="9">
        <v>45449</v>
      </c>
      <c r="E3657" s="13">
        <f>+HYPERLINK("http://trademark.i-assist.jp/data/china/image_1890th/77484415.pdf",77484415)</f>
        <v>77484415</v>
      </c>
      <c r="F3657" s="7" t="s">
        <v>10075</v>
      </c>
      <c r="G3657" s="7" t="s">
        <v>10061</v>
      </c>
      <c r="H3657" s="7" t="s">
        <v>10076</v>
      </c>
      <c r="I3657" s="9">
        <v>45374</v>
      </c>
    </row>
    <row r="3658" spans="1:9" x14ac:dyDescent="0.15">
      <c r="A3658" s="6">
        <v>3657</v>
      </c>
      <c r="B3658" s="7" t="s">
        <v>7</v>
      </c>
      <c r="C3658" s="8">
        <v>1890</v>
      </c>
      <c r="D3658" s="9">
        <v>45449</v>
      </c>
      <c r="E3658" s="13">
        <f>+HYPERLINK("http://trademark.i-assist.jp/data/china/image_1890th/77484554.pdf",77484554)</f>
        <v>77484554</v>
      </c>
      <c r="F3658" s="7" t="s">
        <v>10078</v>
      </c>
      <c r="G3658" s="7" t="s">
        <v>10077</v>
      </c>
      <c r="H3658" s="7" t="s">
        <v>10079</v>
      </c>
      <c r="I3658" s="9">
        <v>45376</v>
      </c>
    </row>
    <row r="3659" spans="1:9" x14ac:dyDescent="0.15">
      <c r="A3659" s="6">
        <v>3658</v>
      </c>
      <c r="B3659" s="7" t="s">
        <v>7</v>
      </c>
      <c r="C3659" s="8">
        <v>1890</v>
      </c>
      <c r="D3659" s="9">
        <v>45449</v>
      </c>
      <c r="E3659" s="13">
        <f>+HYPERLINK("http://trademark.i-assist.jp/data/china/image_1890th/77484878.pdf",77484878)</f>
        <v>77484878</v>
      </c>
      <c r="F3659" s="7" t="s">
        <v>10080</v>
      </c>
      <c r="G3659" s="7" t="s">
        <v>1498</v>
      </c>
      <c r="H3659" s="7" t="s">
        <v>10081</v>
      </c>
      <c r="I3659" s="9">
        <v>45376</v>
      </c>
    </row>
    <row r="3660" spans="1:9" x14ac:dyDescent="0.15">
      <c r="A3660" s="6">
        <v>3659</v>
      </c>
      <c r="B3660" s="7" t="s">
        <v>7</v>
      </c>
      <c r="C3660" s="8">
        <v>1890</v>
      </c>
      <c r="D3660" s="9">
        <v>45449</v>
      </c>
      <c r="E3660" s="13">
        <f>+HYPERLINK("http://trademark.i-assist.jp/data/china/image_1890th/77485039.pdf",77485039)</f>
        <v>77485039</v>
      </c>
      <c r="F3660" s="7" t="s">
        <v>10083</v>
      </c>
      <c r="G3660" s="7" t="s">
        <v>10082</v>
      </c>
      <c r="H3660" s="7" t="s">
        <v>10084</v>
      </c>
      <c r="I3660" s="9">
        <v>45376</v>
      </c>
    </row>
    <row r="3661" spans="1:9" x14ac:dyDescent="0.15">
      <c r="A3661" s="6">
        <v>3660</v>
      </c>
      <c r="B3661" s="7" t="s">
        <v>7</v>
      </c>
      <c r="C3661" s="8">
        <v>1890</v>
      </c>
      <c r="D3661" s="9">
        <v>45449</v>
      </c>
      <c r="E3661" s="13">
        <f>+HYPERLINK("http://trademark.i-assist.jp/data/china/image_1890th/77485155.pdf",77485155)</f>
        <v>77485155</v>
      </c>
      <c r="F3661" s="7" t="s">
        <v>10086</v>
      </c>
      <c r="G3661" s="7" t="s">
        <v>10085</v>
      </c>
      <c r="H3661" s="7" t="s">
        <v>10087</v>
      </c>
      <c r="I3661" s="9">
        <v>45376</v>
      </c>
    </row>
    <row r="3662" spans="1:9" ht="27" x14ac:dyDescent="0.15">
      <c r="A3662" s="6">
        <v>3661</v>
      </c>
      <c r="B3662" s="7" t="s">
        <v>7</v>
      </c>
      <c r="C3662" s="8">
        <v>1890</v>
      </c>
      <c r="D3662" s="9">
        <v>45449</v>
      </c>
      <c r="E3662" s="13">
        <f>+HYPERLINK("http://trademark.i-assist.jp/data/china/image_1890th/77485395.pdf",77485395)</f>
        <v>77485395</v>
      </c>
      <c r="F3662" s="7" t="s">
        <v>10089</v>
      </c>
      <c r="G3662" s="7" t="s">
        <v>10088</v>
      </c>
      <c r="H3662" s="7" t="s">
        <v>10090</v>
      </c>
      <c r="I3662" s="9">
        <v>45376</v>
      </c>
    </row>
    <row r="3663" spans="1:9" x14ac:dyDescent="0.15">
      <c r="A3663" s="6">
        <v>3662</v>
      </c>
      <c r="B3663" s="7" t="s">
        <v>7</v>
      </c>
      <c r="C3663" s="8">
        <v>1890</v>
      </c>
      <c r="D3663" s="9">
        <v>45449</v>
      </c>
      <c r="E3663" s="13">
        <f>+HYPERLINK("http://trademark.i-assist.jp/data/china/image_1890th/77485456.pdf",77485456)</f>
        <v>77485456</v>
      </c>
      <c r="F3663" s="7" t="s">
        <v>10092</v>
      </c>
      <c r="G3663" s="7" t="s">
        <v>10091</v>
      </c>
      <c r="H3663" s="7" t="s">
        <v>10093</v>
      </c>
      <c r="I3663" s="9">
        <v>45376</v>
      </c>
    </row>
    <row r="3664" spans="1:9" x14ac:dyDescent="0.15">
      <c r="A3664" s="6">
        <v>3663</v>
      </c>
      <c r="B3664" s="7" t="s">
        <v>7</v>
      </c>
      <c r="C3664" s="8">
        <v>1890</v>
      </c>
      <c r="D3664" s="9">
        <v>45449</v>
      </c>
      <c r="E3664" s="13">
        <f>+HYPERLINK("http://trademark.i-assist.jp/data/china/image_1890th/77485482.pdf",77485482)</f>
        <v>77485482</v>
      </c>
      <c r="F3664" s="7" t="s">
        <v>10094</v>
      </c>
      <c r="G3664" s="7" t="s">
        <v>8294</v>
      </c>
      <c r="H3664" s="7" t="s">
        <v>10095</v>
      </c>
      <c r="I3664" s="9">
        <v>45376</v>
      </c>
    </row>
    <row r="3665" spans="1:9" x14ac:dyDescent="0.15">
      <c r="A3665" s="6">
        <v>3664</v>
      </c>
      <c r="B3665" s="7" t="s">
        <v>7</v>
      </c>
      <c r="C3665" s="8">
        <v>1890</v>
      </c>
      <c r="D3665" s="9">
        <v>45449</v>
      </c>
      <c r="E3665" s="13">
        <f>+HYPERLINK("http://trademark.i-assist.jp/data/china/image_1890th/77485607.pdf",77485607)</f>
        <v>77485607</v>
      </c>
      <c r="F3665" s="7" t="s">
        <v>10097</v>
      </c>
      <c r="G3665" s="7" t="s">
        <v>10096</v>
      </c>
      <c r="H3665" s="7" t="s">
        <v>10098</v>
      </c>
      <c r="I3665" s="9">
        <v>45376</v>
      </c>
    </row>
    <row r="3666" spans="1:9" x14ac:dyDescent="0.15">
      <c r="A3666" s="6">
        <v>3665</v>
      </c>
      <c r="B3666" s="7" t="s">
        <v>7</v>
      </c>
      <c r="C3666" s="8">
        <v>1890</v>
      </c>
      <c r="D3666" s="9">
        <v>45449</v>
      </c>
      <c r="E3666" s="13">
        <f>+HYPERLINK("http://trademark.i-assist.jp/data/china/image_1890th/77485608.pdf",77485608)</f>
        <v>77485608</v>
      </c>
      <c r="F3666" s="7" t="s">
        <v>10100</v>
      </c>
      <c r="G3666" s="7" t="s">
        <v>10099</v>
      </c>
      <c r="H3666" s="7" t="s">
        <v>10101</v>
      </c>
      <c r="I3666" s="9">
        <v>45376</v>
      </c>
    </row>
    <row r="3667" spans="1:9" x14ac:dyDescent="0.15">
      <c r="A3667" s="6">
        <v>3666</v>
      </c>
      <c r="B3667" s="7" t="s">
        <v>7</v>
      </c>
      <c r="C3667" s="8">
        <v>1890</v>
      </c>
      <c r="D3667" s="9">
        <v>45449</v>
      </c>
      <c r="E3667" s="13">
        <f>+HYPERLINK("http://trademark.i-assist.jp/data/china/image_1890th/77485689.pdf",77485689)</f>
        <v>77485689</v>
      </c>
      <c r="F3667" s="7" t="s">
        <v>10103</v>
      </c>
      <c r="G3667" s="7" t="s">
        <v>10102</v>
      </c>
      <c r="H3667" s="7" t="s">
        <v>10104</v>
      </c>
      <c r="I3667" s="9">
        <v>45376</v>
      </c>
    </row>
    <row r="3668" spans="1:9" ht="27" x14ac:dyDescent="0.15">
      <c r="A3668" s="6">
        <v>3667</v>
      </c>
      <c r="B3668" s="7" t="s">
        <v>7</v>
      </c>
      <c r="C3668" s="8">
        <v>1890</v>
      </c>
      <c r="D3668" s="9">
        <v>45449</v>
      </c>
      <c r="E3668" s="13">
        <f>+HYPERLINK("http://trademark.i-assist.jp/data/china/image_1890th/77485711.pdf",77485711)</f>
        <v>77485711</v>
      </c>
      <c r="F3668" s="7" t="s">
        <v>10105</v>
      </c>
      <c r="G3668" s="7" t="s">
        <v>10102</v>
      </c>
      <c r="H3668" s="7" t="s">
        <v>10106</v>
      </c>
      <c r="I3668" s="9">
        <v>45376</v>
      </c>
    </row>
    <row r="3669" spans="1:9" x14ac:dyDescent="0.15">
      <c r="A3669" s="6">
        <v>3668</v>
      </c>
      <c r="B3669" s="7" t="s">
        <v>7</v>
      </c>
      <c r="C3669" s="8">
        <v>1890</v>
      </c>
      <c r="D3669" s="9">
        <v>45449</v>
      </c>
      <c r="E3669" s="13">
        <f>+HYPERLINK("http://trademark.i-assist.jp/data/china/image_1890th/77485724.pdf",77485724)</f>
        <v>77485724</v>
      </c>
      <c r="F3669" s="7" t="s">
        <v>10107</v>
      </c>
      <c r="G3669" s="7" t="s">
        <v>8441</v>
      </c>
      <c r="H3669" s="7" t="s">
        <v>10108</v>
      </c>
      <c r="I3669" s="9">
        <v>45376</v>
      </c>
    </row>
    <row r="3670" spans="1:9" ht="27" x14ac:dyDescent="0.15">
      <c r="A3670" s="6">
        <v>3669</v>
      </c>
      <c r="B3670" s="7" t="s">
        <v>7</v>
      </c>
      <c r="C3670" s="8">
        <v>1890</v>
      </c>
      <c r="D3670" s="9">
        <v>45449</v>
      </c>
      <c r="E3670" s="13">
        <f>+HYPERLINK("http://trademark.i-assist.jp/data/china/image_1890th/77485970.pdf",77485970)</f>
        <v>77485970</v>
      </c>
      <c r="F3670" s="7" t="s">
        <v>10110</v>
      </c>
      <c r="G3670" s="7" t="s">
        <v>10109</v>
      </c>
      <c r="H3670" s="7" t="s">
        <v>10111</v>
      </c>
      <c r="I3670" s="9">
        <v>45376</v>
      </c>
    </row>
    <row r="3671" spans="1:9" x14ac:dyDescent="0.15">
      <c r="A3671" s="6">
        <v>3670</v>
      </c>
      <c r="B3671" s="7" t="s">
        <v>7</v>
      </c>
      <c r="C3671" s="8">
        <v>1890</v>
      </c>
      <c r="D3671" s="9">
        <v>45449</v>
      </c>
      <c r="E3671" s="13">
        <f>+HYPERLINK("http://trademark.i-assist.jp/data/china/image_1890th/77486228.pdf",77486228)</f>
        <v>77486228</v>
      </c>
      <c r="F3671" s="7" t="s">
        <v>10113</v>
      </c>
      <c r="G3671" s="7" t="s">
        <v>10112</v>
      </c>
      <c r="H3671" s="7" t="s">
        <v>10114</v>
      </c>
      <c r="I3671" s="9">
        <v>45376</v>
      </c>
    </row>
    <row r="3672" spans="1:9" x14ac:dyDescent="0.15">
      <c r="A3672" s="6">
        <v>3671</v>
      </c>
      <c r="B3672" s="7" t="s">
        <v>7</v>
      </c>
      <c r="C3672" s="8">
        <v>1890</v>
      </c>
      <c r="D3672" s="9">
        <v>45449</v>
      </c>
      <c r="E3672" s="13">
        <f>+HYPERLINK("http://trademark.i-assist.jp/data/china/image_1890th/77487044.pdf",77487044)</f>
        <v>77487044</v>
      </c>
      <c r="F3672" s="7" t="s">
        <v>10116</v>
      </c>
      <c r="G3672" s="7" t="s">
        <v>10115</v>
      </c>
      <c r="H3672" s="7" t="s">
        <v>10117</v>
      </c>
      <c r="I3672" s="9">
        <v>45376</v>
      </c>
    </row>
    <row r="3673" spans="1:9" ht="27" x14ac:dyDescent="0.15">
      <c r="A3673" s="6">
        <v>3672</v>
      </c>
      <c r="B3673" s="7" t="s">
        <v>7</v>
      </c>
      <c r="C3673" s="8">
        <v>1890</v>
      </c>
      <c r="D3673" s="9">
        <v>45449</v>
      </c>
      <c r="E3673" s="13">
        <f>+HYPERLINK("http://trademark.i-assist.jp/data/china/image_1890th/77487575.pdf",77487575)</f>
        <v>77487575</v>
      </c>
      <c r="F3673" s="7" t="s">
        <v>10119</v>
      </c>
      <c r="G3673" s="7" t="s">
        <v>10118</v>
      </c>
      <c r="H3673" s="7" t="s">
        <v>10120</v>
      </c>
      <c r="I3673" s="9">
        <v>45376</v>
      </c>
    </row>
    <row r="3674" spans="1:9" x14ac:dyDescent="0.15">
      <c r="A3674" s="6">
        <v>3673</v>
      </c>
      <c r="B3674" s="7" t="s">
        <v>7</v>
      </c>
      <c r="C3674" s="8">
        <v>1890</v>
      </c>
      <c r="D3674" s="9">
        <v>45449</v>
      </c>
      <c r="E3674" s="13">
        <f>+HYPERLINK("http://trademark.i-assist.jp/data/china/image_1890th/77487894.pdf",77487894)</f>
        <v>77487894</v>
      </c>
      <c r="F3674" s="7" t="s">
        <v>10122</v>
      </c>
      <c r="G3674" s="7" t="s">
        <v>10121</v>
      </c>
      <c r="H3674" s="7" t="s">
        <v>10123</v>
      </c>
      <c r="I3674" s="9">
        <v>45376</v>
      </c>
    </row>
    <row r="3675" spans="1:9" x14ac:dyDescent="0.15">
      <c r="A3675" s="6">
        <v>3674</v>
      </c>
      <c r="B3675" s="7" t="s">
        <v>7</v>
      </c>
      <c r="C3675" s="8">
        <v>1890</v>
      </c>
      <c r="D3675" s="9">
        <v>45449</v>
      </c>
      <c r="E3675" s="13">
        <f>+HYPERLINK("http://trademark.i-assist.jp/data/china/image_1890th/77488096.pdf",77488096)</f>
        <v>77488096</v>
      </c>
      <c r="F3675" s="7" t="s">
        <v>10125</v>
      </c>
      <c r="G3675" s="7" t="s">
        <v>10124</v>
      </c>
      <c r="H3675" s="7" t="s">
        <v>10126</v>
      </c>
      <c r="I3675" s="9">
        <v>45376</v>
      </c>
    </row>
    <row r="3676" spans="1:9" x14ac:dyDescent="0.15">
      <c r="A3676" s="6">
        <v>3675</v>
      </c>
      <c r="B3676" s="7" t="s">
        <v>7</v>
      </c>
      <c r="C3676" s="8">
        <v>1890</v>
      </c>
      <c r="D3676" s="9">
        <v>45449</v>
      </c>
      <c r="E3676" s="13">
        <f>+HYPERLINK("http://trademark.i-assist.jp/data/china/image_1890th/77488340.pdf",77488340)</f>
        <v>77488340</v>
      </c>
      <c r="F3676" s="7" t="s">
        <v>183</v>
      </c>
      <c r="G3676" s="7" t="s">
        <v>10127</v>
      </c>
      <c r="H3676" s="7" t="s">
        <v>10128</v>
      </c>
      <c r="I3676" s="9">
        <v>45376</v>
      </c>
    </row>
    <row r="3677" spans="1:9" x14ac:dyDescent="0.15">
      <c r="A3677" s="6">
        <v>3676</v>
      </c>
      <c r="B3677" s="7" t="s">
        <v>7</v>
      </c>
      <c r="C3677" s="8">
        <v>1890</v>
      </c>
      <c r="D3677" s="9">
        <v>45449</v>
      </c>
      <c r="E3677" s="13">
        <f>+HYPERLINK("http://trademark.i-assist.jp/data/china/image_1890th/77488376.pdf",77488376)</f>
        <v>77488376</v>
      </c>
      <c r="F3677" s="7" t="s">
        <v>10130</v>
      </c>
      <c r="G3677" s="7" t="s">
        <v>10129</v>
      </c>
      <c r="H3677" s="7" t="s">
        <v>10131</v>
      </c>
      <c r="I3677" s="9">
        <v>45376</v>
      </c>
    </row>
    <row r="3678" spans="1:9" x14ac:dyDescent="0.15">
      <c r="A3678" s="6">
        <v>3677</v>
      </c>
      <c r="B3678" s="7" t="s">
        <v>7</v>
      </c>
      <c r="C3678" s="8">
        <v>1890</v>
      </c>
      <c r="D3678" s="9">
        <v>45449</v>
      </c>
      <c r="E3678" s="13">
        <f>+HYPERLINK("http://trademark.i-assist.jp/data/china/image_1890th/77488617.pdf",77488617)</f>
        <v>77488617</v>
      </c>
      <c r="F3678" s="7" t="s">
        <v>10132</v>
      </c>
      <c r="G3678" s="7" t="s">
        <v>8436</v>
      </c>
      <c r="H3678" s="7" t="s">
        <v>10133</v>
      </c>
      <c r="I3678" s="9">
        <v>45376</v>
      </c>
    </row>
    <row r="3679" spans="1:9" x14ac:dyDescent="0.15">
      <c r="A3679" s="6">
        <v>3678</v>
      </c>
      <c r="B3679" s="7" t="s">
        <v>7</v>
      </c>
      <c r="C3679" s="8">
        <v>1890</v>
      </c>
      <c r="D3679" s="9">
        <v>45449</v>
      </c>
      <c r="E3679" s="13">
        <f>+HYPERLINK("http://trademark.i-assist.jp/data/china/image_1890th/77488637.pdf",77488637)</f>
        <v>77488637</v>
      </c>
      <c r="F3679" s="7" t="s">
        <v>10135</v>
      </c>
      <c r="G3679" s="7" t="s">
        <v>10134</v>
      </c>
      <c r="H3679" s="7" t="s">
        <v>10136</v>
      </c>
      <c r="I3679" s="9">
        <v>45376</v>
      </c>
    </row>
    <row r="3680" spans="1:9" x14ac:dyDescent="0.15">
      <c r="A3680" s="6">
        <v>3679</v>
      </c>
      <c r="B3680" s="7" t="s">
        <v>7</v>
      </c>
      <c r="C3680" s="8">
        <v>1890</v>
      </c>
      <c r="D3680" s="9">
        <v>45449</v>
      </c>
      <c r="E3680" s="13">
        <f>+HYPERLINK("http://trademark.i-assist.jp/data/china/image_1890th/77488820.pdf",77488820)</f>
        <v>77488820</v>
      </c>
      <c r="F3680" s="7" t="s">
        <v>10138</v>
      </c>
      <c r="G3680" s="7" t="s">
        <v>10137</v>
      </c>
      <c r="H3680" s="7" t="s">
        <v>10139</v>
      </c>
      <c r="I3680" s="9">
        <v>45376</v>
      </c>
    </row>
    <row r="3681" spans="1:9" x14ac:dyDescent="0.15">
      <c r="A3681" s="6">
        <v>3680</v>
      </c>
      <c r="B3681" s="7" t="s">
        <v>7</v>
      </c>
      <c r="C3681" s="8">
        <v>1890</v>
      </c>
      <c r="D3681" s="9">
        <v>45449</v>
      </c>
      <c r="E3681" s="13">
        <f>+HYPERLINK("http://trademark.i-assist.jp/data/china/image_1890th/77489071.pdf",77489071)</f>
        <v>77489071</v>
      </c>
      <c r="F3681" s="7" t="s">
        <v>10140</v>
      </c>
      <c r="G3681" s="7" t="s">
        <v>1980</v>
      </c>
      <c r="H3681" s="7" t="s">
        <v>10141</v>
      </c>
      <c r="I3681" s="9">
        <v>45376</v>
      </c>
    </row>
    <row r="3682" spans="1:9" ht="27" x14ac:dyDescent="0.15">
      <c r="A3682" s="6">
        <v>3681</v>
      </c>
      <c r="B3682" s="7" t="s">
        <v>7</v>
      </c>
      <c r="C3682" s="8">
        <v>1890</v>
      </c>
      <c r="D3682" s="9">
        <v>45449</v>
      </c>
      <c r="E3682" s="13">
        <f>+HYPERLINK("http://trademark.i-assist.jp/data/china/image_1890th/77489227.pdf",77489227)</f>
        <v>77489227</v>
      </c>
      <c r="F3682" s="7" t="s">
        <v>10143</v>
      </c>
      <c r="G3682" s="7" t="s">
        <v>10142</v>
      </c>
      <c r="H3682" s="7" t="s">
        <v>10144</v>
      </c>
      <c r="I3682" s="9">
        <v>45376</v>
      </c>
    </row>
    <row r="3683" spans="1:9" x14ac:dyDescent="0.15">
      <c r="A3683" s="6">
        <v>3682</v>
      </c>
      <c r="B3683" s="7" t="s">
        <v>7</v>
      </c>
      <c r="C3683" s="8">
        <v>1890</v>
      </c>
      <c r="D3683" s="9">
        <v>45449</v>
      </c>
      <c r="E3683" s="13">
        <f>+HYPERLINK("http://trademark.i-assist.jp/data/china/image_1890th/77489748.pdf",77489748)</f>
        <v>77489748</v>
      </c>
      <c r="F3683" s="7" t="s">
        <v>10146</v>
      </c>
      <c r="G3683" s="7" t="s">
        <v>10145</v>
      </c>
      <c r="H3683" s="7" t="s">
        <v>10147</v>
      </c>
      <c r="I3683" s="9">
        <v>45376</v>
      </c>
    </row>
    <row r="3684" spans="1:9" ht="27" x14ac:dyDescent="0.15">
      <c r="A3684" s="6">
        <v>3683</v>
      </c>
      <c r="B3684" s="7" t="s">
        <v>7</v>
      </c>
      <c r="C3684" s="8">
        <v>1890</v>
      </c>
      <c r="D3684" s="9">
        <v>45449</v>
      </c>
      <c r="E3684" s="13">
        <f>+HYPERLINK("http://trademark.i-assist.jp/data/china/image_1890th/77489787.pdf",77489787)</f>
        <v>77489787</v>
      </c>
      <c r="F3684" s="7" t="s">
        <v>10149</v>
      </c>
      <c r="G3684" s="7" t="s">
        <v>10148</v>
      </c>
      <c r="H3684" s="7" t="s">
        <v>10150</v>
      </c>
      <c r="I3684" s="9">
        <v>45376</v>
      </c>
    </row>
    <row r="3685" spans="1:9" ht="27" x14ac:dyDescent="0.15">
      <c r="A3685" s="6">
        <v>3684</v>
      </c>
      <c r="B3685" s="7" t="s">
        <v>7</v>
      </c>
      <c r="C3685" s="8">
        <v>1890</v>
      </c>
      <c r="D3685" s="9">
        <v>45449</v>
      </c>
      <c r="E3685" s="13">
        <f>+HYPERLINK("http://trademark.i-assist.jp/data/china/image_1890th/77489905.pdf",77489905)</f>
        <v>77489905</v>
      </c>
      <c r="F3685" s="7" t="s">
        <v>10152</v>
      </c>
      <c r="G3685" s="7" t="s">
        <v>10151</v>
      </c>
      <c r="H3685" s="7" t="s">
        <v>10153</v>
      </c>
      <c r="I3685" s="9">
        <v>45376</v>
      </c>
    </row>
    <row r="3686" spans="1:9" x14ac:dyDescent="0.15">
      <c r="A3686" s="6">
        <v>3685</v>
      </c>
      <c r="B3686" s="7" t="s">
        <v>7</v>
      </c>
      <c r="C3686" s="8">
        <v>1890</v>
      </c>
      <c r="D3686" s="9">
        <v>45449</v>
      </c>
      <c r="E3686" s="13">
        <f>+HYPERLINK("http://trademark.i-assist.jp/data/china/image_1890th/77489958.pdf",77489958)</f>
        <v>77489958</v>
      </c>
      <c r="F3686" s="7" t="s">
        <v>10155</v>
      </c>
      <c r="G3686" s="7" t="s">
        <v>10154</v>
      </c>
      <c r="H3686" s="7" t="s">
        <v>10156</v>
      </c>
      <c r="I3686" s="9">
        <v>45376</v>
      </c>
    </row>
    <row r="3687" spans="1:9" x14ac:dyDescent="0.15">
      <c r="A3687" s="6">
        <v>3686</v>
      </c>
      <c r="B3687" s="7" t="s">
        <v>7</v>
      </c>
      <c r="C3687" s="8">
        <v>1890</v>
      </c>
      <c r="D3687" s="9">
        <v>45449</v>
      </c>
      <c r="E3687" s="13">
        <f>+HYPERLINK("http://trademark.i-assist.jp/data/china/image_1890th/77490089.pdf",77490089)</f>
        <v>77490089</v>
      </c>
      <c r="F3687" s="7" t="s">
        <v>10158</v>
      </c>
      <c r="G3687" s="7" t="s">
        <v>10157</v>
      </c>
      <c r="H3687" s="7" t="s">
        <v>10159</v>
      </c>
      <c r="I3687" s="9">
        <v>45376</v>
      </c>
    </row>
    <row r="3688" spans="1:9" x14ac:dyDescent="0.15">
      <c r="A3688" s="6">
        <v>3687</v>
      </c>
      <c r="B3688" s="7" t="s">
        <v>7</v>
      </c>
      <c r="C3688" s="8">
        <v>1890</v>
      </c>
      <c r="D3688" s="9">
        <v>45449</v>
      </c>
      <c r="E3688" s="13">
        <f>+HYPERLINK("http://trademark.i-assist.jp/data/china/image_1890th/77490262.pdf",77490262)</f>
        <v>77490262</v>
      </c>
      <c r="F3688" s="7" t="s">
        <v>10161</v>
      </c>
      <c r="G3688" s="7" t="s">
        <v>10160</v>
      </c>
      <c r="H3688" s="7" t="s">
        <v>10162</v>
      </c>
      <c r="I3688" s="9">
        <v>45376</v>
      </c>
    </row>
    <row r="3689" spans="1:9" x14ac:dyDescent="0.15">
      <c r="A3689" s="6">
        <v>3688</v>
      </c>
      <c r="B3689" s="7" t="s">
        <v>7</v>
      </c>
      <c r="C3689" s="8">
        <v>1890</v>
      </c>
      <c r="D3689" s="9">
        <v>45449</v>
      </c>
      <c r="E3689" s="13">
        <f>+HYPERLINK("http://trademark.i-assist.jp/data/china/image_1890th/77490419.pdf",77490419)</f>
        <v>77490419</v>
      </c>
      <c r="F3689" s="7" t="s">
        <v>10164</v>
      </c>
      <c r="G3689" s="7" t="s">
        <v>10163</v>
      </c>
      <c r="H3689" s="7" t="s">
        <v>10165</v>
      </c>
      <c r="I3689" s="9">
        <v>45376</v>
      </c>
    </row>
    <row r="3690" spans="1:9" x14ac:dyDescent="0.15">
      <c r="A3690" s="6">
        <v>3689</v>
      </c>
      <c r="B3690" s="7" t="s">
        <v>7</v>
      </c>
      <c r="C3690" s="8">
        <v>1890</v>
      </c>
      <c r="D3690" s="9">
        <v>45449</v>
      </c>
      <c r="E3690" s="13">
        <f>+HYPERLINK("http://trademark.i-assist.jp/data/china/image_1890th/77492120.pdf",77492120)</f>
        <v>77492120</v>
      </c>
      <c r="F3690" s="7" t="s">
        <v>10166</v>
      </c>
      <c r="G3690" s="7" t="s">
        <v>6418</v>
      </c>
      <c r="H3690" s="7" t="s">
        <v>10167</v>
      </c>
      <c r="I3690" s="9">
        <v>45376</v>
      </c>
    </row>
    <row r="3691" spans="1:9" x14ac:dyDescent="0.15">
      <c r="A3691" s="6">
        <v>3690</v>
      </c>
      <c r="B3691" s="7" t="s">
        <v>7</v>
      </c>
      <c r="C3691" s="8">
        <v>1890</v>
      </c>
      <c r="D3691" s="9">
        <v>45449</v>
      </c>
      <c r="E3691" s="13">
        <f>+HYPERLINK("http://trademark.i-assist.jp/data/china/image_1890th/77492224.pdf",77492224)</f>
        <v>77492224</v>
      </c>
      <c r="F3691" s="7" t="s">
        <v>10169</v>
      </c>
      <c r="G3691" s="7" t="s">
        <v>10168</v>
      </c>
      <c r="H3691" s="7" t="s">
        <v>10170</v>
      </c>
      <c r="I3691" s="9">
        <v>45376</v>
      </c>
    </row>
    <row r="3692" spans="1:9" x14ac:dyDescent="0.15">
      <c r="A3692" s="6">
        <v>3691</v>
      </c>
      <c r="B3692" s="7" t="s">
        <v>7</v>
      </c>
      <c r="C3692" s="8">
        <v>1890</v>
      </c>
      <c r="D3692" s="9">
        <v>45449</v>
      </c>
      <c r="E3692" s="13">
        <f>+HYPERLINK("http://trademark.i-assist.jp/data/china/image_1890th/77492490.pdf",77492490)</f>
        <v>77492490</v>
      </c>
      <c r="F3692" s="7" t="s">
        <v>10172</v>
      </c>
      <c r="G3692" s="7" t="s">
        <v>10171</v>
      </c>
      <c r="H3692" s="7" t="s">
        <v>10173</v>
      </c>
      <c r="I3692" s="9">
        <v>45376</v>
      </c>
    </row>
    <row r="3693" spans="1:9" x14ac:dyDescent="0.15">
      <c r="A3693" s="6">
        <v>3692</v>
      </c>
      <c r="B3693" s="7" t="s">
        <v>7</v>
      </c>
      <c r="C3693" s="8">
        <v>1890</v>
      </c>
      <c r="D3693" s="9">
        <v>45449</v>
      </c>
      <c r="E3693" s="13">
        <f>+HYPERLINK("http://trademark.i-assist.jp/data/china/image_1890th/77492526.pdf",77492526)</f>
        <v>77492526</v>
      </c>
      <c r="F3693" s="7" t="s">
        <v>10175</v>
      </c>
      <c r="G3693" s="7" t="s">
        <v>10174</v>
      </c>
      <c r="H3693" s="7" t="s">
        <v>10176</v>
      </c>
      <c r="I3693" s="9">
        <v>45376</v>
      </c>
    </row>
    <row r="3694" spans="1:9" x14ac:dyDescent="0.15">
      <c r="A3694" s="6">
        <v>3693</v>
      </c>
      <c r="B3694" s="7" t="s">
        <v>7</v>
      </c>
      <c r="C3694" s="8">
        <v>1890</v>
      </c>
      <c r="D3694" s="9">
        <v>45449</v>
      </c>
      <c r="E3694" s="13">
        <f>+HYPERLINK("http://trademark.i-assist.jp/data/china/image_1890th/77492539.pdf",77492539)</f>
        <v>77492539</v>
      </c>
      <c r="F3694" s="7" t="s">
        <v>10177</v>
      </c>
      <c r="G3694" s="7" t="s">
        <v>1980</v>
      </c>
      <c r="H3694" s="7" t="s">
        <v>10178</v>
      </c>
      <c r="I3694" s="9">
        <v>45376</v>
      </c>
    </row>
    <row r="3695" spans="1:9" x14ac:dyDescent="0.15">
      <c r="A3695" s="6">
        <v>3694</v>
      </c>
      <c r="B3695" s="7" t="s">
        <v>7</v>
      </c>
      <c r="C3695" s="8">
        <v>1890</v>
      </c>
      <c r="D3695" s="9">
        <v>45449</v>
      </c>
      <c r="E3695" s="13">
        <f>+HYPERLINK("http://trademark.i-assist.jp/data/china/image_1890th/77492747.pdf",77492747)</f>
        <v>77492747</v>
      </c>
      <c r="F3695" s="7" t="s">
        <v>10180</v>
      </c>
      <c r="G3695" s="7" t="s">
        <v>10179</v>
      </c>
      <c r="H3695" s="7" t="s">
        <v>10181</v>
      </c>
      <c r="I3695" s="9">
        <v>45376</v>
      </c>
    </row>
    <row r="3696" spans="1:9" x14ac:dyDescent="0.15">
      <c r="A3696" s="6">
        <v>3695</v>
      </c>
      <c r="B3696" s="7" t="s">
        <v>7</v>
      </c>
      <c r="C3696" s="8">
        <v>1890</v>
      </c>
      <c r="D3696" s="9">
        <v>45449</v>
      </c>
      <c r="E3696" s="13">
        <f>+HYPERLINK("http://trademark.i-assist.jp/data/china/image_1890th/77492781.pdf",77492781)</f>
        <v>77492781</v>
      </c>
      <c r="F3696" s="7" t="s">
        <v>10183</v>
      </c>
      <c r="G3696" s="7" t="s">
        <v>10182</v>
      </c>
      <c r="H3696" s="7" t="s">
        <v>10184</v>
      </c>
      <c r="I3696" s="9">
        <v>45376</v>
      </c>
    </row>
    <row r="3697" spans="1:9" x14ac:dyDescent="0.15">
      <c r="A3697" s="6">
        <v>3696</v>
      </c>
      <c r="B3697" s="7" t="s">
        <v>7</v>
      </c>
      <c r="C3697" s="8">
        <v>1890</v>
      </c>
      <c r="D3697" s="9">
        <v>45449</v>
      </c>
      <c r="E3697" s="13">
        <f>+HYPERLINK("http://trademark.i-assist.jp/data/china/image_1890th/77492828.pdf",77492828)</f>
        <v>77492828</v>
      </c>
      <c r="F3697" s="7" t="s">
        <v>10186</v>
      </c>
      <c r="G3697" s="7" t="s">
        <v>10185</v>
      </c>
      <c r="H3697" s="7" t="s">
        <v>10187</v>
      </c>
      <c r="I3697" s="9">
        <v>45376</v>
      </c>
    </row>
    <row r="3698" spans="1:9" x14ac:dyDescent="0.15">
      <c r="A3698" s="6">
        <v>3697</v>
      </c>
      <c r="B3698" s="7" t="s">
        <v>7</v>
      </c>
      <c r="C3698" s="8">
        <v>1890</v>
      </c>
      <c r="D3698" s="9">
        <v>45449</v>
      </c>
      <c r="E3698" s="13">
        <f>+HYPERLINK("http://trademark.i-assist.jp/data/china/image_1890th/77493028.pdf",77493028)</f>
        <v>77493028</v>
      </c>
      <c r="F3698" s="7" t="s">
        <v>10189</v>
      </c>
      <c r="G3698" s="7" t="s">
        <v>10188</v>
      </c>
      <c r="H3698" s="7" t="s">
        <v>10190</v>
      </c>
      <c r="I3698" s="9">
        <v>45376</v>
      </c>
    </row>
    <row r="3699" spans="1:9" x14ac:dyDescent="0.15">
      <c r="A3699" s="6">
        <v>3698</v>
      </c>
      <c r="B3699" s="7" t="s">
        <v>7</v>
      </c>
      <c r="C3699" s="8">
        <v>1890</v>
      </c>
      <c r="D3699" s="9">
        <v>45449</v>
      </c>
      <c r="E3699" s="13">
        <f>+HYPERLINK("http://trademark.i-assist.jp/data/china/image_1890th/77493341.pdf",77493341)</f>
        <v>77493341</v>
      </c>
      <c r="F3699" s="7" t="s">
        <v>10191</v>
      </c>
      <c r="G3699" s="7" t="s">
        <v>5942</v>
      </c>
      <c r="H3699" s="7" t="s">
        <v>10192</v>
      </c>
      <c r="I3699" s="9">
        <v>45376</v>
      </c>
    </row>
    <row r="3700" spans="1:9" ht="27" x14ac:dyDescent="0.15">
      <c r="A3700" s="6">
        <v>3699</v>
      </c>
      <c r="B3700" s="7" t="s">
        <v>7</v>
      </c>
      <c r="C3700" s="8">
        <v>1890</v>
      </c>
      <c r="D3700" s="9">
        <v>45449</v>
      </c>
      <c r="E3700" s="13">
        <f>+HYPERLINK("http://trademark.i-assist.jp/data/china/image_1890th/77493853.pdf",77493853)</f>
        <v>77493853</v>
      </c>
      <c r="F3700" s="7" t="s">
        <v>10193</v>
      </c>
      <c r="G3700" s="7" t="s">
        <v>1565</v>
      </c>
      <c r="H3700" s="7" t="s">
        <v>10194</v>
      </c>
      <c r="I3700" s="9">
        <v>45376</v>
      </c>
    </row>
    <row r="3701" spans="1:9" x14ac:dyDescent="0.15">
      <c r="A3701" s="6">
        <v>3700</v>
      </c>
      <c r="B3701" s="7" t="s">
        <v>7</v>
      </c>
      <c r="C3701" s="8">
        <v>1890</v>
      </c>
      <c r="D3701" s="9">
        <v>45449</v>
      </c>
      <c r="E3701" s="13">
        <f>+HYPERLINK("http://trademark.i-assist.jp/data/china/image_1890th/77493994.pdf",77493994)</f>
        <v>77493994</v>
      </c>
      <c r="F3701" s="7" t="s">
        <v>10196</v>
      </c>
      <c r="G3701" s="7" t="s">
        <v>10195</v>
      </c>
      <c r="H3701" s="7" t="s">
        <v>10197</v>
      </c>
      <c r="I3701" s="9">
        <v>45376</v>
      </c>
    </row>
    <row r="3702" spans="1:9" x14ac:dyDescent="0.15">
      <c r="A3702" s="6">
        <v>3701</v>
      </c>
      <c r="B3702" s="7" t="s">
        <v>7</v>
      </c>
      <c r="C3702" s="8">
        <v>1890</v>
      </c>
      <c r="D3702" s="9">
        <v>45449</v>
      </c>
      <c r="E3702" s="13">
        <f>+HYPERLINK("http://trademark.i-assist.jp/data/china/image_1890th/77494085.pdf",77494085)</f>
        <v>77494085</v>
      </c>
      <c r="F3702" s="7" t="s">
        <v>10198</v>
      </c>
      <c r="G3702" s="7" t="s">
        <v>1980</v>
      </c>
      <c r="H3702" s="7" t="s">
        <v>10199</v>
      </c>
      <c r="I3702" s="9">
        <v>45376</v>
      </c>
    </row>
    <row r="3703" spans="1:9" x14ac:dyDescent="0.15">
      <c r="A3703" s="6">
        <v>3702</v>
      </c>
      <c r="B3703" s="7" t="s">
        <v>7</v>
      </c>
      <c r="C3703" s="8">
        <v>1890</v>
      </c>
      <c r="D3703" s="9">
        <v>45449</v>
      </c>
      <c r="E3703" s="13">
        <f>+HYPERLINK("http://trademark.i-assist.jp/data/china/image_1890th/77574579.pdf",77574579)</f>
        <v>77574579</v>
      </c>
      <c r="F3703" s="7" t="s">
        <v>10201</v>
      </c>
      <c r="G3703" s="7" t="s">
        <v>10200</v>
      </c>
      <c r="H3703" s="7" t="s">
        <v>10202</v>
      </c>
      <c r="I3703" s="9">
        <v>45378</v>
      </c>
    </row>
    <row r="3704" spans="1:9" x14ac:dyDescent="0.15">
      <c r="A3704" s="6">
        <v>3703</v>
      </c>
      <c r="B3704" s="7" t="s">
        <v>7</v>
      </c>
      <c r="C3704" s="8">
        <v>1890</v>
      </c>
      <c r="D3704" s="9">
        <v>45449</v>
      </c>
      <c r="E3704" s="13">
        <f>+HYPERLINK("http://trademark.i-assist.jp/data/china/image_1890th/77575020.pdf",77575020)</f>
        <v>77575020</v>
      </c>
      <c r="F3704" s="7" t="s">
        <v>10203</v>
      </c>
      <c r="G3704" s="7" t="s">
        <v>2013</v>
      </c>
      <c r="H3704" s="7" t="s">
        <v>10204</v>
      </c>
      <c r="I3704" s="9">
        <v>45378</v>
      </c>
    </row>
    <row r="3705" spans="1:9" x14ac:dyDescent="0.15">
      <c r="A3705" s="6">
        <v>3704</v>
      </c>
      <c r="B3705" s="7" t="s">
        <v>7</v>
      </c>
      <c r="C3705" s="8">
        <v>1890</v>
      </c>
      <c r="D3705" s="9">
        <v>45449</v>
      </c>
      <c r="E3705" s="13">
        <f>+HYPERLINK("http://trademark.i-assist.jp/data/china/image_1890th/77495628.pdf",77495628)</f>
        <v>77495628</v>
      </c>
      <c r="F3705" s="7" t="s">
        <v>10206</v>
      </c>
      <c r="G3705" s="7" t="s">
        <v>10205</v>
      </c>
      <c r="H3705" s="7" t="s">
        <v>10207</v>
      </c>
      <c r="I3705" s="9">
        <v>45376</v>
      </c>
    </row>
    <row r="3706" spans="1:9" x14ac:dyDescent="0.15">
      <c r="A3706" s="6">
        <v>3705</v>
      </c>
      <c r="B3706" s="7" t="s">
        <v>7</v>
      </c>
      <c r="C3706" s="8">
        <v>1890</v>
      </c>
      <c r="D3706" s="9">
        <v>45449</v>
      </c>
      <c r="E3706" s="13">
        <f>+HYPERLINK("http://trademark.i-assist.jp/data/china/image_1890th/77495708.pdf",77495708)</f>
        <v>77495708</v>
      </c>
      <c r="F3706" s="7" t="s">
        <v>10209</v>
      </c>
      <c r="G3706" s="7" t="s">
        <v>10208</v>
      </c>
      <c r="H3706" s="7" t="s">
        <v>10210</v>
      </c>
      <c r="I3706" s="9">
        <v>45376</v>
      </c>
    </row>
    <row r="3707" spans="1:9" x14ac:dyDescent="0.15">
      <c r="A3707" s="6">
        <v>3706</v>
      </c>
      <c r="B3707" s="7" t="s">
        <v>7</v>
      </c>
      <c r="C3707" s="8">
        <v>1890</v>
      </c>
      <c r="D3707" s="9">
        <v>45449</v>
      </c>
      <c r="E3707" s="13">
        <f>+HYPERLINK("http://trademark.i-assist.jp/data/china/image_1890th/77495881.pdf",77495881)</f>
        <v>77495881</v>
      </c>
      <c r="F3707" s="7" t="s">
        <v>10212</v>
      </c>
      <c r="G3707" s="7" t="s">
        <v>10211</v>
      </c>
      <c r="H3707" s="7" t="s">
        <v>10213</v>
      </c>
      <c r="I3707" s="9">
        <v>45376</v>
      </c>
    </row>
    <row r="3708" spans="1:9" x14ac:dyDescent="0.15">
      <c r="A3708" s="6">
        <v>3707</v>
      </c>
      <c r="B3708" s="7" t="s">
        <v>7</v>
      </c>
      <c r="C3708" s="8">
        <v>1890</v>
      </c>
      <c r="D3708" s="9">
        <v>45449</v>
      </c>
      <c r="E3708" s="13">
        <f>+HYPERLINK("http://trademark.i-assist.jp/data/china/image_1890th/77496030.pdf",77496030)</f>
        <v>77496030</v>
      </c>
      <c r="F3708" s="7" t="s">
        <v>10215</v>
      </c>
      <c r="G3708" s="7" t="s">
        <v>10214</v>
      </c>
      <c r="H3708" s="7" t="s">
        <v>10216</v>
      </c>
      <c r="I3708" s="9">
        <v>45376</v>
      </c>
    </row>
    <row r="3709" spans="1:9" x14ac:dyDescent="0.15">
      <c r="A3709" s="6">
        <v>3708</v>
      </c>
      <c r="B3709" s="7" t="s">
        <v>7</v>
      </c>
      <c r="C3709" s="8">
        <v>1890</v>
      </c>
      <c r="D3709" s="9">
        <v>45449</v>
      </c>
      <c r="E3709" s="13">
        <f>+HYPERLINK("http://trademark.i-assist.jp/data/china/image_1890th/77496172.pdf",77496172)</f>
        <v>77496172</v>
      </c>
      <c r="F3709" s="7" t="s">
        <v>10218</v>
      </c>
      <c r="G3709" s="7" t="s">
        <v>10217</v>
      </c>
      <c r="H3709" s="7" t="s">
        <v>10219</v>
      </c>
      <c r="I3709" s="9">
        <v>45376</v>
      </c>
    </row>
    <row r="3710" spans="1:9" x14ac:dyDescent="0.15">
      <c r="A3710" s="6">
        <v>3709</v>
      </c>
      <c r="B3710" s="7" t="s">
        <v>7</v>
      </c>
      <c r="C3710" s="8">
        <v>1890</v>
      </c>
      <c r="D3710" s="9">
        <v>45449</v>
      </c>
      <c r="E3710" s="13">
        <f>+HYPERLINK("http://trademark.i-assist.jp/data/china/image_1890th/77496187.pdf",77496187)</f>
        <v>77496187</v>
      </c>
      <c r="F3710" s="7" t="s">
        <v>10221</v>
      </c>
      <c r="G3710" s="7" t="s">
        <v>10220</v>
      </c>
      <c r="H3710" s="7" t="s">
        <v>10222</v>
      </c>
      <c r="I3710" s="9">
        <v>45376</v>
      </c>
    </row>
    <row r="3711" spans="1:9" x14ac:dyDescent="0.15">
      <c r="A3711" s="6">
        <v>3710</v>
      </c>
      <c r="B3711" s="7" t="s">
        <v>7</v>
      </c>
      <c r="C3711" s="8">
        <v>1890</v>
      </c>
      <c r="D3711" s="9">
        <v>45449</v>
      </c>
      <c r="E3711" s="13">
        <f>+HYPERLINK("http://trademark.i-assist.jp/data/china/image_1890th/77496195.pdf",77496195)</f>
        <v>77496195</v>
      </c>
      <c r="F3711" s="7" t="s">
        <v>10223</v>
      </c>
      <c r="G3711" s="7" t="s">
        <v>10214</v>
      </c>
      <c r="H3711" s="7" t="s">
        <v>10224</v>
      </c>
      <c r="I3711" s="9">
        <v>45376</v>
      </c>
    </row>
    <row r="3712" spans="1:9" x14ac:dyDescent="0.15">
      <c r="A3712" s="6">
        <v>3711</v>
      </c>
      <c r="B3712" s="7" t="s">
        <v>7</v>
      </c>
      <c r="C3712" s="8">
        <v>1890</v>
      </c>
      <c r="D3712" s="9">
        <v>45449</v>
      </c>
      <c r="E3712" s="13">
        <f>+HYPERLINK("http://trademark.i-assist.jp/data/china/image_1890th/77496605.pdf",77496605)</f>
        <v>77496605</v>
      </c>
      <c r="F3712" s="7" t="s">
        <v>10226</v>
      </c>
      <c r="G3712" s="7" t="s">
        <v>10225</v>
      </c>
      <c r="H3712" s="7" t="s">
        <v>10227</v>
      </c>
      <c r="I3712" s="9">
        <v>45376</v>
      </c>
    </row>
    <row r="3713" spans="1:9" x14ac:dyDescent="0.15">
      <c r="A3713" s="6">
        <v>3712</v>
      </c>
      <c r="B3713" s="7" t="s">
        <v>7</v>
      </c>
      <c r="C3713" s="8">
        <v>1890</v>
      </c>
      <c r="D3713" s="9">
        <v>45449</v>
      </c>
      <c r="E3713" s="13">
        <f>+HYPERLINK("http://trademark.i-assist.jp/data/china/image_1890th/77496627.pdf",77496627)</f>
        <v>77496627</v>
      </c>
      <c r="F3713" s="7" t="s">
        <v>10229</v>
      </c>
      <c r="G3713" s="7" t="s">
        <v>10228</v>
      </c>
      <c r="H3713" s="7" t="s">
        <v>10230</v>
      </c>
      <c r="I3713" s="9">
        <v>45376</v>
      </c>
    </row>
    <row r="3714" spans="1:9" ht="27" x14ac:dyDescent="0.15">
      <c r="A3714" s="6">
        <v>3713</v>
      </c>
      <c r="B3714" s="7" t="s">
        <v>7</v>
      </c>
      <c r="C3714" s="8">
        <v>1890</v>
      </c>
      <c r="D3714" s="9">
        <v>45449</v>
      </c>
      <c r="E3714" s="13">
        <f>+HYPERLINK("http://trademark.i-assist.jp/data/china/image_1890th/77496631.pdf",77496631)</f>
        <v>77496631</v>
      </c>
      <c r="F3714" s="7" t="s">
        <v>10232</v>
      </c>
      <c r="G3714" s="7" t="s">
        <v>10231</v>
      </c>
      <c r="H3714" s="7" t="s">
        <v>10233</v>
      </c>
      <c r="I3714" s="9">
        <v>45376</v>
      </c>
    </row>
    <row r="3715" spans="1:9" ht="27" x14ac:dyDescent="0.15">
      <c r="A3715" s="6">
        <v>3714</v>
      </c>
      <c r="B3715" s="7" t="s">
        <v>7</v>
      </c>
      <c r="C3715" s="8">
        <v>1890</v>
      </c>
      <c r="D3715" s="9">
        <v>45449</v>
      </c>
      <c r="E3715" s="13">
        <f>+HYPERLINK("http://trademark.i-assist.jp/data/china/image_1890th/77496643.pdf",77496643)</f>
        <v>77496643</v>
      </c>
      <c r="F3715" s="7" t="s">
        <v>10235</v>
      </c>
      <c r="G3715" s="7" t="s">
        <v>10234</v>
      </c>
      <c r="H3715" s="7" t="s">
        <v>10236</v>
      </c>
      <c r="I3715" s="9">
        <v>45376</v>
      </c>
    </row>
    <row r="3716" spans="1:9" x14ac:dyDescent="0.15">
      <c r="A3716" s="6">
        <v>3715</v>
      </c>
      <c r="B3716" s="7" t="s">
        <v>7</v>
      </c>
      <c r="C3716" s="8">
        <v>1890</v>
      </c>
      <c r="D3716" s="9">
        <v>45449</v>
      </c>
      <c r="E3716" s="13">
        <f>+HYPERLINK("http://trademark.i-assist.jp/data/china/image_1890th/77496814.pdf",77496814)</f>
        <v>77496814</v>
      </c>
      <c r="F3716" s="7" t="s">
        <v>10238</v>
      </c>
      <c r="G3716" s="7" t="s">
        <v>10237</v>
      </c>
      <c r="H3716" s="7" t="s">
        <v>10239</v>
      </c>
      <c r="I3716" s="9">
        <v>45376</v>
      </c>
    </row>
    <row r="3717" spans="1:9" x14ac:dyDescent="0.15">
      <c r="A3717" s="6">
        <v>3716</v>
      </c>
      <c r="B3717" s="7" t="s">
        <v>7</v>
      </c>
      <c r="C3717" s="8">
        <v>1890</v>
      </c>
      <c r="D3717" s="9">
        <v>45449</v>
      </c>
      <c r="E3717" s="13">
        <f>+HYPERLINK("http://trademark.i-assist.jp/data/china/image_1890th/77497311.pdf",77497311)</f>
        <v>77497311</v>
      </c>
      <c r="F3717" s="7" t="s">
        <v>10241</v>
      </c>
      <c r="G3717" s="7" t="s">
        <v>10240</v>
      </c>
      <c r="H3717" s="7" t="s">
        <v>10242</v>
      </c>
      <c r="I3717" s="9">
        <v>45376</v>
      </c>
    </row>
    <row r="3718" spans="1:9" x14ac:dyDescent="0.15">
      <c r="A3718" s="6">
        <v>3717</v>
      </c>
      <c r="B3718" s="7" t="s">
        <v>7</v>
      </c>
      <c r="C3718" s="8">
        <v>1890</v>
      </c>
      <c r="D3718" s="9">
        <v>45449</v>
      </c>
      <c r="E3718" s="13">
        <f>+HYPERLINK("http://trademark.i-assist.jp/data/china/image_1890th/77497351.pdf",77497351)</f>
        <v>77497351</v>
      </c>
      <c r="F3718" s="7" t="s">
        <v>10244</v>
      </c>
      <c r="G3718" s="7" t="s">
        <v>10243</v>
      </c>
      <c r="H3718" s="7" t="s">
        <v>10245</v>
      </c>
      <c r="I3718" s="9">
        <v>45376</v>
      </c>
    </row>
    <row r="3719" spans="1:9" x14ac:dyDescent="0.15">
      <c r="A3719" s="6">
        <v>3718</v>
      </c>
      <c r="B3719" s="7" t="s">
        <v>7</v>
      </c>
      <c r="C3719" s="8">
        <v>1890</v>
      </c>
      <c r="D3719" s="9">
        <v>45449</v>
      </c>
      <c r="E3719" s="13">
        <f>+HYPERLINK("http://trademark.i-assist.jp/data/china/image_1890th/77497436.pdf",77497436)</f>
        <v>77497436</v>
      </c>
      <c r="F3719" s="7" t="s">
        <v>10247</v>
      </c>
      <c r="G3719" s="7" t="s">
        <v>10246</v>
      </c>
      <c r="H3719" s="7" t="s">
        <v>10248</v>
      </c>
      <c r="I3719" s="9">
        <v>45376</v>
      </c>
    </row>
    <row r="3720" spans="1:9" x14ac:dyDescent="0.15">
      <c r="A3720" s="6">
        <v>3719</v>
      </c>
      <c r="B3720" s="7" t="s">
        <v>7</v>
      </c>
      <c r="C3720" s="8">
        <v>1890</v>
      </c>
      <c r="D3720" s="9">
        <v>45449</v>
      </c>
      <c r="E3720" s="13">
        <f>+HYPERLINK("http://trademark.i-assist.jp/data/china/image_1890th/77497505.pdf",77497505)</f>
        <v>77497505</v>
      </c>
      <c r="F3720" s="7" t="s">
        <v>10250</v>
      </c>
      <c r="G3720" s="7" t="s">
        <v>10249</v>
      </c>
      <c r="H3720" s="7" t="s">
        <v>10251</v>
      </c>
      <c r="I3720" s="9">
        <v>45376</v>
      </c>
    </row>
    <row r="3721" spans="1:9" x14ac:dyDescent="0.15">
      <c r="A3721" s="6">
        <v>3720</v>
      </c>
      <c r="B3721" s="7" t="s">
        <v>7</v>
      </c>
      <c r="C3721" s="8">
        <v>1890</v>
      </c>
      <c r="D3721" s="9">
        <v>45449</v>
      </c>
      <c r="E3721" s="13">
        <f>+HYPERLINK("http://trademark.i-assist.jp/data/china/image_1890th/77497773.pdf",77497773)</f>
        <v>77497773</v>
      </c>
      <c r="F3721" s="7" t="s">
        <v>10253</v>
      </c>
      <c r="G3721" s="7" t="s">
        <v>10252</v>
      </c>
      <c r="H3721" s="7" t="s">
        <v>10254</v>
      </c>
      <c r="I3721" s="9">
        <v>45376</v>
      </c>
    </row>
    <row r="3722" spans="1:9" x14ac:dyDescent="0.15">
      <c r="A3722" s="6">
        <v>3721</v>
      </c>
      <c r="B3722" s="7" t="s">
        <v>7</v>
      </c>
      <c r="C3722" s="8">
        <v>1890</v>
      </c>
      <c r="D3722" s="9">
        <v>45449</v>
      </c>
      <c r="E3722" s="13">
        <f>+HYPERLINK("http://trademark.i-assist.jp/data/china/image_1890th/77497930.pdf",77497930)</f>
        <v>77497930</v>
      </c>
      <c r="F3722" s="7" t="s">
        <v>10256</v>
      </c>
      <c r="G3722" s="7" t="s">
        <v>10255</v>
      </c>
      <c r="H3722" s="7" t="s">
        <v>10257</v>
      </c>
      <c r="I3722" s="9">
        <v>45376</v>
      </c>
    </row>
    <row r="3723" spans="1:9" x14ac:dyDescent="0.15">
      <c r="A3723" s="6">
        <v>3722</v>
      </c>
      <c r="B3723" s="7" t="s">
        <v>7</v>
      </c>
      <c r="C3723" s="8">
        <v>1890</v>
      </c>
      <c r="D3723" s="9">
        <v>45449</v>
      </c>
      <c r="E3723" s="13">
        <f>+HYPERLINK("http://trademark.i-assist.jp/data/china/image_1890th/77497986.pdf",77497986)</f>
        <v>77497986</v>
      </c>
      <c r="F3723" s="7" t="s">
        <v>10258</v>
      </c>
      <c r="G3723" s="7" t="s">
        <v>5648</v>
      </c>
      <c r="H3723" s="7" t="s">
        <v>10259</v>
      </c>
      <c r="I3723" s="9">
        <v>45376</v>
      </c>
    </row>
    <row r="3724" spans="1:9" x14ac:dyDescent="0.15">
      <c r="A3724" s="6">
        <v>3723</v>
      </c>
      <c r="B3724" s="7" t="s">
        <v>7</v>
      </c>
      <c r="C3724" s="8">
        <v>1890</v>
      </c>
      <c r="D3724" s="9">
        <v>45449</v>
      </c>
      <c r="E3724" s="13">
        <f>+HYPERLINK("http://trademark.i-assist.jp/data/china/image_1890th/77498174.pdf",77498174)</f>
        <v>77498174</v>
      </c>
      <c r="F3724" s="7" t="s">
        <v>10261</v>
      </c>
      <c r="G3724" s="7" t="s">
        <v>10260</v>
      </c>
      <c r="H3724" s="7" t="s">
        <v>10262</v>
      </c>
      <c r="I3724" s="9">
        <v>45376</v>
      </c>
    </row>
    <row r="3725" spans="1:9" ht="27" x14ac:dyDescent="0.15">
      <c r="A3725" s="6">
        <v>3724</v>
      </c>
      <c r="B3725" s="7" t="s">
        <v>7</v>
      </c>
      <c r="C3725" s="8">
        <v>1890</v>
      </c>
      <c r="D3725" s="9">
        <v>45449</v>
      </c>
      <c r="E3725" s="13">
        <f>+HYPERLINK("http://trademark.i-assist.jp/data/china/image_1890th/77498241.pdf",77498241)</f>
        <v>77498241</v>
      </c>
      <c r="F3725" s="7" t="s">
        <v>10263</v>
      </c>
      <c r="G3725" s="7" t="s">
        <v>9474</v>
      </c>
      <c r="H3725" s="7" t="s">
        <v>10264</v>
      </c>
      <c r="I3725" s="9">
        <v>45376</v>
      </c>
    </row>
    <row r="3726" spans="1:9" x14ac:dyDescent="0.15">
      <c r="A3726" s="6">
        <v>3725</v>
      </c>
      <c r="B3726" s="7" t="s">
        <v>7</v>
      </c>
      <c r="C3726" s="8">
        <v>1890</v>
      </c>
      <c r="D3726" s="9">
        <v>45449</v>
      </c>
      <c r="E3726" s="13">
        <f>+HYPERLINK("http://trademark.i-assist.jp/data/china/image_1890th/77498319.pdf",77498319)</f>
        <v>77498319</v>
      </c>
      <c r="F3726" s="7" t="s">
        <v>10266</v>
      </c>
      <c r="G3726" s="7" t="s">
        <v>10265</v>
      </c>
      <c r="H3726" s="7" t="s">
        <v>10267</v>
      </c>
      <c r="I3726" s="9">
        <v>45376</v>
      </c>
    </row>
    <row r="3727" spans="1:9" x14ac:dyDescent="0.15">
      <c r="A3727" s="6">
        <v>3726</v>
      </c>
      <c r="B3727" s="7" t="s">
        <v>7</v>
      </c>
      <c r="C3727" s="8">
        <v>1890</v>
      </c>
      <c r="D3727" s="9">
        <v>45449</v>
      </c>
      <c r="E3727" s="13">
        <f>+HYPERLINK("http://trademark.i-assist.jp/data/china/image_1890th/77498349.pdf",77498349)</f>
        <v>77498349</v>
      </c>
      <c r="F3727" s="7" t="s">
        <v>10269</v>
      </c>
      <c r="G3727" s="7" t="s">
        <v>10268</v>
      </c>
      <c r="H3727" s="7" t="s">
        <v>10270</v>
      </c>
      <c r="I3727" s="9">
        <v>45376</v>
      </c>
    </row>
    <row r="3728" spans="1:9" x14ac:dyDescent="0.15">
      <c r="A3728" s="6">
        <v>3727</v>
      </c>
      <c r="B3728" s="7" t="s">
        <v>7</v>
      </c>
      <c r="C3728" s="8">
        <v>1890</v>
      </c>
      <c r="D3728" s="9">
        <v>45449</v>
      </c>
      <c r="E3728" s="13">
        <f>+HYPERLINK("http://trademark.i-assist.jp/data/china/image_1890th/77498428.pdf",77498428)</f>
        <v>77498428</v>
      </c>
      <c r="F3728" s="7" t="s">
        <v>10272</v>
      </c>
      <c r="G3728" s="7" t="s">
        <v>10271</v>
      </c>
      <c r="H3728" s="7" t="s">
        <v>10273</v>
      </c>
      <c r="I3728" s="9">
        <v>45376</v>
      </c>
    </row>
    <row r="3729" spans="1:9" x14ac:dyDescent="0.15">
      <c r="A3729" s="6">
        <v>3728</v>
      </c>
      <c r="B3729" s="7" t="s">
        <v>7</v>
      </c>
      <c r="C3729" s="8">
        <v>1890</v>
      </c>
      <c r="D3729" s="9">
        <v>45449</v>
      </c>
      <c r="E3729" s="13">
        <f>+HYPERLINK("http://trademark.i-assist.jp/data/china/image_1890th/77498533.pdf",77498533)</f>
        <v>77498533</v>
      </c>
      <c r="F3729" s="7" t="s">
        <v>10274</v>
      </c>
      <c r="G3729" s="7" t="s">
        <v>8424</v>
      </c>
      <c r="H3729" s="7" t="s">
        <v>10275</v>
      </c>
      <c r="I3729" s="9">
        <v>45376</v>
      </c>
    </row>
    <row r="3730" spans="1:9" x14ac:dyDescent="0.15">
      <c r="A3730" s="6">
        <v>3729</v>
      </c>
      <c r="B3730" s="7" t="s">
        <v>7</v>
      </c>
      <c r="C3730" s="8">
        <v>1890</v>
      </c>
      <c r="D3730" s="9">
        <v>45449</v>
      </c>
      <c r="E3730" s="13">
        <f>+HYPERLINK("http://trademark.i-assist.jp/data/china/image_1890th/77498562.pdf",77498562)</f>
        <v>77498562</v>
      </c>
      <c r="F3730" s="7" t="s">
        <v>10277</v>
      </c>
      <c r="G3730" s="7" t="s">
        <v>10276</v>
      </c>
      <c r="H3730" s="7" t="s">
        <v>10278</v>
      </c>
      <c r="I3730" s="9">
        <v>45376</v>
      </c>
    </row>
    <row r="3731" spans="1:9" x14ac:dyDescent="0.15">
      <c r="A3731" s="6">
        <v>3730</v>
      </c>
      <c r="B3731" s="7" t="s">
        <v>7</v>
      </c>
      <c r="C3731" s="8">
        <v>1890</v>
      </c>
      <c r="D3731" s="9">
        <v>45449</v>
      </c>
      <c r="E3731" s="13">
        <f>+HYPERLINK("http://trademark.i-assist.jp/data/china/image_1890th/77498655.pdf",77498655)</f>
        <v>77498655</v>
      </c>
      <c r="F3731" s="7" t="s">
        <v>10280</v>
      </c>
      <c r="G3731" s="7" t="s">
        <v>10279</v>
      </c>
      <c r="H3731" s="7" t="s">
        <v>10281</v>
      </c>
      <c r="I3731" s="9">
        <v>45376</v>
      </c>
    </row>
    <row r="3732" spans="1:9" x14ac:dyDescent="0.15">
      <c r="A3732" s="6">
        <v>3731</v>
      </c>
      <c r="B3732" s="7" t="s">
        <v>7</v>
      </c>
      <c r="C3732" s="8">
        <v>1890</v>
      </c>
      <c r="D3732" s="9">
        <v>45449</v>
      </c>
      <c r="E3732" s="13">
        <f>+HYPERLINK("http://trademark.i-assist.jp/data/china/image_1890th/77498718.pdf",77498718)</f>
        <v>77498718</v>
      </c>
      <c r="F3732" s="7" t="s">
        <v>10283</v>
      </c>
      <c r="G3732" s="7" t="s">
        <v>10282</v>
      </c>
      <c r="H3732" s="7" t="s">
        <v>10284</v>
      </c>
      <c r="I3732" s="9">
        <v>45376</v>
      </c>
    </row>
    <row r="3733" spans="1:9" x14ac:dyDescent="0.15">
      <c r="A3733" s="6">
        <v>3732</v>
      </c>
      <c r="B3733" s="7" t="s">
        <v>7</v>
      </c>
      <c r="C3733" s="8">
        <v>1890</v>
      </c>
      <c r="D3733" s="9">
        <v>45449</v>
      </c>
      <c r="E3733" s="13">
        <f>+HYPERLINK("http://trademark.i-assist.jp/data/china/image_1890th/77498922.pdf",77498922)</f>
        <v>77498922</v>
      </c>
      <c r="F3733" s="7" t="s">
        <v>10285</v>
      </c>
      <c r="G3733" s="7" t="s">
        <v>1550</v>
      </c>
      <c r="H3733" s="7" t="s">
        <v>10286</v>
      </c>
      <c r="I3733" s="9">
        <v>45376</v>
      </c>
    </row>
    <row r="3734" spans="1:9" x14ac:dyDescent="0.15">
      <c r="A3734" s="6">
        <v>3733</v>
      </c>
      <c r="B3734" s="7" t="s">
        <v>7</v>
      </c>
      <c r="C3734" s="8">
        <v>1890</v>
      </c>
      <c r="D3734" s="9">
        <v>45449</v>
      </c>
      <c r="E3734" s="13">
        <f>+HYPERLINK("http://trademark.i-assist.jp/data/china/image_1890th/77498967.pdf",77498967)</f>
        <v>77498967</v>
      </c>
      <c r="F3734" s="7" t="s">
        <v>10287</v>
      </c>
      <c r="G3734" s="7" t="s">
        <v>1980</v>
      </c>
      <c r="H3734" s="7" t="s">
        <v>10288</v>
      </c>
      <c r="I3734" s="9">
        <v>45376</v>
      </c>
    </row>
    <row r="3735" spans="1:9" x14ac:dyDescent="0.15">
      <c r="A3735" s="6">
        <v>3734</v>
      </c>
      <c r="B3735" s="7" t="s">
        <v>7</v>
      </c>
      <c r="C3735" s="8">
        <v>1890</v>
      </c>
      <c r="D3735" s="9">
        <v>45449</v>
      </c>
      <c r="E3735" s="13">
        <f>+HYPERLINK("http://trademark.i-assist.jp/data/china/image_1890th/77499150.pdf",77499150)</f>
        <v>77499150</v>
      </c>
      <c r="F3735" s="7" t="s">
        <v>10290</v>
      </c>
      <c r="G3735" s="7" t="s">
        <v>10289</v>
      </c>
      <c r="H3735" s="7" t="s">
        <v>10291</v>
      </c>
      <c r="I3735" s="9">
        <v>45376</v>
      </c>
    </row>
    <row r="3736" spans="1:9" x14ac:dyDescent="0.15">
      <c r="A3736" s="6">
        <v>3735</v>
      </c>
      <c r="B3736" s="7" t="s">
        <v>7</v>
      </c>
      <c r="C3736" s="8">
        <v>1890</v>
      </c>
      <c r="D3736" s="9">
        <v>45449</v>
      </c>
      <c r="E3736" s="13">
        <f>+HYPERLINK("http://trademark.i-assist.jp/data/china/image_1890th/77499163.pdf",77499163)</f>
        <v>77499163</v>
      </c>
      <c r="F3736" s="7" t="s">
        <v>10292</v>
      </c>
      <c r="G3736" s="7" t="s">
        <v>1980</v>
      </c>
      <c r="H3736" s="7" t="s">
        <v>10293</v>
      </c>
      <c r="I3736" s="9">
        <v>45376</v>
      </c>
    </row>
    <row r="3737" spans="1:9" ht="27" x14ac:dyDescent="0.15">
      <c r="A3737" s="6">
        <v>3736</v>
      </c>
      <c r="B3737" s="7" t="s">
        <v>7</v>
      </c>
      <c r="C3737" s="8">
        <v>1890</v>
      </c>
      <c r="D3737" s="9">
        <v>45449</v>
      </c>
      <c r="E3737" s="13">
        <f>+HYPERLINK("http://trademark.i-assist.jp/data/china/image_1890th/77499304.pdf",77499304)</f>
        <v>77499304</v>
      </c>
      <c r="F3737" s="7" t="s">
        <v>10294</v>
      </c>
      <c r="G3737" s="7" t="s">
        <v>1565</v>
      </c>
      <c r="H3737" s="7" t="s">
        <v>10295</v>
      </c>
      <c r="I3737" s="9">
        <v>45376</v>
      </c>
    </row>
    <row r="3738" spans="1:9" x14ac:dyDescent="0.15">
      <c r="A3738" s="6">
        <v>3737</v>
      </c>
      <c r="B3738" s="7" t="s">
        <v>7</v>
      </c>
      <c r="C3738" s="8">
        <v>1890</v>
      </c>
      <c r="D3738" s="9">
        <v>45449</v>
      </c>
      <c r="E3738" s="13">
        <f>+HYPERLINK("http://trademark.i-assist.jp/data/china/image_1890th/77499655.pdf",77499655)</f>
        <v>77499655</v>
      </c>
      <c r="F3738" s="7" t="s">
        <v>10297</v>
      </c>
      <c r="G3738" s="7" t="s">
        <v>10296</v>
      </c>
      <c r="H3738" s="7" t="s">
        <v>10298</v>
      </c>
      <c r="I3738" s="9">
        <v>45376</v>
      </c>
    </row>
    <row r="3739" spans="1:9" ht="27" x14ac:dyDescent="0.15">
      <c r="A3739" s="6">
        <v>3738</v>
      </c>
      <c r="B3739" s="7" t="s">
        <v>7</v>
      </c>
      <c r="C3739" s="8">
        <v>1890</v>
      </c>
      <c r="D3739" s="9">
        <v>45449</v>
      </c>
      <c r="E3739" s="13">
        <f>+HYPERLINK("http://trademark.i-assist.jp/data/china/image_1890th/77499776.pdf",77499776)</f>
        <v>77499776</v>
      </c>
      <c r="F3739" s="7" t="s">
        <v>183</v>
      </c>
      <c r="G3739" s="7" t="s">
        <v>10299</v>
      </c>
      <c r="H3739" s="7" t="s">
        <v>10300</v>
      </c>
      <c r="I3739" s="9">
        <v>45376</v>
      </c>
    </row>
    <row r="3740" spans="1:9" x14ac:dyDescent="0.15">
      <c r="A3740" s="6">
        <v>3739</v>
      </c>
      <c r="B3740" s="7" t="s">
        <v>7</v>
      </c>
      <c r="C3740" s="8">
        <v>1890</v>
      </c>
      <c r="D3740" s="9">
        <v>45449</v>
      </c>
      <c r="E3740" s="13">
        <f>+HYPERLINK("http://trademark.i-assist.jp/data/china/image_1890th/77500014.pdf",77500014)</f>
        <v>77500014</v>
      </c>
      <c r="F3740" s="7" t="s">
        <v>10302</v>
      </c>
      <c r="G3740" s="7" t="s">
        <v>10301</v>
      </c>
      <c r="H3740" s="7" t="s">
        <v>10303</v>
      </c>
      <c r="I3740" s="9">
        <v>45376</v>
      </c>
    </row>
    <row r="3741" spans="1:9" x14ac:dyDescent="0.15">
      <c r="A3741" s="6">
        <v>3740</v>
      </c>
      <c r="B3741" s="7" t="s">
        <v>7</v>
      </c>
      <c r="C3741" s="8">
        <v>1890</v>
      </c>
      <c r="D3741" s="9">
        <v>45449</v>
      </c>
      <c r="E3741" s="13">
        <f>+HYPERLINK("http://trademark.i-assist.jp/data/china/image_1890th/77500545.pdf",77500545)</f>
        <v>77500545</v>
      </c>
      <c r="F3741" s="7" t="s">
        <v>10304</v>
      </c>
      <c r="G3741" s="7" t="s">
        <v>10134</v>
      </c>
      <c r="H3741" s="7" t="s">
        <v>10305</v>
      </c>
      <c r="I3741" s="9">
        <v>45376</v>
      </c>
    </row>
    <row r="3742" spans="1:9" x14ac:dyDescent="0.15">
      <c r="A3742" s="6">
        <v>3741</v>
      </c>
      <c r="B3742" s="7" t="s">
        <v>7</v>
      </c>
      <c r="C3742" s="8">
        <v>1890</v>
      </c>
      <c r="D3742" s="9">
        <v>45449</v>
      </c>
      <c r="E3742" s="13">
        <f>+HYPERLINK("http://trademark.i-assist.jp/data/china/image_1890th/77500574.pdf",77500574)</f>
        <v>77500574</v>
      </c>
      <c r="F3742" s="7" t="s">
        <v>10307</v>
      </c>
      <c r="G3742" s="7" t="s">
        <v>10306</v>
      </c>
      <c r="H3742" s="7" t="s">
        <v>10308</v>
      </c>
      <c r="I3742" s="9">
        <v>45376</v>
      </c>
    </row>
    <row r="3743" spans="1:9" ht="27" x14ac:dyDescent="0.15">
      <c r="A3743" s="6">
        <v>3742</v>
      </c>
      <c r="B3743" s="7" t="s">
        <v>7</v>
      </c>
      <c r="C3743" s="8">
        <v>1890</v>
      </c>
      <c r="D3743" s="9">
        <v>45449</v>
      </c>
      <c r="E3743" s="13">
        <f>+HYPERLINK("http://trademark.i-assist.jp/data/china/image_1890th/77500602.pdf",77500602)</f>
        <v>77500602</v>
      </c>
      <c r="F3743" s="7" t="s">
        <v>10309</v>
      </c>
      <c r="G3743" s="7" t="s">
        <v>1565</v>
      </c>
      <c r="H3743" s="7" t="s">
        <v>10310</v>
      </c>
      <c r="I3743" s="9">
        <v>45376</v>
      </c>
    </row>
    <row r="3744" spans="1:9" x14ac:dyDescent="0.15">
      <c r="A3744" s="6">
        <v>3743</v>
      </c>
      <c r="B3744" s="7" t="s">
        <v>7</v>
      </c>
      <c r="C3744" s="8">
        <v>1890</v>
      </c>
      <c r="D3744" s="9">
        <v>45449</v>
      </c>
      <c r="E3744" s="13">
        <f>+HYPERLINK("http://trademark.i-assist.jp/data/china/image_1890th/77500647.pdf",77500647)</f>
        <v>77500647</v>
      </c>
      <c r="F3744" s="7" t="s">
        <v>10312</v>
      </c>
      <c r="G3744" s="7" t="s">
        <v>10311</v>
      </c>
      <c r="H3744" s="7" t="s">
        <v>10313</v>
      </c>
      <c r="I3744" s="9">
        <v>45376</v>
      </c>
    </row>
    <row r="3745" spans="1:9" x14ac:dyDescent="0.15">
      <c r="A3745" s="6">
        <v>3744</v>
      </c>
      <c r="B3745" s="7" t="s">
        <v>7</v>
      </c>
      <c r="C3745" s="8">
        <v>1890</v>
      </c>
      <c r="D3745" s="9">
        <v>45449</v>
      </c>
      <c r="E3745" s="13">
        <f>+HYPERLINK("http://trademark.i-assist.jp/data/china/image_1890th/77500704.pdf",77500704)</f>
        <v>77500704</v>
      </c>
      <c r="F3745" s="7" t="s">
        <v>10314</v>
      </c>
      <c r="G3745" s="7" t="s">
        <v>35</v>
      </c>
      <c r="H3745" s="7" t="s">
        <v>10315</v>
      </c>
      <c r="I3745" s="9">
        <v>45376</v>
      </c>
    </row>
    <row r="3746" spans="1:9" x14ac:dyDescent="0.15">
      <c r="A3746" s="6">
        <v>3745</v>
      </c>
      <c r="B3746" s="7" t="s">
        <v>7</v>
      </c>
      <c r="C3746" s="8">
        <v>1890</v>
      </c>
      <c r="D3746" s="9">
        <v>45449</v>
      </c>
      <c r="E3746" s="13">
        <f>+HYPERLINK("http://trademark.i-assist.jp/data/china/image_1890th/77500723.pdf",77500723)</f>
        <v>77500723</v>
      </c>
      <c r="F3746" s="7" t="s">
        <v>10317</v>
      </c>
      <c r="G3746" s="7" t="s">
        <v>10316</v>
      </c>
      <c r="H3746" s="7" t="s">
        <v>10318</v>
      </c>
      <c r="I3746" s="9">
        <v>45376</v>
      </c>
    </row>
    <row r="3747" spans="1:9" x14ac:dyDescent="0.15">
      <c r="A3747" s="6">
        <v>3746</v>
      </c>
      <c r="B3747" s="7" t="s">
        <v>7</v>
      </c>
      <c r="C3747" s="8">
        <v>1890</v>
      </c>
      <c r="D3747" s="9">
        <v>45449</v>
      </c>
      <c r="E3747" s="13">
        <f>+HYPERLINK("http://trademark.i-assist.jp/data/china/image_1890th/77500840.pdf",77500840)</f>
        <v>77500840</v>
      </c>
      <c r="F3747" s="7" t="s">
        <v>10319</v>
      </c>
      <c r="G3747" s="7" t="s">
        <v>8441</v>
      </c>
      <c r="H3747" s="7" t="s">
        <v>10320</v>
      </c>
      <c r="I3747" s="9">
        <v>45376</v>
      </c>
    </row>
    <row r="3748" spans="1:9" x14ac:dyDescent="0.15">
      <c r="A3748" s="6">
        <v>3747</v>
      </c>
      <c r="B3748" s="7" t="s">
        <v>7</v>
      </c>
      <c r="C3748" s="8">
        <v>1890</v>
      </c>
      <c r="D3748" s="9">
        <v>45449</v>
      </c>
      <c r="E3748" s="13">
        <f>+HYPERLINK("http://trademark.i-assist.jp/data/china/image_1890th/77505601.pdf",77505601)</f>
        <v>77505601</v>
      </c>
      <c r="F3748" s="7" t="s">
        <v>10322</v>
      </c>
      <c r="G3748" s="7" t="s">
        <v>10321</v>
      </c>
      <c r="H3748" s="7" t="s">
        <v>10323</v>
      </c>
      <c r="I3748" s="9">
        <v>45376</v>
      </c>
    </row>
    <row r="3749" spans="1:9" x14ac:dyDescent="0.15">
      <c r="A3749" s="6">
        <v>3748</v>
      </c>
      <c r="B3749" s="7" t="s">
        <v>7</v>
      </c>
      <c r="C3749" s="8">
        <v>1890</v>
      </c>
      <c r="D3749" s="9">
        <v>45449</v>
      </c>
      <c r="E3749" s="13">
        <f>+HYPERLINK("http://trademark.i-assist.jp/data/china/image_1890th/77508562.pdf",77508562)</f>
        <v>77508562</v>
      </c>
      <c r="F3749" s="7" t="s">
        <v>10325</v>
      </c>
      <c r="G3749" s="7" t="s">
        <v>10324</v>
      </c>
      <c r="H3749" s="7" t="s">
        <v>10326</v>
      </c>
      <c r="I3749" s="9">
        <v>45376</v>
      </c>
    </row>
    <row r="3750" spans="1:9" x14ac:dyDescent="0.15">
      <c r="A3750" s="6">
        <v>3749</v>
      </c>
      <c r="B3750" s="7" t="s">
        <v>7</v>
      </c>
      <c r="C3750" s="8">
        <v>1890</v>
      </c>
      <c r="D3750" s="9">
        <v>45449</v>
      </c>
      <c r="E3750" s="13">
        <f>+HYPERLINK("http://trademark.i-assist.jp/data/china/image_1890th/77508659.pdf",77508659)</f>
        <v>77508659</v>
      </c>
      <c r="F3750" s="7" t="s">
        <v>10327</v>
      </c>
      <c r="G3750" s="7" t="s">
        <v>1550</v>
      </c>
      <c r="H3750" s="7" t="s">
        <v>10328</v>
      </c>
      <c r="I3750" s="9">
        <v>45376</v>
      </c>
    </row>
    <row r="3751" spans="1:9" x14ac:dyDescent="0.15">
      <c r="A3751" s="6">
        <v>3750</v>
      </c>
      <c r="B3751" s="7" t="s">
        <v>7</v>
      </c>
      <c r="C3751" s="8">
        <v>1890</v>
      </c>
      <c r="D3751" s="9">
        <v>45449</v>
      </c>
      <c r="E3751" s="13">
        <f>+HYPERLINK("http://trademark.i-assist.jp/data/china/image_1890th/77509011.pdf",77509011)</f>
        <v>77509011</v>
      </c>
      <c r="F3751" s="7" t="s">
        <v>10329</v>
      </c>
      <c r="G3751" s="7" t="s">
        <v>10225</v>
      </c>
      <c r="H3751" s="7" t="s">
        <v>10330</v>
      </c>
      <c r="I3751" s="9">
        <v>45376</v>
      </c>
    </row>
    <row r="3752" spans="1:9" x14ac:dyDescent="0.15">
      <c r="A3752" s="6">
        <v>3751</v>
      </c>
      <c r="B3752" s="7" t="s">
        <v>7</v>
      </c>
      <c r="C3752" s="8">
        <v>1890</v>
      </c>
      <c r="D3752" s="9">
        <v>45449</v>
      </c>
      <c r="E3752" s="13">
        <f>+HYPERLINK("http://trademark.i-assist.jp/data/china/image_1890th/77509106.pdf",77509106)</f>
        <v>77509106</v>
      </c>
      <c r="F3752" s="7" t="s">
        <v>10331</v>
      </c>
      <c r="G3752" s="7" t="s">
        <v>8054</v>
      </c>
      <c r="H3752" s="7" t="s">
        <v>10332</v>
      </c>
      <c r="I3752" s="9">
        <v>45376</v>
      </c>
    </row>
    <row r="3753" spans="1:9" x14ac:dyDescent="0.15">
      <c r="A3753" s="6">
        <v>3752</v>
      </c>
      <c r="B3753" s="7" t="s">
        <v>7</v>
      </c>
      <c r="C3753" s="8">
        <v>1890</v>
      </c>
      <c r="D3753" s="9">
        <v>45449</v>
      </c>
      <c r="E3753" s="13">
        <f>+HYPERLINK("http://trademark.i-assist.jp/data/china/image_1890th/77509350.pdf",77509350)</f>
        <v>77509350</v>
      </c>
      <c r="F3753" s="7" t="s">
        <v>10334</v>
      </c>
      <c r="G3753" s="7" t="s">
        <v>10333</v>
      </c>
      <c r="H3753" s="7" t="s">
        <v>10335</v>
      </c>
      <c r="I3753" s="9">
        <v>45376</v>
      </c>
    </row>
    <row r="3754" spans="1:9" x14ac:dyDescent="0.15">
      <c r="A3754" s="6">
        <v>3753</v>
      </c>
      <c r="B3754" s="7" t="s">
        <v>7</v>
      </c>
      <c r="C3754" s="8">
        <v>1890</v>
      </c>
      <c r="D3754" s="9">
        <v>45449</v>
      </c>
      <c r="E3754" s="13">
        <f>+HYPERLINK("http://trademark.i-assist.jp/data/china/image_1890th/77509353.pdf",77509353)</f>
        <v>77509353</v>
      </c>
      <c r="F3754" s="7" t="s">
        <v>10337</v>
      </c>
      <c r="G3754" s="7" t="s">
        <v>10336</v>
      </c>
      <c r="H3754" s="7" t="s">
        <v>10338</v>
      </c>
      <c r="I3754" s="9">
        <v>45376</v>
      </c>
    </row>
    <row r="3755" spans="1:9" x14ac:dyDescent="0.15">
      <c r="A3755" s="6">
        <v>3754</v>
      </c>
      <c r="B3755" s="7" t="s">
        <v>7</v>
      </c>
      <c r="C3755" s="8">
        <v>1890</v>
      </c>
      <c r="D3755" s="9">
        <v>45449</v>
      </c>
      <c r="E3755" s="13">
        <f>+HYPERLINK("http://trademark.i-assist.jp/data/china/image_1890th/77509405.pdf",77509405)</f>
        <v>77509405</v>
      </c>
      <c r="F3755" s="7" t="s">
        <v>10340</v>
      </c>
      <c r="G3755" s="7" t="s">
        <v>10339</v>
      </c>
      <c r="H3755" s="7" t="s">
        <v>10341</v>
      </c>
      <c r="I3755" s="9">
        <v>45376</v>
      </c>
    </row>
    <row r="3756" spans="1:9" x14ac:dyDescent="0.15">
      <c r="A3756" s="6">
        <v>3755</v>
      </c>
      <c r="B3756" s="7" t="s">
        <v>7</v>
      </c>
      <c r="C3756" s="8">
        <v>1890</v>
      </c>
      <c r="D3756" s="9">
        <v>45449</v>
      </c>
      <c r="E3756" s="13">
        <f>+HYPERLINK("http://trademark.i-assist.jp/data/china/image_1890th/77509956.pdf",77509956)</f>
        <v>77509956</v>
      </c>
      <c r="F3756" s="7" t="s">
        <v>10342</v>
      </c>
      <c r="G3756" s="7" t="s">
        <v>1550</v>
      </c>
      <c r="H3756" s="7" t="s">
        <v>10343</v>
      </c>
      <c r="I3756" s="9">
        <v>45376</v>
      </c>
    </row>
    <row r="3757" spans="1:9" x14ac:dyDescent="0.15">
      <c r="A3757" s="6">
        <v>3756</v>
      </c>
      <c r="B3757" s="7" t="s">
        <v>7</v>
      </c>
      <c r="C3757" s="8">
        <v>1890</v>
      </c>
      <c r="D3757" s="9">
        <v>45449</v>
      </c>
      <c r="E3757" s="13">
        <f>+HYPERLINK("http://trademark.i-assist.jp/data/china/image_1890th/77509961.pdf",77509961)</f>
        <v>77509961</v>
      </c>
      <c r="F3757" s="7" t="s">
        <v>10345</v>
      </c>
      <c r="G3757" s="7" t="s">
        <v>10344</v>
      </c>
      <c r="H3757" s="7" t="s">
        <v>10346</v>
      </c>
      <c r="I3757" s="9">
        <v>45376</v>
      </c>
    </row>
    <row r="3758" spans="1:9" x14ac:dyDescent="0.15">
      <c r="A3758" s="6">
        <v>3757</v>
      </c>
      <c r="B3758" s="7" t="s">
        <v>7</v>
      </c>
      <c r="C3758" s="8">
        <v>1890</v>
      </c>
      <c r="D3758" s="9">
        <v>45449</v>
      </c>
      <c r="E3758" s="13">
        <f>+HYPERLINK("http://trademark.i-assist.jp/data/china/image_1890th/77510589.pdf",77510589)</f>
        <v>77510589</v>
      </c>
      <c r="F3758" s="7" t="s">
        <v>10348</v>
      </c>
      <c r="G3758" s="7" t="s">
        <v>10347</v>
      </c>
      <c r="H3758" s="7" t="s">
        <v>10349</v>
      </c>
      <c r="I3758" s="9">
        <v>45376</v>
      </c>
    </row>
    <row r="3759" spans="1:9" x14ac:dyDescent="0.15">
      <c r="A3759" s="6">
        <v>3758</v>
      </c>
      <c r="B3759" s="7" t="s">
        <v>7</v>
      </c>
      <c r="C3759" s="8">
        <v>1890</v>
      </c>
      <c r="D3759" s="9">
        <v>45449</v>
      </c>
      <c r="E3759" s="13">
        <f>+HYPERLINK("http://trademark.i-assist.jp/data/china/image_1890th/77510619.pdf",77510619)</f>
        <v>77510619</v>
      </c>
      <c r="F3759" s="7" t="s">
        <v>10350</v>
      </c>
      <c r="G3759" s="7" t="s">
        <v>10225</v>
      </c>
      <c r="H3759" s="7" t="s">
        <v>10351</v>
      </c>
      <c r="I3759" s="9">
        <v>45376</v>
      </c>
    </row>
    <row r="3760" spans="1:9" x14ac:dyDescent="0.15">
      <c r="A3760" s="6">
        <v>3759</v>
      </c>
      <c r="B3760" s="7" t="s">
        <v>7</v>
      </c>
      <c r="C3760" s="8">
        <v>1890</v>
      </c>
      <c r="D3760" s="9">
        <v>45449</v>
      </c>
      <c r="E3760" s="13">
        <f>+HYPERLINK("http://trademark.i-assist.jp/data/china/image_1890th/77510797.pdf",77510797)</f>
        <v>77510797</v>
      </c>
      <c r="F3760" s="7" t="s">
        <v>10352</v>
      </c>
      <c r="G3760" s="7" t="s">
        <v>1591</v>
      </c>
      <c r="H3760" s="7" t="s">
        <v>10353</v>
      </c>
      <c r="I3760" s="9">
        <v>45376</v>
      </c>
    </row>
    <row r="3761" spans="1:9" x14ac:dyDescent="0.15">
      <c r="A3761" s="6">
        <v>3760</v>
      </c>
      <c r="B3761" s="7" t="s">
        <v>7</v>
      </c>
      <c r="C3761" s="8">
        <v>1890</v>
      </c>
      <c r="D3761" s="9">
        <v>45449</v>
      </c>
      <c r="E3761" s="13">
        <f>+HYPERLINK("http://trademark.i-assist.jp/data/china/image_1890th/77511334.pdf",77511334)</f>
        <v>77511334</v>
      </c>
      <c r="F3761" s="7" t="s">
        <v>10355</v>
      </c>
      <c r="G3761" s="7" t="s">
        <v>10354</v>
      </c>
      <c r="H3761" s="7" t="s">
        <v>10356</v>
      </c>
      <c r="I3761" s="9">
        <v>45376</v>
      </c>
    </row>
    <row r="3762" spans="1:9" x14ac:dyDescent="0.15">
      <c r="A3762" s="6">
        <v>3761</v>
      </c>
      <c r="B3762" s="7" t="s">
        <v>7</v>
      </c>
      <c r="C3762" s="8">
        <v>1890</v>
      </c>
      <c r="D3762" s="9">
        <v>45449</v>
      </c>
      <c r="E3762" s="13">
        <f>+HYPERLINK("http://trademark.i-assist.jp/data/china/image_1890th/77511705.pdf",77511705)</f>
        <v>77511705</v>
      </c>
      <c r="F3762" s="7" t="s">
        <v>10358</v>
      </c>
      <c r="G3762" s="7" t="s">
        <v>10357</v>
      </c>
      <c r="H3762" s="7" t="s">
        <v>10359</v>
      </c>
      <c r="I3762" s="9">
        <v>45376</v>
      </c>
    </row>
    <row r="3763" spans="1:9" x14ac:dyDescent="0.15">
      <c r="A3763" s="6">
        <v>3762</v>
      </c>
      <c r="B3763" s="7" t="s">
        <v>7</v>
      </c>
      <c r="C3763" s="8">
        <v>1890</v>
      </c>
      <c r="D3763" s="9">
        <v>45449</v>
      </c>
      <c r="E3763" s="13">
        <f>+HYPERLINK("http://trademark.i-assist.jp/data/china/image_1890th/77511783.pdf",77511783)</f>
        <v>77511783</v>
      </c>
      <c r="F3763" s="7" t="s">
        <v>10361</v>
      </c>
      <c r="G3763" s="7" t="s">
        <v>10360</v>
      </c>
      <c r="H3763" s="7" t="s">
        <v>10362</v>
      </c>
      <c r="I3763" s="9">
        <v>45376</v>
      </c>
    </row>
    <row r="3764" spans="1:9" x14ac:dyDescent="0.15">
      <c r="A3764" s="6">
        <v>3763</v>
      </c>
      <c r="B3764" s="7" t="s">
        <v>7</v>
      </c>
      <c r="C3764" s="8">
        <v>1890</v>
      </c>
      <c r="D3764" s="9">
        <v>45449</v>
      </c>
      <c r="E3764" s="13">
        <f>+HYPERLINK("http://trademark.i-assist.jp/data/china/image_1890th/77512471.pdf",77512471)</f>
        <v>77512471</v>
      </c>
      <c r="F3764" s="7" t="s">
        <v>10364</v>
      </c>
      <c r="G3764" s="7" t="s">
        <v>10363</v>
      </c>
      <c r="H3764" s="7" t="s">
        <v>10365</v>
      </c>
      <c r="I3764" s="9">
        <v>45376</v>
      </c>
    </row>
    <row r="3765" spans="1:9" x14ac:dyDescent="0.15">
      <c r="A3765" s="6">
        <v>3764</v>
      </c>
      <c r="B3765" s="7" t="s">
        <v>7</v>
      </c>
      <c r="C3765" s="8">
        <v>1890</v>
      </c>
      <c r="D3765" s="9">
        <v>45449</v>
      </c>
      <c r="E3765" s="13">
        <f>+HYPERLINK("http://trademark.i-assist.jp/data/china/image_1890th/77512490.pdf",77512490)</f>
        <v>77512490</v>
      </c>
      <c r="F3765" s="7" t="s">
        <v>10367</v>
      </c>
      <c r="G3765" s="7" t="s">
        <v>10366</v>
      </c>
      <c r="H3765" s="7" t="s">
        <v>10368</v>
      </c>
      <c r="I3765" s="9">
        <v>45376</v>
      </c>
    </row>
    <row r="3766" spans="1:9" x14ac:dyDescent="0.15">
      <c r="A3766" s="6">
        <v>3765</v>
      </c>
      <c r="B3766" s="7" t="s">
        <v>7</v>
      </c>
      <c r="C3766" s="8">
        <v>1890</v>
      </c>
      <c r="D3766" s="9">
        <v>45449</v>
      </c>
      <c r="E3766" s="13">
        <f>+HYPERLINK("http://trademark.i-assist.jp/data/china/image_1890th/77512950.pdf",77512950)</f>
        <v>77512950</v>
      </c>
      <c r="F3766" s="7" t="s">
        <v>10370</v>
      </c>
      <c r="G3766" s="7" t="s">
        <v>10369</v>
      </c>
      <c r="H3766" s="7" t="s">
        <v>10371</v>
      </c>
      <c r="I3766" s="9">
        <v>45376</v>
      </c>
    </row>
    <row r="3767" spans="1:9" x14ac:dyDescent="0.15">
      <c r="A3767" s="6">
        <v>3766</v>
      </c>
      <c r="B3767" s="7" t="s">
        <v>7</v>
      </c>
      <c r="C3767" s="8">
        <v>1890</v>
      </c>
      <c r="D3767" s="9">
        <v>45449</v>
      </c>
      <c r="E3767" s="13">
        <f>+HYPERLINK("http://trademark.i-assist.jp/data/china/image_1890th/77513073.pdf",77513073)</f>
        <v>77513073</v>
      </c>
      <c r="F3767" s="7" t="s">
        <v>10373</v>
      </c>
      <c r="G3767" s="7" t="s">
        <v>10372</v>
      </c>
      <c r="H3767" s="7" t="s">
        <v>10374</v>
      </c>
      <c r="I3767" s="9">
        <v>45376</v>
      </c>
    </row>
    <row r="3768" spans="1:9" x14ac:dyDescent="0.15">
      <c r="A3768" s="6">
        <v>3767</v>
      </c>
      <c r="B3768" s="7" t="s">
        <v>7</v>
      </c>
      <c r="C3768" s="8">
        <v>1890</v>
      </c>
      <c r="D3768" s="9">
        <v>45449</v>
      </c>
      <c r="E3768" s="13">
        <f>+HYPERLINK("http://trademark.i-assist.jp/data/china/image_1890th/77513460.pdf",77513460)</f>
        <v>77513460</v>
      </c>
      <c r="F3768" s="7" t="s">
        <v>10376</v>
      </c>
      <c r="G3768" s="7" t="s">
        <v>10375</v>
      </c>
      <c r="H3768" s="7" t="s">
        <v>10377</v>
      </c>
      <c r="I3768" s="9">
        <v>45376</v>
      </c>
    </row>
    <row r="3769" spans="1:9" x14ac:dyDescent="0.15">
      <c r="A3769" s="6">
        <v>3768</v>
      </c>
      <c r="B3769" s="7" t="s">
        <v>7</v>
      </c>
      <c r="C3769" s="8">
        <v>1890</v>
      </c>
      <c r="D3769" s="9">
        <v>45449</v>
      </c>
      <c r="E3769" s="13">
        <f>+HYPERLINK("http://trademark.i-assist.jp/data/china/image_1890th/77513478.pdf",77513478)</f>
        <v>77513478</v>
      </c>
      <c r="F3769" s="7" t="s">
        <v>10379</v>
      </c>
      <c r="G3769" s="7" t="s">
        <v>10378</v>
      </c>
      <c r="H3769" s="7" t="s">
        <v>10380</v>
      </c>
      <c r="I3769" s="9">
        <v>45376</v>
      </c>
    </row>
    <row r="3770" spans="1:9" x14ac:dyDescent="0.15">
      <c r="A3770" s="6">
        <v>3769</v>
      </c>
      <c r="B3770" s="7" t="s">
        <v>7</v>
      </c>
      <c r="C3770" s="8">
        <v>1890</v>
      </c>
      <c r="D3770" s="9">
        <v>45449</v>
      </c>
      <c r="E3770" s="13">
        <f>+HYPERLINK("http://trademark.i-assist.jp/data/china/image_1890th/77513591.pdf",77513591)</f>
        <v>77513591</v>
      </c>
      <c r="F3770" s="7" t="s">
        <v>10382</v>
      </c>
      <c r="G3770" s="7" t="s">
        <v>10381</v>
      </c>
      <c r="H3770" s="7" t="s">
        <v>10383</v>
      </c>
      <c r="I3770" s="9">
        <v>45376</v>
      </c>
    </row>
    <row r="3771" spans="1:9" x14ac:dyDescent="0.15">
      <c r="A3771" s="6">
        <v>3770</v>
      </c>
      <c r="B3771" s="7" t="s">
        <v>7</v>
      </c>
      <c r="C3771" s="8">
        <v>1890</v>
      </c>
      <c r="D3771" s="9">
        <v>45449</v>
      </c>
      <c r="E3771" s="13">
        <f>+HYPERLINK("http://trademark.i-assist.jp/data/china/image_1890th/77514089.pdf",77514089)</f>
        <v>77514089</v>
      </c>
      <c r="F3771" s="7" t="s">
        <v>183</v>
      </c>
      <c r="G3771" s="7" t="s">
        <v>10384</v>
      </c>
      <c r="H3771" s="7" t="s">
        <v>10385</v>
      </c>
      <c r="I3771" s="9">
        <v>45376</v>
      </c>
    </row>
    <row r="3772" spans="1:9" x14ac:dyDescent="0.15">
      <c r="A3772" s="6">
        <v>3771</v>
      </c>
      <c r="B3772" s="7" t="s">
        <v>7</v>
      </c>
      <c r="C3772" s="8">
        <v>1890</v>
      </c>
      <c r="D3772" s="9">
        <v>45449</v>
      </c>
      <c r="E3772" s="13">
        <f>+HYPERLINK("http://trademark.i-assist.jp/data/china/image_1890th/77514630.pdf",77514630)</f>
        <v>77514630</v>
      </c>
      <c r="F3772" s="7" t="s">
        <v>10387</v>
      </c>
      <c r="G3772" s="7" t="s">
        <v>10386</v>
      </c>
      <c r="H3772" s="7" t="s">
        <v>10388</v>
      </c>
      <c r="I3772" s="9">
        <v>45376</v>
      </c>
    </row>
    <row r="3773" spans="1:9" x14ac:dyDescent="0.15">
      <c r="A3773" s="6">
        <v>3772</v>
      </c>
      <c r="B3773" s="7" t="s">
        <v>7</v>
      </c>
      <c r="C3773" s="8">
        <v>1890</v>
      </c>
      <c r="D3773" s="9">
        <v>45449</v>
      </c>
      <c r="E3773" s="13">
        <f>+HYPERLINK("http://trademark.i-assist.jp/data/china/image_1890th/77514707.pdf",77514707)</f>
        <v>77514707</v>
      </c>
      <c r="F3773" s="7" t="s">
        <v>10389</v>
      </c>
      <c r="G3773" s="7" t="s">
        <v>5229</v>
      </c>
      <c r="H3773" s="7" t="s">
        <v>10390</v>
      </c>
      <c r="I3773" s="9">
        <v>45376</v>
      </c>
    </row>
    <row r="3774" spans="1:9" ht="27" x14ac:dyDescent="0.15">
      <c r="A3774" s="6">
        <v>3773</v>
      </c>
      <c r="B3774" s="7" t="s">
        <v>7</v>
      </c>
      <c r="C3774" s="8">
        <v>1890</v>
      </c>
      <c r="D3774" s="9">
        <v>45449</v>
      </c>
      <c r="E3774" s="13">
        <f>+HYPERLINK("http://trademark.i-assist.jp/data/china/image_1890th/77515236.pdf",77515236)</f>
        <v>77515236</v>
      </c>
      <c r="F3774" s="7" t="s">
        <v>10391</v>
      </c>
      <c r="G3774" s="7" t="s">
        <v>7055</v>
      </c>
      <c r="H3774" s="7" t="s">
        <v>10392</v>
      </c>
      <c r="I3774" s="9">
        <v>45376</v>
      </c>
    </row>
    <row r="3775" spans="1:9" x14ac:dyDescent="0.15">
      <c r="A3775" s="6">
        <v>3774</v>
      </c>
      <c r="B3775" s="7" t="s">
        <v>7</v>
      </c>
      <c r="C3775" s="8">
        <v>1890</v>
      </c>
      <c r="D3775" s="9">
        <v>45449</v>
      </c>
      <c r="E3775" s="13">
        <f>+HYPERLINK("http://trademark.i-assist.jp/data/china/image_1890th/77515461.pdf",77515461)</f>
        <v>77515461</v>
      </c>
      <c r="F3775" s="7" t="s">
        <v>10394</v>
      </c>
      <c r="G3775" s="7" t="s">
        <v>10393</v>
      </c>
      <c r="H3775" s="7" t="s">
        <v>10395</v>
      </c>
      <c r="I3775" s="9">
        <v>45376</v>
      </c>
    </row>
    <row r="3776" spans="1:9" x14ac:dyDescent="0.15">
      <c r="A3776" s="6">
        <v>3775</v>
      </c>
      <c r="B3776" s="7" t="s">
        <v>7</v>
      </c>
      <c r="C3776" s="8">
        <v>1890</v>
      </c>
      <c r="D3776" s="9">
        <v>45449</v>
      </c>
      <c r="E3776" s="13">
        <f>+HYPERLINK("http://trademark.i-assist.jp/data/china/image_1890th/77515772.pdf",77515772)</f>
        <v>77515772</v>
      </c>
      <c r="F3776" s="7" t="s">
        <v>10396</v>
      </c>
      <c r="G3776" s="7" t="s">
        <v>5229</v>
      </c>
      <c r="H3776" s="7" t="s">
        <v>10397</v>
      </c>
      <c r="I3776" s="9">
        <v>45376</v>
      </c>
    </row>
    <row r="3777" spans="1:9" x14ac:dyDescent="0.15">
      <c r="A3777" s="6">
        <v>3776</v>
      </c>
      <c r="B3777" s="7" t="s">
        <v>7</v>
      </c>
      <c r="C3777" s="8">
        <v>1890</v>
      </c>
      <c r="D3777" s="9">
        <v>45449</v>
      </c>
      <c r="E3777" s="13">
        <f>+HYPERLINK("http://trademark.i-assist.jp/data/china/image_1890th/77515951.pdf",77515951)</f>
        <v>77515951</v>
      </c>
      <c r="F3777" s="7" t="s">
        <v>10399</v>
      </c>
      <c r="G3777" s="7" t="s">
        <v>10398</v>
      </c>
      <c r="H3777" s="7" t="s">
        <v>10400</v>
      </c>
      <c r="I3777" s="9">
        <v>45376</v>
      </c>
    </row>
    <row r="3778" spans="1:9" x14ac:dyDescent="0.15">
      <c r="A3778" s="6">
        <v>3777</v>
      </c>
      <c r="B3778" s="7" t="s">
        <v>7</v>
      </c>
      <c r="C3778" s="8">
        <v>1890</v>
      </c>
      <c r="D3778" s="9">
        <v>45449</v>
      </c>
      <c r="E3778" s="13">
        <f>+HYPERLINK("http://trademark.i-assist.jp/data/china/image_1890th/77515977.pdf",77515977)</f>
        <v>77515977</v>
      </c>
      <c r="F3778" s="7" t="s">
        <v>10402</v>
      </c>
      <c r="G3778" s="7" t="s">
        <v>10401</v>
      </c>
      <c r="H3778" s="7" t="s">
        <v>10403</v>
      </c>
      <c r="I3778" s="9">
        <v>45376</v>
      </c>
    </row>
    <row r="3779" spans="1:9" x14ac:dyDescent="0.15">
      <c r="A3779" s="6">
        <v>3778</v>
      </c>
      <c r="B3779" s="7" t="s">
        <v>7</v>
      </c>
      <c r="C3779" s="8">
        <v>1890</v>
      </c>
      <c r="D3779" s="9">
        <v>45449</v>
      </c>
      <c r="E3779" s="13">
        <f>+HYPERLINK("http://trademark.i-assist.jp/data/china/image_1890th/77516518.pdf",77516518)</f>
        <v>77516518</v>
      </c>
      <c r="F3779" s="7" t="s">
        <v>10405</v>
      </c>
      <c r="G3779" s="7" t="s">
        <v>10404</v>
      </c>
      <c r="H3779" s="7" t="s">
        <v>10406</v>
      </c>
      <c r="I3779" s="9">
        <v>45376</v>
      </c>
    </row>
    <row r="3780" spans="1:9" x14ac:dyDescent="0.15">
      <c r="A3780" s="6">
        <v>3779</v>
      </c>
      <c r="B3780" s="7" t="s">
        <v>7</v>
      </c>
      <c r="C3780" s="8">
        <v>1890</v>
      </c>
      <c r="D3780" s="9">
        <v>45449</v>
      </c>
      <c r="E3780" s="13">
        <f>+HYPERLINK("http://trademark.i-assist.jp/data/china/image_1890th/77516548.pdf",77516548)</f>
        <v>77516548</v>
      </c>
      <c r="F3780" s="7" t="s">
        <v>10407</v>
      </c>
      <c r="G3780" s="7" t="s">
        <v>2648</v>
      </c>
      <c r="H3780" s="7" t="s">
        <v>10408</v>
      </c>
      <c r="I3780" s="9">
        <v>45376</v>
      </c>
    </row>
    <row r="3781" spans="1:9" x14ac:dyDescent="0.15">
      <c r="A3781" s="6">
        <v>3780</v>
      </c>
      <c r="B3781" s="7" t="s">
        <v>7</v>
      </c>
      <c r="C3781" s="8">
        <v>1890</v>
      </c>
      <c r="D3781" s="9">
        <v>45449</v>
      </c>
      <c r="E3781" s="13">
        <f>+HYPERLINK("http://trademark.i-assist.jp/data/china/image_1890th/77516665.pdf",77516665)</f>
        <v>77516665</v>
      </c>
      <c r="F3781" s="7" t="s">
        <v>10410</v>
      </c>
      <c r="G3781" s="7" t="s">
        <v>10409</v>
      </c>
      <c r="H3781" s="7" t="s">
        <v>10411</v>
      </c>
      <c r="I3781" s="9">
        <v>45376</v>
      </c>
    </row>
    <row r="3782" spans="1:9" x14ac:dyDescent="0.15">
      <c r="A3782" s="6">
        <v>3781</v>
      </c>
      <c r="B3782" s="7" t="s">
        <v>7</v>
      </c>
      <c r="C3782" s="8">
        <v>1890</v>
      </c>
      <c r="D3782" s="9">
        <v>45449</v>
      </c>
      <c r="E3782" s="13">
        <f>+HYPERLINK("http://trademark.i-assist.jp/data/china/image_1890th/77517121.pdf",77517121)</f>
        <v>77517121</v>
      </c>
      <c r="F3782" s="7" t="s">
        <v>10412</v>
      </c>
      <c r="G3782" s="7" t="s">
        <v>1980</v>
      </c>
      <c r="H3782" s="7" t="s">
        <v>10413</v>
      </c>
      <c r="I3782" s="9">
        <v>45376</v>
      </c>
    </row>
    <row r="3783" spans="1:9" x14ac:dyDescent="0.15">
      <c r="A3783" s="6">
        <v>3782</v>
      </c>
      <c r="B3783" s="7" t="s">
        <v>7</v>
      </c>
      <c r="C3783" s="8">
        <v>1890</v>
      </c>
      <c r="D3783" s="9">
        <v>45449</v>
      </c>
      <c r="E3783" s="13">
        <f>+HYPERLINK("http://trademark.i-assist.jp/data/china/image_1890th/77517204.pdf",77517204)</f>
        <v>77517204</v>
      </c>
      <c r="F3783" s="7" t="s">
        <v>10414</v>
      </c>
      <c r="G3783" s="7" t="s">
        <v>10393</v>
      </c>
      <c r="H3783" s="7" t="s">
        <v>10415</v>
      </c>
      <c r="I3783" s="9">
        <v>45376</v>
      </c>
    </row>
    <row r="3784" spans="1:9" ht="27" x14ac:dyDescent="0.15">
      <c r="A3784" s="6">
        <v>3783</v>
      </c>
      <c r="B3784" s="7" t="s">
        <v>7</v>
      </c>
      <c r="C3784" s="8">
        <v>1890</v>
      </c>
      <c r="D3784" s="9">
        <v>45449</v>
      </c>
      <c r="E3784" s="13">
        <f>+HYPERLINK("http://trademark.i-assist.jp/data/china/image_1890th/77517374.pdf",77517374)</f>
        <v>77517374</v>
      </c>
      <c r="F3784" s="7" t="s">
        <v>10417</v>
      </c>
      <c r="G3784" s="7" t="s">
        <v>10416</v>
      </c>
      <c r="H3784" s="7" t="s">
        <v>10418</v>
      </c>
      <c r="I3784" s="9">
        <v>45376</v>
      </c>
    </row>
    <row r="3785" spans="1:9" ht="27" x14ac:dyDescent="0.15">
      <c r="A3785" s="6">
        <v>3784</v>
      </c>
      <c r="B3785" s="7" t="s">
        <v>7</v>
      </c>
      <c r="C3785" s="8">
        <v>1890</v>
      </c>
      <c r="D3785" s="9">
        <v>45449</v>
      </c>
      <c r="E3785" s="13">
        <f>+HYPERLINK("http://trademark.i-assist.jp/data/china/image_1890th/77518006.pdf",77518006)</f>
        <v>77518006</v>
      </c>
      <c r="F3785" s="7" t="s">
        <v>10420</v>
      </c>
      <c r="G3785" s="7" t="s">
        <v>10419</v>
      </c>
      <c r="H3785" s="7" t="s">
        <v>10421</v>
      </c>
      <c r="I3785" s="9">
        <v>45376</v>
      </c>
    </row>
    <row r="3786" spans="1:9" x14ac:dyDescent="0.15">
      <c r="A3786" s="6">
        <v>3785</v>
      </c>
      <c r="B3786" s="7" t="s">
        <v>7</v>
      </c>
      <c r="C3786" s="8">
        <v>1890</v>
      </c>
      <c r="D3786" s="9">
        <v>45449</v>
      </c>
      <c r="E3786" s="13">
        <f>+HYPERLINK("http://trademark.i-assist.jp/data/china/image_1890th/77518302.pdf",77518302)</f>
        <v>77518302</v>
      </c>
      <c r="F3786" s="7" t="s">
        <v>10423</v>
      </c>
      <c r="G3786" s="7" t="s">
        <v>10422</v>
      </c>
      <c r="H3786" s="7" t="s">
        <v>10424</v>
      </c>
      <c r="I3786" s="9">
        <v>45376</v>
      </c>
    </row>
    <row r="3787" spans="1:9" x14ac:dyDescent="0.15">
      <c r="A3787" s="6">
        <v>3786</v>
      </c>
      <c r="B3787" s="7" t="s">
        <v>7</v>
      </c>
      <c r="C3787" s="8">
        <v>1890</v>
      </c>
      <c r="D3787" s="9">
        <v>45449</v>
      </c>
      <c r="E3787" s="13">
        <f>+HYPERLINK("http://trademark.i-assist.jp/data/china/image_1890th/77518404.pdf",77518404)</f>
        <v>77518404</v>
      </c>
      <c r="F3787" s="7" t="s">
        <v>10426</v>
      </c>
      <c r="G3787" s="7" t="s">
        <v>10425</v>
      </c>
      <c r="H3787" s="7" t="s">
        <v>10427</v>
      </c>
      <c r="I3787" s="9">
        <v>45376</v>
      </c>
    </row>
    <row r="3788" spans="1:9" x14ac:dyDescent="0.15">
      <c r="A3788" s="6">
        <v>3787</v>
      </c>
      <c r="B3788" s="7" t="s">
        <v>7</v>
      </c>
      <c r="C3788" s="8">
        <v>1890</v>
      </c>
      <c r="D3788" s="9">
        <v>45449</v>
      </c>
      <c r="E3788" s="13">
        <f>+HYPERLINK("http://trademark.i-assist.jp/data/china/image_1890th/77567167.pdf",77567167)</f>
        <v>77567167</v>
      </c>
      <c r="F3788" s="7" t="s">
        <v>10428</v>
      </c>
      <c r="G3788" s="7" t="s">
        <v>2013</v>
      </c>
      <c r="H3788" s="7" t="s">
        <v>10429</v>
      </c>
      <c r="I3788" s="9">
        <v>45378</v>
      </c>
    </row>
    <row r="3789" spans="1:9" x14ac:dyDescent="0.15">
      <c r="A3789" s="6">
        <v>3788</v>
      </c>
      <c r="B3789" s="7" t="s">
        <v>7</v>
      </c>
      <c r="C3789" s="8">
        <v>1890</v>
      </c>
      <c r="D3789" s="9">
        <v>45449</v>
      </c>
      <c r="E3789" s="13">
        <f>+HYPERLINK("http://trademark.i-assist.jp/data/china/image_1890th/77567317.pdf",77567317)</f>
        <v>77567317</v>
      </c>
      <c r="F3789" s="7" t="s">
        <v>10431</v>
      </c>
      <c r="G3789" s="7" t="s">
        <v>10430</v>
      </c>
      <c r="H3789" s="7" t="s">
        <v>10432</v>
      </c>
      <c r="I3789" s="9">
        <v>45378</v>
      </c>
    </row>
    <row r="3790" spans="1:9" ht="27" x14ac:dyDescent="0.15">
      <c r="A3790" s="6">
        <v>3789</v>
      </c>
      <c r="B3790" s="7" t="s">
        <v>7</v>
      </c>
      <c r="C3790" s="8">
        <v>1890</v>
      </c>
      <c r="D3790" s="9">
        <v>45449</v>
      </c>
      <c r="E3790" s="13">
        <f>+HYPERLINK("http://trademark.i-assist.jp/data/china/image_1890th/77568142.pdf",77568142)</f>
        <v>77568142</v>
      </c>
      <c r="F3790" s="7" t="s">
        <v>10434</v>
      </c>
      <c r="G3790" s="7" t="s">
        <v>10433</v>
      </c>
      <c r="H3790" s="7" t="s">
        <v>10435</v>
      </c>
      <c r="I3790" s="9">
        <v>45378</v>
      </c>
    </row>
    <row r="3791" spans="1:9" x14ac:dyDescent="0.15">
      <c r="A3791" s="6">
        <v>3790</v>
      </c>
      <c r="B3791" s="7" t="s">
        <v>7</v>
      </c>
      <c r="C3791" s="8">
        <v>1890</v>
      </c>
      <c r="D3791" s="9">
        <v>45449</v>
      </c>
      <c r="E3791" s="13">
        <f>+HYPERLINK("http://trademark.i-assist.jp/data/china/image_1890th/77568262.pdf",77568262)</f>
        <v>77568262</v>
      </c>
      <c r="F3791" s="7" t="s">
        <v>10437</v>
      </c>
      <c r="G3791" s="7" t="s">
        <v>10436</v>
      </c>
      <c r="H3791" s="7" t="s">
        <v>10438</v>
      </c>
      <c r="I3791" s="9">
        <v>45378</v>
      </c>
    </row>
    <row r="3792" spans="1:9" x14ac:dyDescent="0.15">
      <c r="A3792" s="6">
        <v>3791</v>
      </c>
      <c r="B3792" s="7" t="s">
        <v>7</v>
      </c>
      <c r="C3792" s="8">
        <v>1890</v>
      </c>
      <c r="D3792" s="9">
        <v>45449</v>
      </c>
      <c r="E3792" s="13">
        <f>+HYPERLINK("http://trademark.i-assist.jp/data/china/image_1890th/77568472.pdf",77568472)</f>
        <v>77568472</v>
      </c>
      <c r="F3792" s="7" t="s">
        <v>10439</v>
      </c>
      <c r="G3792" s="7" t="s">
        <v>2024</v>
      </c>
      <c r="H3792" s="7" t="s">
        <v>10440</v>
      </c>
      <c r="I3792" s="9">
        <v>45378</v>
      </c>
    </row>
    <row r="3793" spans="1:9" x14ac:dyDescent="0.15">
      <c r="A3793" s="6">
        <v>3792</v>
      </c>
      <c r="B3793" s="7" t="s">
        <v>7</v>
      </c>
      <c r="C3793" s="8">
        <v>1890</v>
      </c>
      <c r="D3793" s="9">
        <v>45449</v>
      </c>
      <c r="E3793" s="13">
        <f>+HYPERLINK("http://trademark.i-assist.jp/data/china/image_1890th/77568920.pdf",77568920)</f>
        <v>77568920</v>
      </c>
      <c r="F3793" s="7" t="s">
        <v>10442</v>
      </c>
      <c r="G3793" s="7" t="s">
        <v>10441</v>
      </c>
      <c r="H3793" s="7" t="s">
        <v>10443</v>
      </c>
      <c r="I3793" s="9">
        <v>45378</v>
      </c>
    </row>
    <row r="3794" spans="1:9" x14ac:dyDescent="0.15">
      <c r="A3794" s="6">
        <v>3793</v>
      </c>
      <c r="B3794" s="7" t="s">
        <v>7</v>
      </c>
      <c r="C3794" s="8">
        <v>1890</v>
      </c>
      <c r="D3794" s="9">
        <v>45449</v>
      </c>
      <c r="E3794" s="13">
        <f>+HYPERLINK("http://trademark.i-assist.jp/data/china/image_1890th/77568994.pdf",77568994)</f>
        <v>77568994</v>
      </c>
      <c r="F3794" s="7" t="s">
        <v>10445</v>
      </c>
      <c r="G3794" s="7" t="s">
        <v>10444</v>
      </c>
      <c r="H3794" s="7" t="s">
        <v>10446</v>
      </c>
      <c r="I3794" s="9">
        <v>45378</v>
      </c>
    </row>
    <row r="3795" spans="1:9" x14ac:dyDescent="0.15">
      <c r="A3795" s="6">
        <v>3794</v>
      </c>
      <c r="B3795" s="7" t="s">
        <v>7</v>
      </c>
      <c r="C3795" s="8">
        <v>1890</v>
      </c>
      <c r="D3795" s="9">
        <v>45449</v>
      </c>
      <c r="E3795" s="13">
        <f>+HYPERLINK("http://trademark.i-assist.jp/data/china/image_1890th/77569589.pdf",77569589)</f>
        <v>77569589</v>
      </c>
      <c r="F3795" s="7" t="s">
        <v>10448</v>
      </c>
      <c r="G3795" s="7" t="s">
        <v>10447</v>
      </c>
      <c r="H3795" s="7" t="s">
        <v>10449</v>
      </c>
      <c r="I3795" s="9">
        <v>45378</v>
      </c>
    </row>
    <row r="3796" spans="1:9" x14ac:dyDescent="0.15">
      <c r="A3796" s="6">
        <v>3795</v>
      </c>
      <c r="B3796" s="7" t="s">
        <v>7</v>
      </c>
      <c r="C3796" s="8">
        <v>1890</v>
      </c>
      <c r="D3796" s="9">
        <v>45449</v>
      </c>
      <c r="E3796" s="13">
        <f>+HYPERLINK("http://trademark.i-assist.jp/data/china/image_1890th/77569777.pdf",77569777)</f>
        <v>77569777</v>
      </c>
      <c r="F3796" s="7" t="s">
        <v>10451</v>
      </c>
      <c r="G3796" s="7" t="s">
        <v>10450</v>
      </c>
      <c r="H3796" s="7" t="s">
        <v>10452</v>
      </c>
      <c r="I3796" s="9">
        <v>45378</v>
      </c>
    </row>
    <row r="3797" spans="1:9" x14ac:dyDescent="0.15">
      <c r="A3797" s="6">
        <v>3796</v>
      </c>
      <c r="B3797" s="7" t="s">
        <v>7</v>
      </c>
      <c r="C3797" s="8">
        <v>1890</v>
      </c>
      <c r="D3797" s="9">
        <v>45449</v>
      </c>
      <c r="E3797" s="13">
        <f>+HYPERLINK("http://trademark.i-assist.jp/data/china/image_1890th/77569854.pdf",77569854)</f>
        <v>77569854</v>
      </c>
      <c r="F3797" s="7" t="s">
        <v>10454</v>
      </c>
      <c r="G3797" s="7" t="s">
        <v>10453</v>
      </c>
      <c r="H3797" s="7" t="s">
        <v>10455</v>
      </c>
      <c r="I3797" s="9">
        <v>45378</v>
      </c>
    </row>
    <row r="3798" spans="1:9" x14ac:dyDescent="0.15">
      <c r="A3798" s="6">
        <v>3797</v>
      </c>
      <c r="B3798" s="7" t="s">
        <v>7</v>
      </c>
      <c r="C3798" s="8">
        <v>1890</v>
      </c>
      <c r="D3798" s="9">
        <v>45449</v>
      </c>
      <c r="E3798" s="13">
        <f>+HYPERLINK("http://trademark.i-assist.jp/data/china/image_1890th/77569908.pdf",77569908)</f>
        <v>77569908</v>
      </c>
      <c r="F3798" s="7" t="s">
        <v>10457</v>
      </c>
      <c r="G3798" s="7" t="s">
        <v>10456</v>
      </c>
      <c r="H3798" s="7" t="s">
        <v>10458</v>
      </c>
      <c r="I3798" s="9">
        <v>45378</v>
      </c>
    </row>
    <row r="3799" spans="1:9" x14ac:dyDescent="0.15">
      <c r="A3799" s="6">
        <v>3798</v>
      </c>
      <c r="B3799" s="7" t="s">
        <v>7</v>
      </c>
      <c r="C3799" s="8">
        <v>1890</v>
      </c>
      <c r="D3799" s="9">
        <v>45449</v>
      </c>
      <c r="E3799" s="13">
        <f>+HYPERLINK("http://trademark.i-assist.jp/data/china/image_1890th/77569961.pdf",77569961)</f>
        <v>77569961</v>
      </c>
      <c r="F3799" s="7" t="s">
        <v>10459</v>
      </c>
      <c r="G3799" s="7" t="s">
        <v>2013</v>
      </c>
      <c r="H3799" s="7" t="s">
        <v>10460</v>
      </c>
      <c r="I3799" s="9">
        <v>45378</v>
      </c>
    </row>
    <row r="3800" spans="1:9" x14ac:dyDescent="0.15">
      <c r="A3800" s="6">
        <v>3799</v>
      </c>
      <c r="B3800" s="7" t="s">
        <v>7</v>
      </c>
      <c r="C3800" s="8">
        <v>1890</v>
      </c>
      <c r="D3800" s="9">
        <v>45449</v>
      </c>
      <c r="E3800" s="13">
        <f>+HYPERLINK("http://trademark.i-assist.jp/data/china/image_1890th/77570015.pdf",77570015)</f>
        <v>77570015</v>
      </c>
      <c r="F3800" s="7" t="s">
        <v>10462</v>
      </c>
      <c r="G3800" s="7" t="s">
        <v>10461</v>
      </c>
      <c r="H3800" s="7" t="s">
        <v>10463</v>
      </c>
      <c r="I3800" s="9">
        <v>45378</v>
      </c>
    </row>
    <row r="3801" spans="1:9" x14ac:dyDescent="0.15">
      <c r="A3801" s="6">
        <v>3800</v>
      </c>
      <c r="B3801" s="7" t="s">
        <v>7</v>
      </c>
      <c r="C3801" s="8">
        <v>1890</v>
      </c>
      <c r="D3801" s="9">
        <v>45449</v>
      </c>
      <c r="E3801" s="13">
        <f>+HYPERLINK("http://trademark.i-assist.jp/data/china/image_1890th/77575478.pdf",77575478)</f>
        <v>77575478</v>
      </c>
      <c r="F3801" s="7" t="s">
        <v>10465</v>
      </c>
      <c r="G3801" s="7" t="s">
        <v>10464</v>
      </c>
      <c r="H3801" s="7" t="s">
        <v>10466</v>
      </c>
      <c r="I3801" s="9">
        <v>45378</v>
      </c>
    </row>
    <row r="3802" spans="1:9" x14ac:dyDescent="0.15">
      <c r="A3802" s="6">
        <v>3801</v>
      </c>
      <c r="B3802" s="7" t="s">
        <v>7</v>
      </c>
      <c r="C3802" s="8">
        <v>1890</v>
      </c>
      <c r="D3802" s="9">
        <v>45449</v>
      </c>
      <c r="E3802" s="13">
        <f>+HYPERLINK("http://trademark.i-assist.jp/data/china/image_1890th/77575662.pdf",77575662)</f>
        <v>77575662</v>
      </c>
      <c r="F3802" s="7" t="s">
        <v>10468</v>
      </c>
      <c r="G3802" s="7" t="s">
        <v>10467</v>
      </c>
      <c r="H3802" s="7" t="s">
        <v>10469</v>
      </c>
      <c r="I3802" s="9">
        <v>45378</v>
      </c>
    </row>
    <row r="3803" spans="1:9" x14ac:dyDescent="0.15">
      <c r="A3803" s="6">
        <v>3802</v>
      </c>
      <c r="B3803" s="7" t="s">
        <v>7</v>
      </c>
      <c r="C3803" s="8">
        <v>1890</v>
      </c>
      <c r="D3803" s="9">
        <v>45449</v>
      </c>
      <c r="E3803" s="13">
        <f>+HYPERLINK("http://trademark.i-assist.jp/data/china/image_1890th/77575748.pdf",77575748)</f>
        <v>77575748</v>
      </c>
      <c r="F3803" s="7" t="s">
        <v>10470</v>
      </c>
      <c r="G3803" s="7" t="s">
        <v>2013</v>
      </c>
      <c r="H3803" s="7" t="s">
        <v>10471</v>
      </c>
      <c r="I3803" s="9">
        <v>45378</v>
      </c>
    </row>
    <row r="3804" spans="1:9" x14ac:dyDescent="0.15">
      <c r="A3804" s="6">
        <v>3803</v>
      </c>
      <c r="B3804" s="7" t="s">
        <v>7</v>
      </c>
      <c r="C3804" s="8">
        <v>1890</v>
      </c>
      <c r="D3804" s="9">
        <v>45449</v>
      </c>
      <c r="E3804" s="13">
        <f>+HYPERLINK("http://trademark.i-assist.jp/data/china/image_1890th/77575775.pdf",77575775)</f>
        <v>77575775</v>
      </c>
      <c r="F3804" s="7" t="s">
        <v>10472</v>
      </c>
      <c r="G3804" s="7" t="s">
        <v>2013</v>
      </c>
      <c r="H3804" s="7" t="s">
        <v>10473</v>
      </c>
      <c r="I3804" s="9">
        <v>45378</v>
      </c>
    </row>
    <row r="3805" spans="1:9" x14ac:dyDescent="0.15">
      <c r="A3805" s="6">
        <v>3804</v>
      </c>
      <c r="B3805" s="7" t="s">
        <v>7</v>
      </c>
      <c r="C3805" s="8">
        <v>1890</v>
      </c>
      <c r="D3805" s="9">
        <v>45449</v>
      </c>
      <c r="E3805" s="13">
        <f>+HYPERLINK("http://trademark.i-assist.jp/data/china/image_1890th/77575925.pdf",77575925)</f>
        <v>77575925</v>
      </c>
      <c r="F3805" s="7" t="s">
        <v>10475</v>
      </c>
      <c r="G3805" s="7" t="s">
        <v>10474</v>
      </c>
      <c r="H3805" s="7" t="s">
        <v>10476</v>
      </c>
      <c r="I3805" s="9">
        <v>45378</v>
      </c>
    </row>
    <row r="3806" spans="1:9" x14ac:dyDescent="0.15">
      <c r="A3806" s="6">
        <v>3805</v>
      </c>
      <c r="B3806" s="7" t="s">
        <v>7</v>
      </c>
      <c r="C3806" s="8">
        <v>1890</v>
      </c>
      <c r="D3806" s="9">
        <v>45449</v>
      </c>
      <c r="E3806" s="13">
        <f>+HYPERLINK("http://trademark.i-assist.jp/data/china/image_1890th/77576284.pdf",77576284)</f>
        <v>77576284</v>
      </c>
      <c r="F3806" s="7" t="s">
        <v>10478</v>
      </c>
      <c r="G3806" s="7" t="s">
        <v>10477</v>
      </c>
      <c r="H3806" s="7" t="s">
        <v>10479</v>
      </c>
      <c r="I3806" s="9">
        <v>45378</v>
      </c>
    </row>
    <row r="3807" spans="1:9" x14ac:dyDescent="0.15">
      <c r="A3807" s="6">
        <v>3806</v>
      </c>
      <c r="B3807" s="7" t="s">
        <v>7</v>
      </c>
      <c r="C3807" s="8">
        <v>1890</v>
      </c>
      <c r="D3807" s="9">
        <v>45449</v>
      </c>
      <c r="E3807" s="13">
        <f>+HYPERLINK("http://trademark.i-assist.jp/data/china/image_1890th/77576439.pdf",77576439)</f>
        <v>77576439</v>
      </c>
      <c r="F3807" s="7" t="s">
        <v>10480</v>
      </c>
      <c r="G3807" s="7" t="s">
        <v>2236</v>
      </c>
      <c r="H3807" s="7" t="s">
        <v>10481</v>
      </c>
      <c r="I3807" s="9">
        <v>45378</v>
      </c>
    </row>
    <row r="3808" spans="1:9" x14ac:dyDescent="0.15">
      <c r="A3808" s="6">
        <v>3807</v>
      </c>
      <c r="B3808" s="7" t="s">
        <v>7</v>
      </c>
      <c r="C3808" s="8">
        <v>1890</v>
      </c>
      <c r="D3808" s="9">
        <v>45449</v>
      </c>
      <c r="E3808" s="13">
        <f>+HYPERLINK("http://trademark.i-assist.jp/data/china/image_1890th/77577156.pdf",77577156)</f>
        <v>77577156</v>
      </c>
      <c r="F3808" s="7" t="s">
        <v>10482</v>
      </c>
      <c r="G3808" s="7" t="s">
        <v>37</v>
      </c>
      <c r="H3808" s="7" t="s">
        <v>10483</v>
      </c>
      <c r="I3808" s="9">
        <v>45378</v>
      </c>
    </row>
    <row r="3809" spans="1:9" x14ac:dyDescent="0.15">
      <c r="A3809" s="6">
        <v>3808</v>
      </c>
      <c r="B3809" s="7" t="s">
        <v>7</v>
      </c>
      <c r="C3809" s="8">
        <v>1890</v>
      </c>
      <c r="D3809" s="9">
        <v>45449</v>
      </c>
      <c r="E3809" s="13">
        <f>+HYPERLINK("http://trademark.i-assist.jp/data/china/image_1890th/77577196.pdf",77577196)</f>
        <v>77577196</v>
      </c>
      <c r="F3809" s="7" t="s">
        <v>10484</v>
      </c>
      <c r="G3809" s="7" t="s">
        <v>2223</v>
      </c>
      <c r="H3809" s="7" t="s">
        <v>10485</v>
      </c>
      <c r="I3809" s="9">
        <v>45378</v>
      </c>
    </row>
    <row r="3810" spans="1:9" x14ac:dyDescent="0.15">
      <c r="A3810" s="6">
        <v>3809</v>
      </c>
      <c r="B3810" s="7" t="s">
        <v>7</v>
      </c>
      <c r="C3810" s="8">
        <v>1890</v>
      </c>
      <c r="D3810" s="9">
        <v>45449</v>
      </c>
      <c r="E3810" s="13">
        <f>+HYPERLINK("http://trademark.i-assist.jp/data/china/image_1890th/77578205.pdf",77578205)</f>
        <v>77578205</v>
      </c>
      <c r="F3810" s="7" t="s">
        <v>10486</v>
      </c>
      <c r="G3810" s="7" t="s">
        <v>2024</v>
      </c>
      <c r="H3810" s="7" t="s">
        <v>10487</v>
      </c>
      <c r="I3810" s="9">
        <v>45378</v>
      </c>
    </row>
    <row r="3811" spans="1:9" x14ac:dyDescent="0.15">
      <c r="A3811" s="6">
        <v>3810</v>
      </c>
      <c r="B3811" s="7" t="s">
        <v>7</v>
      </c>
      <c r="C3811" s="8">
        <v>1890</v>
      </c>
      <c r="D3811" s="9">
        <v>45449</v>
      </c>
      <c r="E3811" s="13">
        <f>+HYPERLINK("http://trademark.i-assist.jp/data/china/image_1890th/77578250.pdf",77578250)</f>
        <v>77578250</v>
      </c>
      <c r="F3811" s="7" t="s">
        <v>10488</v>
      </c>
      <c r="G3811" s="7" t="s">
        <v>2013</v>
      </c>
      <c r="H3811" s="7" t="s">
        <v>10489</v>
      </c>
      <c r="I3811" s="9">
        <v>45378</v>
      </c>
    </row>
    <row r="3812" spans="1:9" x14ac:dyDescent="0.15">
      <c r="A3812" s="6">
        <v>3811</v>
      </c>
      <c r="B3812" s="7" t="s">
        <v>7</v>
      </c>
      <c r="C3812" s="8">
        <v>1890</v>
      </c>
      <c r="D3812" s="9">
        <v>45449</v>
      </c>
      <c r="E3812" s="13">
        <f>+HYPERLINK("http://trademark.i-assist.jp/data/china/image_1890th/77578284.pdf",77578284)</f>
        <v>77578284</v>
      </c>
      <c r="F3812" s="7" t="s">
        <v>10490</v>
      </c>
      <c r="G3812" s="7" t="s">
        <v>7125</v>
      </c>
      <c r="H3812" s="7" t="s">
        <v>10491</v>
      </c>
      <c r="I3812" s="9">
        <v>45378</v>
      </c>
    </row>
    <row r="3813" spans="1:9" x14ac:dyDescent="0.15">
      <c r="A3813" s="6">
        <v>3812</v>
      </c>
      <c r="B3813" s="7" t="s">
        <v>7</v>
      </c>
      <c r="C3813" s="8">
        <v>1890</v>
      </c>
      <c r="D3813" s="9">
        <v>45449</v>
      </c>
      <c r="E3813" s="13">
        <f>+HYPERLINK("http://trademark.i-assist.jp/data/china/image_1890th/77578636.pdf",77578636)</f>
        <v>77578636</v>
      </c>
      <c r="F3813" s="7" t="s">
        <v>10493</v>
      </c>
      <c r="G3813" s="7" t="s">
        <v>10492</v>
      </c>
      <c r="H3813" s="7" t="s">
        <v>10494</v>
      </c>
      <c r="I3813" s="9">
        <v>45378</v>
      </c>
    </row>
    <row r="3814" spans="1:9" x14ac:dyDescent="0.15">
      <c r="A3814" s="6">
        <v>3813</v>
      </c>
      <c r="B3814" s="7" t="s">
        <v>7</v>
      </c>
      <c r="C3814" s="8">
        <v>1890</v>
      </c>
      <c r="D3814" s="9">
        <v>45449</v>
      </c>
      <c r="E3814" s="13">
        <f>+HYPERLINK("http://trademark.i-assist.jp/data/china/image_1890th/77578659.pdf",77578659)</f>
        <v>77578659</v>
      </c>
      <c r="F3814" s="7" t="s">
        <v>10495</v>
      </c>
      <c r="G3814" s="7" t="s">
        <v>22</v>
      </c>
      <c r="H3814" s="7" t="s">
        <v>10496</v>
      </c>
      <c r="I3814" s="9">
        <v>45378</v>
      </c>
    </row>
    <row r="3815" spans="1:9" x14ac:dyDescent="0.15">
      <c r="A3815" s="6">
        <v>3814</v>
      </c>
      <c r="B3815" s="7" t="s">
        <v>7</v>
      </c>
      <c r="C3815" s="8">
        <v>1890</v>
      </c>
      <c r="D3815" s="9">
        <v>45449</v>
      </c>
      <c r="E3815" s="13">
        <f>+HYPERLINK("http://trademark.i-assist.jp/data/china/image_1890th/77579148.pdf",77579148)</f>
        <v>77579148</v>
      </c>
      <c r="F3815" s="7" t="s">
        <v>10497</v>
      </c>
      <c r="G3815" s="7" t="s">
        <v>5900</v>
      </c>
      <c r="H3815" s="7" t="s">
        <v>10498</v>
      </c>
      <c r="I3815" s="9">
        <v>45378</v>
      </c>
    </row>
    <row r="3816" spans="1:9" x14ac:dyDescent="0.15">
      <c r="A3816" s="6">
        <v>3815</v>
      </c>
      <c r="B3816" s="7" t="s">
        <v>7</v>
      </c>
      <c r="C3816" s="8">
        <v>1890</v>
      </c>
      <c r="D3816" s="9">
        <v>45449</v>
      </c>
      <c r="E3816" s="13">
        <f>+HYPERLINK("http://trademark.i-assist.jp/data/china/image_1890th/77518477.pdf",77518477)</f>
        <v>77518477</v>
      </c>
      <c r="F3816" s="7" t="s">
        <v>10499</v>
      </c>
      <c r="G3816" s="7" t="s">
        <v>10225</v>
      </c>
      <c r="H3816" s="7" t="s">
        <v>10500</v>
      </c>
      <c r="I3816" s="9">
        <v>45376</v>
      </c>
    </row>
    <row r="3817" spans="1:9" x14ac:dyDescent="0.15">
      <c r="A3817" s="6">
        <v>3816</v>
      </c>
      <c r="B3817" s="7" t="s">
        <v>7</v>
      </c>
      <c r="C3817" s="8">
        <v>1890</v>
      </c>
      <c r="D3817" s="9">
        <v>45449</v>
      </c>
      <c r="E3817" s="13">
        <f>+HYPERLINK("http://trademark.i-assist.jp/data/china/image_1890th/77518704.pdf",77518704)</f>
        <v>77518704</v>
      </c>
      <c r="F3817" s="7" t="s">
        <v>10502</v>
      </c>
      <c r="G3817" s="7" t="s">
        <v>10501</v>
      </c>
      <c r="H3817" s="7" t="s">
        <v>10503</v>
      </c>
      <c r="I3817" s="9">
        <v>45376</v>
      </c>
    </row>
    <row r="3818" spans="1:9" x14ac:dyDescent="0.15">
      <c r="A3818" s="6">
        <v>3817</v>
      </c>
      <c r="B3818" s="7" t="s">
        <v>7</v>
      </c>
      <c r="C3818" s="8">
        <v>1890</v>
      </c>
      <c r="D3818" s="9">
        <v>45449</v>
      </c>
      <c r="E3818" s="13">
        <f>+HYPERLINK("http://trademark.i-assist.jp/data/china/image_1890th/77519119.pdf",77519119)</f>
        <v>77519119</v>
      </c>
      <c r="F3818" s="7" t="s">
        <v>10505</v>
      </c>
      <c r="G3818" s="7" t="s">
        <v>10504</v>
      </c>
      <c r="H3818" s="7" t="s">
        <v>10506</v>
      </c>
      <c r="I3818" s="9">
        <v>45376</v>
      </c>
    </row>
    <row r="3819" spans="1:9" x14ac:dyDescent="0.15">
      <c r="A3819" s="6">
        <v>3818</v>
      </c>
      <c r="B3819" s="7" t="s">
        <v>7</v>
      </c>
      <c r="C3819" s="8">
        <v>1890</v>
      </c>
      <c r="D3819" s="9">
        <v>45449</v>
      </c>
      <c r="E3819" s="13">
        <f>+HYPERLINK("http://trademark.i-assist.jp/data/china/image_1890th/77519414.pdf",77519414)</f>
        <v>77519414</v>
      </c>
      <c r="F3819" s="7" t="s">
        <v>10508</v>
      </c>
      <c r="G3819" s="7" t="s">
        <v>10507</v>
      </c>
      <c r="H3819" s="7" t="s">
        <v>10509</v>
      </c>
      <c r="I3819" s="9">
        <v>45376</v>
      </c>
    </row>
    <row r="3820" spans="1:9" x14ac:dyDescent="0.15">
      <c r="A3820" s="6">
        <v>3819</v>
      </c>
      <c r="B3820" s="7" t="s">
        <v>7</v>
      </c>
      <c r="C3820" s="8">
        <v>1890</v>
      </c>
      <c r="D3820" s="9">
        <v>45449</v>
      </c>
      <c r="E3820" s="13">
        <f>+HYPERLINK("http://trademark.i-assist.jp/data/china/image_1890th/77519998.pdf",77519998)</f>
        <v>77519998</v>
      </c>
      <c r="F3820" s="7" t="s">
        <v>10510</v>
      </c>
      <c r="G3820" s="7" t="s">
        <v>1550</v>
      </c>
      <c r="H3820" s="7" t="s">
        <v>10511</v>
      </c>
      <c r="I3820" s="9">
        <v>45376</v>
      </c>
    </row>
    <row r="3821" spans="1:9" x14ac:dyDescent="0.15">
      <c r="A3821" s="6">
        <v>3820</v>
      </c>
      <c r="B3821" s="7" t="s">
        <v>7</v>
      </c>
      <c r="C3821" s="8">
        <v>1890</v>
      </c>
      <c r="D3821" s="9">
        <v>45449</v>
      </c>
      <c r="E3821" s="13">
        <f>+HYPERLINK("http://trademark.i-assist.jp/data/china/image_1890th/77520018.pdf",77520018)</f>
        <v>77520018</v>
      </c>
      <c r="F3821" s="7" t="s">
        <v>10512</v>
      </c>
      <c r="G3821" s="7" t="s">
        <v>1550</v>
      </c>
      <c r="H3821" s="7" t="s">
        <v>10513</v>
      </c>
      <c r="I3821" s="9">
        <v>45376</v>
      </c>
    </row>
    <row r="3822" spans="1:9" ht="27" x14ac:dyDescent="0.15">
      <c r="A3822" s="6">
        <v>3821</v>
      </c>
      <c r="B3822" s="7" t="s">
        <v>7</v>
      </c>
      <c r="C3822" s="8">
        <v>1890</v>
      </c>
      <c r="D3822" s="9">
        <v>45449</v>
      </c>
      <c r="E3822" s="13">
        <f>+HYPERLINK("http://trademark.i-assist.jp/data/china/image_1890th/77520775.pdf",77520775)</f>
        <v>77520775</v>
      </c>
      <c r="F3822" s="7" t="s">
        <v>10515</v>
      </c>
      <c r="G3822" s="7" t="s">
        <v>10514</v>
      </c>
      <c r="H3822" s="7" t="s">
        <v>10516</v>
      </c>
      <c r="I3822" s="9">
        <v>45376</v>
      </c>
    </row>
    <row r="3823" spans="1:9" ht="27" x14ac:dyDescent="0.15">
      <c r="A3823" s="6">
        <v>3822</v>
      </c>
      <c r="B3823" s="7" t="s">
        <v>7</v>
      </c>
      <c r="C3823" s="8">
        <v>1890</v>
      </c>
      <c r="D3823" s="9">
        <v>45449</v>
      </c>
      <c r="E3823" s="13">
        <f>+HYPERLINK("http://trademark.i-assist.jp/data/china/image_1890th/77520870.pdf",77520870)</f>
        <v>77520870</v>
      </c>
      <c r="F3823" s="7" t="s">
        <v>10517</v>
      </c>
      <c r="G3823" s="7" t="s">
        <v>10151</v>
      </c>
      <c r="H3823" s="7" t="s">
        <v>10518</v>
      </c>
      <c r="I3823" s="9">
        <v>45376</v>
      </c>
    </row>
    <row r="3824" spans="1:9" x14ac:dyDescent="0.15">
      <c r="A3824" s="6">
        <v>3823</v>
      </c>
      <c r="B3824" s="7" t="s">
        <v>7</v>
      </c>
      <c r="C3824" s="8">
        <v>1890</v>
      </c>
      <c r="D3824" s="9">
        <v>45449</v>
      </c>
      <c r="E3824" s="13">
        <f>+HYPERLINK("http://trademark.i-assist.jp/data/china/image_1890th/77520877.pdf",77520877)</f>
        <v>77520877</v>
      </c>
      <c r="F3824" s="7" t="s">
        <v>10520</v>
      </c>
      <c r="G3824" s="7" t="s">
        <v>10519</v>
      </c>
      <c r="H3824" s="7" t="s">
        <v>10521</v>
      </c>
      <c r="I3824" s="9">
        <v>45376</v>
      </c>
    </row>
    <row r="3825" spans="1:9" x14ac:dyDescent="0.15">
      <c r="A3825" s="6">
        <v>3824</v>
      </c>
      <c r="B3825" s="7" t="s">
        <v>7</v>
      </c>
      <c r="C3825" s="8">
        <v>1890</v>
      </c>
      <c r="D3825" s="9">
        <v>45449</v>
      </c>
      <c r="E3825" s="13">
        <f>+HYPERLINK("http://trademark.i-assist.jp/data/china/image_1890th/77521374.pdf",77521374)</f>
        <v>77521374</v>
      </c>
      <c r="F3825" s="7" t="s">
        <v>10523</v>
      </c>
      <c r="G3825" s="7" t="s">
        <v>10522</v>
      </c>
      <c r="H3825" s="7" t="s">
        <v>10524</v>
      </c>
      <c r="I3825" s="9">
        <v>45376</v>
      </c>
    </row>
    <row r="3826" spans="1:9" x14ac:dyDescent="0.15">
      <c r="A3826" s="6">
        <v>3825</v>
      </c>
      <c r="B3826" s="7" t="s">
        <v>7</v>
      </c>
      <c r="C3826" s="8">
        <v>1890</v>
      </c>
      <c r="D3826" s="9">
        <v>45449</v>
      </c>
      <c r="E3826" s="13">
        <f>+HYPERLINK("http://trademark.i-assist.jp/data/china/image_1890th/77521797.pdf",77521797)</f>
        <v>77521797</v>
      </c>
      <c r="F3826" s="7" t="s">
        <v>10526</v>
      </c>
      <c r="G3826" s="7" t="s">
        <v>10525</v>
      </c>
      <c r="H3826" s="7" t="s">
        <v>10527</v>
      </c>
      <c r="I3826" s="9">
        <v>45376</v>
      </c>
    </row>
    <row r="3827" spans="1:9" x14ac:dyDescent="0.15">
      <c r="A3827" s="6">
        <v>3826</v>
      </c>
      <c r="B3827" s="7" t="s">
        <v>7</v>
      </c>
      <c r="C3827" s="8">
        <v>1890</v>
      </c>
      <c r="D3827" s="9">
        <v>45449</v>
      </c>
      <c r="E3827" s="13">
        <f>+HYPERLINK("http://trademark.i-assist.jp/data/china/image_1890th/77522014.pdf",77522014)</f>
        <v>77522014</v>
      </c>
      <c r="F3827" s="7" t="s">
        <v>10529</v>
      </c>
      <c r="G3827" s="7" t="s">
        <v>10528</v>
      </c>
      <c r="H3827" s="7" t="s">
        <v>10530</v>
      </c>
      <c r="I3827" s="9">
        <v>45376</v>
      </c>
    </row>
    <row r="3828" spans="1:9" x14ac:dyDescent="0.15">
      <c r="A3828" s="6">
        <v>3827</v>
      </c>
      <c r="B3828" s="7" t="s">
        <v>7</v>
      </c>
      <c r="C3828" s="8">
        <v>1890</v>
      </c>
      <c r="D3828" s="9">
        <v>45449</v>
      </c>
      <c r="E3828" s="13">
        <f>+HYPERLINK("http://trademark.i-assist.jp/data/china/image_1890th/77522127.pdf",77522127)</f>
        <v>77522127</v>
      </c>
      <c r="F3828" s="7" t="s">
        <v>10532</v>
      </c>
      <c r="G3828" s="7" t="s">
        <v>10531</v>
      </c>
      <c r="H3828" s="7" t="s">
        <v>10533</v>
      </c>
      <c r="I3828" s="9">
        <v>45376</v>
      </c>
    </row>
    <row r="3829" spans="1:9" x14ac:dyDescent="0.15">
      <c r="A3829" s="6">
        <v>3828</v>
      </c>
      <c r="B3829" s="7" t="s">
        <v>7</v>
      </c>
      <c r="C3829" s="8">
        <v>1890</v>
      </c>
      <c r="D3829" s="9">
        <v>45449</v>
      </c>
      <c r="E3829" s="13">
        <f>+HYPERLINK("http://trademark.i-assist.jp/data/china/image_1890th/77522187.pdf",77522187)</f>
        <v>77522187</v>
      </c>
      <c r="F3829" s="7" t="s">
        <v>10535</v>
      </c>
      <c r="G3829" s="7" t="s">
        <v>10534</v>
      </c>
      <c r="H3829" s="7" t="s">
        <v>10536</v>
      </c>
      <c r="I3829" s="9">
        <v>45376</v>
      </c>
    </row>
    <row r="3830" spans="1:9" x14ac:dyDescent="0.15">
      <c r="A3830" s="6">
        <v>3829</v>
      </c>
      <c r="B3830" s="7" t="s">
        <v>7</v>
      </c>
      <c r="C3830" s="8">
        <v>1890</v>
      </c>
      <c r="D3830" s="9">
        <v>45449</v>
      </c>
      <c r="E3830" s="13">
        <f>+HYPERLINK("http://trademark.i-assist.jp/data/china/image_1890th/77522235.pdf",77522235)</f>
        <v>77522235</v>
      </c>
      <c r="F3830" s="7" t="s">
        <v>10538</v>
      </c>
      <c r="G3830" s="7" t="s">
        <v>10537</v>
      </c>
      <c r="H3830" s="7" t="s">
        <v>10539</v>
      </c>
      <c r="I3830" s="9">
        <v>45376</v>
      </c>
    </row>
    <row r="3831" spans="1:9" ht="27" x14ac:dyDescent="0.15">
      <c r="A3831" s="6">
        <v>3830</v>
      </c>
      <c r="B3831" s="7" t="s">
        <v>7</v>
      </c>
      <c r="C3831" s="8">
        <v>1890</v>
      </c>
      <c r="D3831" s="9">
        <v>45449</v>
      </c>
      <c r="E3831" s="13">
        <f>+HYPERLINK("http://trademark.i-assist.jp/data/china/image_1890th/77522556.pdf",77522556)</f>
        <v>77522556</v>
      </c>
      <c r="F3831" s="7" t="s">
        <v>10541</v>
      </c>
      <c r="G3831" s="7" t="s">
        <v>10540</v>
      </c>
      <c r="H3831" s="7" t="s">
        <v>10542</v>
      </c>
      <c r="I3831" s="9">
        <v>45376</v>
      </c>
    </row>
    <row r="3832" spans="1:9" ht="27" x14ac:dyDescent="0.15">
      <c r="A3832" s="6">
        <v>3831</v>
      </c>
      <c r="B3832" s="7" t="s">
        <v>7</v>
      </c>
      <c r="C3832" s="8">
        <v>1890</v>
      </c>
      <c r="D3832" s="9">
        <v>45449</v>
      </c>
      <c r="E3832" s="13">
        <f>+HYPERLINK("http://trademark.i-assist.jp/data/china/image_1890th/77522693.pdf",77522693)</f>
        <v>77522693</v>
      </c>
      <c r="F3832" s="7" t="s">
        <v>10543</v>
      </c>
      <c r="G3832" s="7" t="s">
        <v>1565</v>
      </c>
      <c r="H3832" s="7" t="s">
        <v>10544</v>
      </c>
      <c r="I3832" s="9">
        <v>45376</v>
      </c>
    </row>
    <row r="3833" spans="1:9" x14ac:dyDescent="0.15">
      <c r="A3833" s="6">
        <v>3832</v>
      </c>
      <c r="B3833" s="7" t="s">
        <v>7</v>
      </c>
      <c r="C3833" s="8">
        <v>1890</v>
      </c>
      <c r="D3833" s="9">
        <v>45449</v>
      </c>
      <c r="E3833" s="13">
        <f>+HYPERLINK("http://trademark.i-assist.jp/data/china/image_1890th/77522751.pdf",77522751)</f>
        <v>77522751</v>
      </c>
      <c r="F3833" s="7" t="s">
        <v>10546</v>
      </c>
      <c r="G3833" s="7" t="s">
        <v>10545</v>
      </c>
      <c r="H3833" s="7" t="s">
        <v>10547</v>
      </c>
      <c r="I3833" s="9">
        <v>45376</v>
      </c>
    </row>
    <row r="3834" spans="1:9" x14ac:dyDescent="0.15">
      <c r="A3834" s="6">
        <v>3833</v>
      </c>
      <c r="B3834" s="7" t="s">
        <v>7</v>
      </c>
      <c r="C3834" s="8">
        <v>1890</v>
      </c>
      <c r="D3834" s="9">
        <v>45449</v>
      </c>
      <c r="E3834" s="13">
        <f>+HYPERLINK("http://trademark.i-assist.jp/data/china/image_1890th/77522983.pdf",77522983)</f>
        <v>77522983</v>
      </c>
      <c r="F3834" s="7" t="s">
        <v>10549</v>
      </c>
      <c r="G3834" s="7" t="s">
        <v>10548</v>
      </c>
      <c r="H3834" s="7" t="s">
        <v>10550</v>
      </c>
      <c r="I3834" s="9">
        <v>45376</v>
      </c>
    </row>
    <row r="3835" spans="1:9" x14ac:dyDescent="0.15">
      <c r="A3835" s="6">
        <v>3834</v>
      </c>
      <c r="B3835" s="7" t="s">
        <v>7</v>
      </c>
      <c r="C3835" s="8">
        <v>1890</v>
      </c>
      <c r="D3835" s="9">
        <v>45449</v>
      </c>
      <c r="E3835" s="13">
        <f>+HYPERLINK("http://trademark.i-assist.jp/data/china/image_1890th/77523130.pdf",77523130)</f>
        <v>77523130</v>
      </c>
      <c r="F3835" s="7" t="s">
        <v>10552</v>
      </c>
      <c r="G3835" s="7" t="s">
        <v>10551</v>
      </c>
      <c r="H3835" s="7" t="s">
        <v>10553</v>
      </c>
      <c r="I3835" s="9">
        <v>45376</v>
      </c>
    </row>
    <row r="3836" spans="1:9" ht="27" x14ac:dyDescent="0.15">
      <c r="A3836" s="6">
        <v>3835</v>
      </c>
      <c r="B3836" s="7" t="s">
        <v>7</v>
      </c>
      <c r="C3836" s="8">
        <v>1890</v>
      </c>
      <c r="D3836" s="9">
        <v>45449</v>
      </c>
      <c r="E3836" s="13">
        <f>+HYPERLINK("http://trademark.i-assist.jp/data/china/image_1890th/77523407.pdf",77523407)</f>
        <v>77523407</v>
      </c>
      <c r="F3836" s="7" t="s">
        <v>10554</v>
      </c>
      <c r="G3836" s="7" t="s">
        <v>1547</v>
      </c>
      <c r="H3836" s="7" t="s">
        <v>10555</v>
      </c>
      <c r="I3836" s="9">
        <v>45376</v>
      </c>
    </row>
    <row r="3837" spans="1:9" x14ac:dyDescent="0.15">
      <c r="A3837" s="6">
        <v>3836</v>
      </c>
      <c r="B3837" s="7" t="s">
        <v>7</v>
      </c>
      <c r="C3837" s="8">
        <v>1890</v>
      </c>
      <c r="D3837" s="9">
        <v>45449</v>
      </c>
      <c r="E3837" s="13">
        <f>+HYPERLINK("http://trademark.i-assist.jp/data/china/image_1890th/77523477.pdf",77523477)</f>
        <v>77523477</v>
      </c>
      <c r="F3837" s="7" t="s">
        <v>1991</v>
      </c>
      <c r="G3837" s="7" t="s">
        <v>1990</v>
      </c>
      <c r="H3837" s="7" t="s">
        <v>10556</v>
      </c>
      <c r="I3837" s="9">
        <v>45376</v>
      </c>
    </row>
    <row r="3838" spans="1:9" x14ac:dyDescent="0.15">
      <c r="A3838" s="6">
        <v>3837</v>
      </c>
      <c r="B3838" s="7" t="s">
        <v>7</v>
      </c>
      <c r="C3838" s="8">
        <v>1890</v>
      </c>
      <c r="D3838" s="9">
        <v>45449</v>
      </c>
      <c r="E3838" s="13">
        <f>+HYPERLINK("http://trademark.i-assist.jp/data/china/image_1890th/77523668.pdf",77523668)</f>
        <v>77523668</v>
      </c>
      <c r="F3838" s="7" t="s">
        <v>10557</v>
      </c>
      <c r="G3838" s="7" t="s">
        <v>5711</v>
      </c>
      <c r="H3838" s="7" t="s">
        <v>10558</v>
      </c>
      <c r="I3838" s="9">
        <v>45376</v>
      </c>
    </row>
    <row r="3839" spans="1:9" x14ac:dyDescent="0.15">
      <c r="A3839" s="6">
        <v>3838</v>
      </c>
      <c r="B3839" s="7" t="s">
        <v>7</v>
      </c>
      <c r="C3839" s="8">
        <v>1890</v>
      </c>
      <c r="D3839" s="9">
        <v>45449</v>
      </c>
      <c r="E3839" s="13">
        <f>+HYPERLINK("http://trademark.i-assist.jp/data/china/image_1890th/77523675.pdf",77523675)</f>
        <v>77523675</v>
      </c>
      <c r="F3839" s="7" t="s">
        <v>10560</v>
      </c>
      <c r="G3839" s="7" t="s">
        <v>10559</v>
      </c>
      <c r="H3839" s="7" t="s">
        <v>10561</v>
      </c>
      <c r="I3839" s="9">
        <v>45376</v>
      </c>
    </row>
    <row r="3840" spans="1:9" x14ac:dyDescent="0.15">
      <c r="A3840" s="6">
        <v>3839</v>
      </c>
      <c r="B3840" s="7" t="s">
        <v>7</v>
      </c>
      <c r="C3840" s="8">
        <v>1890</v>
      </c>
      <c r="D3840" s="9">
        <v>45449</v>
      </c>
      <c r="E3840" s="13">
        <f>+HYPERLINK("http://trademark.i-assist.jp/data/china/image_1890th/77523677.pdf",77523677)</f>
        <v>77523677</v>
      </c>
      <c r="F3840" s="7" t="s">
        <v>10562</v>
      </c>
      <c r="G3840" s="7" t="s">
        <v>10369</v>
      </c>
      <c r="H3840" s="7" t="s">
        <v>10563</v>
      </c>
      <c r="I3840" s="9">
        <v>45376</v>
      </c>
    </row>
    <row r="3841" spans="1:9" x14ac:dyDescent="0.15">
      <c r="A3841" s="6">
        <v>3840</v>
      </c>
      <c r="B3841" s="7" t="s">
        <v>7</v>
      </c>
      <c r="C3841" s="8">
        <v>1890</v>
      </c>
      <c r="D3841" s="9">
        <v>45449</v>
      </c>
      <c r="E3841" s="13">
        <f>+HYPERLINK("http://trademark.i-assist.jp/data/china/image_1890th/77523852.pdf",77523852)</f>
        <v>77523852</v>
      </c>
      <c r="F3841" s="7" t="s">
        <v>10565</v>
      </c>
      <c r="G3841" s="7" t="s">
        <v>10564</v>
      </c>
      <c r="H3841" s="7" t="s">
        <v>10566</v>
      </c>
      <c r="I3841" s="9">
        <v>45376</v>
      </c>
    </row>
    <row r="3842" spans="1:9" x14ac:dyDescent="0.15">
      <c r="A3842" s="6">
        <v>3841</v>
      </c>
      <c r="B3842" s="7" t="s">
        <v>7</v>
      </c>
      <c r="C3842" s="8">
        <v>1890</v>
      </c>
      <c r="D3842" s="9">
        <v>45449</v>
      </c>
      <c r="E3842" s="13">
        <f>+HYPERLINK("http://trademark.i-assist.jp/data/china/image_1890th/77523923.pdf",77523923)</f>
        <v>77523923</v>
      </c>
      <c r="F3842" s="7" t="s">
        <v>10568</v>
      </c>
      <c r="G3842" s="7" t="s">
        <v>10567</v>
      </c>
      <c r="H3842" s="7" t="s">
        <v>10569</v>
      </c>
      <c r="I3842" s="9">
        <v>45376</v>
      </c>
    </row>
    <row r="3843" spans="1:9" x14ac:dyDescent="0.15">
      <c r="A3843" s="6">
        <v>3842</v>
      </c>
      <c r="B3843" s="7" t="s">
        <v>7</v>
      </c>
      <c r="C3843" s="8">
        <v>1890</v>
      </c>
      <c r="D3843" s="9">
        <v>45449</v>
      </c>
      <c r="E3843" s="13">
        <f>+HYPERLINK("http://trademark.i-assist.jp/data/china/image_1890th/77524006.pdf",77524006)</f>
        <v>77524006</v>
      </c>
      <c r="F3843" s="7" t="s">
        <v>10570</v>
      </c>
      <c r="G3843" s="7" t="s">
        <v>7119</v>
      </c>
      <c r="H3843" s="7" t="s">
        <v>10571</v>
      </c>
      <c r="I3843" s="9">
        <v>45376</v>
      </c>
    </row>
    <row r="3844" spans="1:9" x14ac:dyDescent="0.15">
      <c r="A3844" s="6">
        <v>3843</v>
      </c>
      <c r="B3844" s="7" t="s">
        <v>7</v>
      </c>
      <c r="C3844" s="8">
        <v>1890</v>
      </c>
      <c r="D3844" s="9">
        <v>45449</v>
      </c>
      <c r="E3844" s="13">
        <f>+HYPERLINK("http://trademark.i-assist.jp/data/china/image_1890th/77524247.pdf",77524247)</f>
        <v>77524247</v>
      </c>
      <c r="F3844" s="7" t="s">
        <v>8465</v>
      </c>
      <c r="G3844" s="7" t="s">
        <v>8464</v>
      </c>
      <c r="H3844" s="7" t="s">
        <v>10572</v>
      </c>
      <c r="I3844" s="9">
        <v>45376</v>
      </c>
    </row>
    <row r="3845" spans="1:9" ht="27" x14ac:dyDescent="0.15">
      <c r="A3845" s="6">
        <v>3844</v>
      </c>
      <c r="B3845" s="7" t="s">
        <v>7</v>
      </c>
      <c r="C3845" s="8">
        <v>1890</v>
      </c>
      <c r="D3845" s="9">
        <v>45449</v>
      </c>
      <c r="E3845" s="13">
        <f>+HYPERLINK("http://trademark.i-assist.jp/data/china/image_1890th/77524545.pdf",77524545)</f>
        <v>77524545</v>
      </c>
      <c r="F3845" s="7" t="s">
        <v>10574</v>
      </c>
      <c r="G3845" s="7" t="s">
        <v>10573</v>
      </c>
      <c r="H3845" s="7" t="s">
        <v>10575</v>
      </c>
      <c r="I3845" s="9">
        <v>45376</v>
      </c>
    </row>
    <row r="3846" spans="1:9" x14ac:dyDescent="0.15">
      <c r="A3846" s="6">
        <v>3845</v>
      </c>
      <c r="B3846" s="7" t="s">
        <v>7</v>
      </c>
      <c r="C3846" s="8">
        <v>1890</v>
      </c>
      <c r="D3846" s="9">
        <v>45449</v>
      </c>
      <c r="E3846" s="13">
        <f>+HYPERLINK("http://trademark.i-assist.jp/data/china/image_1890th/77525109.pdf",77525109)</f>
        <v>77525109</v>
      </c>
      <c r="F3846" s="7" t="s">
        <v>10576</v>
      </c>
      <c r="G3846" s="7" t="s">
        <v>1553</v>
      </c>
      <c r="H3846" s="7" t="s">
        <v>10577</v>
      </c>
      <c r="I3846" s="9">
        <v>45376</v>
      </c>
    </row>
    <row r="3847" spans="1:9" x14ac:dyDescent="0.15">
      <c r="A3847" s="6">
        <v>3846</v>
      </c>
      <c r="B3847" s="7" t="s">
        <v>7</v>
      </c>
      <c r="C3847" s="8">
        <v>1890</v>
      </c>
      <c r="D3847" s="9">
        <v>45449</v>
      </c>
      <c r="E3847" s="13">
        <f>+HYPERLINK("http://trademark.i-assist.jp/data/china/image_1890th/77525373.pdf",77525373)</f>
        <v>77525373</v>
      </c>
      <c r="F3847" s="7" t="s">
        <v>10578</v>
      </c>
      <c r="G3847" s="7" t="s">
        <v>10168</v>
      </c>
      <c r="H3847" s="7" t="s">
        <v>10579</v>
      </c>
      <c r="I3847" s="9">
        <v>45376</v>
      </c>
    </row>
    <row r="3848" spans="1:9" x14ac:dyDescent="0.15">
      <c r="A3848" s="6">
        <v>3847</v>
      </c>
      <c r="B3848" s="7" t="s">
        <v>7</v>
      </c>
      <c r="C3848" s="8">
        <v>1890</v>
      </c>
      <c r="D3848" s="9">
        <v>45449</v>
      </c>
      <c r="E3848" s="13">
        <f>+HYPERLINK("http://trademark.i-assist.jp/data/china/image_1890th/77525429.pdf",77525429)</f>
        <v>77525429</v>
      </c>
      <c r="F3848" s="7" t="s">
        <v>10581</v>
      </c>
      <c r="G3848" s="7" t="s">
        <v>10580</v>
      </c>
      <c r="H3848" s="7" t="s">
        <v>10582</v>
      </c>
      <c r="I3848" s="9">
        <v>45376</v>
      </c>
    </row>
    <row r="3849" spans="1:9" x14ac:dyDescent="0.15">
      <c r="A3849" s="6">
        <v>3848</v>
      </c>
      <c r="B3849" s="7" t="s">
        <v>7</v>
      </c>
      <c r="C3849" s="8">
        <v>1890</v>
      </c>
      <c r="D3849" s="9">
        <v>45449</v>
      </c>
      <c r="E3849" s="13">
        <f>+HYPERLINK("http://trademark.i-assist.jp/data/china/image_1890th/77526061.pdf",77526061)</f>
        <v>77526061</v>
      </c>
      <c r="F3849" s="7" t="s">
        <v>10583</v>
      </c>
      <c r="G3849" s="7" t="s">
        <v>1376</v>
      </c>
      <c r="H3849" s="7" t="s">
        <v>10584</v>
      </c>
      <c r="I3849" s="9">
        <v>45376</v>
      </c>
    </row>
    <row r="3850" spans="1:9" x14ac:dyDescent="0.15">
      <c r="A3850" s="6">
        <v>3849</v>
      </c>
      <c r="B3850" s="7" t="s">
        <v>7</v>
      </c>
      <c r="C3850" s="8">
        <v>1890</v>
      </c>
      <c r="D3850" s="9">
        <v>45449</v>
      </c>
      <c r="E3850" s="13">
        <f>+HYPERLINK("http://trademark.i-assist.jp/data/china/image_1890th/77526067.pdf",77526067)</f>
        <v>77526067</v>
      </c>
      <c r="F3850" s="7" t="s">
        <v>10585</v>
      </c>
      <c r="G3850" s="7" t="s">
        <v>1376</v>
      </c>
      <c r="H3850" s="7" t="s">
        <v>10586</v>
      </c>
      <c r="I3850" s="9">
        <v>45376</v>
      </c>
    </row>
    <row r="3851" spans="1:9" ht="27" x14ac:dyDescent="0.15">
      <c r="A3851" s="6">
        <v>3850</v>
      </c>
      <c r="B3851" s="7" t="s">
        <v>7</v>
      </c>
      <c r="C3851" s="8">
        <v>1890</v>
      </c>
      <c r="D3851" s="9">
        <v>45449</v>
      </c>
      <c r="E3851" s="13">
        <f>+HYPERLINK("http://trademark.i-assist.jp/data/china/image_1890th/77526279.pdf",77526279)</f>
        <v>77526279</v>
      </c>
      <c r="F3851" s="7" t="s">
        <v>10587</v>
      </c>
      <c r="G3851" s="7" t="s">
        <v>1565</v>
      </c>
      <c r="H3851" s="7" t="s">
        <v>10588</v>
      </c>
      <c r="I3851" s="9">
        <v>45376</v>
      </c>
    </row>
    <row r="3852" spans="1:9" x14ac:dyDescent="0.15">
      <c r="A3852" s="6">
        <v>3851</v>
      </c>
      <c r="B3852" s="7" t="s">
        <v>7</v>
      </c>
      <c r="C3852" s="8">
        <v>1890</v>
      </c>
      <c r="D3852" s="9">
        <v>45449</v>
      </c>
      <c r="E3852" s="13">
        <f>+HYPERLINK("http://trademark.i-assist.jp/data/china/image_1890th/77526296.pdf",77526296)</f>
        <v>77526296</v>
      </c>
      <c r="F3852" s="7" t="s">
        <v>10590</v>
      </c>
      <c r="G3852" s="7" t="s">
        <v>10589</v>
      </c>
      <c r="H3852" s="7" t="s">
        <v>10591</v>
      </c>
      <c r="I3852" s="9">
        <v>45376</v>
      </c>
    </row>
    <row r="3853" spans="1:9" x14ac:dyDescent="0.15">
      <c r="A3853" s="6">
        <v>3852</v>
      </c>
      <c r="B3853" s="7" t="s">
        <v>7</v>
      </c>
      <c r="C3853" s="8">
        <v>1890</v>
      </c>
      <c r="D3853" s="9">
        <v>45449</v>
      </c>
      <c r="E3853" s="13">
        <f>+HYPERLINK("http://trademark.i-assist.jp/data/china/image_1890th/77526495.pdf",77526495)</f>
        <v>77526495</v>
      </c>
      <c r="F3853" s="7" t="s">
        <v>10593</v>
      </c>
      <c r="G3853" s="7" t="s">
        <v>10592</v>
      </c>
      <c r="H3853" s="7" t="s">
        <v>10594</v>
      </c>
      <c r="I3853" s="9">
        <v>45376</v>
      </c>
    </row>
    <row r="3854" spans="1:9" x14ac:dyDescent="0.15">
      <c r="A3854" s="6">
        <v>3853</v>
      </c>
      <c r="B3854" s="7" t="s">
        <v>7</v>
      </c>
      <c r="C3854" s="8">
        <v>1890</v>
      </c>
      <c r="D3854" s="9">
        <v>45449</v>
      </c>
      <c r="E3854" s="13">
        <f>+HYPERLINK("http://trademark.i-assist.jp/data/china/image_1890th/77526682.pdf",77526682)</f>
        <v>77526682</v>
      </c>
      <c r="F3854" s="7" t="s">
        <v>10596</v>
      </c>
      <c r="G3854" s="7" t="s">
        <v>10595</v>
      </c>
      <c r="H3854" s="7" t="s">
        <v>10597</v>
      </c>
      <c r="I3854" s="9">
        <v>45376</v>
      </c>
    </row>
    <row r="3855" spans="1:9" x14ac:dyDescent="0.15">
      <c r="A3855" s="6">
        <v>3854</v>
      </c>
      <c r="B3855" s="7" t="s">
        <v>7</v>
      </c>
      <c r="C3855" s="8">
        <v>1890</v>
      </c>
      <c r="D3855" s="9">
        <v>45449</v>
      </c>
      <c r="E3855" s="13">
        <f>+HYPERLINK("http://trademark.i-assist.jp/data/china/image_1890th/77526930.pdf",77526930)</f>
        <v>77526930</v>
      </c>
      <c r="F3855" s="7" t="s">
        <v>10599</v>
      </c>
      <c r="G3855" s="7" t="s">
        <v>10598</v>
      </c>
      <c r="H3855" s="7" t="s">
        <v>10600</v>
      </c>
      <c r="I3855" s="9">
        <v>45376</v>
      </c>
    </row>
    <row r="3856" spans="1:9" x14ac:dyDescent="0.15">
      <c r="A3856" s="6">
        <v>3855</v>
      </c>
      <c r="B3856" s="7" t="s">
        <v>7</v>
      </c>
      <c r="C3856" s="8">
        <v>1890</v>
      </c>
      <c r="D3856" s="9">
        <v>45449</v>
      </c>
      <c r="E3856" s="13">
        <f>+HYPERLINK("http://trademark.i-assist.jp/data/china/image_1890th/77526975.pdf",77526975)</f>
        <v>77526975</v>
      </c>
      <c r="F3856" s="7" t="s">
        <v>10601</v>
      </c>
      <c r="G3856" s="7" t="s">
        <v>7998</v>
      </c>
      <c r="H3856" s="7" t="s">
        <v>10602</v>
      </c>
      <c r="I3856" s="9">
        <v>45376</v>
      </c>
    </row>
    <row r="3857" spans="1:9" x14ac:dyDescent="0.15">
      <c r="A3857" s="6">
        <v>3856</v>
      </c>
      <c r="B3857" s="7" t="s">
        <v>7</v>
      </c>
      <c r="C3857" s="8">
        <v>1890</v>
      </c>
      <c r="D3857" s="9">
        <v>45449</v>
      </c>
      <c r="E3857" s="13">
        <f>+HYPERLINK("http://trademark.i-assist.jp/data/china/image_1890th/77527131.pdf",77527131)</f>
        <v>77527131</v>
      </c>
      <c r="F3857" s="7" t="s">
        <v>10603</v>
      </c>
      <c r="G3857" s="7" t="s">
        <v>10375</v>
      </c>
      <c r="H3857" s="7" t="s">
        <v>10604</v>
      </c>
      <c r="I3857" s="9">
        <v>45376</v>
      </c>
    </row>
    <row r="3858" spans="1:9" ht="27" x14ac:dyDescent="0.15">
      <c r="A3858" s="6">
        <v>3857</v>
      </c>
      <c r="B3858" s="7" t="s">
        <v>7</v>
      </c>
      <c r="C3858" s="8">
        <v>1890</v>
      </c>
      <c r="D3858" s="9">
        <v>45449</v>
      </c>
      <c r="E3858" s="13">
        <f>+HYPERLINK("http://trademark.i-assist.jp/data/china/image_1890th/77527449.pdf",77527449)</f>
        <v>77527449</v>
      </c>
      <c r="F3858" s="7" t="s">
        <v>10606</v>
      </c>
      <c r="G3858" s="7" t="s">
        <v>10605</v>
      </c>
      <c r="H3858" s="7" t="s">
        <v>10607</v>
      </c>
      <c r="I3858" s="9">
        <v>45376</v>
      </c>
    </row>
    <row r="3859" spans="1:9" x14ac:dyDescent="0.15">
      <c r="A3859" s="6">
        <v>3858</v>
      </c>
      <c r="B3859" s="7" t="s">
        <v>7</v>
      </c>
      <c r="C3859" s="8">
        <v>1890</v>
      </c>
      <c r="D3859" s="9">
        <v>45449</v>
      </c>
      <c r="E3859" s="13">
        <f>+HYPERLINK("http://trademark.i-assist.jp/data/china/image_1890th/77527592.pdf",77527592)</f>
        <v>77527592</v>
      </c>
      <c r="F3859" s="7" t="s">
        <v>10609</v>
      </c>
      <c r="G3859" s="7" t="s">
        <v>10608</v>
      </c>
      <c r="H3859" s="7" t="s">
        <v>10610</v>
      </c>
      <c r="I3859" s="9">
        <v>45376</v>
      </c>
    </row>
    <row r="3860" spans="1:9" x14ac:dyDescent="0.15">
      <c r="A3860" s="6">
        <v>3859</v>
      </c>
      <c r="B3860" s="7" t="s">
        <v>7</v>
      </c>
      <c r="C3860" s="8">
        <v>1890</v>
      </c>
      <c r="D3860" s="9">
        <v>45449</v>
      </c>
      <c r="E3860" s="13">
        <f>+HYPERLINK("http://trademark.i-assist.jp/data/china/image_1890th/77527962.pdf",77527962)</f>
        <v>77527962</v>
      </c>
      <c r="F3860" s="7" t="s">
        <v>10612</v>
      </c>
      <c r="G3860" s="7" t="s">
        <v>10611</v>
      </c>
      <c r="H3860" s="7" t="s">
        <v>10613</v>
      </c>
      <c r="I3860" s="9">
        <v>45376</v>
      </c>
    </row>
    <row r="3861" spans="1:9" x14ac:dyDescent="0.15">
      <c r="A3861" s="6">
        <v>3860</v>
      </c>
      <c r="B3861" s="7" t="s">
        <v>7</v>
      </c>
      <c r="C3861" s="8">
        <v>1890</v>
      </c>
      <c r="D3861" s="9">
        <v>45449</v>
      </c>
      <c r="E3861" s="13">
        <f>+HYPERLINK("http://trademark.i-assist.jp/data/china/image_1890th/77528071.pdf",77528071)</f>
        <v>77528071</v>
      </c>
      <c r="F3861" s="7" t="s">
        <v>10615</v>
      </c>
      <c r="G3861" s="7" t="s">
        <v>10614</v>
      </c>
      <c r="H3861" s="7" t="s">
        <v>10616</v>
      </c>
      <c r="I3861" s="9">
        <v>45376</v>
      </c>
    </row>
    <row r="3862" spans="1:9" x14ac:dyDescent="0.15">
      <c r="A3862" s="6">
        <v>3861</v>
      </c>
      <c r="B3862" s="7" t="s">
        <v>7</v>
      </c>
      <c r="C3862" s="8">
        <v>1890</v>
      </c>
      <c r="D3862" s="9">
        <v>45449</v>
      </c>
      <c r="E3862" s="13">
        <f>+HYPERLINK("http://trademark.i-assist.jp/data/china/image_1890th/77528581.pdf",77528581)</f>
        <v>77528581</v>
      </c>
      <c r="F3862" s="7" t="s">
        <v>10618</v>
      </c>
      <c r="G3862" s="7" t="s">
        <v>10617</v>
      </c>
      <c r="H3862" s="7" t="s">
        <v>10619</v>
      </c>
      <c r="I3862" s="9">
        <v>45376</v>
      </c>
    </row>
    <row r="3863" spans="1:9" x14ac:dyDescent="0.15">
      <c r="A3863" s="6">
        <v>3862</v>
      </c>
      <c r="B3863" s="7" t="s">
        <v>7</v>
      </c>
      <c r="C3863" s="8">
        <v>1890</v>
      </c>
      <c r="D3863" s="9">
        <v>45449</v>
      </c>
      <c r="E3863" s="13">
        <f>+HYPERLINK("http://trademark.i-assist.jp/data/china/image_1890th/77528635.pdf",77528635)</f>
        <v>77528635</v>
      </c>
      <c r="F3863" s="7" t="s">
        <v>10621</v>
      </c>
      <c r="G3863" s="7" t="s">
        <v>10620</v>
      </c>
      <c r="H3863" s="7" t="s">
        <v>10622</v>
      </c>
      <c r="I3863" s="9">
        <v>45376</v>
      </c>
    </row>
    <row r="3864" spans="1:9" ht="27" x14ac:dyDescent="0.15">
      <c r="A3864" s="6">
        <v>3863</v>
      </c>
      <c r="B3864" s="7" t="s">
        <v>7</v>
      </c>
      <c r="C3864" s="8">
        <v>1890</v>
      </c>
      <c r="D3864" s="9">
        <v>45449</v>
      </c>
      <c r="E3864" s="13">
        <f>+HYPERLINK("http://trademark.i-assist.jp/data/china/image_1890th/77528637.pdf",77528637)</f>
        <v>77528637</v>
      </c>
      <c r="F3864" s="7" t="s">
        <v>183</v>
      </c>
      <c r="G3864" s="7" t="s">
        <v>10623</v>
      </c>
      <c r="H3864" s="7" t="s">
        <v>10624</v>
      </c>
      <c r="I3864" s="9">
        <v>45376</v>
      </c>
    </row>
    <row r="3865" spans="1:9" x14ac:dyDescent="0.15">
      <c r="A3865" s="6">
        <v>3864</v>
      </c>
      <c r="B3865" s="7" t="s">
        <v>7</v>
      </c>
      <c r="C3865" s="8">
        <v>1890</v>
      </c>
      <c r="D3865" s="9">
        <v>45449</v>
      </c>
      <c r="E3865" s="13">
        <f>+HYPERLINK("http://trademark.i-assist.jp/data/china/image_1890th/77528814.pdf",77528814)</f>
        <v>77528814</v>
      </c>
      <c r="F3865" s="7" t="s">
        <v>10625</v>
      </c>
      <c r="G3865" s="7" t="s">
        <v>10393</v>
      </c>
      <c r="H3865" s="7" t="s">
        <v>10626</v>
      </c>
      <c r="I3865" s="9">
        <v>45376</v>
      </c>
    </row>
    <row r="3866" spans="1:9" x14ac:dyDescent="0.15">
      <c r="A3866" s="6">
        <v>3865</v>
      </c>
      <c r="B3866" s="7" t="s">
        <v>7</v>
      </c>
      <c r="C3866" s="8">
        <v>1890</v>
      </c>
      <c r="D3866" s="9">
        <v>45449</v>
      </c>
      <c r="E3866" s="13">
        <f>+HYPERLINK("http://trademark.i-assist.jp/data/china/image_1890th/77528901.pdf",77528901)</f>
        <v>77528901</v>
      </c>
      <c r="F3866" s="7" t="s">
        <v>10628</v>
      </c>
      <c r="G3866" s="7" t="s">
        <v>10627</v>
      </c>
      <c r="H3866" s="7" t="s">
        <v>10629</v>
      </c>
      <c r="I3866" s="9">
        <v>45376</v>
      </c>
    </row>
    <row r="3867" spans="1:9" x14ac:dyDescent="0.15">
      <c r="A3867" s="6">
        <v>3866</v>
      </c>
      <c r="B3867" s="7" t="s">
        <v>7</v>
      </c>
      <c r="C3867" s="8">
        <v>1890</v>
      </c>
      <c r="D3867" s="9">
        <v>45449</v>
      </c>
      <c r="E3867" s="13">
        <f>+HYPERLINK("http://trademark.i-assist.jp/data/china/image_1890th/77529114.pdf",77529114)</f>
        <v>77529114</v>
      </c>
      <c r="F3867" s="7" t="s">
        <v>10630</v>
      </c>
      <c r="G3867" s="7" t="s">
        <v>1550</v>
      </c>
      <c r="H3867" s="7" t="s">
        <v>10631</v>
      </c>
      <c r="I3867" s="9">
        <v>45376</v>
      </c>
    </row>
    <row r="3868" spans="1:9" ht="27" x14ac:dyDescent="0.15">
      <c r="A3868" s="6">
        <v>3867</v>
      </c>
      <c r="B3868" s="7" t="s">
        <v>7</v>
      </c>
      <c r="C3868" s="8">
        <v>1890</v>
      </c>
      <c r="D3868" s="9">
        <v>45449</v>
      </c>
      <c r="E3868" s="13">
        <f>+HYPERLINK("http://trademark.i-assist.jp/data/china/image_1890th/77529122.pdf",77529122)</f>
        <v>77529122</v>
      </c>
      <c r="F3868" s="7" t="s">
        <v>10633</v>
      </c>
      <c r="G3868" s="7" t="s">
        <v>10632</v>
      </c>
      <c r="H3868" s="7" t="s">
        <v>10634</v>
      </c>
      <c r="I3868" s="9">
        <v>45376</v>
      </c>
    </row>
    <row r="3869" spans="1:9" x14ac:dyDescent="0.15">
      <c r="A3869" s="6">
        <v>3868</v>
      </c>
      <c r="B3869" s="7" t="s">
        <v>7</v>
      </c>
      <c r="C3869" s="8">
        <v>1890</v>
      </c>
      <c r="D3869" s="9">
        <v>45449</v>
      </c>
      <c r="E3869" s="13">
        <f>+HYPERLINK("http://trademark.i-assist.jp/data/china/image_1890th/77529150.pdf",77529150)</f>
        <v>77529150</v>
      </c>
      <c r="F3869" s="7" t="s">
        <v>10635</v>
      </c>
      <c r="G3869" s="7" t="s">
        <v>1550</v>
      </c>
      <c r="H3869" s="7" t="s">
        <v>10636</v>
      </c>
      <c r="I3869" s="9">
        <v>45376</v>
      </c>
    </row>
    <row r="3870" spans="1:9" x14ac:dyDescent="0.15">
      <c r="A3870" s="6">
        <v>3869</v>
      </c>
      <c r="B3870" s="7" t="s">
        <v>7</v>
      </c>
      <c r="C3870" s="8">
        <v>1890</v>
      </c>
      <c r="D3870" s="9">
        <v>45449</v>
      </c>
      <c r="E3870" s="13">
        <f>+HYPERLINK("http://trademark.i-assist.jp/data/china/image_1890th/77529215.pdf",77529215)</f>
        <v>77529215</v>
      </c>
      <c r="F3870" s="7" t="s">
        <v>10638</v>
      </c>
      <c r="G3870" s="7" t="s">
        <v>10637</v>
      </c>
      <c r="H3870" s="7" t="s">
        <v>10639</v>
      </c>
      <c r="I3870" s="9">
        <v>45376</v>
      </c>
    </row>
    <row r="3871" spans="1:9" x14ac:dyDescent="0.15">
      <c r="A3871" s="6">
        <v>3870</v>
      </c>
      <c r="B3871" s="7" t="s">
        <v>7</v>
      </c>
      <c r="C3871" s="8">
        <v>1890</v>
      </c>
      <c r="D3871" s="9">
        <v>45449</v>
      </c>
      <c r="E3871" s="13">
        <f>+HYPERLINK("http://trademark.i-assist.jp/data/china/image_1890th/77529820.pdf",77529820)</f>
        <v>77529820</v>
      </c>
      <c r="F3871" s="7" t="s">
        <v>10640</v>
      </c>
      <c r="G3871" s="7" t="s">
        <v>1980</v>
      </c>
      <c r="H3871" s="7" t="s">
        <v>10641</v>
      </c>
      <c r="I3871" s="9">
        <v>45376</v>
      </c>
    </row>
    <row r="3872" spans="1:9" ht="27" x14ac:dyDescent="0.15">
      <c r="A3872" s="6">
        <v>3871</v>
      </c>
      <c r="B3872" s="7" t="s">
        <v>7</v>
      </c>
      <c r="C3872" s="8">
        <v>1890</v>
      </c>
      <c r="D3872" s="9">
        <v>45449</v>
      </c>
      <c r="E3872" s="13">
        <f>+HYPERLINK("http://trademark.i-assist.jp/data/china/image_1890th/77530146.pdf",77530146)</f>
        <v>77530146</v>
      </c>
      <c r="F3872" s="7" t="s">
        <v>10642</v>
      </c>
      <c r="G3872" s="7" t="s">
        <v>7055</v>
      </c>
      <c r="H3872" s="7" t="s">
        <v>10643</v>
      </c>
      <c r="I3872" s="9">
        <v>45376</v>
      </c>
    </row>
    <row r="3873" spans="1:9" x14ac:dyDescent="0.15">
      <c r="A3873" s="6">
        <v>3872</v>
      </c>
      <c r="B3873" s="7" t="s">
        <v>7</v>
      </c>
      <c r="C3873" s="8">
        <v>1890</v>
      </c>
      <c r="D3873" s="9">
        <v>45449</v>
      </c>
      <c r="E3873" s="13">
        <f>+HYPERLINK("http://trademark.i-assist.jp/data/china/image_1890th/77530557.pdf",77530557)</f>
        <v>77530557</v>
      </c>
      <c r="F3873" s="7" t="s">
        <v>10645</v>
      </c>
      <c r="G3873" s="7" t="s">
        <v>10644</v>
      </c>
      <c r="H3873" s="7" t="s">
        <v>10646</v>
      </c>
      <c r="I3873" s="9">
        <v>45376</v>
      </c>
    </row>
    <row r="3874" spans="1:9" x14ac:dyDescent="0.15">
      <c r="A3874" s="6">
        <v>3873</v>
      </c>
      <c r="B3874" s="7" t="s">
        <v>7</v>
      </c>
      <c r="C3874" s="8">
        <v>1890</v>
      </c>
      <c r="D3874" s="9">
        <v>45449</v>
      </c>
      <c r="E3874" s="13">
        <f>+HYPERLINK("http://trademark.i-assist.jp/data/china/image_1890th/77530634.pdf",77530634)</f>
        <v>77530634</v>
      </c>
      <c r="F3874" s="7" t="s">
        <v>10647</v>
      </c>
      <c r="G3874" s="7" t="s">
        <v>1980</v>
      </c>
      <c r="H3874" s="7" t="s">
        <v>10648</v>
      </c>
      <c r="I3874" s="9">
        <v>45376</v>
      </c>
    </row>
    <row r="3875" spans="1:9" ht="27" x14ac:dyDescent="0.15">
      <c r="A3875" s="6">
        <v>3874</v>
      </c>
      <c r="B3875" s="7" t="s">
        <v>7</v>
      </c>
      <c r="C3875" s="8">
        <v>1890</v>
      </c>
      <c r="D3875" s="9">
        <v>45449</v>
      </c>
      <c r="E3875" s="13">
        <f>+HYPERLINK("http://trademark.i-assist.jp/data/china/image_1890th/77530736.pdf",77530736)</f>
        <v>77530736</v>
      </c>
      <c r="F3875" s="7" t="s">
        <v>10650</v>
      </c>
      <c r="G3875" s="7" t="s">
        <v>10649</v>
      </c>
      <c r="H3875" s="7" t="s">
        <v>10651</v>
      </c>
      <c r="I3875" s="9">
        <v>45376</v>
      </c>
    </row>
    <row r="3876" spans="1:9" x14ac:dyDescent="0.15">
      <c r="A3876" s="6">
        <v>3875</v>
      </c>
      <c r="B3876" s="7" t="s">
        <v>7</v>
      </c>
      <c r="C3876" s="8">
        <v>1890</v>
      </c>
      <c r="D3876" s="9">
        <v>45449</v>
      </c>
      <c r="E3876" s="13">
        <f>+HYPERLINK("http://trademark.i-assist.jp/data/china/image_1890th/77530892.pdf",77530892)</f>
        <v>77530892</v>
      </c>
      <c r="F3876" s="7" t="s">
        <v>10652</v>
      </c>
      <c r="G3876" s="7" t="s">
        <v>1980</v>
      </c>
      <c r="H3876" s="7" t="s">
        <v>10653</v>
      </c>
      <c r="I3876" s="9">
        <v>45376</v>
      </c>
    </row>
    <row r="3877" spans="1:9" x14ac:dyDescent="0.15">
      <c r="A3877" s="6">
        <v>3876</v>
      </c>
      <c r="B3877" s="7" t="s">
        <v>7</v>
      </c>
      <c r="C3877" s="8">
        <v>1890</v>
      </c>
      <c r="D3877" s="9">
        <v>45449</v>
      </c>
      <c r="E3877" s="13">
        <f>+HYPERLINK("http://trademark.i-assist.jp/data/china/image_1890th/77531028.pdf",77531028)</f>
        <v>77531028</v>
      </c>
      <c r="F3877" s="7" t="s">
        <v>10655</v>
      </c>
      <c r="G3877" s="7" t="s">
        <v>10654</v>
      </c>
      <c r="H3877" s="7" t="s">
        <v>10656</v>
      </c>
      <c r="I3877" s="9">
        <v>45376</v>
      </c>
    </row>
    <row r="3878" spans="1:9" ht="27" x14ac:dyDescent="0.15">
      <c r="A3878" s="6">
        <v>3877</v>
      </c>
      <c r="B3878" s="7" t="s">
        <v>7</v>
      </c>
      <c r="C3878" s="8">
        <v>1890</v>
      </c>
      <c r="D3878" s="9">
        <v>45449</v>
      </c>
      <c r="E3878" s="13">
        <f>+HYPERLINK("http://trademark.i-assist.jp/data/china/image_1890th/77531593.pdf",77531593)</f>
        <v>77531593</v>
      </c>
      <c r="F3878" s="7" t="s">
        <v>10658</v>
      </c>
      <c r="G3878" s="7" t="s">
        <v>10657</v>
      </c>
      <c r="H3878" s="7" t="s">
        <v>10659</v>
      </c>
      <c r="I3878" s="9">
        <v>45376</v>
      </c>
    </row>
    <row r="3879" spans="1:9" x14ac:dyDescent="0.15">
      <c r="A3879" s="6">
        <v>3878</v>
      </c>
      <c r="B3879" s="7" t="s">
        <v>7</v>
      </c>
      <c r="C3879" s="8">
        <v>1890</v>
      </c>
      <c r="D3879" s="9">
        <v>45449</v>
      </c>
      <c r="E3879" s="13">
        <f>+HYPERLINK("http://trademark.i-assist.jp/data/china/image_1890th/77531746.pdf",77531746)</f>
        <v>77531746</v>
      </c>
      <c r="F3879" s="7" t="s">
        <v>10660</v>
      </c>
      <c r="G3879" s="7" t="s">
        <v>10228</v>
      </c>
      <c r="H3879" s="7" t="s">
        <v>10661</v>
      </c>
      <c r="I3879" s="9">
        <v>45376</v>
      </c>
    </row>
    <row r="3880" spans="1:9" x14ac:dyDescent="0.15">
      <c r="A3880" s="6">
        <v>3879</v>
      </c>
      <c r="B3880" s="7" t="s">
        <v>7</v>
      </c>
      <c r="C3880" s="8">
        <v>1890</v>
      </c>
      <c r="D3880" s="9">
        <v>45449</v>
      </c>
      <c r="E3880" s="13">
        <f>+HYPERLINK("http://trademark.i-assist.jp/data/china/image_1890th/77531763.pdf",77531763)</f>
        <v>77531763</v>
      </c>
      <c r="F3880" s="7" t="s">
        <v>10663</v>
      </c>
      <c r="G3880" s="7" t="s">
        <v>10662</v>
      </c>
      <c r="H3880" s="7" t="s">
        <v>10664</v>
      </c>
      <c r="I3880" s="9">
        <v>45376</v>
      </c>
    </row>
    <row r="3881" spans="1:9" x14ac:dyDescent="0.15">
      <c r="A3881" s="6">
        <v>3880</v>
      </c>
      <c r="B3881" s="7" t="s">
        <v>7</v>
      </c>
      <c r="C3881" s="8">
        <v>1890</v>
      </c>
      <c r="D3881" s="9">
        <v>45449</v>
      </c>
      <c r="E3881" s="13">
        <f>+HYPERLINK("http://trademark.i-assist.jp/data/china/image_1890th/77531797.pdf",77531797)</f>
        <v>77531797</v>
      </c>
      <c r="F3881" s="7" t="s">
        <v>10665</v>
      </c>
      <c r="G3881" s="7" t="s">
        <v>791</v>
      </c>
      <c r="H3881" s="7" t="s">
        <v>10666</v>
      </c>
      <c r="I3881" s="9">
        <v>45376</v>
      </c>
    </row>
    <row r="3882" spans="1:9" x14ac:dyDescent="0.15">
      <c r="A3882" s="6">
        <v>3881</v>
      </c>
      <c r="B3882" s="7" t="s">
        <v>7</v>
      </c>
      <c r="C3882" s="8">
        <v>1890</v>
      </c>
      <c r="D3882" s="9">
        <v>45449</v>
      </c>
      <c r="E3882" s="13">
        <f>+HYPERLINK("http://trademark.i-assist.jp/data/china/image_1890th/77531844.pdf",77531844)</f>
        <v>77531844</v>
      </c>
      <c r="F3882" s="7" t="s">
        <v>10668</v>
      </c>
      <c r="G3882" s="7" t="s">
        <v>10667</v>
      </c>
      <c r="H3882" s="7" t="s">
        <v>10669</v>
      </c>
      <c r="I3882" s="9">
        <v>45376</v>
      </c>
    </row>
    <row r="3883" spans="1:9" ht="27" x14ac:dyDescent="0.15">
      <c r="A3883" s="6">
        <v>3882</v>
      </c>
      <c r="B3883" s="7" t="s">
        <v>7</v>
      </c>
      <c r="C3883" s="8">
        <v>1890</v>
      </c>
      <c r="D3883" s="9">
        <v>45449</v>
      </c>
      <c r="E3883" s="13">
        <f>+HYPERLINK("http://trademark.i-assist.jp/data/china/image_1890th/77531960.pdf",77531960)</f>
        <v>77531960</v>
      </c>
      <c r="F3883" s="7" t="s">
        <v>10670</v>
      </c>
      <c r="G3883" s="7" t="s">
        <v>1565</v>
      </c>
      <c r="H3883" s="7" t="s">
        <v>10671</v>
      </c>
      <c r="I3883" s="9">
        <v>45376</v>
      </c>
    </row>
    <row r="3884" spans="1:9" x14ac:dyDescent="0.15">
      <c r="A3884" s="6">
        <v>3883</v>
      </c>
      <c r="B3884" s="7" t="s">
        <v>7</v>
      </c>
      <c r="C3884" s="8">
        <v>1890</v>
      </c>
      <c r="D3884" s="9">
        <v>45449</v>
      </c>
      <c r="E3884" s="13">
        <f>+HYPERLINK("http://trademark.i-assist.jp/data/china/image_1890th/77532178.pdf",77532178)</f>
        <v>77532178</v>
      </c>
      <c r="F3884" s="7" t="s">
        <v>10673</v>
      </c>
      <c r="G3884" s="7" t="s">
        <v>10672</v>
      </c>
      <c r="H3884" s="7" t="s">
        <v>10674</v>
      </c>
      <c r="I3884" s="9">
        <v>45376</v>
      </c>
    </row>
    <row r="3885" spans="1:9" x14ac:dyDescent="0.15">
      <c r="A3885" s="6">
        <v>3884</v>
      </c>
      <c r="B3885" s="7" t="s">
        <v>7</v>
      </c>
      <c r="C3885" s="8">
        <v>1890</v>
      </c>
      <c r="D3885" s="9">
        <v>45449</v>
      </c>
      <c r="E3885" s="13">
        <f>+HYPERLINK("http://trademark.i-assist.jp/data/china/image_1890th/77532179.pdf",77532179)</f>
        <v>77532179</v>
      </c>
      <c r="F3885" s="7" t="s">
        <v>10676</v>
      </c>
      <c r="G3885" s="7" t="s">
        <v>10675</v>
      </c>
      <c r="H3885" s="7" t="s">
        <v>10677</v>
      </c>
      <c r="I3885" s="9">
        <v>45376</v>
      </c>
    </row>
    <row r="3886" spans="1:9" x14ac:dyDescent="0.15">
      <c r="A3886" s="6">
        <v>3885</v>
      </c>
      <c r="B3886" s="7" t="s">
        <v>7</v>
      </c>
      <c r="C3886" s="8">
        <v>1890</v>
      </c>
      <c r="D3886" s="9">
        <v>45449</v>
      </c>
      <c r="E3886" s="13">
        <f>+HYPERLINK("http://trademark.i-assist.jp/data/china/image_1890th/77532287.pdf",77532287)</f>
        <v>77532287</v>
      </c>
      <c r="F3886" s="7" t="s">
        <v>10678</v>
      </c>
      <c r="G3886" s="7" t="s">
        <v>1679</v>
      </c>
      <c r="H3886" s="7" t="s">
        <v>10679</v>
      </c>
      <c r="I3886" s="9">
        <v>45376</v>
      </c>
    </row>
    <row r="3887" spans="1:9" x14ac:dyDescent="0.15">
      <c r="A3887" s="6">
        <v>3886</v>
      </c>
      <c r="B3887" s="7" t="s">
        <v>7</v>
      </c>
      <c r="C3887" s="8">
        <v>1890</v>
      </c>
      <c r="D3887" s="9">
        <v>45449</v>
      </c>
      <c r="E3887" s="13">
        <f>+HYPERLINK("http://trademark.i-assist.jp/data/china/image_1890th/77532332.pdf",77532332)</f>
        <v>77532332</v>
      </c>
      <c r="F3887" s="7" t="s">
        <v>10681</v>
      </c>
      <c r="G3887" s="7" t="s">
        <v>10680</v>
      </c>
      <c r="H3887" s="7" t="s">
        <v>10682</v>
      </c>
      <c r="I3887" s="9">
        <v>45376</v>
      </c>
    </row>
    <row r="3888" spans="1:9" x14ac:dyDescent="0.15">
      <c r="A3888" s="6">
        <v>3887</v>
      </c>
      <c r="B3888" s="7" t="s">
        <v>7</v>
      </c>
      <c r="C3888" s="8">
        <v>1890</v>
      </c>
      <c r="D3888" s="9">
        <v>45449</v>
      </c>
      <c r="E3888" s="13">
        <f>+HYPERLINK("http://trademark.i-assist.jp/data/china/image_1890th/77532359.pdf",77532359)</f>
        <v>77532359</v>
      </c>
      <c r="F3888" s="7" t="s">
        <v>10683</v>
      </c>
      <c r="G3888" s="7" t="s">
        <v>1591</v>
      </c>
      <c r="H3888" s="7" t="s">
        <v>10684</v>
      </c>
      <c r="I3888" s="9">
        <v>45376</v>
      </c>
    </row>
    <row r="3889" spans="1:9" x14ac:dyDescent="0.15">
      <c r="A3889" s="6">
        <v>3888</v>
      </c>
      <c r="B3889" s="7" t="s">
        <v>7</v>
      </c>
      <c r="C3889" s="8">
        <v>1890</v>
      </c>
      <c r="D3889" s="9">
        <v>45449</v>
      </c>
      <c r="E3889" s="13">
        <f>+HYPERLINK("http://trademark.i-assist.jp/data/china/image_1890th/77532751.pdf",77532751)</f>
        <v>77532751</v>
      </c>
      <c r="F3889" s="7" t="s">
        <v>183</v>
      </c>
      <c r="G3889" s="7" t="s">
        <v>10685</v>
      </c>
      <c r="H3889" s="7" t="s">
        <v>10686</v>
      </c>
      <c r="I3889" s="9">
        <v>45376</v>
      </c>
    </row>
    <row r="3890" spans="1:9" x14ac:dyDescent="0.15">
      <c r="A3890" s="6">
        <v>3889</v>
      </c>
      <c r="B3890" s="7" t="s">
        <v>7</v>
      </c>
      <c r="C3890" s="8">
        <v>1890</v>
      </c>
      <c r="D3890" s="9">
        <v>45449</v>
      </c>
      <c r="E3890" s="13">
        <f>+HYPERLINK("http://trademark.i-assist.jp/data/china/image_1890th/77533148.pdf",77533148)</f>
        <v>77533148</v>
      </c>
      <c r="F3890" s="7" t="s">
        <v>10687</v>
      </c>
      <c r="G3890" s="7" t="s">
        <v>1970</v>
      </c>
      <c r="H3890" s="7" t="s">
        <v>10688</v>
      </c>
      <c r="I3890" s="9">
        <v>45376</v>
      </c>
    </row>
    <row r="3891" spans="1:9" x14ac:dyDescent="0.15">
      <c r="A3891" s="6">
        <v>3890</v>
      </c>
      <c r="B3891" s="7" t="s">
        <v>7</v>
      </c>
      <c r="C3891" s="8">
        <v>1890</v>
      </c>
      <c r="D3891" s="9">
        <v>45449</v>
      </c>
      <c r="E3891" s="13">
        <f>+HYPERLINK("http://trademark.i-assist.jp/data/china/image_1890th/77533472.pdf",77533472)</f>
        <v>77533472</v>
      </c>
      <c r="F3891" s="7" t="s">
        <v>10690</v>
      </c>
      <c r="G3891" s="7" t="s">
        <v>10689</v>
      </c>
      <c r="H3891" s="7" t="s">
        <v>10691</v>
      </c>
      <c r="I3891" s="9">
        <v>45377</v>
      </c>
    </row>
    <row r="3892" spans="1:9" x14ac:dyDescent="0.15">
      <c r="A3892" s="6">
        <v>3891</v>
      </c>
      <c r="B3892" s="7" t="s">
        <v>7</v>
      </c>
      <c r="C3892" s="8">
        <v>1890</v>
      </c>
      <c r="D3892" s="9">
        <v>45449</v>
      </c>
      <c r="E3892" s="13">
        <f>+HYPERLINK("http://trademark.i-assist.jp/data/china/image_1890th/77533659.pdf",77533659)</f>
        <v>77533659</v>
      </c>
      <c r="F3892" s="7" t="s">
        <v>10693</v>
      </c>
      <c r="G3892" s="7" t="s">
        <v>10692</v>
      </c>
      <c r="H3892" s="7" t="s">
        <v>10694</v>
      </c>
      <c r="I3892" s="9">
        <v>45377</v>
      </c>
    </row>
    <row r="3893" spans="1:9" ht="27" x14ac:dyDescent="0.15">
      <c r="A3893" s="6">
        <v>3892</v>
      </c>
      <c r="B3893" s="7" t="s">
        <v>7</v>
      </c>
      <c r="C3893" s="8">
        <v>1890</v>
      </c>
      <c r="D3893" s="9">
        <v>45449</v>
      </c>
      <c r="E3893" s="13">
        <f>+HYPERLINK("http://trademark.i-assist.jp/data/china/image_1890th/77533825.pdf",77533825)</f>
        <v>77533825</v>
      </c>
      <c r="F3893" s="7" t="s">
        <v>10696</v>
      </c>
      <c r="G3893" s="7" t="s">
        <v>10695</v>
      </c>
      <c r="H3893" s="7" t="s">
        <v>10697</v>
      </c>
      <c r="I3893" s="9">
        <v>45377</v>
      </c>
    </row>
    <row r="3894" spans="1:9" x14ac:dyDescent="0.15">
      <c r="A3894" s="6">
        <v>3893</v>
      </c>
      <c r="B3894" s="7" t="s">
        <v>7</v>
      </c>
      <c r="C3894" s="8">
        <v>1890</v>
      </c>
      <c r="D3894" s="9">
        <v>45449</v>
      </c>
      <c r="E3894" s="13">
        <f>+HYPERLINK("http://trademark.i-assist.jp/data/china/image_1890th/77533953.pdf",77533953)</f>
        <v>77533953</v>
      </c>
      <c r="F3894" s="7" t="s">
        <v>10699</v>
      </c>
      <c r="G3894" s="7" t="s">
        <v>10698</v>
      </c>
      <c r="H3894" s="7" t="s">
        <v>10700</v>
      </c>
      <c r="I3894" s="9">
        <v>45377</v>
      </c>
    </row>
    <row r="3895" spans="1:9" x14ac:dyDescent="0.15">
      <c r="A3895" s="6">
        <v>3894</v>
      </c>
      <c r="B3895" s="7" t="s">
        <v>7</v>
      </c>
      <c r="C3895" s="8">
        <v>1890</v>
      </c>
      <c r="D3895" s="9">
        <v>45449</v>
      </c>
      <c r="E3895" s="13">
        <f>+HYPERLINK("http://trademark.i-assist.jp/data/china/image_1890th/77534408.pdf",77534408)</f>
        <v>77534408</v>
      </c>
      <c r="F3895" s="7" t="s">
        <v>10702</v>
      </c>
      <c r="G3895" s="7" t="s">
        <v>10701</v>
      </c>
      <c r="H3895" s="7" t="s">
        <v>10703</v>
      </c>
      <c r="I3895" s="9">
        <v>45377</v>
      </c>
    </row>
    <row r="3896" spans="1:9" x14ac:dyDescent="0.15">
      <c r="A3896" s="6">
        <v>3895</v>
      </c>
      <c r="B3896" s="7" t="s">
        <v>7</v>
      </c>
      <c r="C3896" s="8">
        <v>1890</v>
      </c>
      <c r="D3896" s="9">
        <v>45449</v>
      </c>
      <c r="E3896" s="13">
        <f>+HYPERLINK("http://trademark.i-assist.jp/data/china/image_1890th/77534567.pdf",77534567)</f>
        <v>77534567</v>
      </c>
      <c r="F3896" s="7" t="s">
        <v>10705</v>
      </c>
      <c r="G3896" s="7" t="s">
        <v>10704</v>
      </c>
      <c r="H3896" s="7" t="s">
        <v>10706</v>
      </c>
      <c r="I3896" s="9">
        <v>45377</v>
      </c>
    </row>
    <row r="3897" spans="1:9" x14ac:dyDescent="0.15">
      <c r="A3897" s="6">
        <v>3896</v>
      </c>
      <c r="B3897" s="7" t="s">
        <v>7</v>
      </c>
      <c r="C3897" s="8">
        <v>1890</v>
      </c>
      <c r="D3897" s="9">
        <v>45449</v>
      </c>
      <c r="E3897" s="13">
        <f>+HYPERLINK("http://trademark.i-assist.jp/data/china/image_1890th/77534707.pdf",77534707)</f>
        <v>77534707</v>
      </c>
      <c r="F3897" s="7" t="s">
        <v>10708</v>
      </c>
      <c r="G3897" s="7" t="s">
        <v>10707</v>
      </c>
      <c r="H3897" s="7" t="s">
        <v>10709</v>
      </c>
      <c r="I3897" s="9">
        <v>45377</v>
      </c>
    </row>
    <row r="3898" spans="1:9" x14ac:dyDescent="0.15">
      <c r="A3898" s="6">
        <v>3897</v>
      </c>
      <c r="B3898" s="7" t="s">
        <v>7</v>
      </c>
      <c r="C3898" s="8">
        <v>1890</v>
      </c>
      <c r="D3898" s="9">
        <v>45449</v>
      </c>
      <c r="E3898" s="13">
        <f>+HYPERLINK("http://trademark.i-assist.jp/data/china/image_1890th/77534938.pdf",77534938)</f>
        <v>77534938</v>
      </c>
      <c r="F3898" s="7" t="s">
        <v>8496</v>
      </c>
      <c r="G3898" s="7" t="s">
        <v>8495</v>
      </c>
      <c r="H3898" s="7" t="s">
        <v>10710</v>
      </c>
      <c r="I3898" s="9">
        <v>45377</v>
      </c>
    </row>
    <row r="3899" spans="1:9" ht="27" x14ac:dyDescent="0.15">
      <c r="A3899" s="6">
        <v>3898</v>
      </c>
      <c r="B3899" s="7" t="s">
        <v>7</v>
      </c>
      <c r="C3899" s="8">
        <v>1890</v>
      </c>
      <c r="D3899" s="9">
        <v>45449</v>
      </c>
      <c r="E3899" s="13">
        <f>+HYPERLINK("http://trademark.i-assist.jp/data/china/image_1890th/77535161.pdf",77535161)</f>
        <v>77535161</v>
      </c>
      <c r="F3899" s="7" t="s">
        <v>10712</v>
      </c>
      <c r="G3899" s="7" t="s">
        <v>10711</v>
      </c>
      <c r="H3899" s="7" t="s">
        <v>10713</v>
      </c>
      <c r="I3899" s="9">
        <v>45377</v>
      </c>
    </row>
    <row r="3900" spans="1:9" x14ac:dyDescent="0.15">
      <c r="A3900" s="6">
        <v>3899</v>
      </c>
      <c r="B3900" s="7" t="s">
        <v>7</v>
      </c>
      <c r="C3900" s="8">
        <v>1890</v>
      </c>
      <c r="D3900" s="9">
        <v>45449</v>
      </c>
      <c r="E3900" s="13">
        <f>+HYPERLINK("http://trademark.i-assist.jp/data/china/image_1890th/77535282.pdf",77535282)</f>
        <v>77535282</v>
      </c>
      <c r="F3900" s="7" t="s">
        <v>10715</v>
      </c>
      <c r="G3900" s="7" t="s">
        <v>10714</v>
      </c>
      <c r="H3900" s="7" t="s">
        <v>10716</v>
      </c>
      <c r="I3900" s="9">
        <v>45377</v>
      </c>
    </row>
    <row r="3901" spans="1:9" ht="27" x14ac:dyDescent="0.15">
      <c r="A3901" s="6">
        <v>3900</v>
      </c>
      <c r="B3901" s="7" t="s">
        <v>7</v>
      </c>
      <c r="C3901" s="8">
        <v>1890</v>
      </c>
      <c r="D3901" s="9">
        <v>45449</v>
      </c>
      <c r="E3901" s="13">
        <f>+HYPERLINK("http://trademark.i-assist.jp/data/china/image_1890th/77535517.pdf",77535517)</f>
        <v>77535517</v>
      </c>
      <c r="F3901" s="7" t="s">
        <v>10718</v>
      </c>
      <c r="G3901" s="7" t="s">
        <v>10717</v>
      </c>
      <c r="H3901" s="7" t="s">
        <v>10719</v>
      </c>
      <c r="I3901" s="9">
        <v>45377</v>
      </c>
    </row>
    <row r="3902" spans="1:9" x14ac:dyDescent="0.15">
      <c r="A3902" s="6">
        <v>3901</v>
      </c>
      <c r="B3902" s="7" t="s">
        <v>7</v>
      </c>
      <c r="C3902" s="8">
        <v>1890</v>
      </c>
      <c r="D3902" s="9">
        <v>45449</v>
      </c>
      <c r="E3902" s="13">
        <f>+HYPERLINK("http://trademark.i-assist.jp/data/china/image_1890th/77535615.pdf",77535615)</f>
        <v>77535615</v>
      </c>
      <c r="F3902" s="7" t="s">
        <v>10720</v>
      </c>
      <c r="G3902" s="7" t="s">
        <v>9139</v>
      </c>
      <c r="H3902" s="7" t="s">
        <v>10721</v>
      </c>
      <c r="I3902" s="9">
        <v>45377</v>
      </c>
    </row>
    <row r="3903" spans="1:9" x14ac:dyDescent="0.15">
      <c r="A3903" s="6">
        <v>3902</v>
      </c>
      <c r="B3903" s="7" t="s">
        <v>7</v>
      </c>
      <c r="C3903" s="8">
        <v>1890</v>
      </c>
      <c r="D3903" s="9">
        <v>45449</v>
      </c>
      <c r="E3903" s="13">
        <f>+HYPERLINK("http://trademark.i-assist.jp/data/china/image_1890th/77535910.pdf",77535910)</f>
        <v>77535910</v>
      </c>
      <c r="F3903" s="7" t="s">
        <v>10723</v>
      </c>
      <c r="G3903" s="7" t="s">
        <v>10722</v>
      </c>
      <c r="H3903" s="7" t="s">
        <v>10724</v>
      </c>
      <c r="I3903" s="9">
        <v>45377</v>
      </c>
    </row>
    <row r="3904" spans="1:9" x14ac:dyDescent="0.15">
      <c r="A3904" s="6">
        <v>3903</v>
      </c>
      <c r="B3904" s="7" t="s">
        <v>7</v>
      </c>
      <c r="C3904" s="8">
        <v>1890</v>
      </c>
      <c r="D3904" s="9">
        <v>45449</v>
      </c>
      <c r="E3904" s="13">
        <f>+HYPERLINK("http://trademark.i-assist.jp/data/china/image_1890th/77536228.pdf",77536228)</f>
        <v>77536228</v>
      </c>
      <c r="F3904" s="7" t="s">
        <v>10726</v>
      </c>
      <c r="G3904" s="7" t="s">
        <v>10725</v>
      </c>
      <c r="H3904" s="7" t="s">
        <v>10727</v>
      </c>
      <c r="I3904" s="9">
        <v>45377</v>
      </c>
    </row>
    <row r="3905" spans="1:9" x14ac:dyDescent="0.15">
      <c r="A3905" s="6">
        <v>3904</v>
      </c>
      <c r="B3905" s="7" t="s">
        <v>7</v>
      </c>
      <c r="C3905" s="8">
        <v>1890</v>
      </c>
      <c r="D3905" s="9">
        <v>45449</v>
      </c>
      <c r="E3905" s="13">
        <f>+HYPERLINK("http://trademark.i-assist.jp/data/china/image_1890th/77536704.pdf",77536704)</f>
        <v>77536704</v>
      </c>
      <c r="F3905" s="7" t="s">
        <v>10728</v>
      </c>
      <c r="G3905" s="7" t="s">
        <v>3288</v>
      </c>
      <c r="H3905" s="7" t="s">
        <v>10729</v>
      </c>
      <c r="I3905" s="9">
        <v>45377</v>
      </c>
    </row>
    <row r="3906" spans="1:9" x14ac:dyDescent="0.15">
      <c r="A3906" s="6">
        <v>3905</v>
      </c>
      <c r="B3906" s="7" t="s">
        <v>7</v>
      </c>
      <c r="C3906" s="8">
        <v>1890</v>
      </c>
      <c r="D3906" s="9">
        <v>45449</v>
      </c>
      <c r="E3906" s="13">
        <f>+HYPERLINK("http://trademark.i-assist.jp/data/china/image_1890th/77536707.pdf",77536707)</f>
        <v>77536707</v>
      </c>
      <c r="F3906" s="7" t="s">
        <v>10731</v>
      </c>
      <c r="G3906" s="7" t="s">
        <v>10730</v>
      </c>
      <c r="H3906" s="7" t="s">
        <v>10732</v>
      </c>
      <c r="I3906" s="9">
        <v>45377</v>
      </c>
    </row>
    <row r="3907" spans="1:9" x14ac:dyDescent="0.15">
      <c r="A3907" s="6">
        <v>3906</v>
      </c>
      <c r="B3907" s="7" t="s">
        <v>7</v>
      </c>
      <c r="C3907" s="8">
        <v>1890</v>
      </c>
      <c r="D3907" s="9">
        <v>45449</v>
      </c>
      <c r="E3907" s="13">
        <f>+HYPERLINK("http://trademark.i-assist.jp/data/china/image_1890th/77536776.pdf",77536776)</f>
        <v>77536776</v>
      </c>
      <c r="F3907" s="7" t="s">
        <v>10734</v>
      </c>
      <c r="G3907" s="7" t="s">
        <v>10733</v>
      </c>
      <c r="H3907" s="7" t="s">
        <v>10735</v>
      </c>
      <c r="I3907" s="9">
        <v>45377</v>
      </c>
    </row>
    <row r="3908" spans="1:9" x14ac:dyDescent="0.15">
      <c r="A3908" s="6">
        <v>3907</v>
      </c>
      <c r="B3908" s="7" t="s">
        <v>7</v>
      </c>
      <c r="C3908" s="8">
        <v>1890</v>
      </c>
      <c r="D3908" s="9">
        <v>45449</v>
      </c>
      <c r="E3908" s="13">
        <f>+HYPERLINK("http://trademark.i-assist.jp/data/china/image_1890th/77536794.pdf",77536794)</f>
        <v>77536794</v>
      </c>
      <c r="F3908" s="7" t="s">
        <v>10737</v>
      </c>
      <c r="G3908" s="7" t="s">
        <v>10736</v>
      </c>
      <c r="H3908" s="7" t="s">
        <v>10738</v>
      </c>
      <c r="I3908" s="9">
        <v>45377</v>
      </c>
    </row>
    <row r="3909" spans="1:9" x14ac:dyDescent="0.15">
      <c r="A3909" s="6">
        <v>3908</v>
      </c>
      <c r="B3909" s="7" t="s">
        <v>7</v>
      </c>
      <c r="C3909" s="8">
        <v>1890</v>
      </c>
      <c r="D3909" s="9">
        <v>45449</v>
      </c>
      <c r="E3909" s="13">
        <f>+HYPERLINK("http://trademark.i-assist.jp/data/china/image_1890th/77536852.pdf",77536852)</f>
        <v>77536852</v>
      </c>
      <c r="F3909" s="7" t="s">
        <v>10740</v>
      </c>
      <c r="G3909" s="7" t="s">
        <v>10739</v>
      </c>
      <c r="H3909" s="7" t="s">
        <v>10741</v>
      </c>
      <c r="I3909" s="9">
        <v>45377</v>
      </c>
    </row>
    <row r="3910" spans="1:9" x14ac:dyDescent="0.15">
      <c r="A3910" s="6">
        <v>3909</v>
      </c>
      <c r="B3910" s="7" t="s">
        <v>7</v>
      </c>
      <c r="C3910" s="8">
        <v>1890</v>
      </c>
      <c r="D3910" s="9">
        <v>45449</v>
      </c>
      <c r="E3910" s="13">
        <f>+HYPERLINK("http://trademark.i-assist.jp/data/china/image_1890th/77536866.pdf",77536866)</f>
        <v>77536866</v>
      </c>
      <c r="F3910" s="7" t="s">
        <v>10743</v>
      </c>
      <c r="G3910" s="7" t="s">
        <v>10742</v>
      </c>
      <c r="H3910" s="7" t="s">
        <v>10744</v>
      </c>
      <c r="I3910" s="9">
        <v>45377</v>
      </c>
    </row>
    <row r="3911" spans="1:9" x14ac:dyDescent="0.15">
      <c r="A3911" s="6">
        <v>3910</v>
      </c>
      <c r="B3911" s="7" t="s">
        <v>7</v>
      </c>
      <c r="C3911" s="8">
        <v>1890</v>
      </c>
      <c r="D3911" s="9">
        <v>45449</v>
      </c>
      <c r="E3911" s="13">
        <f>+HYPERLINK("http://trademark.i-assist.jp/data/china/image_1890th/77537001.pdf",77537001)</f>
        <v>77537001</v>
      </c>
      <c r="F3911" s="7" t="s">
        <v>10745</v>
      </c>
      <c r="G3911" s="7" t="s">
        <v>40</v>
      </c>
      <c r="H3911" s="7" t="s">
        <v>10746</v>
      </c>
      <c r="I3911" s="9">
        <v>45377</v>
      </c>
    </row>
    <row r="3912" spans="1:9" ht="27" x14ac:dyDescent="0.15">
      <c r="A3912" s="6">
        <v>3911</v>
      </c>
      <c r="B3912" s="7" t="s">
        <v>7</v>
      </c>
      <c r="C3912" s="8">
        <v>1890</v>
      </c>
      <c r="D3912" s="9">
        <v>45449</v>
      </c>
      <c r="E3912" s="13">
        <f>+HYPERLINK("http://trademark.i-assist.jp/data/china/image_1890th/77537124.pdf",77537124)</f>
        <v>77537124</v>
      </c>
      <c r="F3912" s="7" t="s">
        <v>10748</v>
      </c>
      <c r="G3912" s="7" t="s">
        <v>10747</v>
      </c>
      <c r="H3912" s="7" t="s">
        <v>10749</v>
      </c>
      <c r="I3912" s="9">
        <v>45377</v>
      </c>
    </row>
    <row r="3913" spans="1:9" ht="27" x14ac:dyDescent="0.15">
      <c r="A3913" s="6">
        <v>3912</v>
      </c>
      <c r="B3913" s="7" t="s">
        <v>7</v>
      </c>
      <c r="C3913" s="8">
        <v>1890</v>
      </c>
      <c r="D3913" s="9">
        <v>45449</v>
      </c>
      <c r="E3913" s="13">
        <f>+HYPERLINK("http://trademark.i-assist.jp/data/china/image_1890th/77537319.pdf",77537319)</f>
        <v>77537319</v>
      </c>
      <c r="F3913" s="7" t="s">
        <v>10751</v>
      </c>
      <c r="G3913" s="7" t="s">
        <v>10750</v>
      </c>
      <c r="H3913" s="7" t="s">
        <v>10752</v>
      </c>
      <c r="I3913" s="9">
        <v>45377</v>
      </c>
    </row>
    <row r="3914" spans="1:9" ht="27" x14ac:dyDescent="0.15">
      <c r="A3914" s="6">
        <v>3913</v>
      </c>
      <c r="B3914" s="7" t="s">
        <v>7</v>
      </c>
      <c r="C3914" s="8">
        <v>1890</v>
      </c>
      <c r="D3914" s="9">
        <v>45449</v>
      </c>
      <c r="E3914" s="13">
        <f>+HYPERLINK("http://trademark.i-assist.jp/data/china/image_1890th/77537749.pdf",77537749)</f>
        <v>77537749</v>
      </c>
      <c r="F3914" s="7" t="s">
        <v>10754</v>
      </c>
      <c r="G3914" s="7" t="s">
        <v>10753</v>
      </c>
      <c r="H3914" s="7" t="s">
        <v>10755</v>
      </c>
      <c r="I3914" s="9">
        <v>45377</v>
      </c>
    </row>
    <row r="3915" spans="1:9" ht="27" x14ac:dyDescent="0.15">
      <c r="A3915" s="6">
        <v>3914</v>
      </c>
      <c r="B3915" s="7" t="s">
        <v>7</v>
      </c>
      <c r="C3915" s="8">
        <v>1890</v>
      </c>
      <c r="D3915" s="9">
        <v>45449</v>
      </c>
      <c r="E3915" s="13">
        <f>+HYPERLINK("http://trademark.i-assist.jp/data/china/image_1890th/77537756.pdf",77537756)</f>
        <v>77537756</v>
      </c>
      <c r="F3915" s="7" t="s">
        <v>10756</v>
      </c>
      <c r="G3915" s="7" t="s">
        <v>10753</v>
      </c>
      <c r="H3915" s="7" t="s">
        <v>10757</v>
      </c>
      <c r="I3915" s="9">
        <v>45377</v>
      </c>
    </row>
    <row r="3916" spans="1:9" x14ac:dyDescent="0.15">
      <c r="A3916" s="6">
        <v>3915</v>
      </c>
      <c r="B3916" s="7" t="s">
        <v>7</v>
      </c>
      <c r="C3916" s="8">
        <v>1890</v>
      </c>
      <c r="D3916" s="9">
        <v>45449</v>
      </c>
      <c r="E3916" s="13">
        <f>+HYPERLINK("http://trademark.i-assist.jp/data/china/image_1890th/77537975.pdf",77537975)</f>
        <v>77537975</v>
      </c>
      <c r="F3916" s="7" t="s">
        <v>10759</v>
      </c>
      <c r="G3916" s="7" t="s">
        <v>10758</v>
      </c>
      <c r="H3916" s="7" t="s">
        <v>10760</v>
      </c>
      <c r="I3916" s="9">
        <v>45377</v>
      </c>
    </row>
    <row r="3917" spans="1:9" x14ac:dyDescent="0.15">
      <c r="A3917" s="6">
        <v>3916</v>
      </c>
      <c r="B3917" s="7" t="s">
        <v>7</v>
      </c>
      <c r="C3917" s="8">
        <v>1890</v>
      </c>
      <c r="D3917" s="9">
        <v>45449</v>
      </c>
      <c r="E3917" s="13">
        <f>+HYPERLINK("http://trademark.i-assist.jp/data/china/image_1890th/77538138.pdf",77538138)</f>
        <v>77538138</v>
      </c>
      <c r="F3917" s="7" t="s">
        <v>10762</v>
      </c>
      <c r="G3917" s="7" t="s">
        <v>10761</v>
      </c>
      <c r="H3917" s="7" t="s">
        <v>10763</v>
      </c>
      <c r="I3917" s="9">
        <v>45377</v>
      </c>
    </row>
    <row r="3918" spans="1:9" x14ac:dyDescent="0.15">
      <c r="A3918" s="6">
        <v>3917</v>
      </c>
      <c r="B3918" s="7" t="s">
        <v>7</v>
      </c>
      <c r="C3918" s="8">
        <v>1890</v>
      </c>
      <c r="D3918" s="9">
        <v>45449</v>
      </c>
      <c r="E3918" s="13">
        <f>+HYPERLINK("http://trademark.i-assist.jp/data/china/image_1890th/77538348.pdf",77538348)</f>
        <v>77538348</v>
      </c>
      <c r="F3918" s="7" t="s">
        <v>183</v>
      </c>
      <c r="G3918" s="7" t="s">
        <v>10764</v>
      </c>
      <c r="H3918" s="7" t="s">
        <v>10765</v>
      </c>
      <c r="I3918" s="9">
        <v>45377</v>
      </c>
    </row>
    <row r="3919" spans="1:9" x14ac:dyDescent="0.15">
      <c r="A3919" s="6">
        <v>3918</v>
      </c>
      <c r="B3919" s="7" t="s">
        <v>7</v>
      </c>
      <c r="C3919" s="8">
        <v>1890</v>
      </c>
      <c r="D3919" s="9">
        <v>45449</v>
      </c>
      <c r="E3919" s="13">
        <f>+HYPERLINK("http://trademark.i-assist.jp/data/china/image_1890th/77538490.pdf",77538490)</f>
        <v>77538490</v>
      </c>
      <c r="F3919" s="7" t="s">
        <v>10767</v>
      </c>
      <c r="G3919" s="7" t="s">
        <v>10766</v>
      </c>
      <c r="H3919" s="7" t="s">
        <v>10768</v>
      </c>
      <c r="I3919" s="9">
        <v>45377</v>
      </c>
    </row>
    <row r="3920" spans="1:9" x14ac:dyDescent="0.15">
      <c r="A3920" s="6">
        <v>3919</v>
      </c>
      <c r="B3920" s="7" t="s">
        <v>7</v>
      </c>
      <c r="C3920" s="8">
        <v>1890</v>
      </c>
      <c r="D3920" s="9">
        <v>45449</v>
      </c>
      <c r="E3920" s="13">
        <f>+HYPERLINK("http://trademark.i-assist.jp/data/china/image_1890th/77538537.pdf",77538537)</f>
        <v>77538537</v>
      </c>
      <c r="F3920" s="7" t="s">
        <v>183</v>
      </c>
      <c r="G3920" s="7" t="s">
        <v>8551</v>
      </c>
      <c r="H3920" s="7" t="s">
        <v>10769</v>
      </c>
      <c r="I3920" s="9">
        <v>45377</v>
      </c>
    </row>
    <row r="3921" spans="1:9" x14ac:dyDescent="0.15">
      <c r="A3921" s="6">
        <v>3920</v>
      </c>
      <c r="B3921" s="7" t="s">
        <v>7</v>
      </c>
      <c r="C3921" s="8">
        <v>1890</v>
      </c>
      <c r="D3921" s="9">
        <v>45449</v>
      </c>
      <c r="E3921" s="13">
        <f>+HYPERLINK("http://trademark.i-assist.jp/data/china/image_1890th/77538793.pdf",77538793)</f>
        <v>77538793</v>
      </c>
      <c r="F3921" s="7" t="s">
        <v>10771</v>
      </c>
      <c r="G3921" s="7" t="s">
        <v>10770</v>
      </c>
      <c r="H3921" s="7" t="s">
        <v>10772</v>
      </c>
      <c r="I3921" s="9">
        <v>45377</v>
      </c>
    </row>
    <row r="3922" spans="1:9" x14ac:dyDescent="0.15">
      <c r="A3922" s="6">
        <v>3921</v>
      </c>
      <c r="B3922" s="7" t="s">
        <v>7</v>
      </c>
      <c r="C3922" s="8">
        <v>1890</v>
      </c>
      <c r="D3922" s="9">
        <v>45449</v>
      </c>
      <c r="E3922" s="13">
        <f>+HYPERLINK("http://trademark.i-assist.jp/data/china/image_1890th/77538884.pdf",77538884)</f>
        <v>77538884</v>
      </c>
      <c r="F3922" s="7" t="s">
        <v>10774</v>
      </c>
      <c r="G3922" s="7" t="s">
        <v>10773</v>
      </c>
      <c r="H3922" s="7" t="s">
        <v>10775</v>
      </c>
      <c r="I3922" s="9">
        <v>45377</v>
      </c>
    </row>
    <row r="3923" spans="1:9" x14ac:dyDescent="0.15">
      <c r="A3923" s="6">
        <v>3922</v>
      </c>
      <c r="B3923" s="7" t="s">
        <v>7</v>
      </c>
      <c r="C3923" s="8">
        <v>1890</v>
      </c>
      <c r="D3923" s="9">
        <v>45449</v>
      </c>
      <c r="E3923" s="13">
        <f>+HYPERLINK("http://trademark.i-assist.jp/data/china/image_1890th/77538971.pdf",77538971)</f>
        <v>77538971</v>
      </c>
      <c r="F3923" s="7" t="s">
        <v>10776</v>
      </c>
      <c r="G3923" s="7" t="s">
        <v>8517</v>
      </c>
      <c r="H3923" s="7" t="s">
        <v>10777</v>
      </c>
      <c r="I3923" s="9">
        <v>45377</v>
      </c>
    </row>
    <row r="3924" spans="1:9" x14ac:dyDescent="0.15">
      <c r="A3924" s="6">
        <v>3923</v>
      </c>
      <c r="B3924" s="7" t="s">
        <v>7</v>
      </c>
      <c r="C3924" s="8">
        <v>1890</v>
      </c>
      <c r="D3924" s="9">
        <v>45449</v>
      </c>
      <c r="E3924" s="13">
        <f>+HYPERLINK("http://trademark.i-assist.jp/data/china/image_1890th/77539028.pdf",77539028)</f>
        <v>77539028</v>
      </c>
      <c r="F3924" s="7" t="s">
        <v>10779</v>
      </c>
      <c r="G3924" s="7" t="s">
        <v>10778</v>
      </c>
      <c r="H3924" s="7" t="s">
        <v>10780</v>
      </c>
      <c r="I3924" s="9">
        <v>45377</v>
      </c>
    </row>
    <row r="3925" spans="1:9" x14ac:dyDescent="0.15">
      <c r="A3925" s="6">
        <v>3924</v>
      </c>
      <c r="B3925" s="7" t="s">
        <v>7</v>
      </c>
      <c r="C3925" s="8">
        <v>1890</v>
      </c>
      <c r="D3925" s="9">
        <v>45449</v>
      </c>
      <c r="E3925" s="13">
        <f>+HYPERLINK("http://trademark.i-assist.jp/data/china/image_1890th/77539095.pdf",77539095)</f>
        <v>77539095</v>
      </c>
      <c r="F3925" s="7" t="s">
        <v>10782</v>
      </c>
      <c r="G3925" s="7" t="s">
        <v>10781</v>
      </c>
      <c r="H3925" s="7" t="s">
        <v>10783</v>
      </c>
      <c r="I3925" s="9">
        <v>45377</v>
      </c>
    </row>
    <row r="3926" spans="1:9" x14ac:dyDescent="0.15">
      <c r="A3926" s="6">
        <v>3925</v>
      </c>
      <c r="B3926" s="7" t="s">
        <v>7</v>
      </c>
      <c r="C3926" s="8">
        <v>1890</v>
      </c>
      <c r="D3926" s="9">
        <v>45449</v>
      </c>
      <c r="E3926" s="13">
        <f>+HYPERLINK("http://trademark.i-assist.jp/data/china/image_1890th/77539128.pdf",77539128)</f>
        <v>77539128</v>
      </c>
      <c r="F3926" s="7" t="s">
        <v>10785</v>
      </c>
      <c r="G3926" s="7" t="s">
        <v>10784</v>
      </c>
      <c r="H3926" s="7" t="s">
        <v>10786</v>
      </c>
      <c r="I3926" s="9">
        <v>45377</v>
      </c>
    </row>
    <row r="3927" spans="1:9" x14ac:dyDescent="0.15">
      <c r="A3927" s="6">
        <v>3926</v>
      </c>
      <c r="B3927" s="7" t="s">
        <v>7</v>
      </c>
      <c r="C3927" s="8">
        <v>1890</v>
      </c>
      <c r="D3927" s="9">
        <v>45449</v>
      </c>
      <c r="E3927" s="13">
        <f>+HYPERLINK("http://trademark.i-assist.jp/data/china/image_1890th/77539171.pdf",77539171)</f>
        <v>77539171</v>
      </c>
      <c r="F3927" s="7" t="s">
        <v>10788</v>
      </c>
      <c r="G3927" s="7" t="s">
        <v>10787</v>
      </c>
      <c r="H3927" s="7" t="s">
        <v>10789</v>
      </c>
      <c r="I3927" s="9">
        <v>45377</v>
      </c>
    </row>
    <row r="3928" spans="1:9" x14ac:dyDescent="0.15">
      <c r="A3928" s="6">
        <v>3927</v>
      </c>
      <c r="B3928" s="7" t="s">
        <v>7</v>
      </c>
      <c r="C3928" s="8">
        <v>1890</v>
      </c>
      <c r="D3928" s="9">
        <v>45449</v>
      </c>
      <c r="E3928" s="13">
        <f>+HYPERLINK("http://trademark.i-assist.jp/data/china/image_1890th/77539497.pdf",77539497)</f>
        <v>77539497</v>
      </c>
      <c r="F3928" s="7" t="s">
        <v>10791</v>
      </c>
      <c r="G3928" s="7" t="s">
        <v>10790</v>
      </c>
      <c r="H3928" s="7" t="s">
        <v>10792</v>
      </c>
      <c r="I3928" s="9">
        <v>45377</v>
      </c>
    </row>
    <row r="3929" spans="1:9" x14ac:dyDescent="0.15">
      <c r="A3929" s="6">
        <v>3928</v>
      </c>
      <c r="B3929" s="7" t="s">
        <v>7</v>
      </c>
      <c r="C3929" s="8">
        <v>1890</v>
      </c>
      <c r="D3929" s="9">
        <v>45449</v>
      </c>
      <c r="E3929" s="13">
        <f>+HYPERLINK("http://trademark.i-assist.jp/data/china/image_1890th/77539686.pdf",77539686)</f>
        <v>77539686</v>
      </c>
      <c r="F3929" s="7" t="s">
        <v>10794</v>
      </c>
      <c r="G3929" s="7" t="s">
        <v>10793</v>
      </c>
      <c r="H3929" s="7" t="s">
        <v>10795</v>
      </c>
      <c r="I3929" s="9">
        <v>45377</v>
      </c>
    </row>
    <row r="3930" spans="1:9" x14ac:dyDescent="0.15">
      <c r="A3930" s="6">
        <v>3929</v>
      </c>
      <c r="B3930" s="7" t="s">
        <v>7</v>
      </c>
      <c r="C3930" s="8">
        <v>1890</v>
      </c>
      <c r="D3930" s="9">
        <v>45449</v>
      </c>
      <c r="E3930" s="13">
        <f>+HYPERLINK("http://trademark.i-assist.jp/data/china/image_1890th/77539797.pdf",77539797)</f>
        <v>77539797</v>
      </c>
      <c r="F3930" s="7" t="s">
        <v>10797</v>
      </c>
      <c r="G3930" s="7" t="s">
        <v>10796</v>
      </c>
      <c r="H3930" s="7" t="s">
        <v>10798</v>
      </c>
      <c r="I3930" s="9">
        <v>45377</v>
      </c>
    </row>
    <row r="3931" spans="1:9" x14ac:dyDescent="0.15">
      <c r="A3931" s="6">
        <v>3930</v>
      </c>
      <c r="B3931" s="7" t="s">
        <v>7</v>
      </c>
      <c r="C3931" s="8">
        <v>1890</v>
      </c>
      <c r="D3931" s="9">
        <v>45449</v>
      </c>
      <c r="E3931" s="13">
        <f>+HYPERLINK("http://trademark.i-assist.jp/data/china/image_1890th/77539847.pdf",77539847)</f>
        <v>77539847</v>
      </c>
      <c r="F3931" s="7" t="s">
        <v>10800</v>
      </c>
      <c r="G3931" s="7" t="s">
        <v>10799</v>
      </c>
      <c r="H3931" s="7" t="s">
        <v>10801</v>
      </c>
      <c r="I3931" s="9">
        <v>45377</v>
      </c>
    </row>
    <row r="3932" spans="1:9" x14ac:dyDescent="0.15">
      <c r="A3932" s="6">
        <v>3931</v>
      </c>
      <c r="B3932" s="7" t="s">
        <v>7</v>
      </c>
      <c r="C3932" s="8">
        <v>1890</v>
      </c>
      <c r="D3932" s="9">
        <v>45449</v>
      </c>
      <c r="E3932" s="13">
        <f>+HYPERLINK("http://trademark.i-assist.jp/data/china/image_1890th/77539954.pdf",77539954)</f>
        <v>77539954</v>
      </c>
      <c r="F3932" s="7" t="s">
        <v>10803</v>
      </c>
      <c r="G3932" s="7" t="s">
        <v>10802</v>
      </c>
      <c r="H3932" s="7" t="s">
        <v>10804</v>
      </c>
      <c r="I3932" s="9">
        <v>45377</v>
      </c>
    </row>
    <row r="3933" spans="1:9" x14ac:dyDescent="0.15">
      <c r="A3933" s="6">
        <v>3932</v>
      </c>
      <c r="B3933" s="7" t="s">
        <v>7</v>
      </c>
      <c r="C3933" s="8">
        <v>1890</v>
      </c>
      <c r="D3933" s="9">
        <v>45449</v>
      </c>
      <c r="E3933" s="13">
        <f>+HYPERLINK("http://trademark.i-assist.jp/data/china/image_1890th/77540184.pdf",77540184)</f>
        <v>77540184</v>
      </c>
      <c r="F3933" s="7" t="s">
        <v>10806</v>
      </c>
      <c r="G3933" s="7" t="s">
        <v>10805</v>
      </c>
      <c r="H3933" s="7" t="s">
        <v>10807</v>
      </c>
      <c r="I3933" s="9">
        <v>45377</v>
      </c>
    </row>
    <row r="3934" spans="1:9" x14ac:dyDescent="0.15">
      <c r="A3934" s="6">
        <v>3933</v>
      </c>
      <c r="B3934" s="7" t="s">
        <v>7</v>
      </c>
      <c r="C3934" s="8">
        <v>1890</v>
      </c>
      <c r="D3934" s="9">
        <v>45449</v>
      </c>
      <c r="E3934" s="13">
        <f>+HYPERLINK("http://trademark.i-assist.jp/data/china/image_1890th/77540263.pdf",77540263)</f>
        <v>77540263</v>
      </c>
      <c r="F3934" s="7" t="s">
        <v>10808</v>
      </c>
      <c r="G3934" s="7" t="s">
        <v>4203</v>
      </c>
      <c r="H3934" s="7" t="s">
        <v>10809</v>
      </c>
      <c r="I3934" s="9">
        <v>45377</v>
      </c>
    </row>
    <row r="3935" spans="1:9" x14ac:dyDescent="0.15">
      <c r="A3935" s="6">
        <v>3934</v>
      </c>
      <c r="B3935" s="7" t="s">
        <v>7</v>
      </c>
      <c r="C3935" s="8">
        <v>1890</v>
      </c>
      <c r="D3935" s="9">
        <v>45449</v>
      </c>
      <c r="E3935" s="13">
        <f>+HYPERLINK("http://trademark.i-assist.jp/data/china/image_1890th/77540369.pdf",77540369)</f>
        <v>77540369</v>
      </c>
      <c r="F3935" s="7" t="s">
        <v>10811</v>
      </c>
      <c r="G3935" s="7" t="s">
        <v>10810</v>
      </c>
      <c r="H3935" s="7" t="s">
        <v>10812</v>
      </c>
      <c r="I3935" s="9">
        <v>45377</v>
      </c>
    </row>
    <row r="3936" spans="1:9" x14ac:dyDescent="0.15">
      <c r="A3936" s="6">
        <v>3935</v>
      </c>
      <c r="B3936" s="7" t="s">
        <v>7</v>
      </c>
      <c r="C3936" s="8">
        <v>1890</v>
      </c>
      <c r="D3936" s="9">
        <v>45449</v>
      </c>
      <c r="E3936" s="13">
        <f>+HYPERLINK("http://trademark.i-assist.jp/data/china/image_1890th/77540434.pdf",77540434)</f>
        <v>77540434</v>
      </c>
      <c r="F3936" s="7" t="s">
        <v>10814</v>
      </c>
      <c r="G3936" s="7" t="s">
        <v>10813</v>
      </c>
      <c r="H3936" s="7" t="s">
        <v>10815</v>
      </c>
      <c r="I3936" s="9">
        <v>45377</v>
      </c>
    </row>
    <row r="3937" spans="1:9" x14ac:dyDescent="0.15">
      <c r="A3937" s="6">
        <v>3936</v>
      </c>
      <c r="B3937" s="7" t="s">
        <v>7</v>
      </c>
      <c r="C3937" s="8">
        <v>1890</v>
      </c>
      <c r="D3937" s="9">
        <v>45449</v>
      </c>
      <c r="E3937" s="13">
        <f>+HYPERLINK("http://trademark.i-assist.jp/data/china/image_1890th/77540456.pdf",77540456)</f>
        <v>77540456</v>
      </c>
      <c r="F3937" s="7" t="s">
        <v>10817</v>
      </c>
      <c r="G3937" s="7" t="s">
        <v>10816</v>
      </c>
      <c r="H3937" s="7" t="s">
        <v>10818</v>
      </c>
      <c r="I3937" s="9">
        <v>45377</v>
      </c>
    </row>
    <row r="3938" spans="1:9" x14ac:dyDescent="0.15">
      <c r="A3938" s="6">
        <v>3937</v>
      </c>
      <c r="B3938" s="7" t="s">
        <v>7</v>
      </c>
      <c r="C3938" s="8">
        <v>1890</v>
      </c>
      <c r="D3938" s="9">
        <v>45449</v>
      </c>
      <c r="E3938" s="13">
        <f>+HYPERLINK("http://trademark.i-assist.jp/data/china/image_1890th/77540543.pdf",77540543)</f>
        <v>77540543</v>
      </c>
      <c r="F3938" s="7" t="s">
        <v>10820</v>
      </c>
      <c r="G3938" s="7" t="s">
        <v>10819</v>
      </c>
      <c r="H3938" s="7" t="s">
        <v>10821</v>
      </c>
      <c r="I3938" s="9">
        <v>45377</v>
      </c>
    </row>
    <row r="3939" spans="1:9" x14ac:dyDescent="0.15">
      <c r="A3939" s="6">
        <v>3938</v>
      </c>
      <c r="B3939" s="7" t="s">
        <v>7</v>
      </c>
      <c r="C3939" s="8">
        <v>1890</v>
      </c>
      <c r="D3939" s="9">
        <v>45449</v>
      </c>
      <c r="E3939" s="13">
        <f>+HYPERLINK("http://trademark.i-assist.jp/data/china/image_1890th/77540697.pdf",77540697)</f>
        <v>77540697</v>
      </c>
      <c r="F3939" s="7" t="s">
        <v>10822</v>
      </c>
      <c r="G3939" s="7" t="s">
        <v>6901</v>
      </c>
      <c r="H3939" s="7" t="s">
        <v>10823</v>
      </c>
      <c r="I3939" s="9">
        <v>45377</v>
      </c>
    </row>
    <row r="3940" spans="1:9" x14ac:dyDescent="0.15">
      <c r="A3940" s="6">
        <v>3939</v>
      </c>
      <c r="B3940" s="7" t="s">
        <v>7</v>
      </c>
      <c r="C3940" s="8">
        <v>1890</v>
      </c>
      <c r="D3940" s="9">
        <v>45449</v>
      </c>
      <c r="E3940" s="13">
        <f>+HYPERLINK("http://trademark.i-assist.jp/data/china/image_1890th/77540757.pdf",77540757)</f>
        <v>77540757</v>
      </c>
      <c r="F3940" s="7" t="s">
        <v>10825</v>
      </c>
      <c r="G3940" s="7" t="s">
        <v>10824</v>
      </c>
      <c r="H3940" s="7" t="s">
        <v>10826</v>
      </c>
      <c r="I3940" s="9">
        <v>45377</v>
      </c>
    </row>
    <row r="3941" spans="1:9" x14ac:dyDescent="0.15">
      <c r="A3941" s="6">
        <v>3940</v>
      </c>
      <c r="B3941" s="7" t="s">
        <v>7</v>
      </c>
      <c r="C3941" s="8">
        <v>1890</v>
      </c>
      <c r="D3941" s="9">
        <v>45449</v>
      </c>
      <c r="E3941" s="13">
        <f>+HYPERLINK("http://trademark.i-assist.jp/data/china/image_1890th/77540797.pdf",77540797)</f>
        <v>77540797</v>
      </c>
      <c r="F3941" s="7" t="s">
        <v>10827</v>
      </c>
      <c r="G3941" s="7" t="s">
        <v>7390</v>
      </c>
      <c r="H3941" s="7" t="s">
        <v>10828</v>
      </c>
      <c r="I3941" s="9">
        <v>45377</v>
      </c>
    </row>
    <row r="3942" spans="1:9" x14ac:dyDescent="0.15">
      <c r="A3942" s="6">
        <v>3941</v>
      </c>
      <c r="B3942" s="7" t="s">
        <v>7</v>
      </c>
      <c r="C3942" s="8">
        <v>1890</v>
      </c>
      <c r="D3942" s="9">
        <v>45449</v>
      </c>
      <c r="E3942" s="13">
        <f>+HYPERLINK("http://trademark.i-assist.jp/data/china/image_1890th/77540809.pdf",77540809)</f>
        <v>77540809</v>
      </c>
      <c r="F3942" s="7" t="s">
        <v>10830</v>
      </c>
      <c r="G3942" s="7" t="s">
        <v>10829</v>
      </c>
      <c r="H3942" s="7" t="s">
        <v>10831</v>
      </c>
      <c r="I3942" s="9">
        <v>45377</v>
      </c>
    </row>
    <row r="3943" spans="1:9" ht="27" x14ac:dyDescent="0.15">
      <c r="A3943" s="6">
        <v>3942</v>
      </c>
      <c r="B3943" s="7" t="s">
        <v>7</v>
      </c>
      <c r="C3943" s="8">
        <v>1890</v>
      </c>
      <c r="D3943" s="9">
        <v>45449</v>
      </c>
      <c r="E3943" s="13">
        <f>+HYPERLINK("http://trademark.i-assist.jp/data/china/image_1890th/77540838.pdf",77540838)</f>
        <v>77540838</v>
      </c>
      <c r="F3943" s="7" t="s">
        <v>10832</v>
      </c>
      <c r="G3943" s="7" t="s">
        <v>10753</v>
      </c>
      <c r="H3943" s="7" t="s">
        <v>10833</v>
      </c>
      <c r="I3943" s="9">
        <v>45377</v>
      </c>
    </row>
    <row r="3944" spans="1:9" x14ac:dyDescent="0.15">
      <c r="A3944" s="6">
        <v>3943</v>
      </c>
      <c r="B3944" s="7" t="s">
        <v>7</v>
      </c>
      <c r="C3944" s="8">
        <v>1890</v>
      </c>
      <c r="D3944" s="9">
        <v>45449</v>
      </c>
      <c r="E3944" s="13">
        <f>+HYPERLINK("http://trademark.i-assist.jp/data/china/image_1890th/77541009.pdf",77541009)</f>
        <v>77541009</v>
      </c>
      <c r="F3944" s="7" t="s">
        <v>10835</v>
      </c>
      <c r="G3944" s="7" t="s">
        <v>10834</v>
      </c>
      <c r="H3944" s="7" t="s">
        <v>10836</v>
      </c>
      <c r="I3944" s="9">
        <v>45377</v>
      </c>
    </row>
    <row r="3945" spans="1:9" x14ac:dyDescent="0.15">
      <c r="A3945" s="6">
        <v>3944</v>
      </c>
      <c r="B3945" s="7" t="s">
        <v>7</v>
      </c>
      <c r="C3945" s="8">
        <v>1890</v>
      </c>
      <c r="D3945" s="9">
        <v>45449</v>
      </c>
      <c r="E3945" s="13">
        <f>+HYPERLINK("http://trademark.i-assist.jp/data/china/image_1890th/77541065.pdf",77541065)</f>
        <v>77541065</v>
      </c>
      <c r="F3945" s="7" t="s">
        <v>10838</v>
      </c>
      <c r="G3945" s="7" t="s">
        <v>10837</v>
      </c>
      <c r="H3945" s="7" t="s">
        <v>10839</v>
      </c>
      <c r="I3945" s="9">
        <v>45377</v>
      </c>
    </row>
    <row r="3946" spans="1:9" ht="27" x14ac:dyDescent="0.15">
      <c r="A3946" s="6">
        <v>3945</v>
      </c>
      <c r="B3946" s="7" t="s">
        <v>7</v>
      </c>
      <c r="C3946" s="8">
        <v>1890</v>
      </c>
      <c r="D3946" s="9">
        <v>45449</v>
      </c>
      <c r="E3946" s="13">
        <f>+HYPERLINK("http://trademark.i-assist.jp/data/china/image_1890th/77541098.pdf",77541098)</f>
        <v>77541098</v>
      </c>
      <c r="F3946" s="7" t="s">
        <v>10841</v>
      </c>
      <c r="G3946" s="7" t="s">
        <v>10840</v>
      </c>
      <c r="H3946" s="7" t="s">
        <v>10842</v>
      </c>
      <c r="I3946" s="9">
        <v>45377</v>
      </c>
    </row>
    <row r="3947" spans="1:9" x14ac:dyDescent="0.15">
      <c r="A3947" s="6">
        <v>3946</v>
      </c>
      <c r="B3947" s="7" t="s">
        <v>7</v>
      </c>
      <c r="C3947" s="8">
        <v>1890</v>
      </c>
      <c r="D3947" s="9">
        <v>45449</v>
      </c>
      <c r="E3947" s="13">
        <f>+HYPERLINK("http://trademark.i-assist.jp/data/china/image_1890th/77541112.pdf",77541112)</f>
        <v>77541112</v>
      </c>
      <c r="F3947" s="7" t="s">
        <v>10844</v>
      </c>
      <c r="G3947" s="7" t="s">
        <v>10843</v>
      </c>
      <c r="H3947" s="7" t="s">
        <v>10845</v>
      </c>
      <c r="I3947" s="9">
        <v>45377</v>
      </c>
    </row>
    <row r="3948" spans="1:9" x14ac:dyDescent="0.15">
      <c r="A3948" s="6">
        <v>3947</v>
      </c>
      <c r="B3948" s="7" t="s">
        <v>7</v>
      </c>
      <c r="C3948" s="8">
        <v>1890</v>
      </c>
      <c r="D3948" s="9">
        <v>45449</v>
      </c>
      <c r="E3948" s="13">
        <f>+HYPERLINK("http://trademark.i-assist.jp/data/china/image_1890th/77541358.pdf",77541358)</f>
        <v>77541358</v>
      </c>
      <c r="F3948" s="7" t="s">
        <v>10846</v>
      </c>
      <c r="G3948" s="7" t="s">
        <v>8149</v>
      </c>
      <c r="H3948" s="7" t="s">
        <v>10847</v>
      </c>
      <c r="I3948" s="9">
        <v>45377</v>
      </c>
    </row>
    <row r="3949" spans="1:9" x14ac:dyDescent="0.15">
      <c r="A3949" s="6">
        <v>3948</v>
      </c>
      <c r="B3949" s="7" t="s">
        <v>7</v>
      </c>
      <c r="C3949" s="8">
        <v>1890</v>
      </c>
      <c r="D3949" s="9">
        <v>45449</v>
      </c>
      <c r="E3949" s="13">
        <f>+HYPERLINK("http://trademark.i-assist.jp/data/china/image_1890th/77541384.pdf",77541384)</f>
        <v>77541384</v>
      </c>
      <c r="F3949" s="7" t="s">
        <v>10849</v>
      </c>
      <c r="G3949" s="7" t="s">
        <v>10848</v>
      </c>
      <c r="H3949" s="7" t="s">
        <v>10850</v>
      </c>
      <c r="I3949" s="9">
        <v>45377</v>
      </c>
    </row>
    <row r="3950" spans="1:9" x14ac:dyDescent="0.15">
      <c r="A3950" s="6">
        <v>3949</v>
      </c>
      <c r="B3950" s="7" t="s">
        <v>7</v>
      </c>
      <c r="C3950" s="8">
        <v>1890</v>
      </c>
      <c r="D3950" s="9">
        <v>45449</v>
      </c>
      <c r="E3950" s="13">
        <f>+HYPERLINK("http://trademark.i-assist.jp/data/china/image_1890th/77541548.pdf",77541548)</f>
        <v>77541548</v>
      </c>
      <c r="F3950" s="7" t="s">
        <v>10852</v>
      </c>
      <c r="G3950" s="7" t="s">
        <v>10851</v>
      </c>
      <c r="H3950" s="7" t="s">
        <v>10853</v>
      </c>
      <c r="I3950" s="9">
        <v>45377</v>
      </c>
    </row>
    <row r="3951" spans="1:9" x14ac:dyDescent="0.15">
      <c r="A3951" s="6">
        <v>3950</v>
      </c>
      <c r="B3951" s="7" t="s">
        <v>7</v>
      </c>
      <c r="C3951" s="8">
        <v>1890</v>
      </c>
      <c r="D3951" s="9">
        <v>45449</v>
      </c>
      <c r="E3951" s="13">
        <f>+HYPERLINK("http://trademark.i-assist.jp/data/china/image_1890th/77541598.pdf",77541598)</f>
        <v>77541598</v>
      </c>
      <c r="F3951" s="7" t="s">
        <v>10855</v>
      </c>
      <c r="G3951" s="7" t="s">
        <v>10854</v>
      </c>
      <c r="H3951" s="7" t="s">
        <v>10856</v>
      </c>
      <c r="I3951" s="9">
        <v>45377</v>
      </c>
    </row>
    <row r="3952" spans="1:9" x14ac:dyDescent="0.15">
      <c r="A3952" s="6">
        <v>3951</v>
      </c>
      <c r="B3952" s="7" t="s">
        <v>7</v>
      </c>
      <c r="C3952" s="8">
        <v>1890</v>
      </c>
      <c r="D3952" s="9">
        <v>45449</v>
      </c>
      <c r="E3952" s="13">
        <f>+HYPERLINK("http://trademark.i-assist.jp/data/china/image_1890th/77541643.pdf",77541643)</f>
        <v>77541643</v>
      </c>
      <c r="F3952" s="7" t="s">
        <v>10858</v>
      </c>
      <c r="G3952" s="7" t="s">
        <v>10857</v>
      </c>
      <c r="H3952" s="7" t="s">
        <v>10859</v>
      </c>
      <c r="I3952" s="9">
        <v>45377</v>
      </c>
    </row>
    <row r="3953" spans="1:9" x14ac:dyDescent="0.15">
      <c r="A3953" s="6">
        <v>3952</v>
      </c>
      <c r="B3953" s="7" t="s">
        <v>7</v>
      </c>
      <c r="C3953" s="8">
        <v>1890</v>
      </c>
      <c r="D3953" s="9">
        <v>45449</v>
      </c>
      <c r="E3953" s="13">
        <f>+HYPERLINK("http://trademark.i-assist.jp/data/china/image_1890th/77541702.pdf",77541702)</f>
        <v>77541702</v>
      </c>
      <c r="F3953" s="7" t="s">
        <v>10861</v>
      </c>
      <c r="G3953" s="7" t="s">
        <v>10860</v>
      </c>
      <c r="H3953" s="7" t="s">
        <v>10862</v>
      </c>
      <c r="I3953" s="9">
        <v>45377</v>
      </c>
    </row>
    <row r="3954" spans="1:9" x14ac:dyDescent="0.15">
      <c r="A3954" s="6">
        <v>3953</v>
      </c>
      <c r="B3954" s="7" t="s">
        <v>7</v>
      </c>
      <c r="C3954" s="8">
        <v>1890</v>
      </c>
      <c r="D3954" s="9">
        <v>45449</v>
      </c>
      <c r="E3954" s="13">
        <f>+HYPERLINK("http://trademark.i-assist.jp/data/china/image_1890th/77541977.pdf",77541977)</f>
        <v>77541977</v>
      </c>
      <c r="F3954" s="7" t="s">
        <v>10864</v>
      </c>
      <c r="G3954" s="7" t="s">
        <v>10863</v>
      </c>
      <c r="H3954" s="7" t="s">
        <v>10865</v>
      </c>
      <c r="I3954" s="9">
        <v>45377</v>
      </c>
    </row>
    <row r="3955" spans="1:9" x14ac:dyDescent="0.15">
      <c r="A3955" s="6">
        <v>3954</v>
      </c>
      <c r="B3955" s="7" t="s">
        <v>7</v>
      </c>
      <c r="C3955" s="8">
        <v>1890</v>
      </c>
      <c r="D3955" s="9">
        <v>45449</v>
      </c>
      <c r="E3955" s="13">
        <f>+HYPERLINK("http://trademark.i-assist.jp/data/china/image_1890th/77542128.pdf",77542128)</f>
        <v>77542128</v>
      </c>
      <c r="F3955" s="7" t="s">
        <v>10867</v>
      </c>
      <c r="G3955" s="7" t="s">
        <v>10866</v>
      </c>
      <c r="H3955" s="7" t="s">
        <v>10868</v>
      </c>
      <c r="I3955" s="9">
        <v>45377</v>
      </c>
    </row>
    <row r="3956" spans="1:9" x14ac:dyDescent="0.15">
      <c r="A3956" s="6">
        <v>3955</v>
      </c>
      <c r="B3956" s="7" t="s">
        <v>7</v>
      </c>
      <c r="C3956" s="8">
        <v>1890</v>
      </c>
      <c r="D3956" s="9">
        <v>45449</v>
      </c>
      <c r="E3956" s="13">
        <f>+HYPERLINK("http://trademark.i-assist.jp/data/china/image_1890th/77542400.pdf",77542400)</f>
        <v>77542400</v>
      </c>
      <c r="F3956" s="7" t="s">
        <v>10870</v>
      </c>
      <c r="G3956" s="7" t="s">
        <v>10869</v>
      </c>
      <c r="H3956" s="7" t="s">
        <v>10871</v>
      </c>
      <c r="I3956" s="9">
        <v>45377</v>
      </c>
    </row>
    <row r="3957" spans="1:9" x14ac:dyDescent="0.15">
      <c r="A3957" s="6">
        <v>3956</v>
      </c>
      <c r="B3957" s="7" t="s">
        <v>7</v>
      </c>
      <c r="C3957" s="8">
        <v>1890</v>
      </c>
      <c r="D3957" s="9">
        <v>45449</v>
      </c>
      <c r="E3957" s="13">
        <f>+HYPERLINK("http://trademark.i-assist.jp/data/china/image_1890th/77543491.pdf",77543491)</f>
        <v>77543491</v>
      </c>
      <c r="F3957" s="7" t="s">
        <v>10873</v>
      </c>
      <c r="G3957" s="7" t="s">
        <v>10872</v>
      </c>
      <c r="H3957" s="7" t="s">
        <v>10874</v>
      </c>
      <c r="I3957" s="9">
        <v>45377</v>
      </c>
    </row>
    <row r="3958" spans="1:9" x14ac:dyDescent="0.15">
      <c r="A3958" s="6">
        <v>3957</v>
      </c>
      <c r="B3958" s="7" t="s">
        <v>7</v>
      </c>
      <c r="C3958" s="8">
        <v>1890</v>
      </c>
      <c r="D3958" s="9">
        <v>45449</v>
      </c>
      <c r="E3958" s="13">
        <f>+HYPERLINK("http://trademark.i-assist.jp/data/china/image_1890th/77543751.pdf",77543751)</f>
        <v>77543751</v>
      </c>
      <c r="F3958" s="7" t="s">
        <v>10876</v>
      </c>
      <c r="G3958" s="7" t="s">
        <v>10875</v>
      </c>
      <c r="H3958" s="7" t="s">
        <v>10877</v>
      </c>
      <c r="I3958" s="9">
        <v>45377</v>
      </c>
    </row>
    <row r="3959" spans="1:9" x14ac:dyDescent="0.15">
      <c r="A3959" s="6">
        <v>3958</v>
      </c>
      <c r="B3959" s="7" t="s">
        <v>7</v>
      </c>
      <c r="C3959" s="8">
        <v>1890</v>
      </c>
      <c r="D3959" s="9">
        <v>45449</v>
      </c>
      <c r="E3959" s="13">
        <f>+HYPERLINK("http://trademark.i-assist.jp/data/china/image_1890th/77544027.pdf",77544027)</f>
        <v>77544027</v>
      </c>
      <c r="F3959" s="7" t="s">
        <v>10879</v>
      </c>
      <c r="G3959" s="7" t="s">
        <v>10878</v>
      </c>
      <c r="H3959" s="7" t="s">
        <v>10880</v>
      </c>
      <c r="I3959" s="9">
        <v>45377</v>
      </c>
    </row>
    <row r="3960" spans="1:9" ht="27" x14ac:dyDescent="0.15">
      <c r="A3960" s="6">
        <v>3959</v>
      </c>
      <c r="B3960" s="7" t="s">
        <v>7</v>
      </c>
      <c r="C3960" s="8">
        <v>1890</v>
      </c>
      <c r="D3960" s="9">
        <v>45449</v>
      </c>
      <c r="E3960" s="13">
        <f>+HYPERLINK("http://trademark.i-assist.jp/data/china/image_1890th/77544054.pdf",77544054)</f>
        <v>77544054</v>
      </c>
      <c r="F3960" s="7" t="s">
        <v>10882</v>
      </c>
      <c r="G3960" s="7" t="s">
        <v>10881</v>
      </c>
      <c r="H3960" s="7" t="s">
        <v>10883</v>
      </c>
      <c r="I3960" s="9">
        <v>45377</v>
      </c>
    </row>
    <row r="3961" spans="1:9" x14ac:dyDescent="0.15">
      <c r="A3961" s="6">
        <v>3960</v>
      </c>
      <c r="B3961" s="7" t="s">
        <v>7</v>
      </c>
      <c r="C3961" s="8">
        <v>1890</v>
      </c>
      <c r="D3961" s="9">
        <v>45449</v>
      </c>
      <c r="E3961" s="13">
        <f>+HYPERLINK("http://trademark.i-assist.jp/data/china/image_1890th/77544105.pdf",77544105)</f>
        <v>77544105</v>
      </c>
      <c r="F3961" s="7" t="s">
        <v>10885</v>
      </c>
      <c r="G3961" s="7" t="s">
        <v>10884</v>
      </c>
      <c r="H3961" s="7" t="s">
        <v>10886</v>
      </c>
      <c r="I3961" s="9">
        <v>45377</v>
      </c>
    </row>
    <row r="3962" spans="1:9" x14ac:dyDescent="0.15">
      <c r="A3962" s="6">
        <v>3961</v>
      </c>
      <c r="B3962" s="7" t="s">
        <v>7</v>
      </c>
      <c r="C3962" s="8">
        <v>1890</v>
      </c>
      <c r="D3962" s="9">
        <v>45449</v>
      </c>
      <c r="E3962" s="13">
        <f>+HYPERLINK("http://trademark.i-assist.jp/data/china/image_1890th/77544308.pdf",77544308)</f>
        <v>77544308</v>
      </c>
      <c r="F3962" s="7" t="s">
        <v>10888</v>
      </c>
      <c r="G3962" s="7" t="s">
        <v>10887</v>
      </c>
      <c r="H3962" s="7" t="s">
        <v>10889</v>
      </c>
      <c r="I3962" s="9">
        <v>45377</v>
      </c>
    </row>
    <row r="3963" spans="1:9" x14ac:dyDescent="0.15">
      <c r="A3963" s="6">
        <v>3962</v>
      </c>
      <c r="B3963" s="7" t="s">
        <v>7</v>
      </c>
      <c r="C3963" s="8">
        <v>1890</v>
      </c>
      <c r="D3963" s="9">
        <v>45449</v>
      </c>
      <c r="E3963" s="13">
        <f>+HYPERLINK("http://trademark.i-assist.jp/data/china/image_1890th/77544416.pdf",77544416)</f>
        <v>77544416</v>
      </c>
      <c r="F3963" s="7" t="s">
        <v>10891</v>
      </c>
      <c r="G3963" s="7" t="s">
        <v>10890</v>
      </c>
      <c r="H3963" s="7" t="s">
        <v>10892</v>
      </c>
      <c r="I3963" s="9">
        <v>45377</v>
      </c>
    </row>
    <row r="3964" spans="1:9" x14ac:dyDescent="0.15">
      <c r="A3964" s="6">
        <v>3963</v>
      </c>
      <c r="B3964" s="7" t="s">
        <v>7</v>
      </c>
      <c r="C3964" s="8">
        <v>1890</v>
      </c>
      <c r="D3964" s="9">
        <v>45449</v>
      </c>
      <c r="E3964" s="13">
        <f>+HYPERLINK("http://trademark.i-assist.jp/data/china/image_1890th/77544655.pdf",77544655)</f>
        <v>77544655</v>
      </c>
      <c r="F3964" s="7" t="s">
        <v>10894</v>
      </c>
      <c r="G3964" s="7" t="s">
        <v>10893</v>
      </c>
      <c r="H3964" s="7" t="s">
        <v>10895</v>
      </c>
      <c r="I3964" s="9">
        <v>45377</v>
      </c>
    </row>
    <row r="3965" spans="1:9" x14ac:dyDescent="0.15">
      <c r="A3965" s="6">
        <v>3964</v>
      </c>
      <c r="B3965" s="7" t="s">
        <v>7</v>
      </c>
      <c r="C3965" s="8">
        <v>1890</v>
      </c>
      <c r="D3965" s="9">
        <v>45449</v>
      </c>
      <c r="E3965" s="13">
        <f>+HYPERLINK("http://trademark.i-assist.jp/data/china/image_1890th/77544774.pdf",77544774)</f>
        <v>77544774</v>
      </c>
      <c r="F3965" s="7" t="s">
        <v>10897</v>
      </c>
      <c r="G3965" s="7" t="s">
        <v>10896</v>
      </c>
      <c r="H3965" s="7" t="s">
        <v>10898</v>
      </c>
      <c r="I3965" s="9">
        <v>45377</v>
      </c>
    </row>
    <row r="3966" spans="1:9" x14ac:dyDescent="0.15">
      <c r="A3966" s="6">
        <v>3965</v>
      </c>
      <c r="B3966" s="7" t="s">
        <v>7</v>
      </c>
      <c r="C3966" s="8">
        <v>1890</v>
      </c>
      <c r="D3966" s="9">
        <v>45449</v>
      </c>
      <c r="E3966" s="13">
        <f>+HYPERLINK("http://trademark.i-assist.jp/data/china/image_1890th/77544851.pdf",77544851)</f>
        <v>77544851</v>
      </c>
      <c r="F3966" s="7" t="s">
        <v>10900</v>
      </c>
      <c r="G3966" s="7" t="s">
        <v>10899</v>
      </c>
      <c r="H3966" s="7" t="s">
        <v>10901</v>
      </c>
      <c r="I3966" s="9">
        <v>45377</v>
      </c>
    </row>
    <row r="3967" spans="1:9" x14ac:dyDescent="0.15">
      <c r="A3967" s="6">
        <v>3966</v>
      </c>
      <c r="B3967" s="7" t="s">
        <v>7</v>
      </c>
      <c r="C3967" s="8">
        <v>1890</v>
      </c>
      <c r="D3967" s="9">
        <v>45449</v>
      </c>
      <c r="E3967" s="13">
        <f>+HYPERLINK("http://trademark.i-assist.jp/data/china/image_1890th/77545187.pdf",77545187)</f>
        <v>77545187</v>
      </c>
      <c r="F3967" s="7" t="s">
        <v>10902</v>
      </c>
      <c r="G3967" s="7" t="s">
        <v>5064</v>
      </c>
      <c r="H3967" s="7" t="s">
        <v>10903</v>
      </c>
      <c r="I3967" s="9">
        <v>45377</v>
      </c>
    </row>
    <row r="3968" spans="1:9" x14ac:dyDescent="0.15">
      <c r="A3968" s="6">
        <v>3967</v>
      </c>
      <c r="B3968" s="7" t="s">
        <v>7</v>
      </c>
      <c r="C3968" s="8">
        <v>1890</v>
      </c>
      <c r="D3968" s="9">
        <v>45449</v>
      </c>
      <c r="E3968" s="13">
        <f>+HYPERLINK("http://trademark.i-assist.jp/data/china/image_1890th/77545222.pdf",77545222)</f>
        <v>77545222</v>
      </c>
      <c r="F3968" s="7" t="s">
        <v>10905</v>
      </c>
      <c r="G3968" s="7" t="s">
        <v>10904</v>
      </c>
      <c r="H3968" s="7" t="s">
        <v>10906</v>
      </c>
      <c r="I3968" s="9">
        <v>45377</v>
      </c>
    </row>
    <row r="3969" spans="1:9" x14ac:dyDescent="0.15">
      <c r="A3969" s="6">
        <v>3968</v>
      </c>
      <c r="B3969" s="7" t="s">
        <v>7</v>
      </c>
      <c r="C3969" s="8">
        <v>1890</v>
      </c>
      <c r="D3969" s="9">
        <v>45449</v>
      </c>
      <c r="E3969" s="13">
        <f>+HYPERLINK("http://trademark.i-assist.jp/data/china/image_1890th/77545418.pdf",77545418)</f>
        <v>77545418</v>
      </c>
      <c r="F3969" s="7" t="s">
        <v>10908</v>
      </c>
      <c r="G3969" s="7" t="s">
        <v>10907</v>
      </c>
      <c r="H3969" s="7" t="s">
        <v>10909</v>
      </c>
      <c r="I3969" s="9">
        <v>45377</v>
      </c>
    </row>
    <row r="3970" spans="1:9" x14ac:dyDescent="0.15">
      <c r="A3970" s="6">
        <v>3969</v>
      </c>
      <c r="B3970" s="7" t="s">
        <v>7</v>
      </c>
      <c r="C3970" s="8">
        <v>1890</v>
      </c>
      <c r="D3970" s="9">
        <v>45449</v>
      </c>
      <c r="E3970" s="13">
        <f>+HYPERLINK("http://trademark.i-assist.jp/data/china/image_1890th/77545467.pdf",77545467)</f>
        <v>77545467</v>
      </c>
      <c r="F3970" s="7" t="s">
        <v>10911</v>
      </c>
      <c r="G3970" s="7" t="s">
        <v>10910</v>
      </c>
      <c r="H3970" s="7" t="s">
        <v>10912</v>
      </c>
      <c r="I3970" s="9">
        <v>45377</v>
      </c>
    </row>
    <row r="3971" spans="1:9" x14ac:dyDescent="0.15">
      <c r="A3971" s="6">
        <v>3970</v>
      </c>
      <c r="B3971" s="7" t="s">
        <v>7</v>
      </c>
      <c r="C3971" s="8">
        <v>1890</v>
      </c>
      <c r="D3971" s="9">
        <v>45449</v>
      </c>
      <c r="E3971" s="13">
        <f>+HYPERLINK("http://trademark.i-assist.jp/data/china/image_1890th/77545605.pdf",77545605)</f>
        <v>77545605</v>
      </c>
      <c r="F3971" s="7" t="s">
        <v>10914</v>
      </c>
      <c r="G3971" s="7" t="s">
        <v>10913</v>
      </c>
      <c r="H3971" s="7" t="s">
        <v>10915</v>
      </c>
      <c r="I3971" s="9">
        <v>45377</v>
      </c>
    </row>
    <row r="3972" spans="1:9" x14ac:dyDescent="0.15">
      <c r="A3972" s="6">
        <v>3971</v>
      </c>
      <c r="B3972" s="7" t="s">
        <v>7</v>
      </c>
      <c r="C3972" s="8">
        <v>1890</v>
      </c>
      <c r="D3972" s="9">
        <v>45449</v>
      </c>
      <c r="E3972" s="13">
        <f>+HYPERLINK("http://trademark.i-assist.jp/data/china/image_1890th/77545702.pdf",77545702)</f>
        <v>77545702</v>
      </c>
      <c r="F3972" s="7" t="s">
        <v>10916</v>
      </c>
      <c r="G3972" s="7" t="s">
        <v>8545</v>
      </c>
      <c r="H3972" s="7" t="s">
        <v>10917</v>
      </c>
      <c r="I3972" s="9">
        <v>45377</v>
      </c>
    </row>
    <row r="3973" spans="1:9" x14ac:dyDescent="0.15">
      <c r="A3973" s="6">
        <v>3972</v>
      </c>
      <c r="B3973" s="7" t="s">
        <v>7</v>
      </c>
      <c r="C3973" s="8">
        <v>1890</v>
      </c>
      <c r="D3973" s="9">
        <v>45449</v>
      </c>
      <c r="E3973" s="13">
        <f>+HYPERLINK("http://trademark.i-assist.jp/data/china/image_1890th/77546009.pdf",77546009)</f>
        <v>77546009</v>
      </c>
      <c r="F3973" s="7" t="s">
        <v>10919</v>
      </c>
      <c r="G3973" s="7" t="s">
        <v>10918</v>
      </c>
      <c r="H3973" s="7" t="s">
        <v>10920</v>
      </c>
      <c r="I3973" s="9">
        <v>45377</v>
      </c>
    </row>
    <row r="3974" spans="1:9" ht="27" x14ac:dyDescent="0.15">
      <c r="A3974" s="6">
        <v>3973</v>
      </c>
      <c r="B3974" s="7" t="s">
        <v>7</v>
      </c>
      <c r="C3974" s="8">
        <v>1890</v>
      </c>
      <c r="D3974" s="9">
        <v>45449</v>
      </c>
      <c r="E3974" s="13">
        <f>+HYPERLINK("http://trademark.i-assist.jp/data/china/image_1890th/77546023.pdf",77546023)</f>
        <v>77546023</v>
      </c>
      <c r="F3974" s="7" t="s">
        <v>10922</v>
      </c>
      <c r="G3974" s="7" t="s">
        <v>10921</v>
      </c>
      <c r="H3974" s="7" t="s">
        <v>10923</v>
      </c>
      <c r="I3974" s="9">
        <v>45377</v>
      </c>
    </row>
    <row r="3975" spans="1:9" x14ac:dyDescent="0.15">
      <c r="A3975" s="6">
        <v>3974</v>
      </c>
      <c r="B3975" s="7" t="s">
        <v>7</v>
      </c>
      <c r="C3975" s="8">
        <v>1890</v>
      </c>
      <c r="D3975" s="9">
        <v>45449</v>
      </c>
      <c r="E3975" s="13">
        <f>+HYPERLINK("http://trademark.i-assist.jp/data/china/image_1890th/77546054.pdf",77546054)</f>
        <v>77546054</v>
      </c>
      <c r="F3975" s="7" t="s">
        <v>10924</v>
      </c>
      <c r="G3975" s="7" t="s">
        <v>8498</v>
      </c>
      <c r="H3975" s="7" t="s">
        <v>10925</v>
      </c>
      <c r="I3975" s="9">
        <v>45377</v>
      </c>
    </row>
    <row r="3976" spans="1:9" x14ac:dyDescent="0.15">
      <c r="A3976" s="6">
        <v>3975</v>
      </c>
      <c r="B3976" s="7" t="s">
        <v>7</v>
      </c>
      <c r="C3976" s="8">
        <v>1890</v>
      </c>
      <c r="D3976" s="9">
        <v>45449</v>
      </c>
      <c r="E3976" s="13">
        <f>+HYPERLINK("http://trademark.i-assist.jp/data/china/image_1890th/77546083.pdf",77546083)</f>
        <v>77546083</v>
      </c>
      <c r="F3976" s="7" t="s">
        <v>10927</v>
      </c>
      <c r="G3976" s="7" t="s">
        <v>10926</v>
      </c>
      <c r="H3976" s="7" t="s">
        <v>10928</v>
      </c>
      <c r="I3976" s="9">
        <v>45377</v>
      </c>
    </row>
    <row r="3977" spans="1:9" x14ac:dyDescent="0.15">
      <c r="A3977" s="6">
        <v>3976</v>
      </c>
      <c r="B3977" s="7" t="s">
        <v>7</v>
      </c>
      <c r="C3977" s="8">
        <v>1890</v>
      </c>
      <c r="D3977" s="9">
        <v>45449</v>
      </c>
      <c r="E3977" s="13">
        <f>+HYPERLINK("http://trademark.i-assist.jp/data/china/image_1890th/77546234.pdf",77546234)</f>
        <v>77546234</v>
      </c>
      <c r="F3977" s="7" t="s">
        <v>10930</v>
      </c>
      <c r="G3977" s="7" t="s">
        <v>10929</v>
      </c>
      <c r="H3977" s="7" t="s">
        <v>10931</v>
      </c>
      <c r="I3977" s="9">
        <v>45377</v>
      </c>
    </row>
    <row r="3978" spans="1:9" x14ac:dyDescent="0.15">
      <c r="A3978" s="6">
        <v>3977</v>
      </c>
      <c r="B3978" s="7" t="s">
        <v>7</v>
      </c>
      <c r="C3978" s="8">
        <v>1890</v>
      </c>
      <c r="D3978" s="9">
        <v>45449</v>
      </c>
      <c r="E3978" s="13">
        <f>+HYPERLINK("http://trademark.i-assist.jp/data/china/image_1890th/77546718.pdf",77546718)</f>
        <v>77546718</v>
      </c>
      <c r="F3978" s="7" t="s">
        <v>10933</v>
      </c>
      <c r="G3978" s="7" t="s">
        <v>10932</v>
      </c>
      <c r="H3978" s="7" t="s">
        <v>10934</v>
      </c>
      <c r="I3978" s="9">
        <v>45377</v>
      </c>
    </row>
    <row r="3979" spans="1:9" ht="27" x14ac:dyDescent="0.15">
      <c r="A3979" s="6">
        <v>3978</v>
      </c>
      <c r="B3979" s="7" t="s">
        <v>7</v>
      </c>
      <c r="C3979" s="8">
        <v>1890</v>
      </c>
      <c r="D3979" s="9">
        <v>45449</v>
      </c>
      <c r="E3979" s="13">
        <f>+HYPERLINK("http://trademark.i-assist.jp/data/china/image_1890th/77546825.pdf",77546825)</f>
        <v>77546825</v>
      </c>
      <c r="F3979" s="7" t="s">
        <v>10935</v>
      </c>
      <c r="G3979" s="7" t="s">
        <v>10747</v>
      </c>
      <c r="H3979" s="7" t="s">
        <v>10936</v>
      </c>
      <c r="I3979" s="9">
        <v>45377</v>
      </c>
    </row>
    <row r="3980" spans="1:9" x14ac:dyDescent="0.15">
      <c r="A3980" s="6">
        <v>3979</v>
      </c>
      <c r="B3980" s="7" t="s">
        <v>7</v>
      </c>
      <c r="C3980" s="8">
        <v>1890</v>
      </c>
      <c r="D3980" s="9">
        <v>45449</v>
      </c>
      <c r="E3980" s="13">
        <f>+HYPERLINK("http://trademark.i-assist.jp/data/china/image_1890th/77546912.pdf",77546912)</f>
        <v>77546912</v>
      </c>
      <c r="F3980" s="7" t="s">
        <v>10938</v>
      </c>
      <c r="G3980" s="7" t="s">
        <v>10937</v>
      </c>
      <c r="H3980" s="7" t="s">
        <v>10939</v>
      </c>
      <c r="I3980" s="9">
        <v>45377</v>
      </c>
    </row>
    <row r="3981" spans="1:9" x14ac:dyDescent="0.15">
      <c r="A3981" s="6">
        <v>3980</v>
      </c>
      <c r="B3981" s="7" t="s">
        <v>7</v>
      </c>
      <c r="C3981" s="8">
        <v>1890</v>
      </c>
      <c r="D3981" s="9">
        <v>45449</v>
      </c>
      <c r="E3981" s="13">
        <f>+HYPERLINK("http://trademark.i-assist.jp/data/china/image_1890th/77548047.pdf",77548047)</f>
        <v>77548047</v>
      </c>
      <c r="F3981" s="7" t="s">
        <v>10941</v>
      </c>
      <c r="G3981" s="7" t="s">
        <v>10940</v>
      </c>
      <c r="H3981" s="7" t="s">
        <v>10942</v>
      </c>
      <c r="I3981" s="9">
        <v>45377</v>
      </c>
    </row>
    <row r="3982" spans="1:9" x14ac:dyDescent="0.15">
      <c r="A3982" s="6">
        <v>3981</v>
      </c>
      <c r="B3982" s="7" t="s">
        <v>7</v>
      </c>
      <c r="C3982" s="8">
        <v>1890</v>
      </c>
      <c r="D3982" s="9">
        <v>45449</v>
      </c>
      <c r="E3982" s="13">
        <f>+HYPERLINK("http://trademark.i-assist.jp/data/china/image_1890th/77548316.pdf",77548316)</f>
        <v>77548316</v>
      </c>
      <c r="F3982" s="7" t="s">
        <v>10944</v>
      </c>
      <c r="G3982" s="7" t="s">
        <v>10943</v>
      </c>
      <c r="H3982" s="7" t="s">
        <v>10945</v>
      </c>
      <c r="I3982" s="9">
        <v>45377</v>
      </c>
    </row>
    <row r="3983" spans="1:9" x14ac:dyDescent="0.15">
      <c r="A3983" s="6">
        <v>3982</v>
      </c>
      <c r="B3983" s="7" t="s">
        <v>7</v>
      </c>
      <c r="C3983" s="8">
        <v>1890</v>
      </c>
      <c r="D3983" s="9">
        <v>45449</v>
      </c>
      <c r="E3983" s="13">
        <f>+HYPERLINK("http://trademark.i-assist.jp/data/china/image_1890th/77548422.pdf",77548422)</f>
        <v>77548422</v>
      </c>
      <c r="F3983" s="7" t="s">
        <v>10946</v>
      </c>
      <c r="G3983" s="7" t="s">
        <v>8517</v>
      </c>
      <c r="H3983" s="7" t="s">
        <v>10947</v>
      </c>
      <c r="I3983" s="9">
        <v>45377</v>
      </c>
    </row>
    <row r="3984" spans="1:9" x14ac:dyDescent="0.15">
      <c r="A3984" s="6">
        <v>3983</v>
      </c>
      <c r="B3984" s="7" t="s">
        <v>7</v>
      </c>
      <c r="C3984" s="8">
        <v>1890</v>
      </c>
      <c r="D3984" s="9">
        <v>45449</v>
      </c>
      <c r="E3984" s="13">
        <f>+HYPERLINK("http://trademark.i-assist.jp/data/china/image_1890th/77549230.pdf",77549230)</f>
        <v>77549230</v>
      </c>
      <c r="F3984" s="7" t="s">
        <v>10949</v>
      </c>
      <c r="G3984" s="7" t="s">
        <v>10948</v>
      </c>
      <c r="H3984" s="7" t="s">
        <v>10950</v>
      </c>
      <c r="I3984" s="9">
        <v>45377</v>
      </c>
    </row>
    <row r="3985" spans="1:9" x14ac:dyDescent="0.15">
      <c r="A3985" s="6">
        <v>3984</v>
      </c>
      <c r="B3985" s="7" t="s">
        <v>7</v>
      </c>
      <c r="C3985" s="8">
        <v>1890</v>
      </c>
      <c r="D3985" s="9">
        <v>45449</v>
      </c>
      <c r="E3985" s="13">
        <f>+HYPERLINK("http://trademark.i-assist.jp/data/china/image_1890th/77549341.pdf",77549341)</f>
        <v>77549341</v>
      </c>
      <c r="F3985" s="7" t="s">
        <v>10952</v>
      </c>
      <c r="G3985" s="7" t="s">
        <v>10951</v>
      </c>
      <c r="H3985" s="7" t="s">
        <v>10953</v>
      </c>
      <c r="I3985" s="9">
        <v>45377</v>
      </c>
    </row>
    <row r="3986" spans="1:9" x14ac:dyDescent="0.15">
      <c r="A3986" s="6">
        <v>3985</v>
      </c>
      <c r="B3986" s="7" t="s">
        <v>7</v>
      </c>
      <c r="C3986" s="8">
        <v>1890</v>
      </c>
      <c r="D3986" s="9">
        <v>45449</v>
      </c>
      <c r="E3986" s="13">
        <f>+HYPERLINK("http://trademark.i-assist.jp/data/china/image_1890th/77549758.pdf",77549758)</f>
        <v>77549758</v>
      </c>
      <c r="F3986" s="7" t="s">
        <v>10955</v>
      </c>
      <c r="G3986" s="7" t="s">
        <v>10954</v>
      </c>
      <c r="H3986" s="7" t="s">
        <v>10956</v>
      </c>
      <c r="I3986" s="9">
        <v>45377</v>
      </c>
    </row>
    <row r="3987" spans="1:9" x14ac:dyDescent="0.15">
      <c r="A3987" s="6">
        <v>3986</v>
      </c>
      <c r="B3987" s="7" t="s">
        <v>7</v>
      </c>
      <c r="C3987" s="8">
        <v>1890</v>
      </c>
      <c r="D3987" s="9">
        <v>45449</v>
      </c>
      <c r="E3987" s="13">
        <f>+HYPERLINK("http://trademark.i-assist.jp/data/china/image_1890th/77550102.pdf",77550102)</f>
        <v>77550102</v>
      </c>
      <c r="F3987" s="7" t="s">
        <v>10957</v>
      </c>
      <c r="G3987" s="7" t="s">
        <v>8553</v>
      </c>
      <c r="H3987" s="7" t="s">
        <v>10958</v>
      </c>
      <c r="I3987" s="9">
        <v>45377</v>
      </c>
    </row>
    <row r="3988" spans="1:9" x14ac:dyDescent="0.15">
      <c r="A3988" s="6">
        <v>3987</v>
      </c>
      <c r="B3988" s="7" t="s">
        <v>7</v>
      </c>
      <c r="C3988" s="8">
        <v>1890</v>
      </c>
      <c r="D3988" s="9">
        <v>45449</v>
      </c>
      <c r="E3988" s="13">
        <f>+HYPERLINK("http://trademark.i-assist.jp/data/china/image_1890th/77550475.pdf",77550475)</f>
        <v>77550475</v>
      </c>
      <c r="F3988" s="7" t="s">
        <v>10959</v>
      </c>
      <c r="G3988" s="7" t="s">
        <v>14</v>
      </c>
      <c r="H3988" s="7" t="s">
        <v>10960</v>
      </c>
      <c r="I3988" s="9">
        <v>45377</v>
      </c>
    </row>
    <row r="3989" spans="1:9" x14ac:dyDescent="0.15">
      <c r="A3989" s="6">
        <v>3988</v>
      </c>
      <c r="B3989" s="7" t="s">
        <v>7</v>
      </c>
      <c r="C3989" s="8">
        <v>1890</v>
      </c>
      <c r="D3989" s="9">
        <v>45449</v>
      </c>
      <c r="E3989" s="13">
        <f>+HYPERLINK("http://trademark.i-assist.jp/data/china/image_1890th/77550575.pdf",77550575)</f>
        <v>77550575</v>
      </c>
      <c r="F3989" s="7" t="s">
        <v>10961</v>
      </c>
      <c r="G3989" s="7" t="s">
        <v>8553</v>
      </c>
      <c r="H3989" s="7" t="s">
        <v>10962</v>
      </c>
      <c r="I3989" s="9">
        <v>45377</v>
      </c>
    </row>
    <row r="3990" spans="1:9" x14ac:dyDescent="0.15">
      <c r="A3990" s="6">
        <v>3989</v>
      </c>
      <c r="B3990" s="7" t="s">
        <v>7</v>
      </c>
      <c r="C3990" s="8">
        <v>1890</v>
      </c>
      <c r="D3990" s="9">
        <v>45449</v>
      </c>
      <c r="E3990" s="13">
        <f>+HYPERLINK("http://trademark.i-assist.jp/data/china/image_1890th/77550891.pdf",77550891)</f>
        <v>77550891</v>
      </c>
      <c r="F3990" s="7" t="s">
        <v>10964</v>
      </c>
      <c r="G3990" s="7" t="s">
        <v>10963</v>
      </c>
      <c r="H3990" s="7" t="s">
        <v>10965</v>
      </c>
      <c r="I3990" s="9">
        <v>45377</v>
      </c>
    </row>
    <row r="3991" spans="1:9" x14ac:dyDescent="0.15">
      <c r="A3991" s="6">
        <v>3990</v>
      </c>
      <c r="B3991" s="7" t="s">
        <v>7</v>
      </c>
      <c r="C3991" s="8">
        <v>1890</v>
      </c>
      <c r="D3991" s="9">
        <v>45449</v>
      </c>
      <c r="E3991" s="13">
        <f>+HYPERLINK("http://trademark.i-assist.jp/data/china/image_1890th/77551418.pdf",77551418)</f>
        <v>77551418</v>
      </c>
      <c r="F3991" s="7" t="s">
        <v>10966</v>
      </c>
      <c r="G3991" s="7" t="s">
        <v>8545</v>
      </c>
      <c r="H3991" s="7" t="s">
        <v>10967</v>
      </c>
      <c r="I3991" s="9">
        <v>45377</v>
      </c>
    </row>
    <row r="3992" spans="1:9" x14ac:dyDescent="0.15">
      <c r="A3992" s="6">
        <v>3991</v>
      </c>
      <c r="B3992" s="7" t="s">
        <v>7</v>
      </c>
      <c r="C3992" s="8">
        <v>1890</v>
      </c>
      <c r="D3992" s="9">
        <v>45449</v>
      </c>
      <c r="E3992" s="13">
        <f>+HYPERLINK("http://trademark.i-assist.jp/data/china/image_1890th/77552596.pdf",77552596)</f>
        <v>77552596</v>
      </c>
      <c r="F3992" s="7" t="s">
        <v>10969</v>
      </c>
      <c r="G3992" s="7" t="s">
        <v>10968</v>
      </c>
      <c r="H3992" s="7" t="s">
        <v>10970</v>
      </c>
      <c r="I3992" s="9">
        <v>45377</v>
      </c>
    </row>
    <row r="3993" spans="1:9" x14ac:dyDescent="0.15">
      <c r="A3993" s="6">
        <v>3992</v>
      </c>
      <c r="B3993" s="7" t="s">
        <v>7</v>
      </c>
      <c r="C3993" s="8">
        <v>1890</v>
      </c>
      <c r="D3993" s="9">
        <v>45449</v>
      </c>
      <c r="E3993" s="13">
        <f>+HYPERLINK("http://trademark.i-assist.jp/data/china/image_1890th/77552853.pdf",77552853)</f>
        <v>77552853</v>
      </c>
      <c r="F3993" s="7" t="s">
        <v>10972</v>
      </c>
      <c r="G3993" s="7" t="s">
        <v>10971</v>
      </c>
      <c r="H3993" s="7" t="s">
        <v>10973</v>
      </c>
      <c r="I3993" s="9">
        <v>45377</v>
      </c>
    </row>
    <row r="3994" spans="1:9" ht="27" x14ac:dyDescent="0.15">
      <c r="A3994" s="6">
        <v>3993</v>
      </c>
      <c r="B3994" s="7" t="s">
        <v>7</v>
      </c>
      <c r="C3994" s="8">
        <v>1890</v>
      </c>
      <c r="D3994" s="9">
        <v>45449</v>
      </c>
      <c r="E3994" s="13">
        <f>+HYPERLINK("http://trademark.i-assist.jp/data/china/image_1890th/77552957.pdf",77552957)</f>
        <v>77552957</v>
      </c>
      <c r="F3994" s="7" t="s">
        <v>10975</v>
      </c>
      <c r="G3994" s="7" t="s">
        <v>10974</v>
      </c>
      <c r="H3994" s="7" t="s">
        <v>10976</v>
      </c>
      <c r="I3994" s="9">
        <v>45377</v>
      </c>
    </row>
    <row r="3995" spans="1:9" x14ac:dyDescent="0.15">
      <c r="A3995" s="6">
        <v>3994</v>
      </c>
      <c r="B3995" s="7" t="s">
        <v>7</v>
      </c>
      <c r="C3995" s="8">
        <v>1890</v>
      </c>
      <c r="D3995" s="9">
        <v>45449</v>
      </c>
      <c r="E3995" s="13">
        <f>+HYPERLINK("http://trademark.i-assist.jp/data/china/image_1890th/77553012.pdf",77553012)</f>
        <v>77553012</v>
      </c>
      <c r="F3995" s="7" t="s">
        <v>10977</v>
      </c>
      <c r="G3995" s="7" t="s">
        <v>3294</v>
      </c>
      <c r="H3995" s="7" t="s">
        <v>10978</v>
      </c>
      <c r="I3995" s="9">
        <v>45377</v>
      </c>
    </row>
    <row r="3996" spans="1:9" ht="27" x14ac:dyDescent="0.15">
      <c r="A3996" s="6">
        <v>3995</v>
      </c>
      <c r="B3996" s="7" t="s">
        <v>7</v>
      </c>
      <c r="C3996" s="8">
        <v>1890</v>
      </c>
      <c r="D3996" s="9">
        <v>45449</v>
      </c>
      <c r="E3996" s="13">
        <f>+HYPERLINK("http://trademark.i-assist.jp/data/china/image_1890th/77553440.pdf",77553440)</f>
        <v>77553440</v>
      </c>
      <c r="F3996" s="7" t="s">
        <v>10980</v>
      </c>
      <c r="G3996" s="7" t="s">
        <v>10979</v>
      </c>
      <c r="H3996" s="7" t="s">
        <v>10981</v>
      </c>
      <c r="I3996" s="9">
        <v>45377</v>
      </c>
    </row>
    <row r="3997" spans="1:9" x14ac:dyDescent="0.15">
      <c r="A3997" s="6">
        <v>3996</v>
      </c>
      <c r="B3997" s="7" t="s">
        <v>7</v>
      </c>
      <c r="C3997" s="8">
        <v>1890</v>
      </c>
      <c r="D3997" s="9">
        <v>45449</v>
      </c>
      <c r="E3997" s="13">
        <f>+HYPERLINK("http://trademark.i-assist.jp/data/china/image_1890th/77553652.pdf",77553652)</f>
        <v>77553652</v>
      </c>
      <c r="F3997" s="7" t="s">
        <v>10982</v>
      </c>
      <c r="G3997" s="7" t="s">
        <v>10890</v>
      </c>
      <c r="H3997" s="7" t="s">
        <v>10983</v>
      </c>
      <c r="I3997" s="9">
        <v>45377</v>
      </c>
    </row>
    <row r="3998" spans="1:9" x14ac:dyDescent="0.15">
      <c r="A3998" s="6">
        <v>3997</v>
      </c>
      <c r="B3998" s="7" t="s">
        <v>7</v>
      </c>
      <c r="C3998" s="8">
        <v>1890</v>
      </c>
      <c r="D3998" s="9">
        <v>45449</v>
      </c>
      <c r="E3998" s="13">
        <f>+HYPERLINK("http://trademark.i-assist.jp/data/china/image_1890th/77553774.pdf",77553774)</f>
        <v>77553774</v>
      </c>
      <c r="F3998" s="7" t="s">
        <v>10985</v>
      </c>
      <c r="G3998" s="7" t="s">
        <v>10984</v>
      </c>
      <c r="H3998" s="7" t="s">
        <v>10986</v>
      </c>
      <c r="I3998" s="9">
        <v>45377</v>
      </c>
    </row>
    <row r="3999" spans="1:9" x14ac:dyDescent="0.15">
      <c r="A3999" s="6">
        <v>3998</v>
      </c>
      <c r="B3999" s="7" t="s">
        <v>7</v>
      </c>
      <c r="C3999" s="8">
        <v>1890</v>
      </c>
      <c r="D3999" s="9">
        <v>45449</v>
      </c>
      <c r="E3999" s="13">
        <f>+HYPERLINK("http://trademark.i-assist.jp/data/china/image_1890th/77562916.pdf",77562916)</f>
        <v>77562916</v>
      </c>
      <c r="F3999" s="7" t="s">
        <v>10987</v>
      </c>
      <c r="G3999" s="7" t="s">
        <v>4203</v>
      </c>
      <c r="H3999" s="7" t="s">
        <v>10988</v>
      </c>
      <c r="I3999" s="9">
        <v>45377</v>
      </c>
    </row>
    <row r="4000" spans="1:9" x14ac:dyDescent="0.15">
      <c r="A4000" s="6">
        <v>3999</v>
      </c>
      <c r="B4000" s="7" t="s">
        <v>7</v>
      </c>
      <c r="C4000" s="8">
        <v>1890</v>
      </c>
      <c r="D4000" s="9">
        <v>45449</v>
      </c>
      <c r="E4000" s="13">
        <f>+HYPERLINK("http://trademark.i-assist.jp/data/china/image_1890th/77562953.pdf",77562953)</f>
        <v>77562953</v>
      </c>
      <c r="F4000" s="7" t="s">
        <v>10989</v>
      </c>
      <c r="G4000" s="7" t="s">
        <v>10989</v>
      </c>
      <c r="H4000" s="7" t="s">
        <v>10990</v>
      </c>
      <c r="I4000" s="9">
        <v>45377</v>
      </c>
    </row>
    <row r="4001" spans="1:9" x14ac:dyDescent="0.15">
      <c r="A4001" s="6">
        <v>4000</v>
      </c>
      <c r="B4001" s="7" t="s">
        <v>7</v>
      </c>
      <c r="C4001" s="8">
        <v>1890</v>
      </c>
      <c r="D4001" s="9">
        <v>45449</v>
      </c>
      <c r="E4001" s="13">
        <f>+HYPERLINK("http://trademark.i-assist.jp/data/china/image_1890th/77563121.pdf",77563121)</f>
        <v>77563121</v>
      </c>
      <c r="F4001" s="7" t="s">
        <v>10991</v>
      </c>
      <c r="G4001" s="7" t="s">
        <v>10860</v>
      </c>
      <c r="H4001" s="7" t="s">
        <v>10992</v>
      </c>
      <c r="I4001" s="9">
        <v>45377</v>
      </c>
    </row>
    <row r="4002" spans="1:9" x14ac:dyDescent="0.15">
      <c r="A4002" s="6">
        <v>4001</v>
      </c>
      <c r="B4002" s="7" t="s">
        <v>7</v>
      </c>
      <c r="C4002" s="8">
        <v>1890</v>
      </c>
      <c r="D4002" s="9">
        <v>45449</v>
      </c>
      <c r="E4002" s="13">
        <f>+HYPERLINK("http://trademark.i-assist.jp/data/china/image_1890th/77563145.pdf",77563145)</f>
        <v>77563145</v>
      </c>
      <c r="F4002" s="7" t="s">
        <v>10993</v>
      </c>
      <c r="G4002" s="7" t="s">
        <v>10784</v>
      </c>
      <c r="H4002" s="7" t="s">
        <v>10994</v>
      </c>
      <c r="I4002" s="9">
        <v>45377</v>
      </c>
    </row>
    <row r="4003" spans="1:9" x14ac:dyDescent="0.15">
      <c r="A4003" s="6">
        <v>4002</v>
      </c>
      <c r="B4003" s="7" t="s">
        <v>7</v>
      </c>
      <c r="C4003" s="8">
        <v>1890</v>
      </c>
      <c r="D4003" s="9">
        <v>45449</v>
      </c>
      <c r="E4003" s="13">
        <f>+HYPERLINK("http://trademark.i-assist.jp/data/china/image_1890th/77563461.pdf",77563461)</f>
        <v>77563461</v>
      </c>
      <c r="F4003" s="7" t="s">
        <v>10996</v>
      </c>
      <c r="G4003" s="7" t="s">
        <v>10995</v>
      </c>
      <c r="H4003" s="7" t="s">
        <v>10997</v>
      </c>
      <c r="I4003" s="9">
        <v>45377</v>
      </c>
    </row>
    <row r="4004" spans="1:9" ht="27" x14ac:dyDescent="0.15">
      <c r="A4004" s="6">
        <v>4003</v>
      </c>
      <c r="B4004" s="7" t="s">
        <v>7</v>
      </c>
      <c r="C4004" s="8">
        <v>1890</v>
      </c>
      <c r="D4004" s="9">
        <v>45449</v>
      </c>
      <c r="E4004" s="13">
        <f>+HYPERLINK("http://trademark.i-assist.jp/data/china/image_1890th/77563912.pdf",77563912)</f>
        <v>77563912</v>
      </c>
      <c r="F4004" s="7" t="s">
        <v>10998</v>
      </c>
      <c r="G4004" s="7" t="s">
        <v>10753</v>
      </c>
      <c r="H4004" s="7" t="s">
        <v>10999</v>
      </c>
      <c r="I4004" s="9">
        <v>45377</v>
      </c>
    </row>
    <row r="4005" spans="1:9" ht="27" x14ac:dyDescent="0.15">
      <c r="A4005" s="6">
        <v>4004</v>
      </c>
      <c r="B4005" s="7" t="s">
        <v>7</v>
      </c>
      <c r="C4005" s="8">
        <v>1890</v>
      </c>
      <c r="D4005" s="9">
        <v>45449</v>
      </c>
      <c r="E4005" s="13">
        <f>+HYPERLINK("http://trademark.i-assist.jp/data/china/image_1890th/77564180.pdf",77564180)</f>
        <v>77564180</v>
      </c>
      <c r="F4005" s="7" t="s">
        <v>11001</v>
      </c>
      <c r="G4005" s="7" t="s">
        <v>11000</v>
      </c>
      <c r="H4005" s="7" t="s">
        <v>11002</v>
      </c>
      <c r="I4005" s="9">
        <v>45377</v>
      </c>
    </row>
    <row r="4006" spans="1:9" x14ac:dyDescent="0.15">
      <c r="A4006" s="6">
        <v>4005</v>
      </c>
      <c r="B4006" s="7" t="s">
        <v>7</v>
      </c>
      <c r="C4006" s="8">
        <v>1890</v>
      </c>
      <c r="D4006" s="9">
        <v>45449</v>
      </c>
      <c r="E4006" s="13">
        <f>+HYPERLINK("http://trademark.i-assist.jp/data/china/image_1890th/77564502.pdf",77564502)</f>
        <v>77564502</v>
      </c>
      <c r="F4006" s="7" t="s">
        <v>11004</v>
      </c>
      <c r="G4006" s="7" t="s">
        <v>11003</v>
      </c>
      <c r="H4006" s="7" t="s">
        <v>11005</v>
      </c>
      <c r="I4006" s="9">
        <v>45377</v>
      </c>
    </row>
    <row r="4007" spans="1:9" x14ac:dyDescent="0.15">
      <c r="A4007" s="6">
        <v>4006</v>
      </c>
      <c r="B4007" s="7" t="s">
        <v>7</v>
      </c>
      <c r="C4007" s="8">
        <v>1890</v>
      </c>
      <c r="D4007" s="9">
        <v>45449</v>
      </c>
      <c r="E4007" s="13">
        <f>+HYPERLINK("http://trademark.i-assist.jp/data/china/image_1890th/77564870.pdf",77564870)</f>
        <v>77564870</v>
      </c>
      <c r="F4007" s="7" t="s">
        <v>11007</v>
      </c>
      <c r="G4007" s="7" t="s">
        <v>11006</v>
      </c>
      <c r="H4007" s="7" t="s">
        <v>11008</v>
      </c>
      <c r="I4007" s="9">
        <v>45377</v>
      </c>
    </row>
    <row r="4008" spans="1:9" x14ac:dyDescent="0.15">
      <c r="A4008" s="6">
        <v>4007</v>
      </c>
      <c r="B4008" s="7" t="s">
        <v>7</v>
      </c>
      <c r="C4008" s="8">
        <v>1890</v>
      </c>
      <c r="D4008" s="9">
        <v>45449</v>
      </c>
      <c r="E4008" s="13">
        <f>+HYPERLINK("http://trademark.i-assist.jp/data/china/image_1890th/77565655.pdf",77565655)</f>
        <v>77565655</v>
      </c>
      <c r="F4008" s="7" t="s">
        <v>11009</v>
      </c>
      <c r="G4008" s="7" t="s">
        <v>10228</v>
      </c>
      <c r="H4008" s="7" t="s">
        <v>11010</v>
      </c>
      <c r="I4008" s="9">
        <v>45377</v>
      </c>
    </row>
    <row r="4009" spans="1:9" x14ac:dyDescent="0.15">
      <c r="A4009" s="6">
        <v>4008</v>
      </c>
      <c r="B4009" s="7" t="s">
        <v>7</v>
      </c>
      <c r="C4009" s="8">
        <v>1890</v>
      </c>
      <c r="D4009" s="9">
        <v>45449</v>
      </c>
      <c r="E4009" s="13">
        <f>+HYPERLINK("http://trademark.i-assist.jp/data/china/image_1890th/77566348.pdf",77566348)</f>
        <v>77566348</v>
      </c>
      <c r="F4009" s="7" t="s">
        <v>11011</v>
      </c>
      <c r="G4009" s="7" t="s">
        <v>8498</v>
      </c>
      <c r="H4009" s="7" t="s">
        <v>11012</v>
      </c>
      <c r="I4009" s="9">
        <v>45377</v>
      </c>
    </row>
    <row r="4010" spans="1:9" x14ac:dyDescent="0.15">
      <c r="A4010" s="6">
        <v>4009</v>
      </c>
      <c r="B4010" s="7" t="s">
        <v>7</v>
      </c>
      <c r="C4010" s="8">
        <v>1890</v>
      </c>
      <c r="D4010" s="9">
        <v>45449</v>
      </c>
      <c r="E4010" s="13">
        <f>+HYPERLINK("http://trademark.i-assist.jp/data/china/image_1890th/77566369.pdf",77566369)</f>
        <v>77566369</v>
      </c>
      <c r="F4010" s="7" t="s">
        <v>11014</v>
      </c>
      <c r="G4010" s="7" t="s">
        <v>11013</v>
      </c>
      <c r="H4010" s="7" t="s">
        <v>11015</v>
      </c>
      <c r="I4010" s="9">
        <v>45377</v>
      </c>
    </row>
    <row r="4011" spans="1:9" x14ac:dyDescent="0.15">
      <c r="A4011" s="6">
        <v>4010</v>
      </c>
      <c r="B4011" s="7" t="s">
        <v>7</v>
      </c>
      <c r="C4011" s="8">
        <v>1890</v>
      </c>
      <c r="D4011" s="9">
        <v>45449</v>
      </c>
      <c r="E4011" s="13">
        <f>+HYPERLINK("http://trademark.i-assist.jp/data/china/image_1890th/77566534.pdf",77566534)</f>
        <v>77566534</v>
      </c>
      <c r="F4011" s="7" t="s">
        <v>11017</v>
      </c>
      <c r="G4011" s="7" t="s">
        <v>11016</v>
      </c>
      <c r="H4011" s="7" t="s">
        <v>11018</v>
      </c>
      <c r="I4011" s="9">
        <v>45377</v>
      </c>
    </row>
    <row r="4012" spans="1:9" x14ac:dyDescent="0.15">
      <c r="A4012" s="6">
        <v>4011</v>
      </c>
      <c r="B4012" s="7" t="s">
        <v>7</v>
      </c>
      <c r="C4012" s="8">
        <v>1890</v>
      </c>
      <c r="D4012" s="9">
        <v>45449</v>
      </c>
      <c r="E4012" s="13">
        <f>+HYPERLINK("http://trademark.i-assist.jp/data/china/image_1890th/77566704.pdf",77566704)</f>
        <v>77566704</v>
      </c>
      <c r="F4012" s="7" t="s">
        <v>11020</v>
      </c>
      <c r="G4012" s="7" t="s">
        <v>11019</v>
      </c>
      <c r="H4012" s="7" t="s">
        <v>11021</v>
      </c>
      <c r="I4012" s="9">
        <v>45378</v>
      </c>
    </row>
    <row r="4013" spans="1:9" x14ac:dyDescent="0.15">
      <c r="A4013" s="6">
        <v>4012</v>
      </c>
      <c r="B4013" s="7" t="s">
        <v>7</v>
      </c>
      <c r="C4013" s="8">
        <v>1890</v>
      </c>
      <c r="D4013" s="9">
        <v>45449</v>
      </c>
      <c r="E4013" s="13">
        <f>+HYPERLINK("http://trademark.i-assist.jp/data/china/image_1890th/77579565.pdf",77579565)</f>
        <v>77579565</v>
      </c>
      <c r="F4013" s="7" t="s">
        <v>183</v>
      </c>
      <c r="G4013" s="7" t="s">
        <v>11022</v>
      </c>
      <c r="H4013" s="7" t="s">
        <v>11023</v>
      </c>
      <c r="I4013" s="9">
        <v>45378</v>
      </c>
    </row>
    <row r="4014" spans="1:9" x14ac:dyDescent="0.15">
      <c r="A4014" s="6">
        <v>4013</v>
      </c>
      <c r="B4014" s="7" t="s">
        <v>7</v>
      </c>
      <c r="C4014" s="8">
        <v>1890</v>
      </c>
      <c r="D4014" s="9">
        <v>45449</v>
      </c>
      <c r="E4014" s="13">
        <f>+HYPERLINK("http://trademark.i-assist.jp/data/china/image_1890th/77580757.pdf",77580757)</f>
        <v>77580757</v>
      </c>
      <c r="F4014" s="7" t="s">
        <v>11025</v>
      </c>
      <c r="G4014" s="7" t="s">
        <v>11024</v>
      </c>
      <c r="H4014" s="7" t="s">
        <v>11026</v>
      </c>
      <c r="I4014" s="9">
        <v>45378</v>
      </c>
    </row>
    <row r="4015" spans="1:9" x14ac:dyDescent="0.15">
      <c r="A4015" s="6">
        <v>4014</v>
      </c>
      <c r="B4015" s="7" t="s">
        <v>7</v>
      </c>
      <c r="C4015" s="8">
        <v>1890</v>
      </c>
      <c r="D4015" s="9">
        <v>45449</v>
      </c>
      <c r="E4015" s="13">
        <f>+HYPERLINK("http://trademark.i-assist.jp/data/china/image_1890th/77581028.pdf",77581028)</f>
        <v>77581028</v>
      </c>
      <c r="F4015" s="7" t="s">
        <v>11027</v>
      </c>
      <c r="G4015" s="7" t="s">
        <v>2013</v>
      </c>
      <c r="H4015" s="7" t="s">
        <v>11028</v>
      </c>
      <c r="I4015" s="9">
        <v>45378</v>
      </c>
    </row>
    <row r="4016" spans="1:9" x14ac:dyDescent="0.15">
      <c r="A4016" s="6">
        <v>4015</v>
      </c>
      <c r="B4016" s="7" t="s">
        <v>7</v>
      </c>
      <c r="C4016" s="8">
        <v>1890</v>
      </c>
      <c r="D4016" s="9">
        <v>45449</v>
      </c>
      <c r="E4016" s="13">
        <f>+HYPERLINK("http://trademark.i-assist.jp/data/china/image_1890th/77581367.pdf",77581367)</f>
        <v>77581367</v>
      </c>
      <c r="F4016" s="7" t="s">
        <v>11030</v>
      </c>
      <c r="G4016" s="7" t="s">
        <v>11029</v>
      </c>
      <c r="H4016" s="7" t="s">
        <v>11031</v>
      </c>
      <c r="I4016" s="9">
        <v>45378</v>
      </c>
    </row>
    <row r="4017" spans="1:9" ht="27" x14ac:dyDescent="0.15">
      <c r="A4017" s="6">
        <v>4016</v>
      </c>
      <c r="B4017" s="7" t="s">
        <v>7</v>
      </c>
      <c r="C4017" s="8">
        <v>1890</v>
      </c>
      <c r="D4017" s="9">
        <v>45449</v>
      </c>
      <c r="E4017" s="13">
        <f>+HYPERLINK("http://trademark.i-assist.jp/data/china/image_1890th/77581412.pdf",77581412)</f>
        <v>77581412</v>
      </c>
      <c r="F4017" s="7" t="s">
        <v>11033</v>
      </c>
      <c r="G4017" s="7" t="s">
        <v>11032</v>
      </c>
      <c r="H4017" s="7" t="s">
        <v>11034</v>
      </c>
      <c r="I4017" s="9">
        <v>45378</v>
      </c>
    </row>
    <row r="4018" spans="1:9" ht="27" x14ac:dyDescent="0.15">
      <c r="A4018" s="6">
        <v>4017</v>
      </c>
      <c r="B4018" s="7" t="s">
        <v>7</v>
      </c>
      <c r="C4018" s="8">
        <v>1890</v>
      </c>
      <c r="D4018" s="9">
        <v>45449</v>
      </c>
      <c r="E4018" s="13">
        <f>+HYPERLINK("http://trademark.i-assist.jp/data/china/image_1890th/77581653.pdf",77581653)</f>
        <v>77581653</v>
      </c>
      <c r="F4018" s="7" t="s">
        <v>11036</v>
      </c>
      <c r="G4018" s="7" t="s">
        <v>11035</v>
      </c>
      <c r="H4018" s="7" t="s">
        <v>11037</v>
      </c>
      <c r="I4018" s="9">
        <v>45378</v>
      </c>
    </row>
    <row r="4019" spans="1:9" x14ac:dyDescent="0.15">
      <c r="A4019" s="6">
        <v>4018</v>
      </c>
      <c r="B4019" s="7" t="s">
        <v>7</v>
      </c>
      <c r="C4019" s="8">
        <v>1890</v>
      </c>
      <c r="D4019" s="9">
        <v>45449</v>
      </c>
      <c r="E4019" s="13">
        <f>+HYPERLINK("http://trademark.i-assist.jp/data/china/image_1890th/77581757.pdf",77581757)</f>
        <v>77581757</v>
      </c>
      <c r="F4019" s="7" t="s">
        <v>11039</v>
      </c>
      <c r="G4019" s="7" t="s">
        <v>11038</v>
      </c>
      <c r="H4019" s="7" t="s">
        <v>11040</v>
      </c>
      <c r="I4019" s="9">
        <v>45378</v>
      </c>
    </row>
    <row r="4020" spans="1:9" x14ac:dyDescent="0.15">
      <c r="A4020" s="6">
        <v>4019</v>
      </c>
      <c r="B4020" s="7" t="s">
        <v>7</v>
      </c>
      <c r="C4020" s="8">
        <v>1890</v>
      </c>
      <c r="D4020" s="9">
        <v>45449</v>
      </c>
      <c r="E4020" s="13">
        <f>+HYPERLINK("http://trademark.i-assist.jp/data/china/image_1890th/77581835.pdf",77581835)</f>
        <v>77581835</v>
      </c>
      <c r="F4020" s="7" t="s">
        <v>11042</v>
      </c>
      <c r="G4020" s="7" t="s">
        <v>11041</v>
      </c>
      <c r="H4020" s="7" t="s">
        <v>11043</v>
      </c>
      <c r="I4020" s="9">
        <v>45378</v>
      </c>
    </row>
    <row r="4021" spans="1:9" ht="27" x14ac:dyDescent="0.15">
      <c r="A4021" s="6">
        <v>4020</v>
      </c>
      <c r="B4021" s="7" t="s">
        <v>7</v>
      </c>
      <c r="C4021" s="8">
        <v>1890</v>
      </c>
      <c r="D4021" s="9">
        <v>45449</v>
      </c>
      <c r="E4021" s="13">
        <f>+HYPERLINK("http://trademark.i-assist.jp/data/china/image_1890th/77581909.pdf",77581909)</f>
        <v>77581909</v>
      </c>
      <c r="F4021" s="7" t="s">
        <v>11044</v>
      </c>
      <c r="G4021" s="7" t="s">
        <v>10433</v>
      </c>
      <c r="H4021" s="7" t="s">
        <v>11045</v>
      </c>
      <c r="I4021" s="9">
        <v>45378</v>
      </c>
    </row>
    <row r="4022" spans="1:9" x14ac:dyDescent="0.15">
      <c r="A4022" s="6">
        <v>4021</v>
      </c>
      <c r="B4022" s="7" t="s">
        <v>7</v>
      </c>
      <c r="C4022" s="8">
        <v>1890</v>
      </c>
      <c r="D4022" s="9">
        <v>45449</v>
      </c>
      <c r="E4022" s="13">
        <f>+HYPERLINK("http://trademark.i-assist.jp/data/china/image_1890th/77582226.pdf",77582226)</f>
        <v>77582226</v>
      </c>
      <c r="F4022" s="7" t="s">
        <v>11047</v>
      </c>
      <c r="G4022" s="7" t="s">
        <v>11046</v>
      </c>
      <c r="H4022" s="7" t="s">
        <v>11048</v>
      </c>
      <c r="I4022" s="9">
        <v>45378</v>
      </c>
    </row>
    <row r="4023" spans="1:9" x14ac:dyDescent="0.15">
      <c r="A4023" s="6">
        <v>4022</v>
      </c>
      <c r="B4023" s="7" t="s">
        <v>7</v>
      </c>
      <c r="C4023" s="8">
        <v>1890</v>
      </c>
      <c r="D4023" s="9">
        <v>45449</v>
      </c>
      <c r="E4023" s="13">
        <f>+HYPERLINK("http://trademark.i-assist.jp/data/china/image_1890th/77582810.pdf",77582810)</f>
        <v>77582810</v>
      </c>
      <c r="F4023" s="7" t="s">
        <v>11050</v>
      </c>
      <c r="G4023" s="7" t="s">
        <v>11049</v>
      </c>
      <c r="H4023" s="7" t="s">
        <v>11051</v>
      </c>
      <c r="I4023" s="9">
        <v>45378</v>
      </c>
    </row>
    <row r="4024" spans="1:9" x14ac:dyDescent="0.15">
      <c r="A4024" s="6">
        <v>4023</v>
      </c>
      <c r="B4024" s="7" t="s">
        <v>7</v>
      </c>
      <c r="C4024" s="8">
        <v>1890</v>
      </c>
      <c r="D4024" s="9">
        <v>45449</v>
      </c>
      <c r="E4024" s="13">
        <f>+HYPERLINK("http://trademark.i-assist.jp/data/china/image_1890th/77582927.pdf",77582927)</f>
        <v>77582927</v>
      </c>
      <c r="F4024" s="7" t="s">
        <v>11052</v>
      </c>
      <c r="G4024" s="7" t="s">
        <v>10474</v>
      </c>
      <c r="H4024" s="7" t="s">
        <v>11053</v>
      </c>
      <c r="I4024" s="9">
        <v>45378</v>
      </c>
    </row>
    <row r="4025" spans="1:9" x14ac:dyDescent="0.15">
      <c r="A4025" s="6">
        <v>4024</v>
      </c>
      <c r="B4025" s="7" t="s">
        <v>7</v>
      </c>
      <c r="C4025" s="8">
        <v>1890</v>
      </c>
      <c r="D4025" s="9">
        <v>45449</v>
      </c>
      <c r="E4025" s="13">
        <f>+HYPERLINK("http://trademark.i-assist.jp/data/china/image_1890th/77583231.pdf",77583231)</f>
        <v>77583231</v>
      </c>
      <c r="F4025" s="7" t="s">
        <v>11055</v>
      </c>
      <c r="G4025" s="7" t="s">
        <v>11054</v>
      </c>
      <c r="H4025" s="7" t="s">
        <v>11056</v>
      </c>
      <c r="I4025" s="9">
        <v>45378</v>
      </c>
    </row>
    <row r="4026" spans="1:9" x14ac:dyDescent="0.15">
      <c r="A4026" s="6">
        <v>4025</v>
      </c>
      <c r="B4026" s="7" t="s">
        <v>7</v>
      </c>
      <c r="C4026" s="8">
        <v>1890</v>
      </c>
      <c r="D4026" s="9">
        <v>45449</v>
      </c>
      <c r="E4026" s="13">
        <f>+HYPERLINK("http://trademark.i-assist.jp/data/china/image_1890th/77583302.pdf",77583302)</f>
        <v>77583302</v>
      </c>
      <c r="F4026" s="7" t="s">
        <v>11057</v>
      </c>
      <c r="G4026" s="7" t="s">
        <v>2013</v>
      </c>
      <c r="H4026" s="7" t="s">
        <v>11058</v>
      </c>
      <c r="I4026" s="9">
        <v>45378</v>
      </c>
    </row>
    <row r="4027" spans="1:9" x14ac:dyDescent="0.15">
      <c r="A4027" s="6">
        <v>4026</v>
      </c>
      <c r="B4027" s="7" t="s">
        <v>7</v>
      </c>
      <c r="C4027" s="8">
        <v>1890</v>
      </c>
      <c r="D4027" s="9">
        <v>45449</v>
      </c>
      <c r="E4027" s="13">
        <f>+HYPERLINK("http://trademark.i-assist.jp/data/china/image_1890th/77589321.pdf",77589321)</f>
        <v>77589321</v>
      </c>
      <c r="F4027" s="7" t="s">
        <v>11060</v>
      </c>
      <c r="G4027" s="7" t="s">
        <v>11059</v>
      </c>
      <c r="H4027" s="7" t="s">
        <v>11061</v>
      </c>
      <c r="I4027" s="9">
        <v>45378</v>
      </c>
    </row>
    <row r="4028" spans="1:9" x14ac:dyDescent="0.15">
      <c r="A4028" s="6">
        <v>4027</v>
      </c>
      <c r="B4028" s="7" t="s">
        <v>7</v>
      </c>
      <c r="C4028" s="8">
        <v>1890</v>
      </c>
      <c r="D4028" s="9">
        <v>45449</v>
      </c>
      <c r="E4028" s="13">
        <f>+HYPERLINK("http://trademark.i-assist.jp/data/china/image_1890th/77589640.pdf",77589640)</f>
        <v>77589640</v>
      </c>
      <c r="F4028" s="7" t="s">
        <v>11062</v>
      </c>
      <c r="G4028" s="7" t="s">
        <v>7125</v>
      </c>
      <c r="H4028" s="7" t="s">
        <v>11063</v>
      </c>
      <c r="I4028" s="9">
        <v>45378</v>
      </c>
    </row>
    <row r="4029" spans="1:9" x14ac:dyDescent="0.15">
      <c r="A4029" s="6">
        <v>4028</v>
      </c>
      <c r="B4029" s="7" t="s">
        <v>7</v>
      </c>
      <c r="C4029" s="8">
        <v>1890</v>
      </c>
      <c r="D4029" s="9">
        <v>45449</v>
      </c>
      <c r="E4029" s="13">
        <f>+HYPERLINK("http://trademark.i-assist.jp/data/china/image_1890th/77590018.pdf",77590018)</f>
        <v>77590018</v>
      </c>
      <c r="F4029" s="7" t="s">
        <v>11065</v>
      </c>
      <c r="G4029" s="7" t="s">
        <v>11064</v>
      </c>
      <c r="H4029" s="7" t="s">
        <v>11066</v>
      </c>
      <c r="I4029" s="9">
        <v>45378</v>
      </c>
    </row>
    <row r="4030" spans="1:9" ht="27" x14ac:dyDescent="0.15">
      <c r="A4030" s="6">
        <v>4029</v>
      </c>
      <c r="B4030" s="7" t="s">
        <v>7</v>
      </c>
      <c r="C4030" s="8">
        <v>1890</v>
      </c>
      <c r="D4030" s="9">
        <v>45449</v>
      </c>
      <c r="E4030" s="13">
        <f>+HYPERLINK("http://trademark.i-assist.jp/data/china/image_1890th/77590255.pdf",77590255)</f>
        <v>77590255</v>
      </c>
      <c r="F4030" s="7" t="s">
        <v>11068</v>
      </c>
      <c r="G4030" s="7" t="s">
        <v>11067</v>
      </c>
      <c r="H4030" s="7" t="s">
        <v>11069</v>
      </c>
      <c r="I4030" s="9">
        <v>45378</v>
      </c>
    </row>
    <row r="4031" spans="1:9" x14ac:dyDescent="0.15">
      <c r="A4031" s="6">
        <v>4030</v>
      </c>
      <c r="B4031" s="7" t="s">
        <v>7</v>
      </c>
      <c r="C4031" s="8">
        <v>1890</v>
      </c>
      <c r="D4031" s="9">
        <v>45449</v>
      </c>
      <c r="E4031" s="13">
        <f>+HYPERLINK("http://trademark.i-assist.jp/data/china/image_1890th/77590871.pdf",77590871)</f>
        <v>77590871</v>
      </c>
      <c r="F4031" s="7" t="s">
        <v>11071</v>
      </c>
      <c r="G4031" s="7" t="s">
        <v>11070</v>
      </c>
      <c r="H4031" s="7" t="s">
        <v>11072</v>
      </c>
      <c r="I4031" s="9">
        <v>45378</v>
      </c>
    </row>
    <row r="4032" spans="1:9" ht="27" x14ac:dyDescent="0.15">
      <c r="A4032" s="6">
        <v>4031</v>
      </c>
      <c r="B4032" s="7" t="s">
        <v>7</v>
      </c>
      <c r="C4032" s="8">
        <v>1890</v>
      </c>
      <c r="D4032" s="9">
        <v>45449</v>
      </c>
      <c r="E4032" s="13">
        <f>+HYPERLINK("http://trademark.i-assist.jp/data/china/image_1890th/77591202.pdf",77591202)</f>
        <v>77591202</v>
      </c>
      <c r="F4032" s="7" t="s">
        <v>11074</v>
      </c>
      <c r="G4032" s="7" t="s">
        <v>11073</v>
      </c>
      <c r="H4032" s="7" t="s">
        <v>11075</v>
      </c>
      <c r="I4032" s="9">
        <v>45378</v>
      </c>
    </row>
    <row r="4033" spans="1:9" x14ac:dyDescent="0.15">
      <c r="A4033" s="6">
        <v>4032</v>
      </c>
      <c r="B4033" s="7" t="s">
        <v>7</v>
      </c>
      <c r="C4033" s="8">
        <v>1890</v>
      </c>
      <c r="D4033" s="9">
        <v>45449</v>
      </c>
      <c r="E4033" s="13">
        <f>+HYPERLINK("http://trademark.i-assist.jp/data/china/image_1890th/77591565.pdf",77591565)</f>
        <v>77591565</v>
      </c>
      <c r="F4033" s="7" t="s">
        <v>11077</v>
      </c>
      <c r="G4033" s="7" t="s">
        <v>11076</v>
      </c>
      <c r="H4033" s="7" t="s">
        <v>11078</v>
      </c>
      <c r="I4033" s="9">
        <v>45378</v>
      </c>
    </row>
    <row r="4034" spans="1:9" x14ac:dyDescent="0.15">
      <c r="A4034" s="6">
        <v>4033</v>
      </c>
      <c r="B4034" s="7" t="s">
        <v>7</v>
      </c>
      <c r="C4034" s="8">
        <v>1890</v>
      </c>
      <c r="D4034" s="9">
        <v>45449</v>
      </c>
      <c r="E4034" s="13">
        <f>+HYPERLINK("http://trademark.i-assist.jp/data/china/image_1890th/77591642.pdf",77591642)</f>
        <v>77591642</v>
      </c>
      <c r="F4034" s="7" t="s">
        <v>11079</v>
      </c>
      <c r="G4034" s="7" t="s">
        <v>1745</v>
      </c>
      <c r="H4034" s="7" t="s">
        <v>11080</v>
      </c>
      <c r="I4034" s="9">
        <v>45378</v>
      </c>
    </row>
    <row r="4035" spans="1:9" x14ac:dyDescent="0.15">
      <c r="A4035" s="6">
        <v>4034</v>
      </c>
      <c r="B4035" s="7" t="s">
        <v>7</v>
      </c>
      <c r="C4035" s="8">
        <v>1890</v>
      </c>
      <c r="D4035" s="9">
        <v>45449</v>
      </c>
      <c r="E4035" s="13">
        <f>+HYPERLINK("http://trademark.i-assist.jp/data/china/image_1890th/77591897.pdf",77591897)</f>
        <v>77591897</v>
      </c>
      <c r="F4035" s="7" t="s">
        <v>11081</v>
      </c>
      <c r="G4035" s="7" t="s">
        <v>2013</v>
      </c>
      <c r="H4035" s="7" t="s">
        <v>11082</v>
      </c>
      <c r="I4035" s="9">
        <v>45378</v>
      </c>
    </row>
    <row r="4036" spans="1:9" x14ac:dyDescent="0.15">
      <c r="A4036" s="6">
        <v>4035</v>
      </c>
      <c r="B4036" s="7" t="s">
        <v>7</v>
      </c>
      <c r="C4036" s="8">
        <v>1890</v>
      </c>
      <c r="D4036" s="9">
        <v>45449</v>
      </c>
      <c r="E4036" s="13">
        <f>+HYPERLINK("http://trademark.i-assist.jp/data/china/image_1890th/77591911.pdf",77591911)</f>
        <v>77591911</v>
      </c>
      <c r="F4036" s="7" t="s">
        <v>11083</v>
      </c>
      <c r="G4036" s="7" t="s">
        <v>2013</v>
      </c>
      <c r="H4036" s="7" t="s">
        <v>11084</v>
      </c>
      <c r="I4036" s="9">
        <v>45378</v>
      </c>
    </row>
    <row r="4037" spans="1:9" x14ac:dyDescent="0.15">
      <c r="A4037" s="6">
        <v>4036</v>
      </c>
      <c r="B4037" s="7" t="s">
        <v>7</v>
      </c>
      <c r="C4037" s="8">
        <v>1890</v>
      </c>
      <c r="D4037" s="9">
        <v>45449</v>
      </c>
      <c r="E4037" s="13">
        <f>+HYPERLINK("http://trademark.i-assist.jp/data/china/image_1890th/77592220.pdf",77592220)</f>
        <v>77592220</v>
      </c>
      <c r="F4037" s="7" t="s">
        <v>11086</v>
      </c>
      <c r="G4037" s="7" t="s">
        <v>11085</v>
      </c>
      <c r="H4037" s="7" t="s">
        <v>11087</v>
      </c>
      <c r="I4037" s="9">
        <v>45378</v>
      </c>
    </row>
    <row r="4038" spans="1:9" x14ac:dyDescent="0.15">
      <c r="A4038" s="6">
        <v>4037</v>
      </c>
      <c r="B4038" s="7" t="s">
        <v>7</v>
      </c>
      <c r="C4038" s="8">
        <v>1890</v>
      </c>
      <c r="D4038" s="9">
        <v>45449</v>
      </c>
      <c r="E4038" s="13">
        <f>+HYPERLINK("http://trademark.i-assist.jp/data/china/image_1890th/77592270.pdf",77592270)</f>
        <v>77592270</v>
      </c>
      <c r="F4038" s="7" t="s">
        <v>11089</v>
      </c>
      <c r="G4038" s="7" t="s">
        <v>11088</v>
      </c>
      <c r="H4038" s="7" t="s">
        <v>11090</v>
      </c>
      <c r="I4038" s="9">
        <v>45378</v>
      </c>
    </row>
    <row r="4039" spans="1:9" x14ac:dyDescent="0.15">
      <c r="A4039" s="6">
        <v>4038</v>
      </c>
      <c r="B4039" s="7" t="s">
        <v>7</v>
      </c>
      <c r="C4039" s="8">
        <v>1890</v>
      </c>
      <c r="D4039" s="9">
        <v>45449</v>
      </c>
      <c r="E4039" s="13">
        <f>+HYPERLINK("http://trademark.i-assist.jp/data/china/image_1890th/77592608.pdf",77592608)</f>
        <v>77592608</v>
      </c>
      <c r="F4039" s="7" t="s">
        <v>11092</v>
      </c>
      <c r="G4039" s="7" t="s">
        <v>11091</v>
      </c>
      <c r="H4039" s="7" t="s">
        <v>11093</v>
      </c>
      <c r="I4039" s="9">
        <v>45378</v>
      </c>
    </row>
    <row r="4040" spans="1:9" x14ac:dyDescent="0.15">
      <c r="A4040" s="6">
        <v>4039</v>
      </c>
      <c r="B4040" s="7" t="s">
        <v>7</v>
      </c>
      <c r="C4040" s="8">
        <v>1890</v>
      </c>
      <c r="D4040" s="9">
        <v>45449</v>
      </c>
      <c r="E4040" s="13">
        <f>+HYPERLINK("http://trademark.i-assist.jp/data/china/image_1890th/77592703.pdf",77592703)</f>
        <v>77592703</v>
      </c>
      <c r="F4040" s="7" t="s">
        <v>11094</v>
      </c>
      <c r="G4040" s="7" t="s">
        <v>2013</v>
      </c>
      <c r="H4040" s="7" t="s">
        <v>11095</v>
      </c>
      <c r="I4040" s="9">
        <v>45378</v>
      </c>
    </row>
    <row r="4041" spans="1:9" x14ac:dyDescent="0.15">
      <c r="A4041" s="6">
        <v>4040</v>
      </c>
      <c r="B4041" s="7" t="s">
        <v>7</v>
      </c>
      <c r="C4041" s="8">
        <v>1890</v>
      </c>
      <c r="D4041" s="9">
        <v>45449</v>
      </c>
      <c r="E4041" s="13">
        <f>+HYPERLINK("http://trademark.i-assist.jp/data/china/image_1890th/77592734.pdf",77592734)</f>
        <v>77592734</v>
      </c>
      <c r="F4041" s="7" t="s">
        <v>11096</v>
      </c>
      <c r="G4041" s="7" t="s">
        <v>2013</v>
      </c>
      <c r="H4041" s="7" t="s">
        <v>11097</v>
      </c>
      <c r="I4041" s="9">
        <v>45378</v>
      </c>
    </row>
    <row r="4042" spans="1:9" x14ac:dyDescent="0.15">
      <c r="A4042" s="6">
        <v>4041</v>
      </c>
      <c r="B4042" s="7" t="s">
        <v>7</v>
      </c>
      <c r="C4042" s="8">
        <v>1890</v>
      </c>
      <c r="D4042" s="9">
        <v>45449</v>
      </c>
      <c r="E4042" s="13">
        <f>+HYPERLINK("http://trademark.i-assist.jp/data/china/image_1890th/77592750.pdf",77592750)</f>
        <v>77592750</v>
      </c>
      <c r="F4042" s="7" t="s">
        <v>11099</v>
      </c>
      <c r="G4042" s="7" t="s">
        <v>11098</v>
      </c>
      <c r="H4042" s="7" t="s">
        <v>11100</v>
      </c>
      <c r="I4042" s="9">
        <v>45378</v>
      </c>
    </row>
    <row r="4043" spans="1:9" x14ac:dyDescent="0.15">
      <c r="A4043" s="6">
        <v>4042</v>
      </c>
      <c r="B4043" s="7" t="s">
        <v>7</v>
      </c>
      <c r="C4043" s="8">
        <v>1890</v>
      </c>
      <c r="D4043" s="9">
        <v>45449</v>
      </c>
      <c r="E4043" s="13">
        <f>+HYPERLINK("http://trademark.i-assist.jp/data/china/image_1890th/77592933.pdf",77592933)</f>
        <v>77592933</v>
      </c>
      <c r="F4043" s="7" t="s">
        <v>11102</v>
      </c>
      <c r="G4043" s="7" t="s">
        <v>11101</v>
      </c>
      <c r="H4043" s="7" t="s">
        <v>11103</v>
      </c>
      <c r="I4043" s="9">
        <v>45378</v>
      </c>
    </row>
    <row r="4044" spans="1:9" x14ac:dyDescent="0.15">
      <c r="A4044" s="6">
        <v>4043</v>
      </c>
      <c r="B4044" s="7" t="s">
        <v>7</v>
      </c>
      <c r="C4044" s="8">
        <v>1890</v>
      </c>
      <c r="D4044" s="9">
        <v>45449</v>
      </c>
      <c r="E4044" s="13">
        <f>+HYPERLINK("http://trademark.i-assist.jp/data/china/image_1890th/77593027.pdf",77593027)</f>
        <v>77593027</v>
      </c>
      <c r="F4044" s="7" t="s">
        <v>11105</v>
      </c>
      <c r="G4044" s="7" t="s">
        <v>11104</v>
      </c>
      <c r="H4044" s="7" t="s">
        <v>11106</v>
      </c>
      <c r="I4044" s="9">
        <v>45378</v>
      </c>
    </row>
    <row r="4045" spans="1:9" x14ac:dyDescent="0.15">
      <c r="A4045" s="6">
        <v>4044</v>
      </c>
      <c r="B4045" s="7" t="s">
        <v>7</v>
      </c>
      <c r="C4045" s="8">
        <v>1890</v>
      </c>
      <c r="D4045" s="9">
        <v>45449</v>
      </c>
      <c r="E4045" s="13">
        <f>+HYPERLINK("http://trademark.i-assist.jp/data/china/image_1890th/77593112.pdf",77593112)</f>
        <v>77593112</v>
      </c>
      <c r="F4045" s="7" t="s">
        <v>11108</v>
      </c>
      <c r="G4045" s="7" t="s">
        <v>11107</v>
      </c>
      <c r="H4045" s="7" t="s">
        <v>11109</v>
      </c>
      <c r="I4045" s="9">
        <v>45378</v>
      </c>
    </row>
    <row r="4046" spans="1:9" ht="27" x14ac:dyDescent="0.15">
      <c r="A4046" s="6">
        <v>4045</v>
      </c>
      <c r="B4046" s="7" t="s">
        <v>7</v>
      </c>
      <c r="C4046" s="8">
        <v>1890</v>
      </c>
      <c r="D4046" s="9">
        <v>45449</v>
      </c>
      <c r="E4046" s="13">
        <f>+HYPERLINK("http://trademark.i-assist.jp/data/china/image_1890th/77593180.pdf",77593180)</f>
        <v>77593180</v>
      </c>
      <c r="F4046" s="7" t="s">
        <v>11111</v>
      </c>
      <c r="G4046" s="7" t="s">
        <v>11110</v>
      </c>
      <c r="H4046" s="7" t="s">
        <v>11112</v>
      </c>
      <c r="I4046" s="9">
        <v>45378</v>
      </c>
    </row>
    <row r="4047" spans="1:9" x14ac:dyDescent="0.15">
      <c r="A4047" s="6">
        <v>4046</v>
      </c>
      <c r="B4047" s="7" t="s">
        <v>7</v>
      </c>
      <c r="C4047" s="8">
        <v>1890</v>
      </c>
      <c r="D4047" s="9">
        <v>45449</v>
      </c>
      <c r="E4047" s="13">
        <f>+HYPERLINK("http://trademark.i-assist.jp/data/china/image_1890th/77593467.pdf",77593467)</f>
        <v>77593467</v>
      </c>
      <c r="F4047" s="7" t="s">
        <v>11114</v>
      </c>
      <c r="G4047" s="7" t="s">
        <v>11113</v>
      </c>
      <c r="H4047" s="7" t="s">
        <v>11115</v>
      </c>
      <c r="I4047" s="9">
        <v>45378</v>
      </c>
    </row>
    <row r="4048" spans="1:9" x14ac:dyDescent="0.15">
      <c r="A4048" s="6">
        <v>4047</v>
      </c>
      <c r="B4048" s="7" t="s">
        <v>7</v>
      </c>
      <c r="C4048" s="8">
        <v>1890</v>
      </c>
      <c r="D4048" s="9">
        <v>45449</v>
      </c>
      <c r="E4048" s="13">
        <f>+HYPERLINK("http://trademark.i-assist.jp/data/china/image_1890th/77593819.pdf",77593819)</f>
        <v>77593819</v>
      </c>
      <c r="F4048" s="7" t="s">
        <v>11117</v>
      </c>
      <c r="G4048" s="7" t="s">
        <v>11116</v>
      </c>
      <c r="H4048" s="7" t="s">
        <v>11118</v>
      </c>
      <c r="I4048" s="9">
        <v>45378</v>
      </c>
    </row>
    <row r="4049" spans="1:9" x14ac:dyDescent="0.15">
      <c r="A4049" s="6">
        <v>4048</v>
      </c>
      <c r="B4049" s="7" t="s">
        <v>7</v>
      </c>
      <c r="C4049" s="8">
        <v>1890</v>
      </c>
      <c r="D4049" s="9">
        <v>45449</v>
      </c>
      <c r="E4049" s="13">
        <f>+HYPERLINK("http://trademark.i-assist.jp/data/china/image_1890th/77593921.pdf",77593921)</f>
        <v>77593921</v>
      </c>
      <c r="F4049" s="7" t="s">
        <v>11119</v>
      </c>
      <c r="G4049" s="7" t="s">
        <v>2013</v>
      </c>
      <c r="H4049" s="7" t="s">
        <v>11120</v>
      </c>
      <c r="I4049" s="9">
        <v>45378</v>
      </c>
    </row>
    <row r="4050" spans="1:9" x14ac:dyDescent="0.15">
      <c r="A4050" s="6">
        <v>4049</v>
      </c>
      <c r="B4050" s="7" t="s">
        <v>7</v>
      </c>
      <c r="C4050" s="8">
        <v>1890</v>
      </c>
      <c r="D4050" s="9">
        <v>45449</v>
      </c>
      <c r="E4050" s="13">
        <f>+HYPERLINK("http://trademark.i-assist.jp/data/china/image_1890th/77594501.pdf",77594501)</f>
        <v>77594501</v>
      </c>
      <c r="F4050" s="7" t="s">
        <v>11121</v>
      </c>
      <c r="G4050" s="7" t="s">
        <v>2236</v>
      </c>
      <c r="H4050" s="7" t="s">
        <v>11122</v>
      </c>
      <c r="I4050" s="9">
        <v>45378</v>
      </c>
    </row>
    <row r="4051" spans="1:9" x14ac:dyDescent="0.15">
      <c r="A4051" s="6">
        <v>4050</v>
      </c>
      <c r="B4051" s="7" t="s">
        <v>7</v>
      </c>
      <c r="C4051" s="8">
        <v>1890</v>
      </c>
      <c r="D4051" s="9">
        <v>45449</v>
      </c>
      <c r="E4051" s="13">
        <f>+HYPERLINK("http://trademark.i-assist.jp/data/china/image_1890th/77599079.pdf",77599079)</f>
        <v>77599079</v>
      </c>
      <c r="F4051" s="7" t="s">
        <v>11123</v>
      </c>
      <c r="G4051" s="7" t="s">
        <v>2030</v>
      </c>
      <c r="H4051" s="7" t="s">
        <v>11124</v>
      </c>
      <c r="I4051" s="9">
        <v>45379</v>
      </c>
    </row>
    <row r="4052" spans="1:9" x14ac:dyDescent="0.15">
      <c r="A4052" s="6">
        <v>4051</v>
      </c>
      <c r="B4052" s="7" t="s">
        <v>7</v>
      </c>
      <c r="C4052" s="8">
        <v>1890</v>
      </c>
      <c r="D4052" s="9">
        <v>45449</v>
      </c>
      <c r="E4052" s="13">
        <f>+HYPERLINK("http://trademark.i-assist.jp/data/china/image_1890th/77599080.pdf",77599080)</f>
        <v>77599080</v>
      </c>
      <c r="F4052" s="7" t="s">
        <v>11125</v>
      </c>
      <c r="G4052" s="7" t="s">
        <v>2030</v>
      </c>
      <c r="H4052" s="7" t="s">
        <v>11126</v>
      </c>
      <c r="I4052" s="9">
        <v>45379</v>
      </c>
    </row>
    <row r="4053" spans="1:9" x14ac:dyDescent="0.15">
      <c r="A4053" s="6">
        <v>4052</v>
      </c>
      <c r="B4053" s="7" t="s">
        <v>7</v>
      </c>
      <c r="C4053" s="8">
        <v>1890</v>
      </c>
      <c r="D4053" s="9">
        <v>45449</v>
      </c>
      <c r="E4053" s="13">
        <f>+HYPERLINK("http://trademark.i-assist.jp/data/china/image_1890th/77599083.pdf",77599083)</f>
        <v>77599083</v>
      </c>
      <c r="F4053" s="7" t="s">
        <v>11127</v>
      </c>
      <c r="G4053" s="7" t="s">
        <v>2030</v>
      </c>
      <c r="H4053" s="7" t="s">
        <v>11128</v>
      </c>
      <c r="I4053" s="9">
        <v>45379</v>
      </c>
    </row>
    <row r="4054" spans="1:9" x14ac:dyDescent="0.15">
      <c r="A4054" s="6">
        <v>4053</v>
      </c>
      <c r="B4054" s="7" t="s">
        <v>7</v>
      </c>
      <c r="C4054" s="8">
        <v>1890</v>
      </c>
      <c r="D4054" s="9">
        <v>45449</v>
      </c>
      <c r="E4054" s="13">
        <f>+HYPERLINK("http://trademark.i-assist.jp/data/china/image_1890th/77599471.pdf",77599471)</f>
        <v>77599471</v>
      </c>
      <c r="F4054" s="7" t="s">
        <v>11130</v>
      </c>
      <c r="G4054" s="7" t="s">
        <v>11129</v>
      </c>
      <c r="H4054" s="7" t="s">
        <v>11131</v>
      </c>
      <c r="I4054" s="9">
        <v>45379</v>
      </c>
    </row>
    <row r="4055" spans="1:9" x14ac:dyDescent="0.15">
      <c r="A4055" s="6">
        <v>4054</v>
      </c>
      <c r="B4055" s="7" t="s">
        <v>7</v>
      </c>
      <c r="C4055" s="8">
        <v>1890</v>
      </c>
      <c r="D4055" s="9">
        <v>45449</v>
      </c>
      <c r="E4055" s="13">
        <f>+HYPERLINK("http://trademark.i-assist.jp/data/china/image_1890th/77599499.pdf",77599499)</f>
        <v>77599499</v>
      </c>
      <c r="F4055" s="7" t="s">
        <v>11133</v>
      </c>
      <c r="G4055" s="7" t="s">
        <v>11132</v>
      </c>
      <c r="H4055" s="7" t="s">
        <v>11134</v>
      </c>
      <c r="I4055" s="9">
        <v>45379</v>
      </c>
    </row>
    <row r="4056" spans="1:9" x14ac:dyDescent="0.15">
      <c r="A4056" s="6">
        <v>4055</v>
      </c>
      <c r="B4056" s="7" t="s">
        <v>7</v>
      </c>
      <c r="C4056" s="8">
        <v>1890</v>
      </c>
      <c r="D4056" s="9">
        <v>45449</v>
      </c>
      <c r="E4056" s="13">
        <f>+HYPERLINK("http://trademark.i-assist.jp/data/china/image_1890th/77599560.pdf",77599560)</f>
        <v>77599560</v>
      </c>
      <c r="F4056" s="7" t="s">
        <v>11136</v>
      </c>
      <c r="G4056" s="7" t="s">
        <v>11135</v>
      </c>
      <c r="H4056" s="7" t="s">
        <v>11137</v>
      </c>
      <c r="I4056" s="9">
        <v>45379</v>
      </c>
    </row>
    <row r="4057" spans="1:9" x14ac:dyDescent="0.15">
      <c r="A4057" s="6">
        <v>4056</v>
      </c>
      <c r="B4057" s="7" t="s">
        <v>7</v>
      </c>
      <c r="C4057" s="8">
        <v>1890</v>
      </c>
      <c r="D4057" s="9">
        <v>45449</v>
      </c>
      <c r="E4057" s="13">
        <f>+HYPERLINK("http://trademark.i-assist.jp/data/china/image_1890th/77599763.pdf",77599763)</f>
        <v>77599763</v>
      </c>
      <c r="F4057" s="7" t="s">
        <v>11139</v>
      </c>
      <c r="G4057" s="7" t="s">
        <v>11138</v>
      </c>
      <c r="H4057" s="7" t="s">
        <v>11140</v>
      </c>
      <c r="I4057" s="9">
        <v>45379</v>
      </c>
    </row>
    <row r="4058" spans="1:9" x14ac:dyDescent="0.15">
      <c r="A4058" s="6">
        <v>4057</v>
      </c>
      <c r="B4058" s="7" t="s">
        <v>7</v>
      </c>
      <c r="C4058" s="8">
        <v>1890</v>
      </c>
      <c r="D4058" s="9">
        <v>45449</v>
      </c>
      <c r="E4058" s="13">
        <f>+HYPERLINK("http://trademark.i-assist.jp/data/china/image_1890th/77600016.pdf",77600016)</f>
        <v>77600016</v>
      </c>
      <c r="F4058" s="7" t="s">
        <v>11142</v>
      </c>
      <c r="G4058" s="7" t="s">
        <v>11141</v>
      </c>
      <c r="H4058" s="7" t="s">
        <v>11143</v>
      </c>
      <c r="I4058" s="9">
        <v>45379</v>
      </c>
    </row>
    <row r="4059" spans="1:9" x14ac:dyDescent="0.15">
      <c r="A4059" s="6">
        <v>4058</v>
      </c>
      <c r="B4059" s="7" t="s">
        <v>7</v>
      </c>
      <c r="C4059" s="8">
        <v>1890</v>
      </c>
      <c r="D4059" s="9">
        <v>45449</v>
      </c>
      <c r="E4059" s="13">
        <f>+HYPERLINK("http://trademark.i-assist.jp/data/china/image_1890th/77600203.pdf",77600203)</f>
        <v>77600203</v>
      </c>
      <c r="F4059" s="7" t="s">
        <v>183</v>
      </c>
      <c r="G4059" s="7" t="s">
        <v>11144</v>
      </c>
      <c r="H4059" s="7" t="s">
        <v>11145</v>
      </c>
      <c r="I4059" s="9">
        <v>45379</v>
      </c>
    </row>
    <row r="4060" spans="1:9" x14ac:dyDescent="0.15">
      <c r="A4060" s="6">
        <v>4059</v>
      </c>
      <c r="B4060" s="7" t="s">
        <v>7</v>
      </c>
      <c r="C4060" s="8">
        <v>1890</v>
      </c>
      <c r="D4060" s="9">
        <v>45449</v>
      </c>
      <c r="E4060" s="13">
        <f>+HYPERLINK("http://trademark.i-assist.jp/data/china/image_1890th/77600647.pdf",77600647)</f>
        <v>77600647</v>
      </c>
      <c r="F4060" s="7" t="s">
        <v>11147</v>
      </c>
      <c r="G4060" s="7" t="s">
        <v>11146</v>
      </c>
      <c r="H4060" s="7" t="s">
        <v>11148</v>
      </c>
      <c r="I4060" s="9">
        <v>45379</v>
      </c>
    </row>
    <row r="4061" spans="1:9" x14ac:dyDescent="0.15">
      <c r="A4061" s="6">
        <v>4060</v>
      </c>
      <c r="B4061" s="7" t="s">
        <v>7</v>
      </c>
      <c r="C4061" s="8">
        <v>1890</v>
      </c>
      <c r="D4061" s="9">
        <v>45449</v>
      </c>
      <c r="E4061" s="13">
        <f>+HYPERLINK("http://trademark.i-assist.jp/data/china/image_1890th/77600918.pdf",77600918)</f>
        <v>77600918</v>
      </c>
      <c r="F4061" s="7" t="s">
        <v>11150</v>
      </c>
      <c r="G4061" s="7" t="s">
        <v>11149</v>
      </c>
      <c r="H4061" s="7" t="s">
        <v>11151</v>
      </c>
      <c r="I4061" s="9">
        <v>45379</v>
      </c>
    </row>
    <row r="4062" spans="1:9" x14ac:dyDescent="0.15">
      <c r="A4062" s="6">
        <v>4061</v>
      </c>
      <c r="B4062" s="7" t="s">
        <v>7</v>
      </c>
      <c r="C4062" s="8">
        <v>1890</v>
      </c>
      <c r="D4062" s="9">
        <v>45449</v>
      </c>
      <c r="E4062" s="13">
        <f>+HYPERLINK("http://trademark.i-assist.jp/data/china/image_1890th/77600944.pdf",77600944)</f>
        <v>77600944</v>
      </c>
      <c r="F4062" s="7" t="s">
        <v>11153</v>
      </c>
      <c r="G4062" s="7" t="s">
        <v>11152</v>
      </c>
      <c r="H4062" s="7" t="s">
        <v>11154</v>
      </c>
      <c r="I4062" s="9">
        <v>45379</v>
      </c>
    </row>
    <row r="4063" spans="1:9" x14ac:dyDescent="0.15">
      <c r="A4063" s="6">
        <v>4062</v>
      </c>
      <c r="B4063" s="7" t="s">
        <v>7</v>
      </c>
      <c r="C4063" s="8">
        <v>1890</v>
      </c>
      <c r="D4063" s="9">
        <v>45449</v>
      </c>
      <c r="E4063" s="13">
        <f>+HYPERLINK("http://trademark.i-assist.jp/data/china/image_1890th/77600967.pdf",77600967)</f>
        <v>77600967</v>
      </c>
      <c r="F4063" s="7" t="s">
        <v>11156</v>
      </c>
      <c r="G4063" s="7" t="s">
        <v>11155</v>
      </c>
      <c r="H4063" s="7" t="s">
        <v>11157</v>
      </c>
      <c r="I4063" s="9">
        <v>45379</v>
      </c>
    </row>
    <row r="4064" spans="1:9" x14ac:dyDescent="0.15">
      <c r="A4064" s="6">
        <v>4063</v>
      </c>
      <c r="B4064" s="7" t="s">
        <v>7</v>
      </c>
      <c r="C4064" s="8">
        <v>1890</v>
      </c>
      <c r="D4064" s="9">
        <v>45449</v>
      </c>
      <c r="E4064" s="13">
        <f>+HYPERLINK("http://trademark.i-assist.jp/data/china/image_1890th/77600982.pdf",77600982)</f>
        <v>77600982</v>
      </c>
      <c r="F4064" s="7" t="s">
        <v>11158</v>
      </c>
      <c r="G4064" s="7" t="s">
        <v>11152</v>
      </c>
      <c r="H4064" s="7" t="s">
        <v>11159</v>
      </c>
      <c r="I4064" s="9">
        <v>45379</v>
      </c>
    </row>
    <row r="4065" spans="1:9" x14ac:dyDescent="0.15">
      <c r="A4065" s="6">
        <v>4064</v>
      </c>
      <c r="B4065" s="7" t="s">
        <v>7</v>
      </c>
      <c r="C4065" s="8">
        <v>1890</v>
      </c>
      <c r="D4065" s="9">
        <v>45449</v>
      </c>
      <c r="E4065" s="13">
        <f>+HYPERLINK("http://trademark.i-assist.jp/data/china/image_1890th/77601168.pdf",77601168)</f>
        <v>77601168</v>
      </c>
      <c r="F4065" s="7" t="s">
        <v>11161</v>
      </c>
      <c r="G4065" s="7" t="s">
        <v>11160</v>
      </c>
      <c r="H4065" s="7" t="s">
        <v>11162</v>
      </c>
      <c r="I4065" s="9">
        <v>45379</v>
      </c>
    </row>
    <row r="4066" spans="1:9" x14ac:dyDescent="0.15">
      <c r="A4066" s="6">
        <v>4065</v>
      </c>
      <c r="B4066" s="7" t="s">
        <v>7</v>
      </c>
      <c r="C4066" s="8">
        <v>1890</v>
      </c>
      <c r="D4066" s="9">
        <v>45449</v>
      </c>
      <c r="E4066" s="13">
        <f>+HYPERLINK("http://trademark.i-assist.jp/data/china/image_1890th/77601718.pdf",77601718)</f>
        <v>77601718</v>
      </c>
      <c r="F4066" s="7" t="s">
        <v>11164</v>
      </c>
      <c r="G4066" s="7" t="s">
        <v>11163</v>
      </c>
      <c r="H4066" s="7" t="s">
        <v>11165</v>
      </c>
      <c r="I4066" s="9">
        <v>45379</v>
      </c>
    </row>
    <row r="4067" spans="1:9" x14ac:dyDescent="0.15">
      <c r="A4067" s="6">
        <v>4066</v>
      </c>
      <c r="B4067" s="7" t="s">
        <v>7</v>
      </c>
      <c r="C4067" s="8">
        <v>1890</v>
      </c>
      <c r="D4067" s="9">
        <v>45449</v>
      </c>
      <c r="E4067" s="13">
        <f>+HYPERLINK("http://trademark.i-assist.jp/data/china/image_1890th/77602324.pdf",77602324)</f>
        <v>77602324</v>
      </c>
      <c r="F4067" s="7" t="s">
        <v>11166</v>
      </c>
      <c r="G4067" s="7" t="s">
        <v>7356</v>
      </c>
      <c r="H4067" s="7" t="s">
        <v>11167</v>
      </c>
      <c r="I4067" s="9">
        <v>45379</v>
      </c>
    </row>
    <row r="4068" spans="1:9" x14ac:dyDescent="0.15">
      <c r="A4068" s="6">
        <v>4067</v>
      </c>
      <c r="B4068" s="7" t="s">
        <v>7</v>
      </c>
      <c r="C4068" s="8">
        <v>1890</v>
      </c>
      <c r="D4068" s="9">
        <v>45449</v>
      </c>
      <c r="E4068" s="13">
        <f>+HYPERLINK("http://trademark.i-assist.jp/data/china/image_1890th/77602466.pdf",77602466)</f>
        <v>77602466</v>
      </c>
      <c r="F4068" s="7" t="s">
        <v>11169</v>
      </c>
      <c r="G4068" s="7" t="s">
        <v>11168</v>
      </c>
      <c r="H4068" s="7" t="s">
        <v>11170</v>
      </c>
      <c r="I4068" s="9">
        <v>45379</v>
      </c>
    </row>
    <row r="4069" spans="1:9" x14ac:dyDescent="0.15">
      <c r="A4069" s="6">
        <v>4068</v>
      </c>
      <c r="B4069" s="7" t="s">
        <v>7</v>
      </c>
      <c r="C4069" s="8">
        <v>1890</v>
      </c>
      <c r="D4069" s="9">
        <v>45449</v>
      </c>
      <c r="E4069" s="13">
        <f>+HYPERLINK("http://trademark.i-assist.jp/data/china/image_1890th/77602577.pdf",77602577)</f>
        <v>77602577</v>
      </c>
      <c r="F4069" s="7" t="s">
        <v>11171</v>
      </c>
      <c r="G4069" s="7" t="s">
        <v>10784</v>
      </c>
      <c r="H4069" s="7" t="s">
        <v>11172</v>
      </c>
      <c r="I4069" s="9">
        <v>45379</v>
      </c>
    </row>
    <row r="4070" spans="1:9" x14ac:dyDescent="0.15">
      <c r="A4070" s="6">
        <v>4069</v>
      </c>
      <c r="B4070" s="7" t="s">
        <v>7</v>
      </c>
      <c r="C4070" s="8">
        <v>1890</v>
      </c>
      <c r="D4070" s="9">
        <v>45449</v>
      </c>
      <c r="E4070" s="13">
        <f>+HYPERLINK("http://trademark.i-assist.jp/data/china/image_1890th/77603074.pdf",77603074)</f>
        <v>77603074</v>
      </c>
      <c r="F4070" s="7" t="s">
        <v>11173</v>
      </c>
      <c r="G4070" s="7" t="s">
        <v>7359</v>
      </c>
      <c r="H4070" s="7" t="s">
        <v>11174</v>
      </c>
      <c r="I4070" s="9">
        <v>45379</v>
      </c>
    </row>
    <row r="4071" spans="1:9" x14ac:dyDescent="0.15">
      <c r="A4071" s="6">
        <v>4070</v>
      </c>
      <c r="B4071" s="7" t="s">
        <v>7</v>
      </c>
      <c r="C4071" s="8">
        <v>1890</v>
      </c>
      <c r="D4071" s="9">
        <v>45449</v>
      </c>
      <c r="E4071" s="13">
        <f>+HYPERLINK("http://trademark.i-assist.jp/data/china/image_1890th/77603178.pdf",77603178)</f>
        <v>77603178</v>
      </c>
      <c r="F4071" s="7" t="s">
        <v>11176</v>
      </c>
      <c r="G4071" s="7" t="s">
        <v>11175</v>
      </c>
      <c r="H4071" s="7" t="s">
        <v>11177</v>
      </c>
      <c r="I4071" s="9">
        <v>45379</v>
      </c>
    </row>
    <row r="4072" spans="1:9" x14ac:dyDescent="0.15">
      <c r="A4072" s="6">
        <v>4071</v>
      </c>
      <c r="B4072" s="7" t="s">
        <v>7</v>
      </c>
      <c r="C4072" s="8">
        <v>1890</v>
      </c>
      <c r="D4072" s="9">
        <v>45449</v>
      </c>
      <c r="E4072" s="13">
        <f>+HYPERLINK("http://trademark.i-assist.jp/data/china/image_1890th/77603749.pdf",77603749)</f>
        <v>77603749</v>
      </c>
      <c r="F4072" s="7" t="s">
        <v>11179</v>
      </c>
      <c r="G4072" s="7" t="s">
        <v>11178</v>
      </c>
      <c r="H4072" s="7" t="s">
        <v>11180</v>
      </c>
      <c r="I4072" s="9">
        <v>45379</v>
      </c>
    </row>
    <row r="4073" spans="1:9" x14ac:dyDescent="0.15">
      <c r="A4073" s="6">
        <v>4072</v>
      </c>
      <c r="B4073" s="7" t="s">
        <v>7</v>
      </c>
      <c r="C4073" s="8">
        <v>1890</v>
      </c>
      <c r="D4073" s="9">
        <v>45449</v>
      </c>
      <c r="E4073" s="13">
        <f>+HYPERLINK("http://trademark.i-assist.jp/data/china/image_1890th/77604305.pdf",77604305)</f>
        <v>77604305</v>
      </c>
      <c r="F4073" s="7" t="s">
        <v>11182</v>
      </c>
      <c r="G4073" s="7" t="s">
        <v>11181</v>
      </c>
      <c r="H4073" s="7" t="s">
        <v>11183</v>
      </c>
      <c r="I4073" s="9">
        <v>45379</v>
      </c>
    </row>
    <row r="4074" spans="1:9" x14ac:dyDescent="0.15">
      <c r="A4074" s="6">
        <v>4073</v>
      </c>
      <c r="B4074" s="7" t="s">
        <v>7</v>
      </c>
      <c r="C4074" s="8">
        <v>1890</v>
      </c>
      <c r="D4074" s="9">
        <v>45449</v>
      </c>
      <c r="E4074" s="13">
        <f>+HYPERLINK("http://trademark.i-assist.jp/data/china/image_1890th/77604312.pdf",77604312)</f>
        <v>77604312</v>
      </c>
      <c r="F4074" s="7" t="s">
        <v>11185</v>
      </c>
      <c r="G4074" s="7" t="s">
        <v>11184</v>
      </c>
      <c r="H4074" s="7" t="s">
        <v>11186</v>
      </c>
      <c r="I4074" s="9">
        <v>45379</v>
      </c>
    </row>
    <row r="4075" spans="1:9" x14ac:dyDescent="0.15">
      <c r="A4075" s="6">
        <v>4074</v>
      </c>
      <c r="B4075" s="7" t="s">
        <v>7</v>
      </c>
      <c r="C4075" s="8">
        <v>1890</v>
      </c>
      <c r="D4075" s="9">
        <v>45449</v>
      </c>
      <c r="E4075" s="13">
        <f>+HYPERLINK("http://trademark.i-assist.jp/data/china/image_1890th/77604774.pdf",77604774)</f>
        <v>77604774</v>
      </c>
      <c r="F4075" s="7" t="s">
        <v>11188</v>
      </c>
      <c r="G4075" s="7" t="s">
        <v>11187</v>
      </c>
      <c r="H4075" s="7" t="s">
        <v>11189</v>
      </c>
      <c r="I4075" s="9">
        <v>45379</v>
      </c>
    </row>
    <row r="4076" spans="1:9" x14ac:dyDescent="0.15">
      <c r="A4076" s="6">
        <v>4075</v>
      </c>
      <c r="B4076" s="7" t="s">
        <v>7</v>
      </c>
      <c r="C4076" s="8">
        <v>1890</v>
      </c>
      <c r="D4076" s="9">
        <v>45449</v>
      </c>
      <c r="E4076" s="13">
        <f>+HYPERLINK("http://trademark.i-assist.jp/data/china/image_1890th/77605225.pdf",77605225)</f>
        <v>77605225</v>
      </c>
      <c r="F4076" s="7" t="s">
        <v>11191</v>
      </c>
      <c r="G4076" s="7" t="s">
        <v>11190</v>
      </c>
      <c r="H4076" s="7" t="s">
        <v>11192</v>
      </c>
      <c r="I4076" s="9">
        <v>45379</v>
      </c>
    </row>
    <row r="4077" spans="1:9" x14ac:dyDescent="0.15">
      <c r="A4077" s="6">
        <v>4076</v>
      </c>
      <c r="B4077" s="7" t="s">
        <v>7</v>
      </c>
      <c r="C4077" s="8">
        <v>1890</v>
      </c>
      <c r="D4077" s="9">
        <v>45449</v>
      </c>
      <c r="E4077" s="13">
        <f>+HYPERLINK("http://trademark.i-assist.jp/data/china/image_1890th/77605818.pdf",77605818)</f>
        <v>77605818</v>
      </c>
      <c r="F4077" s="7" t="s">
        <v>11194</v>
      </c>
      <c r="G4077" s="7" t="s">
        <v>11193</v>
      </c>
      <c r="H4077" s="7" t="s">
        <v>11195</v>
      </c>
      <c r="I4077" s="9">
        <v>45379</v>
      </c>
    </row>
    <row r="4078" spans="1:9" x14ac:dyDescent="0.15">
      <c r="A4078" s="6">
        <v>4077</v>
      </c>
      <c r="B4078" s="7" t="s">
        <v>7</v>
      </c>
      <c r="C4078" s="8">
        <v>1890</v>
      </c>
      <c r="D4078" s="9">
        <v>45449</v>
      </c>
      <c r="E4078" s="13">
        <f>+HYPERLINK("http://trademark.i-assist.jp/data/china/image_1890th/77606028.pdf",77606028)</f>
        <v>77606028</v>
      </c>
      <c r="F4078" s="7" t="s">
        <v>11197</v>
      </c>
      <c r="G4078" s="7" t="s">
        <v>11196</v>
      </c>
      <c r="H4078" s="7" t="s">
        <v>11198</v>
      </c>
      <c r="I4078" s="9">
        <v>45379</v>
      </c>
    </row>
    <row r="4079" spans="1:9" x14ac:dyDescent="0.15">
      <c r="A4079" s="6">
        <v>4078</v>
      </c>
      <c r="B4079" s="7" t="s">
        <v>7</v>
      </c>
      <c r="C4079" s="8">
        <v>1890</v>
      </c>
      <c r="D4079" s="9">
        <v>45449</v>
      </c>
      <c r="E4079" s="13">
        <f>+HYPERLINK("http://trademark.i-assist.jp/data/china/image_1890th/77606104.pdf",77606104)</f>
        <v>77606104</v>
      </c>
      <c r="F4079" s="7" t="s">
        <v>11199</v>
      </c>
      <c r="G4079" s="7" t="s">
        <v>7376</v>
      </c>
      <c r="H4079" s="7" t="s">
        <v>11200</v>
      </c>
      <c r="I4079" s="9">
        <v>45379</v>
      </c>
    </row>
    <row r="4080" spans="1:9" x14ac:dyDescent="0.15">
      <c r="A4080" s="6">
        <v>4079</v>
      </c>
      <c r="B4080" s="7" t="s">
        <v>7</v>
      </c>
      <c r="C4080" s="8">
        <v>1890</v>
      </c>
      <c r="D4080" s="9">
        <v>45449</v>
      </c>
      <c r="E4080" s="13">
        <f>+HYPERLINK("http://trademark.i-assist.jp/data/china/image_1890th/77607206.pdf",77607206)</f>
        <v>77607206</v>
      </c>
      <c r="F4080" s="7" t="s">
        <v>11202</v>
      </c>
      <c r="G4080" s="7" t="s">
        <v>11201</v>
      </c>
      <c r="H4080" s="7" t="s">
        <v>11203</v>
      </c>
      <c r="I4080" s="9">
        <v>45379</v>
      </c>
    </row>
    <row r="4081" spans="1:9" x14ac:dyDescent="0.15">
      <c r="A4081" s="6">
        <v>4080</v>
      </c>
      <c r="B4081" s="7" t="s">
        <v>7</v>
      </c>
      <c r="C4081" s="8">
        <v>1890</v>
      </c>
      <c r="D4081" s="9">
        <v>45449</v>
      </c>
      <c r="E4081" s="13">
        <f>+HYPERLINK("http://trademark.i-assist.jp/data/china/image_1890th/77607295.pdf",77607295)</f>
        <v>77607295</v>
      </c>
      <c r="F4081" s="7" t="s">
        <v>11205</v>
      </c>
      <c r="G4081" s="7" t="s">
        <v>11204</v>
      </c>
      <c r="H4081" s="7" t="s">
        <v>11206</v>
      </c>
      <c r="I4081" s="9">
        <v>45379</v>
      </c>
    </row>
    <row r="4082" spans="1:9" x14ac:dyDescent="0.15">
      <c r="A4082" s="6">
        <v>4081</v>
      </c>
      <c r="B4082" s="7" t="s">
        <v>7</v>
      </c>
      <c r="C4082" s="8">
        <v>1890</v>
      </c>
      <c r="D4082" s="9">
        <v>45449</v>
      </c>
      <c r="E4082" s="13">
        <f>+HYPERLINK("http://trademark.i-assist.jp/data/china/image_1890th/77607615.pdf",77607615)</f>
        <v>77607615</v>
      </c>
      <c r="F4082" s="7" t="s">
        <v>11207</v>
      </c>
      <c r="G4082" s="7" t="s">
        <v>7376</v>
      </c>
      <c r="H4082" s="7" t="s">
        <v>11208</v>
      </c>
      <c r="I4082" s="9">
        <v>45379</v>
      </c>
    </row>
    <row r="4083" spans="1:9" x14ac:dyDescent="0.15">
      <c r="A4083" s="6">
        <v>4082</v>
      </c>
      <c r="B4083" s="7" t="s">
        <v>7</v>
      </c>
      <c r="C4083" s="8">
        <v>1890</v>
      </c>
      <c r="D4083" s="9">
        <v>45449</v>
      </c>
      <c r="E4083" s="13">
        <f>+HYPERLINK("http://trademark.i-assist.jp/data/china/image_1890th/77607655.pdf",77607655)</f>
        <v>77607655</v>
      </c>
      <c r="F4083" s="7" t="s">
        <v>11209</v>
      </c>
      <c r="G4083" s="7" t="s">
        <v>11155</v>
      </c>
      <c r="H4083" s="7" t="s">
        <v>11210</v>
      </c>
      <c r="I4083" s="9">
        <v>45379</v>
      </c>
    </row>
    <row r="4084" spans="1:9" x14ac:dyDescent="0.15">
      <c r="A4084" s="6">
        <v>4083</v>
      </c>
      <c r="B4084" s="7" t="s">
        <v>7</v>
      </c>
      <c r="C4084" s="8">
        <v>1890</v>
      </c>
      <c r="D4084" s="9">
        <v>45449</v>
      </c>
      <c r="E4084" s="13">
        <f>+HYPERLINK("http://trademark.i-assist.jp/data/china/image_1890th/77607825.pdf",77607825)</f>
        <v>77607825</v>
      </c>
      <c r="F4084" s="7" t="s">
        <v>11212</v>
      </c>
      <c r="G4084" s="7" t="s">
        <v>11211</v>
      </c>
      <c r="H4084" s="7" t="s">
        <v>11213</v>
      </c>
      <c r="I4084" s="9">
        <v>45379</v>
      </c>
    </row>
    <row r="4085" spans="1:9" ht="27" x14ac:dyDescent="0.15">
      <c r="A4085" s="6">
        <v>4084</v>
      </c>
      <c r="B4085" s="7" t="s">
        <v>7</v>
      </c>
      <c r="C4085" s="8">
        <v>1890</v>
      </c>
      <c r="D4085" s="9">
        <v>45449</v>
      </c>
      <c r="E4085" s="13">
        <f>+HYPERLINK("http://trademark.i-assist.jp/data/china/image_1890th/77607901.pdf",77607901)</f>
        <v>77607901</v>
      </c>
      <c r="F4085" s="7" t="s">
        <v>11215</v>
      </c>
      <c r="G4085" s="7" t="s">
        <v>11214</v>
      </c>
      <c r="H4085" s="7" t="s">
        <v>11216</v>
      </c>
      <c r="I4085" s="9">
        <v>45379</v>
      </c>
    </row>
    <row r="4086" spans="1:9" x14ac:dyDescent="0.15">
      <c r="A4086" s="6">
        <v>4085</v>
      </c>
      <c r="B4086" s="7" t="s">
        <v>7</v>
      </c>
      <c r="C4086" s="8">
        <v>1890</v>
      </c>
      <c r="D4086" s="9">
        <v>45449</v>
      </c>
      <c r="E4086" s="13">
        <f>+HYPERLINK("http://trademark.i-assist.jp/data/china/image_1890th/77608138.pdf",77608138)</f>
        <v>77608138</v>
      </c>
      <c r="F4086" s="7" t="s">
        <v>11218</v>
      </c>
      <c r="G4086" s="7" t="s">
        <v>11217</v>
      </c>
      <c r="H4086" s="7" t="s">
        <v>11219</v>
      </c>
      <c r="I4086" s="9">
        <v>45379</v>
      </c>
    </row>
    <row r="4087" spans="1:9" x14ac:dyDescent="0.15">
      <c r="A4087" s="6">
        <v>4086</v>
      </c>
      <c r="B4087" s="7" t="s">
        <v>7</v>
      </c>
      <c r="C4087" s="8">
        <v>1890</v>
      </c>
      <c r="D4087" s="9">
        <v>45449</v>
      </c>
      <c r="E4087" s="13">
        <f>+HYPERLINK("http://trademark.i-assist.jp/data/china/image_1890th/77609045.pdf",77609045)</f>
        <v>77609045</v>
      </c>
      <c r="F4087" s="7" t="s">
        <v>11220</v>
      </c>
      <c r="G4087" s="7" t="s">
        <v>11175</v>
      </c>
      <c r="H4087" s="7" t="s">
        <v>11221</v>
      </c>
      <c r="I4087" s="9">
        <v>45379</v>
      </c>
    </row>
    <row r="4088" spans="1:9" x14ac:dyDescent="0.15">
      <c r="A4088" s="6">
        <v>4087</v>
      </c>
      <c r="B4088" s="7" t="s">
        <v>7</v>
      </c>
      <c r="C4088" s="8">
        <v>1890</v>
      </c>
      <c r="D4088" s="9">
        <v>45449</v>
      </c>
      <c r="E4088" s="13">
        <f>+HYPERLINK("http://trademark.i-assist.jp/data/china/image_1890th/77609072.pdf",77609072)</f>
        <v>77609072</v>
      </c>
      <c r="F4088" s="7" t="s">
        <v>11222</v>
      </c>
      <c r="G4088" s="7" t="s">
        <v>11204</v>
      </c>
      <c r="H4088" s="7" t="s">
        <v>11223</v>
      </c>
      <c r="I4088" s="9">
        <v>45379</v>
      </c>
    </row>
    <row r="4089" spans="1:9" x14ac:dyDescent="0.15">
      <c r="A4089" s="6">
        <v>4088</v>
      </c>
      <c r="B4089" s="7" t="s">
        <v>7</v>
      </c>
      <c r="C4089" s="8">
        <v>1890</v>
      </c>
      <c r="D4089" s="9">
        <v>45449</v>
      </c>
      <c r="E4089" s="13">
        <f>+HYPERLINK("http://trademark.i-assist.jp/data/china/image_1890th/77609338.pdf",77609338)</f>
        <v>77609338</v>
      </c>
      <c r="F4089" s="7" t="s">
        <v>11224</v>
      </c>
      <c r="G4089" s="7" t="s">
        <v>7376</v>
      </c>
      <c r="H4089" s="7" t="s">
        <v>11225</v>
      </c>
      <c r="I4089" s="9">
        <v>45379</v>
      </c>
    </row>
    <row r="4090" spans="1:9" x14ac:dyDescent="0.15">
      <c r="A4090" s="6">
        <v>4089</v>
      </c>
      <c r="B4090" s="7" t="s">
        <v>7</v>
      </c>
      <c r="C4090" s="8">
        <v>1890</v>
      </c>
      <c r="D4090" s="9">
        <v>45449</v>
      </c>
      <c r="E4090" s="13">
        <f>+HYPERLINK("http://trademark.i-assist.jp/data/china/image_1890th/77609527.pdf",77609527)</f>
        <v>77609527</v>
      </c>
      <c r="F4090" s="7" t="s">
        <v>11227</v>
      </c>
      <c r="G4090" s="7" t="s">
        <v>11226</v>
      </c>
      <c r="H4090" s="7" t="s">
        <v>11228</v>
      </c>
      <c r="I4090" s="9">
        <v>45379</v>
      </c>
    </row>
    <row r="4091" spans="1:9" x14ac:dyDescent="0.15">
      <c r="A4091" s="6">
        <v>4090</v>
      </c>
      <c r="B4091" s="7" t="s">
        <v>7</v>
      </c>
      <c r="C4091" s="8">
        <v>1890</v>
      </c>
      <c r="D4091" s="9">
        <v>45449</v>
      </c>
      <c r="E4091" s="13">
        <f>+HYPERLINK("http://trademark.i-assist.jp/data/china/image_1890th/77609812.pdf",77609812)</f>
        <v>77609812</v>
      </c>
      <c r="F4091" s="7" t="s">
        <v>11230</v>
      </c>
      <c r="G4091" s="7" t="s">
        <v>11229</v>
      </c>
      <c r="H4091" s="7" t="s">
        <v>11231</v>
      </c>
      <c r="I4091" s="9">
        <v>45379</v>
      </c>
    </row>
    <row r="4092" spans="1:9" ht="27" x14ac:dyDescent="0.15">
      <c r="A4092" s="6">
        <v>4091</v>
      </c>
      <c r="B4092" s="7" t="s">
        <v>7</v>
      </c>
      <c r="C4092" s="8">
        <v>1890</v>
      </c>
      <c r="D4092" s="9">
        <v>45449</v>
      </c>
      <c r="E4092" s="13">
        <f>+HYPERLINK("http://trademark.i-assist.jp/data/china/image_1890th/77610317.pdf",77610317)</f>
        <v>77610317</v>
      </c>
      <c r="F4092" s="7" t="s">
        <v>183</v>
      </c>
      <c r="G4092" s="7" t="s">
        <v>11232</v>
      </c>
      <c r="H4092" s="7" t="s">
        <v>11233</v>
      </c>
      <c r="I4092" s="9">
        <v>45379</v>
      </c>
    </row>
    <row r="4093" spans="1:9" x14ac:dyDescent="0.15">
      <c r="A4093" s="6">
        <v>4092</v>
      </c>
      <c r="B4093" s="7" t="s">
        <v>7</v>
      </c>
      <c r="C4093" s="8">
        <v>1890</v>
      </c>
      <c r="D4093" s="9">
        <v>45449</v>
      </c>
      <c r="E4093" s="13">
        <f>+HYPERLINK("http://trademark.i-assist.jp/data/china/image_1890th/77611692.pdf",77611692)</f>
        <v>77611692</v>
      </c>
      <c r="F4093" s="7" t="s">
        <v>11235</v>
      </c>
      <c r="G4093" s="7" t="s">
        <v>11234</v>
      </c>
      <c r="H4093" s="7" t="s">
        <v>11236</v>
      </c>
      <c r="I4093" s="9">
        <v>45379</v>
      </c>
    </row>
    <row r="4094" spans="1:9" x14ac:dyDescent="0.15">
      <c r="A4094" s="6">
        <v>4093</v>
      </c>
      <c r="B4094" s="7" t="s">
        <v>7</v>
      </c>
      <c r="C4094" s="8">
        <v>1890</v>
      </c>
      <c r="D4094" s="9">
        <v>45449</v>
      </c>
      <c r="E4094" s="13">
        <f>+HYPERLINK("http://trademark.i-assist.jp/data/china/image_1890th/77612032.pdf",77612032)</f>
        <v>77612032</v>
      </c>
      <c r="F4094" s="7" t="s">
        <v>11238</v>
      </c>
      <c r="G4094" s="7" t="s">
        <v>11237</v>
      </c>
      <c r="H4094" s="7" t="s">
        <v>11239</v>
      </c>
      <c r="I4094" s="9">
        <v>45379</v>
      </c>
    </row>
    <row r="4095" spans="1:9" x14ac:dyDescent="0.15">
      <c r="A4095" s="6">
        <v>4094</v>
      </c>
      <c r="B4095" s="7" t="s">
        <v>7</v>
      </c>
      <c r="C4095" s="8">
        <v>1890</v>
      </c>
      <c r="D4095" s="9">
        <v>45449</v>
      </c>
      <c r="E4095" s="13">
        <f>+HYPERLINK("http://trademark.i-assist.jp/data/china/image_1890th/77612214.pdf",77612214)</f>
        <v>77612214</v>
      </c>
      <c r="F4095" s="7" t="s">
        <v>11241</v>
      </c>
      <c r="G4095" s="7" t="s">
        <v>11240</v>
      </c>
      <c r="H4095" s="7" t="s">
        <v>11242</v>
      </c>
      <c r="I4095" s="9">
        <v>45379</v>
      </c>
    </row>
    <row r="4096" spans="1:9" x14ac:dyDescent="0.15">
      <c r="A4096" s="6">
        <v>4095</v>
      </c>
      <c r="B4096" s="7" t="s">
        <v>7</v>
      </c>
      <c r="C4096" s="8">
        <v>1890</v>
      </c>
      <c r="D4096" s="9">
        <v>45449</v>
      </c>
      <c r="E4096" s="13">
        <f>+HYPERLINK("http://trademark.i-assist.jp/data/china/image_1890th/77613379.pdf",77613379)</f>
        <v>77613379</v>
      </c>
      <c r="F4096" s="7" t="s">
        <v>11244</v>
      </c>
      <c r="G4096" s="7" t="s">
        <v>11243</v>
      </c>
      <c r="H4096" s="7" t="s">
        <v>11245</v>
      </c>
      <c r="I4096" s="9">
        <v>45379</v>
      </c>
    </row>
    <row r="4097" spans="1:9" x14ac:dyDescent="0.15">
      <c r="A4097" s="6">
        <v>4096</v>
      </c>
      <c r="B4097" s="7" t="s">
        <v>7</v>
      </c>
      <c r="C4097" s="8">
        <v>1890</v>
      </c>
      <c r="D4097" s="9">
        <v>45449</v>
      </c>
      <c r="E4097" s="13">
        <f>+HYPERLINK("http://trademark.i-assist.jp/data/china/image_1890th/77613605.pdf",77613605)</f>
        <v>77613605</v>
      </c>
      <c r="F4097" s="7" t="s">
        <v>11247</v>
      </c>
      <c r="G4097" s="7" t="s">
        <v>11246</v>
      </c>
      <c r="H4097" s="7" t="s">
        <v>11248</v>
      </c>
      <c r="I4097" s="9">
        <v>45379</v>
      </c>
    </row>
    <row r="4098" spans="1:9" x14ac:dyDescent="0.15">
      <c r="A4098" s="6">
        <v>4097</v>
      </c>
      <c r="B4098" s="7" t="s">
        <v>7</v>
      </c>
      <c r="C4098" s="8">
        <v>1890</v>
      </c>
      <c r="D4098" s="9">
        <v>45449</v>
      </c>
      <c r="E4098" s="13">
        <f>+HYPERLINK("http://trademark.i-assist.jp/data/china/image_1890th/77614052.pdf",77614052)</f>
        <v>77614052</v>
      </c>
      <c r="F4098" s="7" t="s">
        <v>11250</v>
      </c>
      <c r="G4098" s="7" t="s">
        <v>11249</v>
      </c>
      <c r="H4098" s="7" t="s">
        <v>11251</v>
      </c>
      <c r="I4098" s="9">
        <v>45379</v>
      </c>
    </row>
    <row r="4099" spans="1:9" ht="27" x14ac:dyDescent="0.15">
      <c r="A4099" s="6">
        <v>4098</v>
      </c>
      <c r="B4099" s="7" t="s">
        <v>7</v>
      </c>
      <c r="C4099" s="8">
        <v>1890</v>
      </c>
      <c r="D4099" s="9">
        <v>45449</v>
      </c>
      <c r="E4099" s="13">
        <f>+HYPERLINK("http://trademark.i-assist.jp/data/china/image_1890th/77614147.pdf",77614147)</f>
        <v>77614147</v>
      </c>
      <c r="F4099" s="7" t="s">
        <v>11253</v>
      </c>
      <c r="G4099" s="7" t="s">
        <v>11252</v>
      </c>
      <c r="H4099" s="7" t="s">
        <v>11254</v>
      </c>
      <c r="I4099" s="9">
        <v>45379</v>
      </c>
    </row>
    <row r="4100" spans="1:9" x14ac:dyDescent="0.15">
      <c r="A4100" s="6">
        <v>4099</v>
      </c>
      <c r="B4100" s="7" t="s">
        <v>7</v>
      </c>
      <c r="C4100" s="8">
        <v>1890</v>
      </c>
      <c r="D4100" s="9">
        <v>45449</v>
      </c>
      <c r="E4100" s="13">
        <f>+HYPERLINK("http://trademark.i-assist.jp/data/china/image_1890th/77614375.pdf",77614375)</f>
        <v>77614375</v>
      </c>
      <c r="F4100" s="7" t="s">
        <v>11256</v>
      </c>
      <c r="G4100" s="7" t="s">
        <v>11255</v>
      </c>
      <c r="H4100" s="7" t="s">
        <v>11257</v>
      </c>
      <c r="I4100" s="9">
        <v>45379</v>
      </c>
    </row>
    <row r="4101" spans="1:9" x14ac:dyDescent="0.15">
      <c r="A4101" s="6">
        <v>4100</v>
      </c>
      <c r="B4101" s="7" t="s">
        <v>7</v>
      </c>
      <c r="C4101" s="8">
        <v>1890</v>
      </c>
      <c r="D4101" s="9">
        <v>45449</v>
      </c>
      <c r="E4101" s="13">
        <f>+HYPERLINK("http://trademark.i-assist.jp/data/china/image_1890th/77614492.pdf",77614492)</f>
        <v>77614492</v>
      </c>
      <c r="F4101" s="7" t="s">
        <v>11258</v>
      </c>
      <c r="G4101" s="7" t="s">
        <v>7376</v>
      </c>
      <c r="H4101" s="7" t="s">
        <v>11259</v>
      </c>
      <c r="I4101" s="9">
        <v>45379</v>
      </c>
    </row>
    <row r="4102" spans="1:9" x14ac:dyDescent="0.15">
      <c r="A4102" s="6">
        <v>4101</v>
      </c>
      <c r="B4102" s="7" t="s">
        <v>7</v>
      </c>
      <c r="C4102" s="8">
        <v>1890</v>
      </c>
      <c r="D4102" s="9">
        <v>45449</v>
      </c>
      <c r="E4102" s="13">
        <f>+HYPERLINK("http://trademark.i-assist.jp/data/china/image_1890th/77614514.pdf",77614514)</f>
        <v>77614514</v>
      </c>
      <c r="F4102" s="7" t="s">
        <v>11260</v>
      </c>
      <c r="G4102" s="7" t="s">
        <v>7376</v>
      </c>
      <c r="H4102" s="7" t="s">
        <v>11261</v>
      </c>
      <c r="I4102" s="9">
        <v>45379</v>
      </c>
    </row>
    <row r="4103" spans="1:9" x14ac:dyDescent="0.15">
      <c r="A4103" s="6">
        <v>4102</v>
      </c>
      <c r="B4103" s="7" t="s">
        <v>7</v>
      </c>
      <c r="C4103" s="8">
        <v>1890</v>
      </c>
      <c r="D4103" s="9">
        <v>45449</v>
      </c>
      <c r="E4103" s="13">
        <f>+HYPERLINK("http://trademark.i-assist.jp/data/china/image_1890th/77614519.pdf",77614519)</f>
        <v>77614519</v>
      </c>
      <c r="F4103" s="7" t="s">
        <v>11262</v>
      </c>
      <c r="G4103" s="7" t="s">
        <v>7376</v>
      </c>
      <c r="H4103" s="7" t="s">
        <v>11263</v>
      </c>
      <c r="I4103" s="9">
        <v>45379</v>
      </c>
    </row>
    <row r="4104" spans="1:9" x14ac:dyDescent="0.15">
      <c r="A4104" s="6">
        <v>4103</v>
      </c>
      <c r="B4104" s="7" t="s">
        <v>7</v>
      </c>
      <c r="C4104" s="8">
        <v>1890</v>
      </c>
      <c r="D4104" s="9">
        <v>45449</v>
      </c>
      <c r="E4104" s="13">
        <f>+HYPERLINK("http://trademark.i-assist.jp/data/china/image_1890th/77614566.pdf",77614566)</f>
        <v>77614566</v>
      </c>
      <c r="F4104" s="7" t="s">
        <v>11265</v>
      </c>
      <c r="G4104" s="7" t="s">
        <v>11264</v>
      </c>
      <c r="H4104" s="7" t="s">
        <v>11266</v>
      </c>
      <c r="I4104" s="9">
        <v>45379</v>
      </c>
    </row>
    <row r="4105" spans="1:9" x14ac:dyDescent="0.15">
      <c r="A4105" s="6">
        <v>4104</v>
      </c>
      <c r="B4105" s="7" t="s">
        <v>7</v>
      </c>
      <c r="C4105" s="8">
        <v>1890</v>
      </c>
      <c r="D4105" s="9">
        <v>45449</v>
      </c>
      <c r="E4105" s="13">
        <f>+HYPERLINK("http://trademark.i-assist.jp/data/china/image_1890th/77614606.pdf",77614606)</f>
        <v>77614606</v>
      </c>
      <c r="F4105" s="7" t="s">
        <v>11267</v>
      </c>
      <c r="G4105" s="7" t="s">
        <v>2122</v>
      </c>
      <c r="H4105" s="7" t="s">
        <v>11268</v>
      </c>
      <c r="I4105" s="9">
        <v>45379</v>
      </c>
    </row>
    <row r="4106" spans="1:9" x14ac:dyDescent="0.15">
      <c r="A4106" s="6">
        <v>4105</v>
      </c>
      <c r="B4106" s="7" t="s">
        <v>7</v>
      </c>
      <c r="C4106" s="8">
        <v>1890</v>
      </c>
      <c r="D4106" s="9">
        <v>45449</v>
      </c>
      <c r="E4106" s="13">
        <f>+HYPERLINK("http://trademark.i-assist.jp/data/china/image_1890th/77615557.pdf",77615557)</f>
        <v>77615557</v>
      </c>
      <c r="F4106" s="7" t="s">
        <v>11270</v>
      </c>
      <c r="G4106" s="7" t="s">
        <v>11269</v>
      </c>
      <c r="H4106" s="7" t="s">
        <v>11271</v>
      </c>
      <c r="I4106" s="9">
        <v>45379</v>
      </c>
    </row>
    <row r="4107" spans="1:9" x14ac:dyDescent="0.15">
      <c r="A4107" s="6">
        <v>4106</v>
      </c>
      <c r="B4107" s="7" t="s">
        <v>7</v>
      </c>
      <c r="C4107" s="8">
        <v>1890</v>
      </c>
      <c r="D4107" s="9">
        <v>45449</v>
      </c>
      <c r="E4107" s="13">
        <f>+HYPERLINK("http://trademark.i-assist.jp/data/china/image_1890th/77615901.pdf",77615901)</f>
        <v>77615901</v>
      </c>
      <c r="F4107" s="7" t="s">
        <v>11273</v>
      </c>
      <c r="G4107" s="7" t="s">
        <v>11272</v>
      </c>
      <c r="H4107" s="7" t="s">
        <v>11274</v>
      </c>
      <c r="I4107" s="9">
        <v>45379</v>
      </c>
    </row>
    <row r="4108" spans="1:9" ht="27" x14ac:dyDescent="0.15">
      <c r="A4108" s="6">
        <v>4107</v>
      </c>
      <c r="B4108" s="7" t="s">
        <v>7</v>
      </c>
      <c r="C4108" s="8">
        <v>1890</v>
      </c>
      <c r="D4108" s="9">
        <v>45449</v>
      </c>
      <c r="E4108" s="13">
        <f>+HYPERLINK("http://trademark.i-assist.jp/data/china/image_1890th/77616305.pdf",77616305)</f>
        <v>77616305</v>
      </c>
      <c r="F4108" s="7" t="s">
        <v>11276</v>
      </c>
      <c r="G4108" s="7" t="s">
        <v>11275</v>
      </c>
      <c r="H4108" s="7" t="s">
        <v>11277</v>
      </c>
      <c r="I4108" s="9">
        <v>45379</v>
      </c>
    </row>
    <row r="4109" spans="1:9" x14ac:dyDescent="0.15">
      <c r="A4109" s="6">
        <v>4108</v>
      </c>
      <c r="B4109" s="7" t="s">
        <v>7</v>
      </c>
      <c r="C4109" s="8">
        <v>1890</v>
      </c>
      <c r="D4109" s="9">
        <v>45449</v>
      </c>
      <c r="E4109" s="13">
        <f>+HYPERLINK("http://trademark.i-assist.jp/data/china/image_1890th/77616746.pdf",77616746)</f>
        <v>77616746</v>
      </c>
      <c r="F4109" s="7" t="s">
        <v>11279</v>
      </c>
      <c r="G4109" s="7" t="s">
        <v>11278</v>
      </c>
      <c r="H4109" s="7" t="s">
        <v>11280</v>
      </c>
      <c r="I4109" s="9">
        <v>45379</v>
      </c>
    </row>
    <row r="4110" spans="1:9" x14ac:dyDescent="0.15">
      <c r="A4110" s="6">
        <v>4109</v>
      </c>
      <c r="B4110" s="7" t="s">
        <v>7</v>
      </c>
      <c r="C4110" s="8">
        <v>1890</v>
      </c>
      <c r="D4110" s="9">
        <v>45449</v>
      </c>
      <c r="E4110" s="13">
        <f>+HYPERLINK("http://trademark.i-assist.jp/data/china/image_1890th/77617633.pdf",77617633)</f>
        <v>77617633</v>
      </c>
      <c r="F4110" s="7" t="s">
        <v>11282</v>
      </c>
      <c r="G4110" s="7" t="s">
        <v>11281</v>
      </c>
      <c r="H4110" s="7" t="s">
        <v>11283</v>
      </c>
      <c r="I4110" s="9">
        <v>45379</v>
      </c>
    </row>
    <row r="4111" spans="1:9" x14ac:dyDescent="0.15">
      <c r="A4111" s="6">
        <v>4110</v>
      </c>
      <c r="B4111" s="7" t="s">
        <v>7</v>
      </c>
      <c r="C4111" s="8">
        <v>1890</v>
      </c>
      <c r="D4111" s="9">
        <v>45449</v>
      </c>
      <c r="E4111" s="13">
        <f>+HYPERLINK("http://trademark.i-assist.jp/data/china/image_1890th/77618222.pdf",77618222)</f>
        <v>77618222</v>
      </c>
      <c r="F4111" s="7" t="s">
        <v>11285</v>
      </c>
      <c r="G4111" s="7" t="s">
        <v>11284</v>
      </c>
      <c r="H4111" s="7" t="s">
        <v>11286</v>
      </c>
      <c r="I4111" s="9">
        <v>45379</v>
      </c>
    </row>
    <row r="4112" spans="1:9" ht="27" x14ac:dyDescent="0.15">
      <c r="A4112" s="6">
        <v>4111</v>
      </c>
      <c r="B4112" s="7" t="s">
        <v>7</v>
      </c>
      <c r="C4112" s="8">
        <v>1890</v>
      </c>
      <c r="D4112" s="9">
        <v>45449</v>
      </c>
      <c r="E4112" s="13">
        <f>+HYPERLINK("http://trademark.i-assist.jp/data/china/image_1890th/77618399.pdf",77618399)</f>
        <v>77618399</v>
      </c>
      <c r="F4112" s="7" t="s">
        <v>11288</v>
      </c>
      <c r="G4112" s="7" t="s">
        <v>11287</v>
      </c>
      <c r="H4112" s="7" t="s">
        <v>11289</v>
      </c>
      <c r="I4112" s="9">
        <v>45379</v>
      </c>
    </row>
    <row r="4113" spans="1:9" x14ac:dyDescent="0.15">
      <c r="A4113" s="6">
        <v>4112</v>
      </c>
      <c r="B4113" s="7" t="s">
        <v>7</v>
      </c>
      <c r="C4113" s="8">
        <v>1890</v>
      </c>
      <c r="D4113" s="9">
        <v>45449</v>
      </c>
      <c r="E4113" s="13">
        <f>+HYPERLINK("http://trademark.i-assist.jp/data/china/image_1890th/77618697.pdf",77618697)</f>
        <v>77618697</v>
      </c>
      <c r="F4113" s="7" t="s">
        <v>11291</v>
      </c>
      <c r="G4113" s="7" t="s">
        <v>11290</v>
      </c>
      <c r="H4113" s="7" t="s">
        <v>11292</v>
      </c>
      <c r="I4113" s="9">
        <v>45379</v>
      </c>
    </row>
    <row r="4114" spans="1:9" ht="27" x14ac:dyDescent="0.15">
      <c r="A4114" s="6">
        <v>4113</v>
      </c>
      <c r="B4114" s="7" t="s">
        <v>7</v>
      </c>
      <c r="C4114" s="8">
        <v>1890</v>
      </c>
      <c r="D4114" s="9">
        <v>45449</v>
      </c>
      <c r="E4114" s="13">
        <f>+HYPERLINK("http://trademark.i-assist.jp/data/china/image_1890th/77618784.pdf",77618784)</f>
        <v>77618784</v>
      </c>
      <c r="F4114" s="7" t="s">
        <v>183</v>
      </c>
      <c r="G4114" s="7" t="s">
        <v>11293</v>
      </c>
      <c r="H4114" s="7" t="s">
        <v>11294</v>
      </c>
      <c r="I4114" s="9">
        <v>45379</v>
      </c>
    </row>
    <row r="4115" spans="1:9" x14ac:dyDescent="0.15">
      <c r="A4115" s="6">
        <v>4114</v>
      </c>
      <c r="B4115" s="7" t="s">
        <v>7</v>
      </c>
      <c r="C4115" s="8">
        <v>1890</v>
      </c>
      <c r="D4115" s="9">
        <v>45449</v>
      </c>
      <c r="E4115" s="13">
        <f>+HYPERLINK("http://trademark.i-assist.jp/data/china/image_1890th/77619136.pdf",77619136)</f>
        <v>77619136</v>
      </c>
      <c r="F4115" s="7" t="s">
        <v>11296</v>
      </c>
      <c r="G4115" s="7" t="s">
        <v>11295</v>
      </c>
      <c r="H4115" s="7" t="s">
        <v>11297</v>
      </c>
      <c r="I4115" s="9">
        <v>45379</v>
      </c>
    </row>
    <row r="4116" spans="1:9" x14ac:dyDescent="0.15">
      <c r="A4116" s="6">
        <v>4115</v>
      </c>
      <c r="B4116" s="7" t="s">
        <v>7</v>
      </c>
      <c r="C4116" s="8">
        <v>1890</v>
      </c>
      <c r="D4116" s="9">
        <v>45449</v>
      </c>
      <c r="E4116" s="13">
        <f>+HYPERLINK("http://trademark.i-assist.jp/data/china/image_1890th/77619314.pdf",77619314)</f>
        <v>77619314</v>
      </c>
      <c r="F4116" s="7" t="s">
        <v>11298</v>
      </c>
      <c r="G4116" s="7" t="s">
        <v>11168</v>
      </c>
      <c r="H4116" s="7" t="s">
        <v>11299</v>
      </c>
      <c r="I4116" s="9">
        <v>45379</v>
      </c>
    </row>
    <row r="4117" spans="1:9" x14ac:dyDescent="0.15">
      <c r="A4117" s="6">
        <v>4116</v>
      </c>
      <c r="B4117" s="7" t="s">
        <v>7</v>
      </c>
      <c r="C4117" s="8">
        <v>1890</v>
      </c>
      <c r="D4117" s="9">
        <v>45449</v>
      </c>
      <c r="E4117" s="13">
        <f>+HYPERLINK("http://trademark.i-assist.jp/data/china/image_1890th/77619954.pdf",77619954)</f>
        <v>77619954</v>
      </c>
      <c r="F4117" s="7" t="s">
        <v>11301</v>
      </c>
      <c r="G4117" s="7" t="s">
        <v>11300</v>
      </c>
      <c r="H4117" s="7" t="s">
        <v>11302</v>
      </c>
      <c r="I4117" s="9">
        <v>45379</v>
      </c>
    </row>
    <row r="4118" spans="1:9" x14ac:dyDescent="0.15">
      <c r="A4118" s="6">
        <v>4117</v>
      </c>
      <c r="B4118" s="7" t="s">
        <v>7</v>
      </c>
      <c r="C4118" s="8">
        <v>1890</v>
      </c>
      <c r="D4118" s="9">
        <v>45449</v>
      </c>
      <c r="E4118" s="13">
        <f>+HYPERLINK("http://trademark.i-assist.jp/data/china/image_1890th/77620073.pdf",77620073)</f>
        <v>77620073</v>
      </c>
      <c r="F4118" s="7" t="s">
        <v>11303</v>
      </c>
      <c r="G4118" s="7" t="s">
        <v>7356</v>
      </c>
      <c r="H4118" s="7" t="s">
        <v>11304</v>
      </c>
      <c r="I4118" s="9">
        <v>45379</v>
      </c>
    </row>
    <row r="4119" spans="1:9" ht="27" x14ac:dyDescent="0.15">
      <c r="A4119" s="6">
        <v>4118</v>
      </c>
      <c r="B4119" s="7" t="s">
        <v>7</v>
      </c>
      <c r="C4119" s="8">
        <v>1890</v>
      </c>
      <c r="D4119" s="9">
        <v>45449</v>
      </c>
      <c r="E4119" s="13">
        <f>+HYPERLINK("http://trademark.i-assist.jp/data/china/image_1890th/77620274.pdf",77620274)</f>
        <v>77620274</v>
      </c>
      <c r="F4119" s="7" t="s">
        <v>11306</v>
      </c>
      <c r="G4119" s="7" t="s">
        <v>11305</v>
      </c>
      <c r="H4119" s="7" t="s">
        <v>11307</v>
      </c>
      <c r="I4119" s="9">
        <v>45379</v>
      </c>
    </row>
    <row r="4120" spans="1:9" x14ac:dyDescent="0.15">
      <c r="A4120" s="6">
        <v>4119</v>
      </c>
      <c r="B4120" s="7" t="s">
        <v>7</v>
      </c>
      <c r="C4120" s="8">
        <v>1890</v>
      </c>
      <c r="D4120" s="9">
        <v>45449</v>
      </c>
      <c r="E4120" s="13">
        <f>+HYPERLINK("http://trademark.i-assist.jp/data/china/image_1890th/77620304.pdf",77620304)</f>
        <v>77620304</v>
      </c>
      <c r="F4120" s="7" t="s">
        <v>11309</v>
      </c>
      <c r="G4120" s="7" t="s">
        <v>11308</v>
      </c>
      <c r="H4120" s="7" t="s">
        <v>11310</v>
      </c>
      <c r="I4120" s="9">
        <v>45379</v>
      </c>
    </row>
    <row r="4121" spans="1:9" x14ac:dyDescent="0.15">
      <c r="A4121" s="6">
        <v>4120</v>
      </c>
      <c r="B4121" s="7" t="s">
        <v>7</v>
      </c>
      <c r="C4121" s="8">
        <v>1890</v>
      </c>
      <c r="D4121" s="9">
        <v>45449</v>
      </c>
      <c r="E4121" s="13">
        <f>+HYPERLINK("http://trademark.i-assist.jp/data/china/image_1890th/77620672.pdf",77620672)</f>
        <v>77620672</v>
      </c>
      <c r="F4121" s="7" t="s">
        <v>11312</v>
      </c>
      <c r="G4121" s="7" t="s">
        <v>11311</v>
      </c>
      <c r="H4121" s="7" t="s">
        <v>11313</v>
      </c>
      <c r="I4121" s="9">
        <v>45379</v>
      </c>
    </row>
    <row r="4122" spans="1:9" x14ac:dyDescent="0.15">
      <c r="A4122" s="6">
        <v>4121</v>
      </c>
      <c r="B4122" s="7" t="s">
        <v>7</v>
      </c>
      <c r="C4122" s="8">
        <v>1890</v>
      </c>
      <c r="D4122" s="9">
        <v>45449</v>
      </c>
      <c r="E4122" s="13">
        <f>+HYPERLINK("http://trademark.i-assist.jp/data/china/image_1890th/77621418.pdf",77621418)</f>
        <v>77621418</v>
      </c>
      <c r="F4122" s="7" t="s">
        <v>11315</v>
      </c>
      <c r="G4122" s="7" t="s">
        <v>11314</v>
      </c>
      <c r="H4122" s="7" t="s">
        <v>11316</v>
      </c>
      <c r="I4122" s="9">
        <v>45379</v>
      </c>
    </row>
    <row r="4123" spans="1:9" x14ac:dyDescent="0.15">
      <c r="A4123" s="6">
        <v>4122</v>
      </c>
      <c r="B4123" s="7" t="s">
        <v>7</v>
      </c>
      <c r="C4123" s="8">
        <v>1890</v>
      </c>
      <c r="D4123" s="9">
        <v>45449</v>
      </c>
      <c r="E4123" s="13">
        <f>+HYPERLINK("http://trademark.i-assist.jp/data/china/image_1890th/77621804.pdf",77621804)</f>
        <v>77621804</v>
      </c>
      <c r="F4123" s="7" t="s">
        <v>11317</v>
      </c>
      <c r="G4123" s="7" t="s">
        <v>2122</v>
      </c>
      <c r="H4123" s="7" t="s">
        <v>11318</v>
      </c>
      <c r="I4123" s="9">
        <v>45379</v>
      </c>
    </row>
    <row r="4124" spans="1:9" x14ac:dyDescent="0.15">
      <c r="A4124" s="6">
        <v>4123</v>
      </c>
      <c r="B4124" s="7" t="s">
        <v>7</v>
      </c>
      <c r="C4124" s="8">
        <v>1890</v>
      </c>
      <c r="D4124" s="9">
        <v>45449</v>
      </c>
      <c r="E4124" s="13">
        <f>+HYPERLINK("http://trademark.i-assist.jp/data/china/image_1890th/77621943.pdf",77621943)</f>
        <v>77621943</v>
      </c>
      <c r="F4124" s="7" t="s">
        <v>11319</v>
      </c>
      <c r="G4124" s="7" t="s">
        <v>7376</v>
      </c>
      <c r="H4124" s="7" t="s">
        <v>11320</v>
      </c>
      <c r="I4124" s="9">
        <v>45379</v>
      </c>
    </row>
    <row r="4125" spans="1:9" x14ac:dyDescent="0.15">
      <c r="A4125" s="6">
        <v>4124</v>
      </c>
      <c r="B4125" s="7" t="s">
        <v>7</v>
      </c>
      <c r="C4125" s="8">
        <v>1890</v>
      </c>
      <c r="D4125" s="9">
        <v>45449</v>
      </c>
      <c r="E4125" s="13">
        <f>+HYPERLINK("http://trademark.i-assist.jp/data/china/image_1890th/77622277.pdf",77622277)</f>
        <v>77622277</v>
      </c>
      <c r="F4125" s="7" t="s">
        <v>11321</v>
      </c>
      <c r="G4125" s="7" t="s">
        <v>11243</v>
      </c>
      <c r="H4125" s="7" t="s">
        <v>11322</v>
      </c>
      <c r="I4125" s="9">
        <v>45379</v>
      </c>
    </row>
    <row r="4126" spans="1:9" x14ac:dyDescent="0.15">
      <c r="A4126" s="6">
        <v>4125</v>
      </c>
      <c r="B4126" s="7" t="s">
        <v>7</v>
      </c>
      <c r="C4126" s="8">
        <v>1890</v>
      </c>
      <c r="D4126" s="9">
        <v>45449</v>
      </c>
      <c r="E4126" s="13">
        <f>+HYPERLINK("http://trademark.i-assist.jp/data/china/image_1890th/77623035.pdf",77623035)</f>
        <v>77623035</v>
      </c>
      <c r="F4126" s="7" t="s">
        <v>11324</v>
      </c>
      <c r="G4126" s="7" t="s">
        <v>11323</v>
      </c>
      <c r="H4126" s="7" t="s">
        <v>11325</v>
      </c>
      <c r="I4126" s="9">
        <v>45379</v>
      </c>
    </row>
    <row r="4127" spans="1:9" x14ac:dyDescent="0.15">
      <c r="A4127" s="6">
        <v>4126</v>
      </c>
      <c r="B4127" s="7" t="s">
        <v>7</v>
      </c>
      <c r="C4127" s="8">
        <v>1890</v>
      </c>
      <c r="D4127" s="9">
        <v>45449</v>
      </c>
      <c r="E4127" s="13">
        <f>+HYPERLINK("http://trademark.i-assist.jp/data/china/image_1890th/77623134.pdf",77623134)</f>
        <v>77623134</v>
      </c>
      <c r="F4127" s="7" t="s">
        <v>11327</v>
      </c>
      <c r="G4127" s="7" t="s">
        <v>11326</v>
      </c>
      <c r="H4127" s="7" t="s">
        <v>11328</v>
      </c>
      <c r="I4127" s="9">
        <v>45379</v>
      </c>
    </row>
    <row r="4128" spans="1:9" x14ac:dyDescent="0.15">
      <c r="A4128" s="6">
        <v>4127</v>
      </c>
      <c r="B4128" s="7" t="s">
        <v>7</v>
      </c>
      <c r="C4128" s="8">
        <v>1890</v>
      </c>
      <c r="D4128" s="9">
        <v>45449</v>
      </c>
      <c r="E4128" s="13">
        <f>+HYPERLINK("http://trademark.i-assist.jp/data/china/image_1890th/77623295.pdf",77623295)</f>
        <v>77623295</v>
      </c>
      <c r="F4128" s="7" t="s">
        <v>11329</v>
      </c>
      <c r="G4128" s="7" t="s">
        <v>7368</v>
      </c>
      <c r="H4128" s="7" t="s">
        <v>11330</v>
      </c>
      <c r="I4128" s="9">
        <v>45379</v>
      </c>
    </row>
    <row r="4129" spans="1:9" ht="40.5" x14ac:dyDescent="0.15">
      <c r="A4129" s="6">
        <v>4128</v>
      </c>
      <c r="B4129" s="7" t="s">
        <v>7</v>
      </c>
      <c r="C4129" s="8">
        <v>1890</v>
      </c>
      <c r="D4129" s="9">
        <v>45449</v>
      </c>
      <c r="E4129" s="13">
        <f>+HYPERLINK("http://trademark.i-assist.jp/data/china/image_1890th/77623473.pdf",77623473)</f>
        <v>77623473</v>
      </c>
      <c r="F4129" s="7" t="s">
        <v>11332</v>
      </c>
      <c r="G4129" s="7" t="s">
        <v>11331</v>
      </c>
      <c r="H4129" s="7" t="s">
        <v>11333</v>
      </c>
      <c r="I4129" s="9">
        <v>45379</v>
      </c>
    </row>
    <row r="4130" spans="1:9" ht="27" x14ac:dyDescent="0.15">
      <c r="A4130" s="6">
        <v>4129</v>
      </c>
      <c r="B4130" s="7" t="s">
        <v>7</v>
      </c>
      <c r="C4130" s="8">
        <v>1890</v>
      </c>
      <c r="D4130" s="9">
        <v>45449</v>
      </c>
      <c r="E4130" s="13">
        <f>+HYPERLINK("http://trademark.i-assist.jp/data/china/image_1890th/77624506.pdf",77624506)</f>
        <v>77624506</v>
      </c>
      <c r="F4130" s="7" t="s">
        <v>11335</v>
      </c>
      <c r="G4130" s="7" t="s">
        <v>11334</v>
      </c>
      <c r="H4130" s="7" t="s">
        <v>11336</v>
      </c>
      <c r="I4130" s="9">
        <v>45379</v>
      </c>
    </row>
    <row r="4131" spans="1:9" x14ac:dyDescent="0.15">
      <c r="A4131" s="6">
        <v>4130</v>
      </c>
      <c r="B4131" s="7" t="s">
        <v>7</v>
      </c>
      <c r="C4131" s="8">
        <v>1890</v>
      </c>
      <c r="D4131" s="9">
        <v>45449</v>
      </c>
      <c r="E4131" s="13">
        <f>+HYPERLINK("http://trademark.i-assist.jp/data/china/image_1890th/77624723.pdf",77624723)</f>
        <v>77624723</v>
      </c>
      <c r="F4131" s="7" t="s">
        <v>11338</v>
      </c>
      <c r="G4131" s="7" t="s">
        <v>11337</v>
      </c>
      <c r="H4131" s="7" t="s">
        <v>11339</v>
      </c>
      <c r="I4131" s="9">
        <v>45379</v>
      </c>
    </row>
    <row r="4132" spans="1:9" x14ac:dyDescent="0.15">
      <c r="A4132" s="6">
        <v>4131</v>
      </c>
      <c r="B4132" s="7" t="s">
        <v>7</v>
      </c>
      <c r="C4132" s="8">
        <v>1890</v>
      </c>
      <c r="D4132" s="9">
        <v>45449</v>
      </c>
      <c r="E4132" s="13">
        <f>+HYPERLINK("http://trademark.i-assist.jp/data/china/image_1890th/77625318.pdf",77625318)</f>
        <v>77625318</v>
      </c>
      <c r="F4132" s="7" t="s">
        <v>11341</v>
      </c>
      <c r="G4132" s="7" t="s">
        <v>11340</v>
      </c>
      <c r="H4132" s="7" t="s">
        <v>11342</v>
      </c>
      <c r="I4132" s="9">
        <v>45379</v>
      </c>
    </row>
    <row r="4133" spans="1:9" x14ac:dyDescent="0.15">
      <c r="A4133" s="6">
        <v>4132</v>
      </c>
      <c r="B4133" s="7" t="s">
        <v>7</v>
      </c>
      <c r="C4133" s="8">
        <v>1890</v>
      </c>
      <c r="D4133" s="9">
        <v>45449</v>
      </c>
      <c r="E4133" s="13">
        <f>+HYPERLINK("http://trademark.i-assist.jp/data/china/image_1890th/77625491.pdf",77625491)</f>
        <v>77625491</v>
      </c>
      <c r="F4133" s="7" t="s">
        <v>11344</v>
      </c>
      <c r="G4133" s="7" t="s">
        <v>11343</v>
      </c>
      <c r="H4133" s="7" t="s">
        <v>11345</v>
      </c>
      <c r="I4133" s="9">
        <v>45379</v>
      </c>
    </row>
    <row r="4134" spans="1:9" x14ac:dyDescent="0.15">
      <c r="A4134" s="6">
        <v>4133</v>
      </c>
      <c r="B4134" s="7" t="s">
        <v>7</v>
      </c>
      <c r="C4134" s="8">
        <v>1890</v>
      </c>
      <c r="D4134" s="9">
        <v>45449</v>
      </c>
      <c r="E4134" s="13">
        <f>+HYPERLINK("http://trademark.i-assist.jp/data/china/image_1890th/77625793.pdf",77625793)</f>
        <v>77625793</v>
      </c>
      <c r="F4134" s="7" t="s">
        <v>11346</v>
      </c>
      <c r="G4134" s="7" t="s">
        <v>43</v>
      </c>
      <c r="H4134" s="7" t="s">
        <v>11347</v>
      </c>
      <c r="I4134" s="9">
        <v>45379</v>
      </c>
    </row>
    <row r="4135" spans="1:9" x14ac:dyDescent="0.15">
      <c r="A4135" s="6">
        <v>4134</v>
      </c>
      <c r="B4135" s="7" t="s">
        <v>7</v>
      </c>
      <c r="C4135" s="8">
        <v>1890</v>
      </c>
      <c r="D4135" s="9">
        <v>45449</v>
      </c>
      <c r="E4135" s="13">
        <f>+HYPERLINK("http://trademark.i-assist.jp/data/china/image_1890th/77625987.pdf",77625987)</f>
        <v>77625987</v>
      </c>
      <c r="F4135" s="7" t="s">
        <v>11349</v>
      </c>
      <c r="G4135" s="7" t="s">
        <v>11348</v>
      </c>
      <c r="H4135" s="7" t="s">
        <v>11350</v>
      </c>
      <c r="I4135" s="9">
        <v>45379</v>
      </c>
    </row>
  </sheetData>
  <autoFilter ref="A1:I1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1890th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IA-KEI</cp:lastModifiedBy>
  <dcterms:created xsi:type="dcterms:W3CDTF">2018-08-31T07:51:48Z</dcterms:created>
  <dcterms:modified xsi:type="dcterms:W3CDTF">2025-02-25T09:00:03Z</dcterms:modified>
</cp:coreProperties>
</file>