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D0B152C-6B20-4943-A797-D0D6962AEC99}" xr6:coauthVersionLast="47" xr6:coauthVersionMax="47" xr10:uidLastSave="{00000000-0000-0000-0000-000000000000}"/>
  <bookViews>
    <workbookView xWindow="1560" yWindow="1560" windowWidth="24555" windowHeight="14250" xr2:uid="{00000000-000D-0000-FFFF-FFFF00000000}"/>
  </bookViews>
  <sheets>
    <sheet name="1889th" sheetId="2" r:id="rId1"/>
  </sheets>
  <calcPr calcId="191029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F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</calcChain>
</file>

<file path=xl/sharedStrings.xml><?xml version="1.0" encoding="utf-8"?>
<sst xmlns="http://schemas.openxmlformats.org/spreadsheetml/2006/main" count="6788" uniqueCount="4725">
  <si>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</si>
  <si>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</si>
  <si>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</si>
  <si>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</si>
  <si>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</si>
  <si>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</si>
  <si>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</si>
  <si>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</si>
  <si>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</si>
  <si>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</si>
  <si>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</si>
  <si>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r>
      <t>华</t>
    </r>
    <r>
      <rPr>
        <sz val="11"/>
        <color theme="1"/>
        <rFont val="ＭＳ Ｐゴシック"/>
        <family val="3"/>
        <charset val="128"/>
        <scheme val="minor"/>
      </rPr>
      <t>仔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</si>
  <si>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</si>
  <si>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</si>
  <si>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子王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</si>
  <si>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</si>
  <si>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呈斟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</si>
  <si>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苏酝</t>
    </r>
    <r>
      <rPr>
        <sz val="11"/>
        <color theme="1"/>
        <rFont val="ＭＳ Ｐゴシック"/>
        <family val="3"/>
        <charset val="128"/>
        <scheme val="minor"/>
      </rPr>
      <t>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</si>
  <si>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米酒; 白酒; 葡萄酒; 梨酒; 清酒（日本米酒）; 黄酒; 开胃酒</t>
    </r>
  </si>
  <si>
    <r>
      <t>迎</t>
    </r>
    <r>
      <rPr>
        <sz val="11"/>
        <color theme="1"/>
        <rFont val="ＭＳ Ｐゴシック"/>
        <family val="3"/>
        <charset val="134"/>
        <scheme val="minor"/>
      </rPr>
      <t>酿凤</t>
    </r>
    <r>
      <rPr>
        <sz val="11"/>
        <color theme="1"/>
        <rFont val="ＭＳ Ｐゴシック"/>
        <family val="3"/>
        <charset val="128"/>
        <scheme val="minor"/>
      </rPr>
      <t>牌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</si>
  <si>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</si>
  <si>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白酒; 黄酒; 蜂蜜酒; 食用酒精;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</t>
    </r>
  </si>
  <si>
    <t>盈</t>
  </si>
  <si>
    <r>
      <t>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国器（北京）酒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</si>
  <si>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</si>
  <si>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皇樽</t>
  </si>
  <si>
    <r>
      <t>罗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</si>
  <si>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</si>
  <si>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都山古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</si>
  <si>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市都山古</t>
    </r>
    <r>
      <rPr>
        <sz val="11"/>
        <color theme="1"/>
        <rFont val="ＭＳ Ｐゴシック"/>
        <family val="3"/>
        <charset val="134"/>
        <scheme val="minor"/>
      </rPr>
      <t>贡农业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</si>
  <si>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白干酒（中国白酒）; 葡萄酒;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水果汽酒; 烈酒</t>
    </r>
  </si>
  <si>
    <t>宴友思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</si>
  <si>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西三原老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家工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</si>
  <si>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</si>
  <si>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昨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</si>
  <si>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市馥煌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</si>
  <si>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米酒</t>
    </r>
  </si>
  <si>
    <t>ACT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</si>
  <si>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洋河酒厂股份有限公司</t>
    </r>
  </si>
  <si>
    <r>
      <t>蒸煮提取物（利口酒和烈酒）; 果酒（含酒精）; 葡萄酒;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</si>
  <si>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</si>
  <si>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河南省安泰</t>
    </r>
    <r>
      <rPr>
        <sz val="11"/>
        <color theme="1"/>
        <rFont val="ＭＳ Ｐゴシック"/>
        <family val="3"/>
        <charset val="134"/>
        <scheme val="minor"/>
      </rPr>
      <t>检测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</si>
  <si>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白酒</t>
  </si>
  <si>
    <t>MANSONG</t>
  </si>
  <si>
    <r>
      <t>北京大雅酷客酒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</si>
  <si>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葡萄酒; 露酒; 米酒; 白酒; 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清酒（日本米酒）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</si>
  <si>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藏布</t>
    </r>
  </si>
  <si>
    <r>
      <t>昆山市花</t>
    </r>
    <r>
      <rPr>
        <sz val="11"/>
        <color theme="1"/>
        <rFont val="ＭＳ Ｐゴシック"/>
        <family val="3"/>
        <charset val="134"/>
        <scheme val="minor"/>
      </rPr>
      <t>桥镇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藏步江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</si>
  <si>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含酒精蛋奶酒; 米酒; 青稞酒; 黄酒;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</si>
  <si>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WEIRD MARKET</t>
  </si>
  <si>
    <t>黄皓波******************</t>
  </si>
  <si>
    <r>
      <t xml:space="preserve">柑香酒; 餐后酒（利口酒和烈酒）; 葡萄酒; 杜松子酒; 酸酒（低等葡萄酒）;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</si>
  <si>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t>同元堂</t>
  </si>
  <si>
    <t>四川同元堂生物科技有限公司</t>
  </si>
  <si>
    <r>
      <t xml:space="preserve">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酸酒（低等葡萄酒）;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</si>
  <si>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昭德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</si>
  <si>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安徽昭德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</si>
  <si>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开胃酒;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</si>
  <si>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君子福</t>
  </si>
  <si>
    <r>
      <t>吴江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区网尚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</si>
  <si>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 xml:space="preserve">果酒（含酒精）; 开胃酒;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食用酒精; 利口酒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</si>
  <si>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</si>
  <si>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泰山</t>
    </r>
    <r>
      <rPr>
        <sz val="11"/>
        <color theme="1"/>
        <rFont val="ＭＳ Ｐゴシック"/>
        <family val="3"/>
        <charset val="134"/>
        <scheme val="minor"/>
      </rPr>
      <t>剑酿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</si>
  <si>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</si>
  <si>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年本 22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</si>
  <si>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</si>
  <si>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葡萄酒</t>
    </r>
  </si>
  <si>
    <t>Z9100</t>
  </si>
  <si>
    <t>民族匠心品牌管理（北京）有限公司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</si>
  <si>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</si>
  <si>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开朝</t>
  </si>
  <si>
    <t>延安市宝塔区南泥湾酒厂</t>
  </si>
  <si>
    <r>
      <t>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食用酒精;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</si>
  <si>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</si>
  <si>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正之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</si>
  <si>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正大畜牧投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</si>
  <si>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 xml:space="preserve">葡萄酒;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</si>
  <si>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怒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塔吉 NURTAJ</t>
    </r>
  </si>
  <si>
    <r>
      <t>阿不都艾海提·艾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孜</t>
    </r>
  </si>
  <si>
    <r>
      <t>苦味酒;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果酒（含酒精）; 葡萄酒; 苹果酒</t>
    </r>
  </si>
  <si>
    <t>贤荟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</si>
  <si>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辰文化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</si>
  <si>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甜酒;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果酒; 米酒;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</si>
  <si>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百年金水</t>
  </si>
  <si>
    <r>
      <t>山西金水德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</si>
  <si>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</si>
  <si>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稻</t>
    </r>
  </si>
  <si>
    <t>徐水区行者酒行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</si>
  <si>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</si>
  <si>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古柔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</si>
  <si>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楷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</si>
  <si>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</si>
  <si>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天池潭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</si>
  <si>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</si>
  <si>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玉葫芦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</si>
  <si>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食用酒精;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</t>
    </r>
  </si>
  <si>
    <r>
      <t>涂山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娘</t>
    </r>
  </si>
  <si>
    <r>
      <t>安徽省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远县亚</t>
    </r>
    <r>
      <rPr>
        <sz val="11"/>
        <color theme="1"/>
        <rFont val="ＭＳ Ｐゴシック"/>
        <family val="3"/>
        <charset val="128"/>
        <scheme val="minor"/>
      </rPr>
      <t>太石榴酒有限公司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</si>
  <si>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</t>
    </r>
  </si>
  <si>
    <t>常府</t>
  </si>
  <si>
    <r>
      <t>广州市番禺区大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友善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</si>
  <si>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清酒</t>
    </r>
  </si>
  <si>
    <t>民本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</si>
  <si>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</si>
  <si>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</si>
  <si>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欧企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</si>
  <si>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白酒;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</si>
  <si>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大崇</t>
  </si>
  <si>
    <r>
      <t>佛山市禅城区星耀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</si>
  <si>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</si>
  <si>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万寿塔</t>
  </si>
  <si>
    <r>
      <t>延津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延茅酒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</si>
  <si>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青稞酒; 高粱酒; 白酒</t>
    </r>
  </si>
  <si>
    <t>杭州酒家 HANGZHOU RESTAURANT 1921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</si>
  <si>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有限公司杭州酒家</t>
    </r>
  </si>
  <si>
    <r>
      <t xml:space="preserve">利口酒; 清酒;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</t>
    </r>
  </si>
  <si>
    <t>喜嫁</t>
  </si>
  <si>
    <r>
      <t>仪</t>
    </r>
    <r>
      <rPr>
        <sz val="11"/>
        <color theme="1"/>
        <rFont val="ＭＳ Ｐゴシック"/>
        <family val="3"/>
        <charset val="128"/>
        <scheme val="minor"/>
      </rPr>
      <t>征市</t>
    </r>
    <r>
      <rPr>
        <sz val="11"/>
        <color theme="1"/>
        <rFont val="ＭＳ Ｐゴシック"/>
        <family val="3"/>
        <charset val="134"/>
        <scheme val="minor"/>
      </rPr>
      <t>红树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外运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</si>
  <si>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</si>
  <si>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枪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</si>
  <si>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</si>
  <si>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食用酒精; 白干酒（中国白酒）; 果酒（含酒精）</t>
    </r>
  </si>
  <si>
    <r>
      <t>小茅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</si>
  <si>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州老茅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</si>
  <si>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</si>
  <si>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</si>
  <si>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 xml:space="preserve">威士忌; 食用酒精;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</si>
  <si>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女儿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</si>
  <si>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女儿</t>
    </r>
    <r>
      <rPr>
        <sz val="11"/>
        <color theme="1"/>
        <rFont val="ＭＳ Ｐゴシック"/>
        <family val="3"/>
        <charset val="134"/>
        <scheme val="minor"/>
      </rPr>
      <t>红酿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</si>
  <si>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果酒（含酒精）; 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</si>
  <si>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</si>
  <si>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 xml:space="preserve">正 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昌祥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</si>
  <si>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桂林</t>
    </r>
  </si>
  <si>
    <r>
      <t xml:space="preserve">食用酒精;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蜂蜜酒; 葡萄酒; 青稞酒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</si>
  <si>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</si>
  <si>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莫力达瓦达斡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族自治旗老山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制酒有限公司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</si>
  <si>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</si>
  <si>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翁城地窖酒</t>
  </si>
  <si>
    <r>
      <t>华</t>
    </r>
    <r>
      <rPr>
        <sz val="11"/>
        <color theme="1"/>
        <rFont val="ＭＳ Ｐゴシック"/>
        <family val="3"/>
        <charset val="128"/>
        <scheme val="minor"/>
      </rPr>
      <t>人控股集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</si>
  <si>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朗姆酒; 黄酒; 食用酒精;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</si>
  <si>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府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</si>
  <si>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钟卫</t>
    </r>
    <r>
      <rPr>
        <sz val="11"/>
        <color theme="1"/>
        <rFont val="ＭＳ Ｐゴシック"/>
        <family val="3"/>
        <charset val="128"/>
        <scheme val="minor"/>
      </rPr>
      <t>管道有限公司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</si>
  <si>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白干酒（中国白酒）;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</si>
  <si>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灿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</si>
  <si>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放平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</si>
  <si>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</si>
  <si>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西藏</t>
    </r>
    <r>
      <rPr>
        <sz val="11"/>
        <color theme="1"/>
        <rFont val="ＭＳ Ｐゴシック"/>
        <family val="3"/>
        <charset val="134"/>
        <scheme val="minor"/>
      </rPr>
      <t>类乌齐</t>
    </r>
    <r>
      <rPr>
        <sz val="11"/>
        <color theme="1"/>
        <rFont val="ＭＳ Ｐゴシック"/>
        <family val="3"/>
        <charset val="128"/>
        <scheme val="minor"/>
      </rPr>
      <t>博芭</t>
    </r>
    <r>
      <rPr>
        <sz val="11"/>
        <color theme="1"/>
        <rFont val="ＭＳ Ｐゴシック"/>
        <family val="3"/>
        <charset val="134"/>
        <scheme val="minor"/>
      </rPr>
      <t>仓实业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</si>
  <si>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青稞酒;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</si>
  <si>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湘味道湘窑</t>
  </si>
  <si>
    <r>
      <t>湖南湘窖酒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</si>
  <si>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威士忌; 黄酒; 米酒;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</si>
  <si>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湘窖品湘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</si>
  <si>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利口酒; 葡萄酒; 白酒;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</si>
  <si>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晨曦</t>
  </si>
  <si>
    <r>
      <t>王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</si>
  <si>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白酒; 葡萄酒; 伏特加酒;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</si>
  <si>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乌兰</t>
    </r>
    <r>
      <rPr>
        <sz val="11"/>
        <color theme="1"/>
        <rFont val="ＭＳ Ｐゴシック"/>
        <family val="3"/>
        <charset val="128"/>
        <scheme val="minor"/>
      </rPr>
      <t>毛都</t>
    </r>
  </si>
  <si>
    <r>
      <t>辉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</si>
  <si>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</si>
  <si>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</si>
  <si>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徐州淘知道网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</si>
  <si>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</si>
  <si>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新義商</t>
  </si>
  <si>
    <r>
      <t>境一（浙江）科技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</si>
  <si>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米酒; 果酒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</si>
  <si>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球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 CHINESE GATEBALL ASSOCIATION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</si>
  <si>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球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</si>
  <si>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开胃酒; 苦味酒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</si>
  <si>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州老窖洞藏酒集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</si>
  <si>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</si>
  <si>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青五帝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</si>
  <si>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腾鸟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</si>
  <si>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白干酒（中国白酒）; 葡萄酒;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高粱酒; 米酒</t>
    </r>
  </si>
  <si>
    <t>KPOWER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</si>
  <si>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伟创动</t>
    </r>
    <r>
      <rPr>
        <sz val="11"/>
        <color theme="1"/>
        <rFont val="ＭＳ Ｐゴシック"/>
        <family val="3"/>
        <charset val="128"/>
        <scheme val="minor"/>
      </rPr>
      <t>力科技有限公司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</si>
  <si>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</si>
  <si>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</si>
  <si>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北京本真自然文化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</si>
  <si>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</t>
    </r>
  </si>
  <si>
    <t>MARSSENGER</t>
  </si>
  <si>
    <t>火星人厨具股份有限公司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</si>
  <si>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</t>
    </r>
  </si>
  <si>
    <r>
      <t>食力</t>
    </r>
    <r>
      <rPr>
        <sz val="11"/>
        <color theme="1"/>
        <rFont val="ＭＳ Ｐゴシック"/>
        <family val="3"/>
        <charset val="134"/>
        <scheme val="minor"/>
      </rPr>
      <t>买</t>
    </r>
    <r>
      <rPr>
        <sz val="11"/>
        <color theme="1"/>
        <rFont val="ＭＳ Ｐゴシック"/>
        <family val="3"/>
        <charset val="128"/>
        <scheme val="minor"/>
      </rPr>
      <t>手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</si>
  <si>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品云供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</si>
  <si>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</si>
  <si>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星耀天下</t>
  </si>
  <si>
    <t>三五二五有限公司</t>
  </si>
  <si>
    <r>
      <t>葡萄酒; 威士忌;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麦芽威士忌;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</si>
  <si>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</si>
  <si>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莞易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</si>
  <si>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清酒（日本米酒）; 果酒（含酒精）; 米酒; 白酒; 葡萄酒; 威士忌</t>
  </si>
  <si>
    <r>
      <t>光耀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</si>
  <si>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</si>
  <si>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>葡萄酒; 烈酒; 清酒（日本米酒）; 白酒;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</si>
  <si>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碧新生</t>
  </si>
  <si>
    <r>
      <t>深圳市云采供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</si>
  <si>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青稞酒;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</si>
  <si>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清如</t>
    </r>
    <r>
      <rPr>
        <sz val="11"/>
        <color theme="1"/>
        <rFont val="ＭＳ Ｐゴシック"/>
        <family val="3"/>
        <charset val="134"/>
        <scheme val="minor"/>
      </rPr>
      <t>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</si>
  <si>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秋起</t>
    </r>
  </si>
  <si>
    <r>
      <t>黄酒; 利口酒;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果酒（含酒精）</t>
    </r>
  </si>
  <si>
    <t>山庄帝王老酒</t>
  </si>
  <si>
    <t>河北山庄老酒股份有限公司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</si>
  <si>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</si>
  <si>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深圳市周末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意生活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</si>
  <si>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果酒</t>
    </r>
  </si>
  <si>
    <t>求酒是4号</t>
  </si>
  <si>
    <r>
      <t>蔡付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</si>
  <si>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葡萄酒; 朗姆酒; 食用酒精;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伏特加酒</t>
    </r>
  </si>
  <si>
    <r>
      <t>张连</t>
    </r>
    <r>
      <rPr>
        <sz val="11"/>
        <color theme="1"/>
        <rFont val="ＭＳ Ｐゴシック"/>
        <family val="3"/>
        <charset val="128"/>
        <scheme val="minor"/>
      </rPr>
      <t>志古董菜</t>
    </r>
  </si>
  <si>
    <r>
      <t>天津市粤唯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</si>
  <si>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</si>
  <si>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彝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</si>
  <si>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峨眉山市峨眉仙酒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</si>
  <si>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水果汽酒; 烈酒; 青梅酒; 梅酒;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清酒; 果酒（含酒精）; 白酒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</si>
  <si>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禧 有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</si>
  <si>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</si>
  <si>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米酒; 烈酒; 高粱酒;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</si>
  <si>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重黔</t>
  </si>
  <si>
    <r>
      <t>杨</t>
    </r>
    <r>
      <rPr>
        <sz val="11"/>
        <color theme="1"/>
        <rFont val="ＭＳ Ｐゴシック"/>
        <family val="3"/>
        <charset val="128"/>
        <scheme val="minor"/>
      </rPr>
      <t>萍花</t>
    </r>
  </si>
  <si>
    <r>
      <t xml:space="preserve">清酒; 黄酒;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</si>
  <si>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藏魅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</si>
  <si>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清酒;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</si>
  <si>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堰坪河</t>
  </si>
  <si>
    <r>
      <t>任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翠******************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</si>
  <si>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梅酒</t>
    </r>
  </si>
  <si>
    <t>余小匠</t>
  </si>
  <si>
    <t>余小波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</si>
  <si>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</si>
  <si>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舟氏甄</t>
    </r>
    <r>
      <rPr>
        <sz val="11"/>
        <color theme="1"/>
        <rFont val="ＭＳ Ｐゴシック"/>
        <family val="3"/>
        <charset val="134"/>
        <scheme val="minor"/>
      </rPr>
      <t>选</t>
    </r>
  </si>
  <si>
    <t>浙江舟氏科技有限公司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</si>
  <si>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黄酒; 白酒; 果酒;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</si>
  <si>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季式 紫槽坊</t>
  </si>
  <si>
    <r>
      <t>山西大</t>
    </r>
    <r>
      <rPr>
        <sz val="11"/>
        <color theme="1"/>
        <rFont val="ＭＳ Ｐゴシック"/>
        <family val="3"/>
        <charset val="134"/>
        <scheme val="minor"/>
      </rPr>
      <t>奖</t>
    </r>
    <r>
      <rPr>
        <sz val="11"/>
        <color theme="1"/>
        <rFont val="ＭＳ Ｐゴシック"/>
        <family val="3"/>
        <charset val="128"/>
        <scheme val="minor"/>
      </rPr>
      <t>章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</si>
  <si>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米酒; 白酒; 葡萄酒; 果酒（含酒精）;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</si>
  <si>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金沙味道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</si>
  <si>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州金沙窖酒酒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</si>
  <si>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开胃酒; 清酒（日本米酒）</t>
    </r>
  </si>
  <si>
    <t>SELONIX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</si>
  <si>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尼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数字科技有限公司</t>
    </r>
  </si>
  <si>
    <r>
      <t>果酒（含酒精）; 米酒; 天然汽酒;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</si>
  <si>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t>椰入百万</t>
  </si>
  <si>
    <t>漳州市喜小椰食品有限公司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</si>
  <si>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青梅酒;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</si>
  <si>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荣耀舍得</t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</si>
  <si>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</si>
  <si>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葡萄酒; 利口酒;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</si>
  <si>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瑛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</si>
  <si>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子均</t>
    </r>
    <r>
      <rPr>
        <sz val="11"/>
        <color theme="1"/>
        <rFont val="ＭＳ Ｐゴシック"/>
        <family val="3"/>
        <charset val="134"/>
        <scheme val="minor"/>
      </rPr>
      <t>邓</t>
    </r>
    <r>
      <rPr>
        <sz val="11"/>
        <color theme="1"/>
        <rFont val="ＭＳ Ｐゴシック"/>
        <family val="3"/>
        <charset val="128"/>
        <scheme val="minor"/>
      </rPr>
      <t>公液酒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</si>
  <si>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白酒</t>
    </r>
  </si>
  <si>
    <t>EIGHT MONKEYS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</si>
  <si>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巨量品牌管理有限公司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</si>
  <si>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咖啡利口酒; 黄酒; 薄荷酒; 米酒; 白酒;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</si>
  <si>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惯</t>
  </si>
  <si>
    <r>
      <t>郭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</si>
  <si>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威士忌; 果酒; 伏特加酒; 白酒</t>
    </r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</si>
  <si>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</si>
  <si>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r>
      <t>深水海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</si>
  <si>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深水海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</si>
  <si>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葡萄酒; 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</si>
  <si>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村姑啊香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</si>
  <si>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州三牯科技有限公司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</si>
  <si>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</si>
  <si>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聚首礼</t>
  </si>
  <si>
    <r>
      <t>万国信达深圳技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</si>
  <si>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甜果酒;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</si>
  <si>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</si>
  <si>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</si>
  <si>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春台窖液福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</si>
  <si>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春台窖液酒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</si>
  <si>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果酒; 清酒（日本米酒）; 威士忌; 黄酒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</si>
  <si>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米酒; 清酒; 果酒</t>
    </r>
  </si>
  <si>
    <r>
      <t>辉</t>
    </r>
    <r>
      <rPr>
        <sz val="11"/>
        <color theme="1"/>
        <rFont val="ＭＳ Ｐゴシック"/>
        <family val="3"/>
        <charset val="128"/>
        <scheme val="minor"/>
      </rPr>
      <t>杆</t>
    </r>
  </si>
  <si>
    <r>
      <t>耘瑶国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（北京）有限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</si>
  <si>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果酒（含酒精）; 白酒; 葡萄酒</t>
  </si>
  <si>
    <r>
      <t>环</t>
    </r>
    <r>
      <rPr>
        <sz val="11"/>
        <color theme="1"/>
        <rFont val="ＭＳ Ｐゴシック"/>
        <family val="3"/>
        <charset val="128"/>
        <scheme val="minor"/>
      </rPr>
      <t>俄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</si>
  <si>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俄股份有限公司</t>
    </r>
  </si>
  <si>
    <r>
      <t>果酒（含酒精）;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白干酒（中国白酒）;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</si>
  <si>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川金</t>
    </r>
    <r>
      <rPr>
        <sz val="11"/>
        <color theme="1"/>
        <rFont val="ＭＳ Ｐゴシック"/>
        <family val="3"/>
        <charset val="134"/>
        <scheme val="minor"/>
      </rPr>
      <t>鹤农业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</si>
  <si>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清酒（日本米酒）;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</si>
  <si>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刘窖九五至尊</t>
  </si>
  <si>
    <r>
      <t>盘龙</t>
    </r>
    <r>
      <rPr>
        <sz val="11"/>
        <color theme="1"/>
        <rFont val="ＭＳ Ｐゴシック"/>
        <family val="3"/>
        <charset val="128"/>
        <scheme val="minor"/>
      </rPr>
      <t>区毛道百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</si>
  <si>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</si>
  <si>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SNIPE</t>
  </si>
  <si>
    <r>
      <t>颐</t>
    </r>
    <r>
      <rPr>
        <sz val="11"/>
        <color theme="1"/>
        <rFont val="ＭＳ Ｐゴシック"/>
        <family val="3"/>
        <charset val="128"/>
        <scheme val="minor"/>
      </rPr>
      <t>和精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（常州）有限公司</t>
    </r>
  </si>
  <si>
    <r>
      <t>葡萄酒;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甜酒; 米酒</t>
    </r>
  </si>
  <si>
    <t>DREAMING</t>
  </si>
  <si>
    <r>
      <t>沈阳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</si>
  <si>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>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</t>
    </r>
  </si>
  <si>
    <t>衡昌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</si>
  <si>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</si>
  <si>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果酒; 白干酒（中国白酒）; 葡萄酒</t>
    </r>
  </si>
  <si>
    <t>拾光鎏金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</si>
  <si>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州老窖股份有限公司</t>
    </r>
  </si>
  <si>
    <r>
      <t>果酒（含酒精）; 米酒;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</si>
  <si>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</si>
  <si>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温州弘山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</si>
  <si>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蜂蜜酒; 米酒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</si>
  <si>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清酒;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</si>
  <si>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t>GAGA HAO</t>
  </si>
  <si>
    <t>刘冬泉</t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</si>
  <si>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</si>
  <si>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VINO ATTITUDE 酩藤睿思</t>
  </si>
  <si>
    <r>
      <t>北京酩藤睿思商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</si>
  <si>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烈酒; 起泡白葡萄酒;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杜松子酒;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麦芽威士忌;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</si>
  <si>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今俍青酌</t>
  </si>
  <si>
    <r>
      <t>赤峰醉仙坊酒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</si>
  <si>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白干酒（中国白酒）;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</si>
  <si>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璟樽小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凌云志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</si>
  <si>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州璟樽小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</si>
  <si>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果酒（含酒精）; 葡萄酒; 白酒;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</si>
  <si>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彝滴凝香</t>
  </si>
  <si>
    <t>四川省川派清香科技有限公司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</si>
  <si>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果酒（含酒精）</t>
    </r>
  </si>
  <si>
    <t>工匠官</t>
  </si>
  <si>
    <r>
      <t>汤</t>
    </r>
    <r>
      <rPr>
        <sz val="11"/>
        <color theme="1"/>
        <rFont val="ＭＳ Ｐゴシック"/>
        <family val="3"/>
        <charset val="128"/>
        <scheme val="minor"/>
      </rPr>
      <t>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无修百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</si>
  <si>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</si>
  <si>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t>川舟醇</t>
  </si>
  <si>
    <t>郝玉芝</t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</si>
  <si>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白酒; 青稞酒;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黄酒</t>
    </r>
  </si>
  <si>
    <t>北京易鑫信息科技有限公司</t>
  </si>
  <si>
    <r>
      <t>刘成精大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</si>
  <si>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慧</t>
    </r>
  </si>
  <si>
    <r>
      <t xml:space="preserve">葡萄酒; 清酒（日本米酒）; 威士忌; 米酒; 白酒; 黄酒; 果酒; 青梅酒;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</si>
  <si>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水今注</t>
  </si>
  <si>
    <r>
      <t>山海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</si>
  <si>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食用酒精;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</si>
  <si>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光的盛宴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</si>
  <si>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</si>
  <si>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不起泡葡萄酒</t>
    </r>
  </si>
  <si>
    <r>
      <t>帝雀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</si>
  <si>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北清校友（北京）国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</si>
  <si>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清酒; 米酒; 果酒</t>
    </r>
  </si>
  <si>
    <t>元气植</t>
  </si>
  <si>
    <r>
      <t>南丰</t>
    </r>
    <r>
      <rPr>
        <sz val="11"/>
        <color theme="1"/>
        <rFont val="ＭＳ Ｐゴシック"/>
        <family val="3"/>
        <charset val="134"/>
        <scheme val="minor"/>
      </rPr>
      <t>县华</t>
    </r>
    <r>
      <rPr>
        <sz val="11"/>
        <color theme="1"/>
        <rFont val="ＭＳ Ｐゴシック"/>
        <family val="3"/>
        <charset val="128"/>
        <scheme val="minor"/>
      </rPr>
      <t>夏五千年生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</si>
  <si>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白酒; 梅酒; 高粱酒; 果酒;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</t>
    </r>
  </si>
  <si>
    <t>杏林大医</t>
  </si>
  <si>
    <r>
      <t>成源</t>
    </r>
    <r>
      <rPr>
        <sz val="11"/>
        <color theme="1"/>
        <rFont val="ＭＳ Ｐゴシック"/>
        <family val="3"/>
        <charset val="134"/>
        <scheme val="minor"/>
      </rPr>
      <t>汇发</t>
    </r>
    <r>
      <rPr>
        <sz val="11"/>
        <color theme="1"/>
        <rFont val="ＭＳ Ｐゴシック"/>
        <family val="3"/>
        <charset val="128"/>
        <scheme val="minor"/>
      </rPr>
      <t>（北京）商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</si>
  <si>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清酒（日本米酒）;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白葡萄酒; 白干酒（中国白酒）;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</si>
  <si>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篮</t>
    </r>
    <r>
      <rPr>
        <sz val="11"/>
        <color theme="1"/>
        <rFont val="ＭＳ Ｐゴシック"/>
        <family val="3"/>
        <charset val="128"/>
        <scheme val="minor"/>
      </rPr>
      <t>田梅香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</si>
  <si>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云涛酒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</si>
  <si>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苦味酒; 葡萄酒; 杜松子酒;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</si>
  <si>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九天帝黄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</si>
  <si>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闻</t>
    </r>
    <r>
      <rPr>
        <sz val="11"/>
        <color theme="1"/>
        <rFont val="ＭＳ Ｐゴシック"/>
        <family val="3"/>
        <charset val="128"/>
        <scheme val="minor"/>
      </rPr>
      <t>九天控股有限公司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</si>
  <si>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伏特加酒</t>
    </r>
  </si>
  <si>
    <t>精界</t>
  </si>
  <si>
    <t>吴小平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</si>
  <si>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葡萄酒; 白干酒（中国白酒）;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</si>
  <si>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</si>
  <si>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招商投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</si>
  <si>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</si>
  <si>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KEIKA</t>
  </si>
  <si>
    <r>
      <t>南京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岩百</t>
    </r>
    <r>
      <rPr>
        <sz val="11"/>
        <color theme="1"/>
        <rFont val="ＭＳ Ｐゴシック"/>
        <family val="3"/>
        <charset val="134"/>
        <scheme val="minor"/>
      </rPr>
      <t>货贸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</si>
  <si>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柑香酒; 杜松子酒; 苦味酒;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朗姆酒; 伏特加酒; 薄荷酒; 蜂蜜酒</t>
    </r>
  </si>
  <si>
    <r>
      <t>清花</t>
    </r>
    <r>
      <rPr>
        <sz val="11"/>
        <color theme="1"/>
        <rFont val="ＭＳ Ｐゴシック"/>
        <family val="3"/>
        <charset val="134"/>
        <scheme val="minor"/>
      </rPr>
      <t>屿</t>
    </r>
  </si>
  <si>
    <r>
      <t>云南德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</si>
  <si>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</si>
  <si>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流粹</t>
  </si>
  <si>
    <r>
      <t>石家庄</t>
    </r>
    <r>
      <rPr>
        <sz val="11"/>
        <color theme="1"/>
        <rFont val="ＭＳ Ｐゴシック"/>
        <family val="3"/>
        <charset val="129"/>
        <scheme val="minor"/>
      </rPr>
      <t>优优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</si>
  <si>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</si>
  <si>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倾</t>
    </r>
    <r>
      <rPr>
        <sz val="11"/>
        <color theme="1"/>
        <rFont val="ＭＳ Ｐゴシック"/>
        <family val="3"/>
        <charset val="128"/>
        <scheme val="minor"/>
      </rPr>
      <t>上</t>
    </r>
  </si>
  <si>
    <r>
      <t>成都就有道信息技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</si>
  <si>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米酒; 青稞酒;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</si>
  <si>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一城一物</t>
  </si>
  <si>
    <r>
      <t>深圳市楚王珠宝首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</si>
  <si>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苦味酒; 果酒（含酒精）; 白酒; 黄酒; 茴芹酒（利口酒）</t>
    </r>
  </si>
  <si>
    <t>左右意和</t>
  </si>
  <si>
    <r>
      <t>北京猛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聚力文化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</si>
  <si>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白干酒（中国白酒）</t>
  </si>
  <si>
    <r>
      <t>百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尖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</si>
  <si>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素芬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</si>
  <si>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</si>
  <si>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 xml:space="preserve">自由 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</si>
  <si>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昌市胖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</si>
  <si>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黄酒;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伏特加酒;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</si>
  <si>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柏菲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</si>
  <si>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匡映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</si>
  <si>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</si>
  <si>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七日瑶</t>
  </si>
  <si>
    <r>
      <t>广西玄妙国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</si>
  <si>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米酒</t>
    </r>
  </si>
  <si>
    <r>
      <t>姜氏玄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匠心</t>
    </r>
  </si>
  <si>
    <r>
      <t>弥勒市中以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</si>
  <si>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白干酒（中国白酒）; 烈性干酒; 朗姆酒</t>
    </r>
  </si>
  <si>
    <t>艾山大叔</t>
  </si>
  <si>
    <t>赵辈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</si>
  <si>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利口酒; 苦味酒</t>
    </r>
  </si>
  <si>
    <t>小及宴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</si>
  <si>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图农电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</si>
  <si>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</si>
  <si>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侯醇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</si>
  <si>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苏韩</t>
    </r>
    <r>
      <rPr>
        <sz val="11"/>
        <color theme="1"/>
        <rFont val="ＭＳ Ｐゴシック"/>
        <family val="3"/>
        <charset val="128"/>
        <scheme val="minor"/>
      </rPr>
      <t>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</si>
  <si>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伏特加酒;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</si>
  <si>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星辰与你</t>
  </si>
  <si>
    <r>
      <t>成都千林</t>
    </r>
    <r>
      <rPr>
        <sz val="11"/>
        <color theme="1"/>
        <rFont val="ＭＳ Ｐゴシック"/>
        <family val="3"/>
        <charset val="134"/>
        <scheme val="minor"/>
      </rPr>
      <t>语电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</si>
  <si>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</si>
  <si>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超己励志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</si>
  <si>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凤锦桥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</si>
  <si>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白干酒（中国白酒）; 高粱酒;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</t>
    </r>
  </si>
  <si>
    <r>
      <t>曼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</si>
  <si>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川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皇曼食品商行（个体工商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</si>
  <si>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</si>
  <si>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蒙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野仙</t>
    </r>
  </si>
  <si>
    <r>
      <t>云南裕恩商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</si>
  <si>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</t>
    </r>
  </si>
  <si>
    <t>NOTHEAST GOOSE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</si>
  <si>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</t>
    </r>
    <r>
      <rPr>
        <sz val="11"/>
        <color theme="1"/>
        <rFont val="ＭＳ Ｐゴシック"/>
        <family val="3"/>
        <charset val="134"/>
        <scheme val="minor"/>
      </rPr>
      <t>绥滨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鹅产业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</si>
  <si>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甜酒; 米酒; 果酒; 白酒</t>
    </r>
  </si>
  <si>
    <t>正德厚生·皖清瓷</t>
  </si>
  <si>
    <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香瑰宝酒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</si>
  <si>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</si>
  <si>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天玄至真</t>
  </si>
  <si>
    <r>
      <t>遂宁垚江酒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</si>
  <si>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高粱酒;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</si>
  <si>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天玄品味</t>
  </si>
  <si>
    <t>YINGTAOJIU</t>
  </si>
  <si>
    <r>
      <t>什邡市新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</si>
  <si>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黄酒; 白酒;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</si>
  <si>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方同慧（北京）商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</si>
  <si>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不起泡葡萄酒;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葡萄酒;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</si>
  <si>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HONGSHUANGXIYANJIU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</si>
  <si>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</si>
  <si>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正德厚生·津清瓷</t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</si>
  <si>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开胃酒;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</si>
  <si>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大同繁花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</si>
  <si>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九兵酒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</si>
  <si>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</si>
  <si>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LAOYIMIJIU</t>
  </si>
  <si>
    <t>正德厚生·潞清瓷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</si>
  <si>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开胃酒;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</si>
  <si>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苗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</si>
  <si>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李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思</t>
    </r>
  </si>
  <si>
    <r>
      <t>果酒; 烈酒;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</si>
  <si>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苏报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</si>
  <si>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州日</t>
    </r>
    <r>
      <rPr>
        <sz val="11"/>
        <color theme="1"/>
        <rFont val="ＭＳ Ｐゴシック"/>
        <family val="3"/>
        <charset val="134"/>
        <scheme val="minor"/>
      </rPr>
      <t>报</t>
    </r>
    <r>
      <rPr>
        <sz val="11"/>
        <color theme="1"/>
        <rFont val="ＭＳ Ｐゴシック"/>
        <family val="3"/>
        <charset val="128"/>
        <scheme val="minor"/>
      </rPr>
      <t>社</t>
    </r>
  </si>
  <si>
    <r>
      <t>果酒; 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</t>
    </r>
  </si>
  <si>
    <t>勿必</t>
  </si>
  <si>
    <t>潘俊</t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</si>
  <si>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食用酒精; 米酒</t>
    </r>
  </si>
  <si>
    <t>古之萃</t>
  </si>
  <si>
    <t>佛山市南海区珍趣多食品商行</t>
  </si>
  <si>
    <t>青稞酒; 黄酒; 葡萄酒; 米酒; 果酒（含酒精）; 高粱酒; 白酒; 青梅酒; 威士忌; 蜂蜜酒</t>
  </si>
  <si>
    <t>WUGUMIJIU</t>
  </si>
  <si>
    <r>
      <t>谷金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</si>
  <si>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曹建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</si>
  <si>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薄荷酒; 果酒（含酒精）; 茴香酒（利口酒）;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杜松子酒;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伏特加酒; 汽酒; 黄酒; 含酒精蛋奶酒; 麦芽威士忌; 除啤酒外的酒...</t>
    </r>
  </si>
  <si>
    <t>淳谷</t>
  </si>
  <si>
    <r>
      <t>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湖威士忌酒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</si>
  <si>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朗姆酒; 伏特加酒;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麦芽威士忌</t>
    </r>
  </si>
  <si>
    <t>滇博酒坊</t>
  </si>
  <si>
    <r>
      <t>苏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</si>
  <si>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</si>
  <si>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舌尖集</t>
  </si>
  <si>
    <r>
      <t>汉</t>
    </r>
    <r>
      <rPr>
        <sz val="11"/>
        <color theme="1"/>
        <rFont val="ＭＳ Ｐゴシック"/>
        <family val="3"/>
        <charset val="128"/>
        <scheme val="minor"/>
      </rPr>
      <t>中市天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</si>
  <si>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</si>
  <si>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MY3BLKAABHAR KOAAEKUUR 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合集</t>
    </r>
  </si>
  <si>
    <r>
      <t>尼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洛奇金·叶夫根尼·根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季耶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</si>
  <si>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利口酒;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朗姆酒; 伏特加酒</t>
    </r>
  </si>
  <si>
    <r>
      <t>久仁和之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</si>
  <si>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草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珍健康管理有限公司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</si>
  <si>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起泡白葡萄酒;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蝮蛇酒</t>
    </r>
  </si>
  <si>
    <r>
      <t>舟</t>
    </r>
    <r>
      <rPr>
        <sz val="11"/>
        <color theme="1"/>
        <rFont val="ＭＳ Ｐゴシック"/>
        <family val="3"/>
        <charset val="134"/>
        <scheme val="minor"/>
      </rPr>
      <t>谱</t>
    </r>
  </si>
  <si>
    <r>
      <t>舟</t>
    </r>
    <r>
      <rPr>
        <sz val="11"/>
        <color theme="1"/>
        <rFont val="ＭＳ Ｐゴシック"/>
        <family val="3"/>
        <charset val="134"/>
        <scheme val="minor"/>
      </rPr>
      <t>谱</t>
    </r>
    <r>
      <rPr>
        <sz val="11"/>
        <color theme="1"/>
        <rFont val="ＭＳ Ｐゴシック"/>
        <family val="3"/>
        <charset val="128"/>
        <scheme val="minor"/>
      </rPr>
      <t>数据技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南京有限公司</t>
    </r>
  </si>
  <si>
    <r>
      <t>葡萄酒;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</t>
    </r>
  </si>
  <si>
    <t>台粒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</si>
  <si>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州美人洲酒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</si>
  <si>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苦味酒; 茴芹酒（利口酒）;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</si>
  <si>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邳川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</si>
  <si>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非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</si>
  <si>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食用酒精; 苹果酒</t>
    </r>
  </si>
  <si>
    <t>STAR REG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</si>
  <si>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沙星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</si>
  <si>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食用酒精; 威士忌</t>
    </r>
  </si>
  <si>
    <t>久仁和之星</t>
  </si>
  <si>
    <r>
      <t>拣</t>
    </r>
    <r>
      <rPr>
        <sz val="11"/>
        <color theme="1"/>
        <rFont val="ＭＳ Ｐゴシック"/>
        <family val="3"/>
        <charset val="128"/>
        <scheme val="minor"/>
      </rPr>
      <t>十五</t>
    </r>
  </si>
  <si>
    <r>
      <t>四川玖之源国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</si>
  <si>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青稞酒; 黄酒; 开胃酒; 米酒; 葡萄酒</t>
    </r>
  </si>
  <si>
    <t>久仁和之十</t>
  </si>
  <si>
    <r>
      <t>泰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</si>
  <si>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</si>
  <si>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艾</t>
    </r>
    <r>
      <rPr>
        <sz val="11"/>
        <color theme="1"/>
        <rFont val="ＭＳ Ｐゴシック"/>
        <family val="3"/>
        <charset val="129"/>
        <scheme val="minor"/>
      </rPr>
      <t>喵喵</t>
    </r>
  </si>
  <si>
    <r>
      <t>佛山市醇真供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</si>
  <si>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梅酒;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清酒（日本米酒）; 威士忌;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</t>
    </r>
  </si>
  <si>
    <r>
      <t>秉乾黔台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</si>
  <si>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交个酒友酒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</si>
  <si>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葡萄酒; 开胃酒; 果酒（含酒精）;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</si>
  <si>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记</t>
    </r>
    <r>
      <rPr>
        <sz val="11"/>
        <color theme="1"/>
        <rFont val="ＭＳ Ｐゴシック"/>
        <family val="3"/>
        <charset val="128"/>
        <scheme val="minor"/>
      </rPr>
      <t>得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圣定制酒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</si>
  <si>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</t>
    </r>
    <r>
      <rPr>
        <sz val="11"/>
        <color theme="1"/>
        <rFont val="ＭＳ Ｐゴシック"/>
        <family val="3"/>
        <charset val="134"/>
        <scheme val="minor"/>
      </rPr>
      <t>镇汉</t>
    </r>
    <r>
      <rPr>
        <sz val="11"/>
        <color theme="1"/>
        <rFont val="ＭＳ Ｐゴシック"/>
        <family val="3"/>
        <charset val="128"/>
        <scheme val="minor"/>
      </rPr>
      <t>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</si>
  <si>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烈酒</t>
    </r>
  </si>
  <si>
    <t>传纪</t>
  </si>
  <si>
    <t>王琴</t>
  </si>
  <si>
    <r>
      <t>米酒;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梅酒; 开胃酒; 高粱酒; 白酒</t>
    </r>
  </si>
  <si>
    <t>久仁和士</t>
  </si>
  <si>
    <t>花梨酷丌</t>
  </si>
  <si>
    <r>
      <t>四川盈易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</si>
  <si>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果酒（含酒精）; 苦味酒; 烈性干酒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</si>
  <si>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岛汇</t>
    </r>
    <r>
      <rPr>
        <sz val="11"/>
        <color theme="1"/>
        <rFont val="ＭＳ Ｐゴシック"/>
        <family val="3"/>
        <charset val="128"/>
        <scheme val="minor"/>
      </rPr>
      <t>百萃企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</si>
  <si>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蜂蜜酒;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</si>
  <si>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HYDPH</t>
  </si>
  <si>
    <r>
      <t>东</t>
    </r>
    <r>
      <rPr>
        <sz val="11"/>
        <color theme="1"/>
        <rFont val="ＭＳ Ｐゴシック"/>
        <family val="3"/>
        <charset val="128"/>
        <scheme val="minor"/>
      </rPr>
      <t>平湖韵食品有限公司</t>
    </r>
  </si>
  <si>
    <r>
      <t xml:space="preserve">白酒;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</si>
  <si>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肱夫郜 GONGFUHAO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</si>
  <si>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</si>
  <si>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米酒; 青稞酒;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</si>
  <si>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湘秉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</si>
  <si>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葡萄酒</t>
    </r>
  </si>
  <si>
    <r>
      <t>与和同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</si>
  <si>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州冠之国酒文化有限公司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</si>
  <si>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</si>
  <si>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湘</t>
    </r>
    <r>
      <rPr>
        <sz val="11"/>
        <color theme="1"/>
        <rFont val="ＭＳ Ｐゴシック"/>
        <family val="3"/>
        <charset val="134"/>
        <scheme val="minor"/>
      </rPr>
      <t>聂</t>
    </r>
  </si>
  <si>
    <t>H</t>
  </si>
  <si>
    <r>
      <t>本田技研工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株式会社</t>
    </r>
  </si>
  <si>
    <r>
      <t>果酒（含酒精）; 威士忌; 食用酒精; 白酒;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</si>
  <si>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皇家御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金枝玉叶</t>
    </r>
  </si>
  <si>
    <r>
      <t>北京国酒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</si>
  <si>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果酒（含酒精）; 茴香酒（利口酒）;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</si>
  <si>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t>沉皮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</si>
  <si>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莞撰乾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</si>
  <si>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果酒; 米酒; 烈酒;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</si>
  <si>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御酒</t>
    </r>
    <r>
      <rPr>
        <sz val="11"/>
        <color theme="1"/>
        <rFont val="ＭＳ Ｐゴシック"/>
        <family val="3"/>
        <charset val="134"/>
        <scheme val="minor"/>
      </rPr>
      <t>发</t>
    </r>
  </si>
  <si>
    <t>曹一杰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</si>
  <si>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白酒; 果酒; 葡萄酒; 黄酒; 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</si>
  <si>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八册堂</t>
  </si>
  <si>
    <r>
      <t>金沙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黔言酒</t>
    </r>
    <r>
      <rPr>
        <sz val="11"/>
        <color theme="1"/>
        <rFont val="ＭＳ Ｐゴシック"/>
        <family val="3"/>
        <charset val="134"/>
        <scheme val="minor"/>
      </rPr>
      <t>业经营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</si>
  <si>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甜酒;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</si>
  <si>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XIUSHUISHUANGJINGSHIJIA</t>
  </si>
  <si>
    <r>
      <t>江西修江王酒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</si>
  <si>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食用酒精; 烈酒;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</si>
  <si>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CIXUDO 采修堂</t>
  </si>
  <si>
    <r>
      <t>薛春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</si>
  <si>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甜酒;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葡萄酒</t>
    </r>
  </si>
  <si>
    <t>菲柏瑞</t>
  </si>
  <si>
    <r>
      <t>刘广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</si>
  <si>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威士忌; 朗姆酒;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</si>
  <si>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宇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</si>
  <si>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嵩明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林星宇酒曲厂</t>
    </r>
  </si>
  <si>
    <r>
      <t>米酒; 薄荷酒;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</si>
  <si>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匠心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虎山藏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</si>
  <si>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滇尊老厂酒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</si>
  <si>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葡萄酒;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梨酒</t>
    </r>
  </si>
  <si>
    <r>
      <t>冇</t>
    </r>
    <r>
      <rPr>
        <sz val="11"/>
        <color theme="1"/>
        <rFont val="ＭＳ Ｐゴシック"/>
        <family val="3"/>
        <charset val="128"/>
        <scheme val="minor"/>
      </rPr>
      <t>味湘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</si>
  <si>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恒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</si>
  <si>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白酒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</si>
  <si>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清仁</t>
    </r>
  </si>
  <si>
    <r>
      <t>山西古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</si>
  <si>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蒸煮提取物（利口酒和烈酒）;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黄酒; 青稞酒;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</si>
  <si>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</si>
  <si>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利口酒; 青稞酒; 黄酒; 食用酒精; 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</si>
  <si>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喜达屋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</si>
  <si>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达喜食品有限公司</t>
    </r>
  </si>
  <si>
    <r>
      <t xml:space="preserve">黄酒; 薄荷酒;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清酒（日本米酒）</t>
    </r>
  </si>
  <si>
    <t>MINGJIANGLU</t>
  </si>
  <si>
    <r>
      <t>沈阳中福科技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</si>
  <si>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黄酒; 汽酒</t>
    </r>
  </si>
  <si>
    <r>
      <t>荣和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 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</si>
  <si>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荣和酒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</si>
  <si>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葡萄酒; 白酒; 米酒;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</si>
  <si>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</si>
  <si>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清儒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</si>
  <si>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黄酒; 食用酒精; 白酒; 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蒸煮提取物（利口酒和烈酒）</t>
    </r>
  </si>
  <si>
    <t>HONGMAOMAO</t>
  </si>
  <si>
    <r>
      <t>什邡市三木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</si>
  <si>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开胃酒;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</si>
  <si>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部</t>
    </r>
    <r>
      <rPr>
        <sz val="11"/>
        <color theme="1"/>
        <rFont val="ＭＳ Ｐゴシック"/>
        <family val="3"/>
        <charset val="134"/>
        <scheme val="minor"/>
      </rPr>
      <t>飞亿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</si>
  <si>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士祥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</si>
  <si>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</t>
    </r>
  </si>
  <si>
    <t>九葚宝</t>
  </si>
  <si>
    <r>
      <t>李家</t>
    </r>
    <r>
      <rPr>
        <sz val="11"/>
        <color theme="1"/>
        <rFont val="ＭＳ Ｐゴシック"/>
        <family val="3"/>
        <charset val="134"/>
        <scheme val="minor"/>
      </rPr>
      <t>腾</t>
    </r>
  </si>
  <si>
    <r>
      <t>威士忌; 果酒（含酒精）;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清酒（日本米酒）; 烈酒</t>
    </r>
  </si>
  <si>
    <t>JIACAN</t>
  </si>
  <si>
    <r>
      <t>广州甲</t>
    </r>
    <r>
      <rPr>
        <sz val="11"/>
        <color theme="1"/>
        <rFont val="ＭＳ Ｐゴシック"/>
        <family val="3"/>
        <charset val="134"/>
        <scheme val="minor"/>
      </rPr>
      <t>灿实业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</si>
  <si>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</si>
  <si>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红酝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</si>
  <si>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</si>
  <si>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吴窖古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</si>
  <si>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州市吴家酒酒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</si>
  <si>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葡萄酒</t>
    </r>
  </si>
  <si>
    <r>
      <t>吴窖佳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</si>
  <si>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黄酒; 蒸煮提取物（利口酒和烈酒）</t>
    </r>
  </si>
  <si>
    <t>DUKE RESERVE</t>
  </si>
  <si>
    <r>
      <t>烟台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裕葡萄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</si>
  <si>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</si>
  <si>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成方式</t>
  </si>
  <si>
    <r>
      <t>过</t>
    </r>
    <r>
      <rPr>
        <sz val="11"/>
        <color theme="1"/>
        <rFont val="ＭＳ Ｐゴシック"/>
        <family val="3"/>
        <charset val="128"/>
        <scheme val="minor"/>
      </rPr>
      <t>得好（山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</si>
  <si>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白酒</t>
    </r>
  </si>
  <si>
    <t>吴窖珍藏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</si>
  <si>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</si>
  <si>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吴窖珍品</t>
  </si>
  <si>
    <r>
      <t>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</si>
  <si>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吴窖珍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</si>
  <si>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蒸煮提取物（利口酒和烈酒）;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清酒（日本米酒）; 葡萄酒</t>
    </r>
  </si>
  <si>
    <t>标评</t>
  </si>
  <si>
    <t>邹伟</t>
  </si>
  <si>
    <r>
      <t xml:space="preserve">朗姆酒;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</si>
  <si>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t>低宁</t>
  </si>
  <si>
    <r>
      <t>杜</t>
    </r>
    <r>
      <rPr>
        <sz val="11"/>
        <color theme="1"/>
        <rFont val="ＭＳ Ｐゴシック"/>
        <family val="3"/>
        <charset val="134"/>
        <scheme val="minor"/>
      </rPr>
      <t>飞鹤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</si>
  <si>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开胃酒; 蜂蜜酒; 葡萄酒; 白酒</t>
    </r>
  </si>
  <si>
    <r>
      <t>郭均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</si>
  <si>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西安均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建筑工程有限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</si>
  <si>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</si>
  <si>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承德乾隆醉酒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</si>
  <si>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葡萄酒</t>
    </r>
  </si>
  <si>
    <t>首皇上品</t>
  </si>
  <si>
    <r>
      <t>酒和友（北京）酒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</si>
  <si>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</si>
  <si>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觞</t>
    </r>
  </si>
  <si>
    <r>
      <t>李江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</si>
  <si>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露酒; 果酒（含酒精）; 葡萄酒; 青稞酒;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</si>
  <si>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川香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</si>
  <si>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刘仲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</si>
  <si>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白酒; 混合威士忌酒;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</si>
  <si>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t>KANGRUN BIOTECHNOLOGY</t>
  </si>
  <si>
    <r>
      <t>北京康</t>
    </r>
    <r>
      <rPr>
        <sz val="11"/>
        <color theme="1"/>
        <rFont val="ＭＳ Ｐゴシック"/>
        <family val="3"/>
        <charset val="134"/>
        <scheme val="minor"/>
      </rPr>
      <t>润诚业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</si>
  <si>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白酒; 米酒</t>
    </r>
  </si>
  <si>
    <t>青覃李</t>
  </si>
  <si>
    <r>
      <t>张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</si>
  <si>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米酒; 果酒（含酒精）; 黄酒</t>
    </r>
  </si>
  <si>
    <t>甄五十</t>
  </si>
  <si>
    <r>
      <t>陈</t>
    </r>
    <r>
      <rPr>
        <sz val="11"/>
        <color theme="1"/>
        <rFont val="ＭＳ Ｐゴシック"/>
        <family val="3"/>
        <charset val="128"/>
        <scheme val="minor"/>
      </rPr>
      <t>奕仰</t>
    </r>
  </si>
  <si>
    <r>
      <t xml:space="preserve">果酒（含酒精）; 清酒（日本米酒）;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</si>
  <si>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海泉小陶香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</si>
  <si>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宁海泉酒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</si>
  <si>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</t>
    </r>
  </si>
  <si>
    <t>格福德</t>
  </si>
  <si>
    <r>
      <t>格福特</t>
    </r>
    <r>
      <rPr>
        <sz val="11"/>
        <color theme="1"/>
        <rFont val="ＭＳ Ｐゴシック"/>
        <family val="3"/>
        <charset val="134"/>
        <scheme val="minor"/>
      </rPr>
      <t>爱尔兰</t>
    </r>
    <r>
      <rPr>
        <sz val="11"/>
        <color theme="1"/>
        <rFont val="ＭＳ Ｐゴシック"/>
        <family val="3"/>
        <charset val="128"/>
        <scheme val="minor"/>
      </rP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</si>
  <si>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</si>
  <si>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甄十五</t>
  </si>
  <si>
    <r>
      <t>威士忌; 米酒; 果酒（含酒精）; 清酒（日本米酒）;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</si>
  <si>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上均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</si>
  <si>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葡萄酒; 开胃酒;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</si>
  <si>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甄八十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</si>
  <si>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威士忌;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</si>
  <si>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九霸九</t>
  </si>
  <si>
    <r>
      <t>徐俊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</si>
  <si>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 xml:space="preserve">果酒（含酒精）; 米酒; 黄酒; 烈酒; 高粱酒; 白酒; 餐后酒（利口酒和烈酒）; 葡萄酒;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</si>
  <si>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郭上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</si>
  <si>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食用酒精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</si>
  <si>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梦春秋</t>
    </r>
  </si>
  <si>
    <t>汪加豪</t>
  </si>
  <si>
    <r>
      <t xml:space="preserve">果酒（含酒精）; 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清酒; 葡萄酒; 米酒; 白酒; 高粱酒</t>
    </r>
  </si>
  <si>
    <t>BAYS LINN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</si>
  <si>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灯塔水母海洋科技有限公司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</si>
  <si>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果酒（含酒精）; 葡萄酒; 杜松子酒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</si>
  <si>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</si>
  <si>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州大前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</si>
  <si>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蜂蜜酒; 葡萄酒;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白酒</t>
    </r>
  </si>
  <si>
    <t>MR LAI MISS GOOSE</t>
  </si>
  <si>
    <r>
      <t>堡巴欧国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易河北有限公司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</si>
  <si>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</si>
  <si>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夐福</t>
  </si>
  <si>
    <t>赵爱龙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</si>
  <si>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</t>
    </r>
  </si>
  <si>
    <t>头饼</t>
  </si>
  <si>
    <t>詹妃倩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</si>
  <si>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</si>
  <si>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季</t>
    </r>
    <r>
      <rPr>
        <sz val="11"/>
        <color theme="1"/>
        <rFont val="ＭＳ Ｐゴシック"/>
        <family val="3"/>
        <charset val="134"/>
        <scheme val="minor"/>
      </rPr>
      <t>师坛</t>
    </r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</si>
  <si>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</si>
  <si>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</si>
  <si>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金泰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</si>
  <si>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金泰酒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</si>
  <si>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</si>
  <si>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台 西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王子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</si>
  <si>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生科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</si>
  <si>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黄酒; 薄荷酒;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</si>
  <si>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富寨状元酒</t>
  </si>
  <si>
    <r>
      <t>湖南国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文化旅游有限公司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</si>
  <si>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</t>
    </r>
  </si>
  <si>
    <t>沸石山</t>
  </si>
  <si>
    <t>内蒙古沸石山生物科技有限公司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</si>
  <si>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葡萄酒; 青稞酒; 白酒; 白干酒（中国白酒）</t>
    </r>
  </si>
  <si>
    <r>
      <t>深圳市猫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外餐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</si>
  <si>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蒸煮提取物（利口酒和烈酒）; 威士忌; 米酒; 朗姆酒; 清酒（日本米酒）;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</t>
    </r>
  </si>
  <si>
    <r>
      <t>憙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 xml:space="preserve"> 人有喜事酎 人逢喜事酎 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樽</t>
    </r>
    <r>
      <rPr>
        <sz val="11"/>
        <color theme="1"/>
        <rFont val="ＭＳ Ｐゴシック"/>
        <family val="3"/>
        <charset val="134"/>
        <scheme val="minor"/>
      </rPr>
      <t>凤玺</t>
    </r>
    <r>
      <rPr>
        <sz val="11"/>
        <color theme="1"/>
        <rFont val="ＭＳ Ｐゴシック"/>
        <family val="3"/>
        <charset val="128"/>
        <scheme val="minor"/>
      </rPr>
      <t>酎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</si>
  <si>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双喜集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</si>
  <si>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黄酒; 烈酒; 葡萄酒; 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</si>
  <si>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秦阳河</t>
  </si>
  <si>
    <t>潘琪</t>
  </si>
  <si>
    <r>
      <t>青稞酒; 葡萄酒;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米酒</t>
    </r>
  </si>
  <si>
    <t>信杰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</si>
  <si>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州合酒股份有限公司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</si>
  <si>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白干酒（中国白酒）; 高粱酒; 葡萄酒</t>
    </r>
  </si>
  <si>
    <r>
      <t>阿德利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小企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</si>
  <si>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</si>
  <si>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餐后酒（利口酒和烈酒）;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</t>
    </r>
  </si>
  <si>
    <r>
      <t>泰元</t>
    </r>
    <r>
      <rPr>
        <sz val="11"/>
        <color theme="1"/>
        <rFont val="ＭＳ Ｐゴシック"/>
        <family val="3"/>
        <charset val="134"/>
        <scheme val="minor"/>
      </rPr>
      <t>桤</t>
    </r>
  </si>
  <si>
    <r>
      <t>王海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</si>
  <si>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汽酒; 清酒; 露酒; 果酒; 白酒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</si>
  <si>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台 521</t>
    </r>
  </si>
  <si>
    <r>
      <t>果酒（含酒精）; 米酒; 黄酒; 薄荷酒;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开胃酒</t>
    </r>
  </si>
  <si>
    <r>
      <t>毞</t>
    </r>
    <r>
      <rPr>
        <sz val="11"/>
        <color theme="1"/>
        <rFont val="ＭＳ Ｐゴシック"/>
        <family val="3"/>
        <charset val="128"/>
        <scheme val="minor"/>
      </rPr>
      <t>毦台 BI ER TAI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</si>
  <si>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</si>
  <si>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r>
      <t>佳麦</t>
    </r>
    <r>
      <rPr>
        <sz val="11"/>
        <color theme="1"/>
        <rFont val="ＭＳ Ｐゴシック"/>
        <family val="3"/>
        <charset val="134"/>
        <scheme val="minor"/>
      </rPr>
      <t>贡</t>
    </r>
  </si>
  <si>
    <t>邹华顺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</si>
  <si>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清酒（日本米酒）; 黄酒; 米酒;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</si>
  <si>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上春山</t>
  </si>
  <si>
    <t>张硕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</si>
  <si>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</si>
  <si>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棣花在水一方</t>
  </si>
  <si>
    <r>
      <t>陈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</si>
  <si>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汽酒;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</si>
  <si>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SAINT DES LARRASSES</t>
  </si>
  <si>
    <t>王忠平</t>
  </si>
  <si>
    <r>
      <t xml:space="preserve">葡萄酒; 蜂蜜酒; 清酒（日本米酒）; 伏特加酒;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</si>
  <si>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t>MADEBY3</t>
  </si>
  <si>
    <t>四川三省集合科技有限公司</t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</si>
  <si>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</si>
  <si>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湘柱</t>
  </si>
  <si>
    <r>
      <t>罗</t>
    </r>
    <r>
      <rPr>
        <sz val="11"/>
        <color theme="1"/>
        <rFont val="ＭＳ Ｐゴシック"/>
        <family val="3"/>
        <charset val="128"/>
        <scheme val="minor"/>
      </rPr>
      <t>婷</t>
    </r>
  </si>
  <si>
    <r>
      <t xml:space="preserve">黄酒;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</si>
  <si>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</si>
  <si>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</si>
  <si>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黄酒;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</si>
  <si>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帝元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</si>
  <si>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温州百康中小企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</si>
  <si>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</si>
  <si>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榛花春</t>
  </si>
  <si>
    <r>
      <t>通化一方天医</t>
    </r>
    <r>
      <rPr>
        <sz val="11"/>
        <color theme="1"/>
        <rFont val="ＭＳ Ｐゴシック"/>
        <family val="3"/>
        <charset val="134"/>
        <scheme val="minor"/>
      </rPr>
      <t>药连锁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</si>
  <si>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</si>
  <si>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r>
      <t>楼氏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酒@雅玉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</si>
  <si>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</si>
  <si>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清酒（日本米酒）</t>
    </r>
  </si>
  <si>
    <r>
      <t>览</t>
    </r>
    <r>
      <rPr>
        <sz val="11"/>
        <color theme="1"/>
        <rFont val="ＭＳ Ｐゴシック"/>
        <family val="3"/>
        <charset val="128"/>
        <scheme val="minor"/>
      </rPr>
      <t>晋聚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</si>
  <si>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摆</t>
    </r>
    <r>
      <rPr>
        <sz val="11"/>
        <color theme="1"/>
        <rFont val="ＭＳ Ｐゴシック"/>
        <family val="3"/>
        <charset val="128"/>
        <scheme val="minor"/>
      </rPr>
      <t>渡</t>
    </r>
    <r>
      <rPr>
        <sz val="11"/>
        <color theme="1"/>
        <rFont val="ＭＳ Ｐゴシック"/>
        <family val="3"/>
        <charset val="134"/>
        <scheme val="minor"/>
      </rPr>
      <t>轮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</si>
  <si>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烈酒;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葡萄酒; 米酒; 高粱酒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</si>
  <si>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蜂蜜酒; 杜松子酒; 葡萄酒; 开胃酒; 利口酒; 苹果酒</t>
    </r>
  </si>
  <si>
    <t>代府香</t>
  </si>
  <si>
    <t>代永新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</si>
  <si>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清酒（日本米酒）;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</t>
    </r>
  </si>
  <si>
    <t>CASITRO A</t>
  </si>
  <si>
    <r>
      <t>马</t>
    </r>
    <r>
      <rPr>
        <sz val="11"/>
        <color theme="1"/>
        <rFont val="ＭＳ Ｐゴシック"/>
        <family val="3"/>
        <charset val="128"/>
        <scheme val="minor"/>
      </rPr>
      <t>祖生物科技（福建）有限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</si>
  <si>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朗姆酒; 伏特加酒</t>
    </r>
  </si>
  <si>
    <t>霸皇岭</t>
  </si>
  <si>
    <r>
      <t>罗</t>
    </r>
    <r>
      <rPr>
        <sz val="11"/>
        <color theme="1"/>
        <rFont val="ＭＳ Ｐゴシック"/>
        <family val="3"/>
        <charset val="128"/>
        <scheme val="minor"/>
      </rPr>
      <t>素君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</si>
  <si>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葡萄酒; 果酒; 烈酒; 露酒;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</t>
    </r>
  </si>
  <si>
    <r>
      <t>探香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</si>
  <si>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州万万佳食品有限公司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</si>
  <si>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开胃酒</t>
    </r>
  </si>
  <si>
    <t>斛胖子</t>
  </si>
  <si>
    <r>
      <t>罗</t>
    </r>
    <r>
      <rPr>
        <sz val="11"/>
        <color theme="1"/>
        <rFont val="ＭＳ Ｐゴシック"/>
        <family val="3"/>
        <charset val="128"/>
        <scheme val="minor"/>
      </rPr>
      <t>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</si>
  <si>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白酒; 蜂蜜酒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</si>
  <si>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老</t>
    </r>
  </si>
  <si>
    <r>
      <t>上海穆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堡国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</si>
  <si>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伏特加酒;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水果汽酒;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</si>
  <si>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三千台</t>
  </si>
  <si>
    <r>
      <t>常德市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神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</si>
  <si>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白酒; 蒸煮提取物（利口酒和烈酒）;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</si>
  <si>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一集春</t>
    </r>
  </si>
  <si>
    <t>周增超</t>
  </si>
  <si>
    <r>
      <t>葡萄酒; 梨酒; 烈酒;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</t>
    </r>
  </si>
  <si>
    <t>村楿</t>
  </si>
  <si>
    <r>
      <t>张</t>
    </r>
    <r>
      <rPr>
        <sz val="11"/>
        <color theme="1"/>
        <rFont val="ＭＳ Ｐゴシック"/>
        <family val="3"/>
        <charset val="128"/>
        <scheme val="minor"/>
      </rPr>
      <t>元德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</si>
  <si>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汽酒; 黄酒; 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</si>
  <si>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醑魁</t>
  </si>
  <si>
    <t>李慎</t>
  </si>
  <si>
    <t>果酒; 食用酒精; 米酒; 烈性干酒; 白酒; 烈酒; 黄酒; 威士忌; 清酒（日本米酒）; 高粱酒</t>
  </si>
  <si>
    <t>傣醴共影</t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</si>
  <si>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超</t>
    </r>
    <r>
      <rPr>
        <sz val="11"/>
        <color theme="1"/>
        <rFont val="ＭＳ Ｐゴシック"/>
        <family val="3"/>
        <charset val="134"/>
        <scheme val="minor"/>
      </rPr>
      <t>农农业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</si>
  <si>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餐后酒（利口酒和烈酒）; 蜂蜜酒;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</si>
  <si>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社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</si>
  <si>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</si>
  <si>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</si>
  <si>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晋杏茭</t>
  </si>
  <si>
    <t>王志阳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</si>
  <si>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烈酒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</si>
  <si>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味花姐</t>
    </r>
  </si>
  <si>
    <r>
      <t>香港奢美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</si>
  <si>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梨酒;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</si>
  <si>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神州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火</t>
    </r>
    <r>
      <rPr>
        <sz val="11"/>
        <color theme="1"/>
        <rFont val="ＭＳ Ｐゴシック"/>
        <family val="3"/>
        <charset val="134"/>
        <scheme val="minor"/>
      </rPr>
      <t>轮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</si>
  <si>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州美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</si>
  <si>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烈酒; 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</si>
  <si>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姆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</si>
  <si>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西谷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源食品有限公司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</si>
  <si>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黄酒</t>
    </r>
  </si>
  <si>
    <t>九粱福</t>
  </si>
  <si>
    <r>
      <t>北京瑱喜科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</si>
  <si>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高粱酒; 五加皮酒（中国混合烈酒）;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</t>
    </r>
  </si>
  <si>
    <t>许谦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</si>
  <si>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尔滨许谦</t>
    </r>
    <r>
      <rPr>
        <sz val="11"/>
        <color theme="1"/>
        <rFont val="ＭＳ Ｐゴシック"/>
        <family val="3"/>
        <charset val="128"/>
        <scheme val="minor"/>
      </rPr>
      <t>养殖有限公司</t>
    </r>
  </si>
  <si>
    <r>
      <t>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清酒; 果酒; 白酒; 老酒(中国蒸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烈酒); 五加皮酒(中国混合烈酒); 果酒(含酒精); 白干酒(中国白酒)</t>
    </r>
  </si>
  <si>
    <t>性灵之境</t>
  </si>
  <si>
    <r>
      <t>北京矩</t>
    </r>
    <r>
      <rPr>
        <sz val="11"/>
        <color theme="1"/>
        <rFont val="ＭＳ Ｐゴシック"/>
        <family val="3"/>
        <charset val="134"/>
        <scheme val="minor"/>
      </rPr>
      <t>阵</t>
    </r>
    <r>
      <rPr>
        <sz val="11"/>
        <color theme="1"/>
        <rFont val="ＭＳ Ｐゴシック"/>
        <family val="3"/>
        <charset val="128"/>
        <scheme val="minor"/>
      </rPr>
      <t>众合文化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</si>
  <si>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</si>
  <si>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t>康馨冷泉</t>
  </si>
  <si>
    <r>
      <t>康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大健康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</si>
  <si>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威士忌; 开胃酒; 果酒（含酒精）; 葡萄酒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</si>
  <si>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都李四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</si>
  <si>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</si>
  <si>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开胃酒;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餐后酒（利口酒和烈酒）</t>
    </r>
  </si>
  <si>
    <r>
      <t>密</t>
    </r>
    <r>
      <rPr>
        <sz val="11"/>
        <color theme="1"/>
        <rFont val="ＭＳ Ｐゴシック"/>
        <family val="3"/>
        <charset val="134"/>
        <scheme val="minor"/>
      </rPr>
      <t>罗腾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</si>
  <si>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映</t>
    </r>
    <r>
      <rPr>
        <sz val="11"/>
        <color theme="1"/>
        <rFont val="ＭＳ Ｐゴシック"/>
        <family val="3"/>
        <charset val="134"/>
        <scheme val="minor"/>
      </rPr>
      <t>腾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</si>
  <si>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</si>
  <si>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费</t>
    </r>
    <r>
      <rPr>
        <sz val="11"/>
        <color theme="1"/>
        <rFont val="ＭＳ Ｐゴシック"/>
        <family val="3"/>
        <charset val="128"/>
        <scheme val="minor"/>
      </rPr>
      <t>英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</si>
  <si>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黄酒;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</si>
  <si>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禾迷台</t>
  </si>
  <si>
    <r>
      <t>张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</si>
  <si>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</si>
  <si>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擿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</si>
  <si>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方茅香酒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</si>
  <si>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食用酒精; 果酒（含酒精）; 葡萄酒;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</si>
  <si>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黔壤千江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</si>
  <si>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州千江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</si>
  <si>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清酒; 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高粱酒; 白酒; 米酒</t>
    </r>
  </si>
  <si>
    <t>黄河大美</t>
  </si>
  <si>
    <r>
      <t>河南省黄河酒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</si>
  <si>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</si>
  <si>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营</t>
    </r>
    <r>
      <rPr>
        <sz val="11"/>
        <color theme="1"/>
        <rFont val="ＭＳ Ｐゴシック"/>
        <family val="3"/>
        <charset val="128"/>
        <scheme val="minor"/>
      </rPr>
      <t>世佳</t>
    </r>
  </si>
  <si>
    <r>
      <t>沈阳市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口企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商会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</si>
  <si>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清酒（日本米酒）</t>
    </r>
  </si>
  <si>
    <r>
      <t>玖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甄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</si>
  <si>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众商数字科技有限公司</t>
    </r>
  </si>
  <si>
    <r>
      <t>米酒; 青稞酒; 黄酒;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</t>
    </r>
  </si>
  <si>
    <t>新邳小酒</t>
  </si>
  <si>
    <r>
      <t>徐州</t>
    </r>
    <r>
      <rPr>
        <sz val="11"/>
        <color theme="1"/>
        <rFont val="ＭＳ Ｐゴシック"/>
        <family val="3"/>
        <charset val="134"/>
        <scheme val="minor"/>
      </rPr>
      <t>骆马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</si>
  <si>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清酒（日本米酒）; 白酒; 黄酒; 果酒（含酒精）</t>
    </r>
  </si>
  <si>
    <t>秋拾白古</t>
  </si>
  <si>
    <r>
      <t>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</si>
  <si>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</si>
  <si>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方土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</si>
  <si>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昆明博瑞特广告有限公司</t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</si>
  <si>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烈酒;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葡萄酒; 果酒</t>
    </r>
  </si>
  <si>
    <t>永泰福</t>
  </si>
  <si>
    <r>
      <t>谭</t>
    </r>
    <r>
      <rPr>
        <sz val="11"/>
        <color theme="1"/>
        <rFont val="ＭＳ Ｐゴシック"/>
        <family val="3"/>
        <charset val="128"/>
        <scheme val="minor"/>
      </rPr>
      <t>再福</t>
    </r>
  </si>
  <si>
    <r>
      <t>白酒; 白干酒（中国白酒）;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</si>
  <si>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皇辟</t>
  </si>
  <si>
    <r>
      <t>国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石科技（北京）集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</si>
  <si>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</si>
  <si>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妆</t>
    </r>
  </si>
  <si>
    <t>蔡良碧</t>
  </si>
  <si>
    <r>
      <t xml:space="preserve">威士忌; 清酒; 开胃酒; 黄酒; 白酒; 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</si>
  <si>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踏青游</t>
  </si>
  <si>
    <r>
      <t>央广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</si>
  <si>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青稞酒</t>
    </r>
  </si>
  <si>
    <r>
      <t>正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</si>
  <si>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罗晓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</si>
  <si>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</si>
  <si>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BLUE CASH</t>
  </si>
  <si>
    <r>
      <t>上海落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</si>
  <si>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威士忌; 米酒; 伏特加酒;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</si>
  <si>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清醒者</t>
  </si>
  <si>
    <r>
      <t>孙</t>
    </r>
    <r>
      <rPr>
        <sz val="11"/>
        <color theme="1"/>
        <rFont val="ＭＳ Ｐゴシック"/>
        <family val="3"/>
        <charset val="128"/>
        <scheme val="minor"/>
      </rPr>
      <t>金峰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</si>
  <si>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果酒; 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高粱酒</t>
    </r>
  </si>
  <si>
    <r>
      <t>圣拉斐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</si>
  <si>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t>甄呈熟</t>
  </si>
  <si>
    <t>吉琪多食品股份有限公司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</si>
  <si>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</si>
  <si>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河口</t>
    </r>
    <r>
      <rPr>
        <sz val="11"/>
        <color theme="1"/>
        <rFont val="ＭＳ Ｐゴシック"/>
        <family val="3"/>
        <charset val="134"/>
        <scheme val="minor"/>
      </rPr>
      <t>农垦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</si>
  <si>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白干酒（中国白酒）; 白酒;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</si>
  <si>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仙陵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</si>
  <si>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晨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</si>
  <si>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</si>
  <si>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槎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</si>
  <si>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河源市老园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</si>
  <si>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</si>
  <si>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义龙</t>
    </r>
  </si>
  <si>
    <r>
      <t>芝罘区黄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</si>
  <si>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露酒</t>
    </r>
  </si>
  <si>
    <t>杉状元</t>
  </si>
  <si>
    <r>
      <t>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</si>
  <si>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太平山</t>
    </r>
    <r>
      <rPr>
        <sz val="11"/>
        <color theme="1"/>
        <rFont val="ＭＳ Ｐゴシック"/>
        <family val="3"/>
        <charset val="134"/>
        <scheme val="minor"/>
      </rPr>
      <t>顶</t>
    </r>
  </si>
  <si>
    <r>
      <t>河南酒人甲酒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</si>
  <si>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白酒; 米酒; 开胃酒;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</t>
    </r>
  </si>
  <si>
    <t>木直本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</si>
  <si>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百合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生用品有限公司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</si>
  <si>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</t>
    </r>
  </si>
  <si>
    <t>多嘎哆耶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</si>
  <si>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州全景云信息科技有限公司</t>
    </r>
  </si>
  <si>
    <r>
      <t>高粱酒;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</si>
  <si>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二生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</si>
  <si>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河南五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>堂健康科技有限公司</t>
    </r>
  </si>
  <si>
    <r>
      <t xml:space="preserve">果酒（含酒精）; 青稞酒;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白酒</t>
    </r>
  </si>
  <si>
    <r>
      <t>赐骄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</si>
  <si>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</si>
  <si>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乾元帝尊</t>
  </si>
  <si>
    <r>
      <t>庞</t>
    </r>
    <r>
      <rPr>
        <sz val="11"/>
        <color theme="1"/>
        <rFont val="ＭＳ Ｐゴシック"/>
        <family val="3"/>
        <charset val="128"/>
        <scheme val="minor"/>
      </rPr>
      <t>怡馨</t>
    </r>
  </si>
  <si>
    <r>
      <t>米酒; 白酒;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</si>
  <si>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王会珍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</si>
  <si>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利口酒; 葡萄酒; 果酒（含酒精）</t>
    </r>
  </si>
  <si>
    <t>老于底酒坊</t>
  </si>
  <si>
    <t>石家庄海特科技有限公司</t>
  </si>
  <si>
    <r>
      <t>高粱酒; 青稞酒;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</si>
  <si>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生堂</t>
    </r>
  </si>
  <si>
    <r>
      <t>威海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妃国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</si>
  <si>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开胃酒; 白酒; 黄酒; 高粱酒; 青稞酒; 葡萄酒; 米酒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</si>
  <si>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状元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</si>
  <si>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</si>
  <si>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藏玄鹿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</si>
  <si>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梅花鹿养殖有限公司</t>
    </r>
  </si>
  <si>
    <r>
      <t>白酒; 黄酒; 食用酒精; 威士忌;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</si>
  <si>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容止美</t>
  </si>
  <si>
    <r>
      <t>孙</t>
    </r>
    <r>
      <rPr>
        <sz val="11"/>
        <color theme="1"/>
        <rFont val="ＭＳ Ｐゴシック"/>
        <family val="3"/>
        <charset val="128"/>
        <scheme val="minor"/>
      </rPr>
      <t>先勇</t>
    </r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</si>
  <si>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</si>
  <si>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丫蛋西施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</si>
  <si>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东乐</t>
    </r>
    <r>
      <rPr>
        <sz val="11"/>
        <color theme="1"/>
        <rFont val="ＭＳ Ｐゴシック"/>
        <family val="3"/>
        <charset val="128"/>
        <scheme val="minor"/>
      </rPr>
      <t>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</si>
  <si>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米酒; 清酒（日本米酒）; 葡萄酒</t>
    </r>
  </si>
  <si>
    <r>
      <t>牛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山烟火气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</si>
  <si>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股份有限公司牛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山酒厂</t>
    </r>
  </si>
  <si>
    <r>
      <t>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青稞酒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</si>
  <si>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</si>
  <si>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伊宁市唐古莱商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</si>
  <si>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梅酒;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</t>
    </r>
  </si>
  <si>
    <r>
      <t>汉坛</t>
    </r>
    <r>
      <rPr>
        <sz val="11"/>
        <color theme="1"/>
        <rFont val="ＭＳ Ｐゴシック"/>
        <family val="3"/>
        <charset val="128"/>
        <scheme val="minor"/>
      </rPr>
      <t>渊</t>
    </r>
  </si>
  <si>
    <r>
      <t xml:space="preserve">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</si>
  <si>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酒鼎</t>
    </r>
  </si>
  <si>
    <t>彭超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</si>
  <si>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白干酒（中国白酒）</t>
    </r>
  </si>
  <si>
    <r>
      <t>金苑金宴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</si>
  <si>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东汇</t>
    </r>
    <r>
      <rPr>
        <sz val="11"/>
        <color theme="1"/>
        <rFont val="ＭＳ Ｐゴシック"/>
        <family val="3"/>
        <charset val="128"/>
        <scheme val="minor"/>
      </rPr>
      <t>客家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食文化有限公司</t>
    </r>
  </si>
  <si>
    <r>
      <t xml:space="preserve">白酒;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黄酒; 米酒; 果酒</t>
    </r>
  </si>
  <si>
    <r>
      <t>春生</t>
    </r>
    <r>
      <rPr>
        <sz val="11"/>
        <color theme="1"/>
        <rFont val="ＭＳ Ｐゴシック"/>
        <family val="3"/>
        <charset val="134"/>
        <scheme val="minor"/>
      </rPr>
      <t>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</si>
  <si>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州柒承茶文化有限公司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</si>
  <si>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高粱酒; 黄酒; 果酒（含酒精）;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</si>
  <si>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t>馥格</t>
  </si>
  <si>
    <t>石江涛</t>
  </si>
  <si>
    <r>
      <t>伏特加酒; 白酒; 黄酒;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</si>
  <si>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每萌</t>
  </si>
  <si>
    <r>
      <t>杭州卓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</si>
  <si>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蜂蜜酒;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</si>
  <si>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路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</si>
  <si>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</si>
  <si>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酒伍五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</si>
  <si>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</si>
  <si>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查</t>
    </r>
    <r>
      <rPr>
        <sz val="11"/>
        <color theme="1"/>
        <rFont val="ＭＳ Ｐゴシック"/>
        <family val="3"/>
        <charset val="128"/>
        <scheme val="minor"/>
      </rPr>
      <t>干九月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</si>
  <si>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</si>
  <si>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 xml:space="preserve">葡萄酒; 梨酒;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</t>
    </r>
  </si>
  <si>
    <t>臻元海哥</t>
  </si>
  <si>
    <t>福州可芝美生物科技有限公司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</si>
  <si>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威士忌</t>
    </r>
  </si>
  <si>
    <t>瑞河</t>
  </si>
  <si>
    <r>
      <t>泉州市丰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简觅贸</t>
    </r>
    <r>
      <rPr>
        <sz val="11"/>
        <color theme="1"/>
        <rFont val="ＭＳ Ｐゴシック"/>
        <family val="3"/>
        <charset val="128"/>
        <scheme val="minor"/>
      </rPr>
      <t>易商行(个体工商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</si>
  <si>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</si>
  <si>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t>家园壹号</t>
  </si>
  <si>
    <t>姜山</t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</si>
  <si>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</si>
  <si>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晋川隆</t>
    </r>
    <r>
      <rPr>
        <sz val="11"/>
        <color theme="1"/>
        <rFont val="ＭＳ Ｐゴシック"/>
        <family val="3"/>
        <charset val="134"/>
        <scheme val="minor"/>
      </rPr>
      <t>记</t>
    </r>
  </si>
  <si>
    <t>黄玲霞</t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</si>
  <si>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</si>
  <si>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典哆依</t>
  </si>
  <si>
    <r>
      <t>云南典哆依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</si>
  <si>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甜果酒;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</si>
  <si>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PEOPLE'S MAJESTY</t>
  </si>
  <si>
    <r>
      <t>浙江艾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斯山酒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</si>
  <si>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威士忌;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</si>
  <si>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桃悦</t>
    </r>
    <r>
      <rPr>
        <sz val="11"/>
        <color theme="1"/>
        <rFont val="ＭＳ Ｐゴシック"/>
        <family val="3"/>
        <charset val="134"/>
        <scheme val="minor"/>
      </rPr>
      <t>丝</t>
    </r>
  </si>
  <si>
    <t>王亮</t>
  </si>
  <si>
    <r>
      <t>高粱酒; 甜酒;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威士忌</t>
    </r>
  </si>
  <si>
    <t>KECSKEMET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</si>
  <si>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西迪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</si>
  <si>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威士忌; 白酒; 蒸煮提取物（利口酒和烈酒）;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</si>
  <si>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麻家巷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</si>
  <si>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市北朝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</si>
  <si>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白葡萄酒;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</si>
  <si>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曲仙 酒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</si>
  <si>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</si>
  <si>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米酒; 梅酒; 果酒（含酒精）; 伏特加酒;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</si>
  <si>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珍酒珍宴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</si>
  <si>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</si>
  <si>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威士忌</t>
    </r>
  </si>
  <si>
    <t>JEFFREY EAGLE</t>
  </si>
  <si>
    <r>
      <t>海南云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</si>
  <si>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威士忌;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</si>
  <si>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酣澈</t>
  </si>
  <si>
    <t>北京盛世易通广告有限公司</t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</si>
  <si>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</si>
  <si>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ZHYYC 朱河又一春</t>
  </si>
  <si>
    <t>刘燕霞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</si>
  <si>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</si>
  <si>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魂雄</t>
    </r>
  </si>
  <si>
    <t>李鑫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</si>
  <si>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</si>
  <si>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上</t>
    </r>
    <r>
      <rPr>
        <sz val="11"/>
        <color theme="1"/>
        <rFont val="ＭＳ Ｐゴシック"/>
        <family val="3"/>
        <charset val="134"/>
        <scheme val="minor"/>
      </rPr>
      <t>锵</t>
    </r>
  </si>
  <si>
    <t>唐中和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</si>
  <si>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</si>
  <si>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天九玄</t>
  </si>
  <si>
    <t>邰娟娟</t>
  </si>
  <si>
    <r>
      <t>葡萄酒; 清酒;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</t>
    </r>
  </si>
  <si>
    <t>上古周朝</t>
  </si>
  <si>
    <t>周同喜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</si>
  <si>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</si>
  <si>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毛商</t>
  </si>
  <si>
    <r>
      <t>歙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徽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承食品商行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</si>
  <si>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梨酒</t>
    </r>
  </si>
  <si>
    <t>名花青元尊至</t>
  </si>
  <si>
    <r>
      <t>中国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</si>
  <si>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米酒; 黄酒; 清酒;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</si>
  <si>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礼秘</t>
  </si>
  <si>
    <r>
      <t>屈耿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</si>
  <si>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米酒; 开胃酒; 葡萄酒; 白酒; 梨酒; 青稞酒; 利口酒;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</si>
  <si>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DUC DE FAGOT</t>
  </si>
  <si>
    <r>
      <t>迪莫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</si>
  <si>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开胃酒;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</t>
    </r>
  </si>
  <si>
    <t>烈桶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</si>
  <si>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吉地生金文化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</si>
  <si>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</si>
  <si>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DUC DE ROCHEBOIS</t>
  </si>
  <si>
    <r>
      <t xml:space="preserve">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</t>
    </r>
  </si>
  <si>
    <r>
      <t>美福</t>
    </r>
    <r>
      <rPr>
        <sz val="11"/>
        <color theme="1"/>
        <rFont val="ＭＳ Ｐゴシック"/>
        <family val="3"/>
        <charset val="134"/>
        <scheme val="minor"/>
      </rPr>
      <t>连连</t>
    </r>
  </si>
  <si>
    <r>
      <t>成都市</t>
    </r>
    <r>
      <rPr>
        <sz val="11"/>
        <color theme="1"/>
        <rFont val="ＭＳ Ｐゴシック"/>
        <family val="3"/>
        <charset val="134"/>
        <scheme val="minor"/>
      </rPr>
      <t>红缘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</si>
  <si>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青稞酒; 烈性干酒; 烈酒; 梅酒; 食用酒精; 白酒;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</si>
  <si>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LA VINSOBRAISE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</si>
  <si>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</si>
  <si>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酸酒（低等葡萄酒）;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</si>
  <si>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回陀</t>
  </si>
  <si>
    <r>
      <t>钟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</si>
  <si>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米酒; 威士忌; 清酒</t>
    </r>
  </si>
  <si>
    <t>延新月合</t>
  </si>
  <si>
    <r>
      <t>延吉市智洪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</si>
  <si>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黄酒; 果酒（含酒精）;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</si>
  <si>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NATIVUS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</si>
  <si>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</si>
  <si>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社</t>
    </r>
  </si>
  <si>
    <t>严军</t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</si>
  <si>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</si>
  <si>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一扇 SIMPLE ONE</t>
  </si>
  <si>
    <t>北京壹扇文化有限公司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</si>
  <si>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</si>
  <si>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活印天藏</t>
  </si>
  <si>
    <r>
      <t>四川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名酒酒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</si>
  <si>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葡萄酒;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</si>
  <si>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号</t>
    </r>
    <r>
      <rPr>
        <sz val="11"/>
        <color theme="1"/>
        <rFont val="ＭＳ Ｐゴシック"/>
        <family val="3"/>
        <charset val="134"/>
        <scheme val="minor"/>
      </rPr>
      <t>迈</t>
    </r>
  </si>
  <si>
    <r>
      <t>烟台吉斯波</t>
    </r>
    <r>
      <rPr>
        <sz val="11"/>
        <color theme="1"/>
        <rFont val="ＭＳ Ｐゴシック"/>
        <family val="3"/>
        <charset val="134"/>
        <scheme val="minor"/>
      </rPr>
      <t>尔酿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</si>
  <si>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杜松子酒; 汽酒; 清酒; 葡萄酒; 果酒; 黄酒; 朗姆酒; 伏特加酒;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</t>
    </r>
  </si>
  <si>
    <t>心灵一号明可明</t>
  </si>
  <si>
    <r>
      <t>上海五指数字科技集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</si>
  <si>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</si>
  <si>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姜成楠</t>
  </si>
  <si>
    <r>
      <t>北京金谷圣泉商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</si>
  <si>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茴香酒（利口酒）;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</si>
  <si>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r>
      <t>秦劦</t>
    </r>
    <r>
      <rPr>
        <sz val="11"/>
        <color theme="1"/>
        <rFont val="ＭＳ Ｐゴシック"/>
        <family val="3"/>
        <charset val="134"/>
        <scheme val="minor"/>
      </rPr>
      <t>伟业</t>
    </r>
    <r>
      <rPr>
        <sz val="11"/>
        <color theme="1"/>
        <rFont val="ＭＳ Ｐゴシック"/>
        <family val="3"/>
        <charset val="128"/>
        <scheme val="minor"/>
      </rPr>
      <t>功嬴</t>
    </r>
  </si>
  <si>
    <t>英才添翼教育科技（西安）有限公司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</si>
  <si>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苹果酒; 果酒（含酒精）</t>
    </r>
  </si>
  <si>
    <t>苦苣泉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</si>
  <si>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南英脉医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</si>
  <si>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食用酒精</t>
    </r>
  </si>
  <si>
    <t>猿酥</t>
  </si>
  <si>
    <r>
      <t>杨</t>
    </r>
    <r>
      <rPr>
        <sz val="11"/>
        <color theme="1"/>
        <rFont val="ＭＳ Ｐゴシック"/>
        <family val="3"/>
        <charset val="128"/>
        <scheme val="minor"/>
      </rPr>
      <t>燕清</t>
    </r>
  </si>
  <si>
    <r>
      <t xml:space="preserve">高粱酒; 白酒; 葡萄酒; 米酒;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</si>
  <si>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食用酒精;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</si>
  <si>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䫧</t>
  </si>
  <si>
    <r>
      <t>王</t>
    </r>
    <r>
      <rPr>
        <sz val="11"/>
        <color theme="1"/>
        <rFont val="ＭＳ Ｐゴシック"/>
        <family val="3"/>
        <charset val="134"/>
        <scheme val="minor"/>
      </rPr>
      <t>鹏飞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</si>
  <si>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果酒（含酒精）;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</si>
  <si>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江佰消安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</si>
  <si>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高粱酒; 果酒; 伏特加酒</t>
    </r>
  </si>
  <si>
    <r>
      <t>楟</t>
    </r>
    <r>
      <rPr>
        <sz val="11"/>
        <color theme="1"/>
        <rFont val="ＭＳ Ｐゴシック"/>
        <family val="3"/>
        <charset val="128"/>
        <scheme val="minor"/>
      </rPr>
      <t>漫</t>
    </r>
  </si>
  <si>
    <r>
      <t>湖南雅士</t>
    </r>
    <r>
      <rPr>
        <sz val="11"/>
        <color theme="1"/>
        <rFont val="ＭＳ Ｐゴシック"/>
        <family val="3"/>
        <charset val="134"/>
        <scheme val="minor"/>
      </rPr>
      <t>亚汇</t>
    </r>
    <r>
      <rPr>
        <sz val="11"/>
        <color theme="1"/>
        <rFont val="ＭＳ Ｐゴシック"/>
        <family val="3"/>
        <charset val="128"/>
        <scheme val="minor"/>
      </rPr>
      <t>鑫酒店管理有限公司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</si>
  <si>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食用酒精; 开胃酒; 葡萄酒; 烈酒; 米酒; 果酒</t>
    </r>
  </si>
  <si>
    <t>慈全堂</t>
  </si>
  <si>
    <r>
      <t>福然堂（海南）沉香文化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</si>
  <si>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果酒（含酒精）; 苹果酒; 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青稞酒; 米酒</t>
    </r>
  </si>
  <si>
    <t>牛角王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</si>
  <si>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心甜甜餐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</si>
  <si>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</t>
    </r>
  </si>
  <si>
    <t>素池</t>
  </si>
  <si>
    <r>
      <t>索恩服</t>
    </r>
    <r>
      <rPr>
        <sz val="11"/>
        <color theme="1"/>
        <rFont val="ＭＳ Ｐゴシック"/>
        <family val="3"/>
        <charset val="134"/>
        <scheme val="minor"/>
      </rPr>
      <t>饰贸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</si>
  <si>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</si>
  <si>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莫斯</t>
    </r>
    <r>
      <rPr>
        <sz val="11"/>
        <color theme="1"/>
        <rFont val="ＭＳ Ｐゴシック"/>
        <family val="3"/>
        <charset val="134"/>
        <scheme val="minor"/>
      </rPr>
      <t>骡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</si>
  <si>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</si>
  <si>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梨酒;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果酒</t>
    </r>
  </si>
  <si>
    <r>
      <t>巴卡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拉 BACANORA</t>
    </r>
  </si>
  <si>
    <t>李沙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</si>
  <si>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杜松子酒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</si>
  <si>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佳佳</t>
    </r>
  </si>
  <si>
    <r>
      <t>上海机灵沙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</si>
  <si>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烈酒;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黄酒;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</si>
  <si>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翠旗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</si>
  <si>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盟网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</si>
  <si>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黄酒; 葡萄酒; 米酒; 食用酒精</t>
    </r>
  </si>
  <si>
    <t>栢草臻香</t>
  </si>
  <si>
    <r>
      <t>四川小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</si>
  <si>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白酒</t>
    </r>
  </si>
  <si>
    <t>岁选</t>
  </si>
  <si>
    <r>
      <t>淄博君盈网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</si>
  <si>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米酒; 伏特加酒; 果酒;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</si>
  <si>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远贸</t>
  </si>
  <si>
    <r>
      <t>罗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</si>
  <si>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</si>
  <si>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天下</t>
    </r>
    <r>
      <rPr>
        <sz val="11"/>
        <color theme="1"/>
        <rFont val="ＭＳ Ｐゴシック"/>
        <family val="3"/>
        <charset val="134"/>
        <scheme val="minor"/>
      </rPr>
      <t>说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</si>
  <si>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t>刘杭丰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</si>
  <si>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果酒（含酒精）; 白酒; 开胃酒; 蜂蜜酒;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</si>
  <si>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LUOKEFM</t>
  </si>
  <si>
    <r>
      <t>洛克</t>
    </r>
    <r>
      <rPr>
        <sz val="11"/>
        <color theme="1"/>
        <rFont val="ＭＳ Ｐゴシック"/>
        <family val="3"/>
        <charset val="134"/>
        <scheme val="minor"/>
      </rPr>
      <t>阀门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</si>
  <si>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威士忌; 葡萄酒; 果酒（含酒精）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</si>
  <si>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魔都</t>
    </r>
  </si>
  <si>
    <r>
      <t>上海珈</t>
    </r>
    <r>
      <rPr>
        <sz val="11"/>
        <color theme="1"/>
        <rFont val="ＭＳ Ｐゴシック"/>
        <family val="3"/>
        <charset val="134"/>
        <scheme val="minor"/>
      </rPr>
      <t>钰贸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</si>
  <si>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朗姆酒; 杜松子酒;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</si>
  <si>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玉叶菁</t>
  </si>
  <si>
    <r>
      <t>赤壁</t>
    </r>
    <r>
      <rPr>
        <sz val="11"/>
        <color theme="1"/>
        <rFont val="ＭＳ Ｐゴシック"/>
        <family val="3"/>
        <charset val="134"/>
        <scheme val="minor"/>
      </rPr>
      <t>砖</t>
    </r>
    <r>
      <rPr>
        <sz val="11"/>
        <color theme="1"/>
        <rFont val="ＭＳ Ｐゴシック"/>
        <family val="3"/>
        <charset val="128"/>
        <scheme val="minor"/>
      </rPr>
      <t>茶源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</si>
  <si>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</si>
  <si>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明康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 xml:space="preserve"> 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集市</t>
    </r>
  </si>
  <si>
    <r>
      <t>明康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</si>
  <si>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食用酒精;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</si>
  <si>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杰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念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</si>
  <si>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市南岭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</si>
  <si>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</si>
  <si>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r>
      <t>嚎啕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</si>
  <si>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刘燕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</si>
  <si>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</si>
  <si>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香八</t>
    </r>
    <r>
      <rPr>
        <sz val="11"/>
        <color theme="1"/>
        <rFont val="ＭＳ Ｐゴシック"/>
        <family val="3"/>
        <charset val="134"/>
        <scheme val="minor"/>
      </rPr>
      <t>闽</t>
    </r>
  </si>
  <si>
    <r>
      <t>上海茅董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</si>
  <si>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</si>
  <si>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州恒生科技（集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</si>
  <si>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米酒; 蒸煮提取物（利口酒和烈酒）;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烈酒; 果酒;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</si>
  <si>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喜</t>
  </si>
  <si>
    <r>
      <t>风</t>
    </r>
    <r>
      <rPr>
        <sz val="11"/>
        <color theme="1"/>
        <rFont val="ＭＳ Ｐゴシック"/>
        <family val="3"/>
        <charset val="128"/>
        <scheme val="minor"/>
      </rPr>
      <t>行商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管理（北京）合伙企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</si>
  <si>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开胃酒; 薄荷酒;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</si>
  <si>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街帝王酒</t>
  </si>
  <si>
    <r>
      <t>天津市大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</si>
  <si>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米酒; 汽酒; 清酒;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</t>
    </r>
  </si>
  <si>
    <t>ROYALCHULAN</t>
  </si>
  <si>
    <t>百高石油有限公司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</si>
  <si>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混合威士忌酒;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麦芽威士忌;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葡萄汽酒;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</si>
  <si>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大道荣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</si>
  <si>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市佳荣食品科技有限公司</t>
    </r>
  </si>
  <si>
    <r>
      <t xml:space="preserve">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餐后酒（利口酒和烈酒）; 白酒; 露酒; 清酒（日本米酒）; 青稞酒;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黄酒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</si>
  <si>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赞岁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</si>
  <si>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心文化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</si>
  <si>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</t>
    </r>
  </si>
  <si>
    <r>
      <t>泥之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</si>
  <si>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</si>
  <si>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厉</t>
    </r>
    <r>
      <rPr>
        <sz val="11"/>
        <color theme="1"/>
        <rFont val="ＭＳ Ｐゴシック"/>
        <family val="3"/>
        <charset val="128"/>
        <scheme val="minor"/>
      </rPr>
      <t>博士百草百方</t>
    </r>
  </si>
  <si>
    <t>四川富麟科技有限公司</t>
  </si>
  <si>
    <r>
      <t>果酒;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青稞酒</t>
    </r>
  </si>
  <si>
    <t>九佰碗</t>
  </si>
  <si>
    <r>
      <t>台州市路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金韶食品有限公司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</si>
  <si>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</si>
  <si>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潴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</si>
  <si>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保定空瓶子酒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</si>
  <si>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</t>
    </r>
  </si>
  <si>
    <t>百好泉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</si>
  <si>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东鲁</t>
    </r>
    <r>
      <rPr>
        <sz val="11"/>
        <color theme="1"/>
        <rFont val="ＭＳ Ｐゴシック"/>
        <family val="3"/>
        <charset val="128"/>
        <scheme val="minor"/>
      </rPr>
      <t>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</si>
  <si>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露酒;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</si>
  <si>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迷</t>
    </r>
  </si>
  <si>
    <r>
      <t>谭竞</t>
    </r>
    <r>
      <rPr>
        <sz val="11"/>
        <color theme="1"/>
        <rFont val="ＭＳ Ｐゴシック"/>
        <family val="3"/>
        <charset val="128"/>
        <scheme val="minor"/>
      </rPr>
      <t>霄</t>
    </r>
  </si>
  <si>
    <r>
      <t xml:space="preserve">葡萄酒;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烈酒; 黄酒; 茴香酒; 果酒（含酒精）; 白酒</t>
    </r>
  </si>
  <si>
    <r>
      <t>卫</t>
    </r>
    <r>
      <rPr>
        <sz val="11"/>
        <color theme="1"/>
        <rFont val="ＭＳ Ｐゴシック"/>
        <family val="3"/>
        <charset val="128"/>
        <scheme val="minor"/>
      </rPr>
      <t>津帝王酒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</si>
  <si>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汽酒; 果酒（含酒精）; 米酒; 葡萄酒; 清酒; 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</si>
  <si>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礼浙商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</si>
  <si>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酒研究院</t>
    </r>
  </si>
  <si>
    <r>
      <t>露酒; 果酒（含酒精）;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</si>
  <si>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醁</t>
    </r>
    <r>
      <rPr>
        <sz val="11"/>
        <color theme="1"/>
        <rFont val="ＭＳ Ｐゴシック"/>
        <family val="3"/>
        <charset val="134"/>
        <scheme val="minor"/>
      </rPr>
      <t>靔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</si>
  <si>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渝黄精酒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</si>
  <si>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</si>
  <si>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BABYRUN</t>
  </si>
  <si>
    <t>福建省全味食品有限公司</t>
  </si>
  <si>
    <r>
      <t xml:space="preserve">米酒;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梅酒;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</si>
  <si>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刘秋梅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</si>
  <si>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汽酒;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</si>
  <si>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恩施市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竹茶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</si>
  <si>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汽酒; 黄酒;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</si>
  <si>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迎知大娄山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</si>
  <si>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鸿宾</t>
    </r>
    <r>
      <rPr>
        <sz val="11"/>
        <color theme="1"/>
        <rFont val="ＭＳ Ｐゴシック"/>
        <family val="3"/>
        <charset val="128"/>
        <scheme val="minor"/>
      </rPr>
      <t>臻藏商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</si>
  <si>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</si>
  <si>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AMPLITUDE</t>
  </si>
  <si>
    <t>特瑞可特葡萄酒庄民事公司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</si>
  <si>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</si>
  <si>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成都超有品科技有限公司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</si>
  <si>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黄酒; 利口酒; 果酒（含酒精）</t>
    </r>
  </si>
  <si>
    <t>高洞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</si>
  <si>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州双关酒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</si>
  <si>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</si>
  <si>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小牛</t>
    </r>
    <r>
      <rPr>
        <sz val="11"/>
        <color theme="1"/>
        <rFont val="ＭＳ Ｐゴシック"/>
        <family val="3"/>
        <charset val="134"/>
        <scheme val="minor"/>
      </rPr>
      <t>徕劲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</si>
  <si>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</si>
  <si>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食用酒精; 开胃酒;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汽酒; 果酒</t>
    </r>
  </si>
  <si>
    <r>
      <t>柏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</si>
  <si>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文学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</si>
  <si>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利口酒; 葡萄酒; 黄酒; 果酒（含酒精）; 伏特加酒; 开胃酒; 烈酒; 高粱酒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</si>
  <si>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圣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</si>
  <si>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</si>
  <si>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袁家月</t>
  </si>
  <si>
    <r>
      <t>广西茶香道文化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</si>
  <si>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高粱酒; 米酒</t>
    </r>
  </si>
  <si>
    <t>铜润</t>
  </si>
  <si>
    <t>云南亮宇食品有限公司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</si>
  <si>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葡萄汽酒; 蜂蜜酒; 白酒; 高粱酒; 米酒;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</t>
    </r>
  </si>
  <si>
    <t>九和友</t>
  </si>
  <si>
    <r>
      <t>株洲淳象企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</si>
  <si>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</si>
  <si>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金礼</t>
    </r>
    <r>
      <rPr>
        <sz val="11"/>
        <color theme="1"/>
        <rFont val="ＭＳ Ｐゴシック"/>
        <family val="3"/>
        <charset val="134"/>
        <scheme val="minor"/>
      </rPr>
      <t>缤</t>
    </r>
    <r>
      <rPr>
        <sz val="11"/>
        <color theme="1"/>
        <rFont val="ＭＳ Ｐゴシック"/>
        <family val="3"/>
        <charset val="128"/>
        <scheme val="minor"/>
      </rPr>
      <t>牌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</si>
  <si>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烈酒;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</si>
  <si>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酒村美</t>
  </si>
  <si>
    <r>
      <t>泉州市洛江区双阳智花如商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</si>
  <si>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威士忌; 开胃酒;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</si>
  <si>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萱容堂</t>
  </si>
  <si>
    <r>
      <t>杨绍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</si>
  <si>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五加皮酒（中国混合烈酒）; 白干酒（中国白酒）; 食用酒精; 刺五加酒;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</si>
  <si>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花溪恋</t>
  </si>
  <si>
    <t>刘治中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</si>
  <si>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</si>
  <si>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遇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小清</t>
    </r>
  </si>
  <si>
    <r>
      <t>石林滇露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</si>
  <si>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露酒;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米酒</t>
    </r>
  </si>
  <si>
    <r>
      <t>庄</t>
    </r>
    <r>
      <rPr>
        <sz val="11"/>
        <color theme="1"/>
        <rFont val="ＭＳ Ｐゴシック"/>
        <family val="3"/>
        <charset val="134"/>
        <scheme val="minor"/>
      </rPr>
      <t>钦</t>
    </r>
    <r>
      <rPr>
        <sz val="11"/>
        <color theme="1"/>
        <rFont val="ＭＳ Ｐゴシック"/>
        <family val="3"/>
        <charset val="128"/>
        <scheme val="minor"/>
      </rPr>
      <t>耀</t>
    </r>
  </si>
  <si>
    <r>
      <t>开胃酒;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</si>
  <si>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妙手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</si>
  <si>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</si>
  <si>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潼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</si>
  <si>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石海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</si>
  <si>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米酒;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</si>
  <si>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心灵一号知己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</si>
  <si>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</si>
  <si>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 xml:space="preserve">白酒;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</si>
  <si>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心灵一号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</si>
  <si>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</si>
  <si>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向阳湖春酒</t>
  </si>
  <si>
    <r>
      <t>湖北向阳湖商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</si>
  <si>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食用酒精;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</si>
  <si>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春滋漾</t>
  </si>
  <si>
    <r>
      <t>广州敏</t>
    </r>
    <r>
      <rPr>
        <sz val="11"/>
        <color theme="1"/>
        <rFont val="ＭＳ Ｐゴシック"/>
        <family val="3"/>
        <charset val="134"/>
        <scheme val="minor"/>
      </rPr>
      <t>进贸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</si>
  <si>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甜果酒</t>
    </r>
  </si>
  <si>
    <t>泥人秀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</si>
  <si>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</si>
  <si>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奔禄</t>
  </si>
  <si>
    <r>
      <t>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果酒（含酒精）</t>
    </r>
  </si>
  <si>
    <r>
      <t>广州市番禺区石基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芳茶叶店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</si>
  <si>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</si>
  <si>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r>
      <t>杨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原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</si>
  <si>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坊星瑀新材料有限公司</t>
    </r>
  </si>
  <si>
    <r>
      <t xml:space="preserve">白葡萄酒; 果酒（含酒精）;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</si>
  <si>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湍惠</t>
  </si>
  <si>
    <r>
      <t>深圳市硒</t>
    </r>
    <r>
      <rPr>
        <sz val="11"/>
        <color theme="1"/>
        <rFont val="ＭＳ Ｐゴシック"/>
        <family val="3"/>
        <charset val="134"/>
        <scheme val="minor"/>
      </rPr>
      <t>锶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</si>
  <si>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白酒;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</si>
  <si>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澳威思</t>
  </si>
  <si>
    <t>彭园福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</si>
  <si>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</si>
  <si>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t>川窖典</t>
  </si>
  <si>
    <t>魏瑜涛</t>
  </si>
  <si>
    <r>
      <t xml:space="preserve">果酒（含酒精）; 黄酒;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</si>
  <si>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世何</t>
    </r>
    <r>
      <rPr>
        <sz val="11"/>
        <color theme="1"/>
        <rFont val="ＭＳ Ｐゴシック"/>
        <family val="3"/>
        <charset val="134"/>
        <scheme val="minor"/>
      </rPr>
      <t>总</t>
    </r>
  </si>
  <si>
    <r>
      <t>深圳市何氏国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</si>
  <si>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</si>
  <si>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童德大</t>
  </si>
  <si>
    <r>
      <t>宋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</si>
  <si>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汽酒; 清酒; 青梅酒; 果酒;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</si>
  <si>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解壮思</t>
  </si>
  <si>
    <t>黄文君</t>
  </si>
  <si>
    <r>
      <t>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</si>
  <si>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CHATEAU LANESSAN</t>
  </si>
  <si>
    <r>
      <t>布待耶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易股份有限公司</t>
    </r>
  </si>
  <si>
    <r>
      <t>加烈葡萄酒;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葡萄汽酒</t>
    </r>
  </si>
  <si>
    <t>燕关山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</si>
  <si>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</si>
  <si>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圣</t>
    </r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</si>
  <si>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</si>
  <si>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白干酒（中国白酒）; 蒸煮提取物（利口酒和烈酒）; 烈酒;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</si>
  <si>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氏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</si>
  <si>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吉林省氏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</si>
  <si>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五加皮酒（中国混合烈酒）; 露酒; 薄荷酒;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食用酒精</t>
    </r>
  </si>
  <si>
    <t>滇杰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</si>
  <si>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</si>
  <si>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葡萄酒; 米酒; 烈酒;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黄酒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</si>
  <si>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</si>
  <si>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烈酒; 黄酒; 高粱酒; 果酒; 白干酒（中国白酒）; 米酒</t>
    </r>
  </si>
  <si>
    <t>匠祉</t>
  </si>
  <si>
    <t>广州市寸草堂生物科技有限公司</t>
  </si>
  <si>
    <r>
      <t>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蜂蜜酒;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</si>
  <si>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百里杜</t>
    </r>
    <r>
      <rPr>
        <sz val="11"/>
        <color theme="1"/>
        <rFont val="ＭＳ Ｐゴシック"/>
        <family val="3"/>
        <charset val="134"/>
        <scheme val="minor"/>
      </rPr>
      <t>鹃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</si>
  <si>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甫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</si>
  <si>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蜂蜜酒; 米酒</t>
    </r>
  </si>
  <si>
    <r>
      <t>觉</t>
    </r>
    <r>
      <rPr>
        <sz val="11"/>
        <color theme="1"/>
        <rFont val="ＭＳ Ｐゴシック"/>
        <family val="3"/>
        <charset val="128"/>
        <scheme val="minor"/>
      </rPr>
      <t>正藏</t>
    </r>
  </si>
  <si>
    <r>
      <t>毛春</t>
    </r>
    <r>
      <rPr>
        <sz val="11"/>
        <color theme="1"/>
        <rFont val="ＭＳ Ｐゴシック"/>
        <family val="3"/>
        <charset val="134"/>
        <scheme val="minor"/>
      </rPr>
      <t>镔</t>
    </r>
  </si>
  <si>
    <r>
      <t xml:space="preserve">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黄酒; 开胃酒; 青稞酒; 高粱酒; 葡萄酒</t>
    </r>
  </si>
  <si>
    <t>抚殇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</si>
  <si>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吟骨</t>
    </r>
    <r>
      <rPr>
        <sz val="11"/>
        <color theme="1"/>
        <rFont val="ＭＳ Ｐゴシック"/>
        <family val="3"/>
        <charset val="134"/>
        <scheme val="minor"/>
      </rPr>
      <t>赋络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</si>
  <si>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白酒; 苦艾酒;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米酒</t>
    </r>
  </si>
  <si>
    <t>HYAKUMANGOKU NO KIWAMI 百万石极</t>
  </si>
  <si>
    <r>
      <t>日本国石川</t>
    </r>
    <r>
      <rPr>
        <sz val="11"/>
        <color theme="1"/>
        <rFont val="ＭＳ Ｐゴシック"/>
        <family val="3"/>
        <charset val="134"/>
        <scheme val="minor"/>
      </rPr>
      <t>县</t>
    </r>
  </si>
  <si>
    <r>
      <t>白酒; 餐后酒（利口酒和烈酒）; 清酒; 米酒; 日本梅子酒;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</si>
  <si>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喜鹿蜂猴</t>
  </si>
  <si>
    <r>
      <t>新吴区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微酒水百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</si>
  <si>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</si>
  <si>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流霞</t>
    </r>
  </si>
  <si>
    <r>
      <t>河南瀚冕商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</si>
  <si>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含酒精的气泡水;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米酒; 黄酒; 青稞酒</t>
    </r>
  </si>
  <si>
    <r>
      <t>潼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</si>
  <si>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黄酒;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开胃酒; 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</si>
  <si>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福步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</si>
  <si>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清酒（日本米酒）;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果酒（含酒精）</t>
    </r>
  </si>
  <si>
    <t>修正大方</t>
  </si>
  <si>
    <r>
      <t>吉林修正酒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</si>
  <si>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</si>
  <si>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僰</t>
    </r>
    <r>
      <rPr>
        <sz val="11"/>
        <color theme="1"/>
        <rFont val="ＭＳ Ｐゴシック"/>
        <family val="3"/>
        <charset val="128"/>
        <scheme val="minor"/>
      </rPr>
      <t>小蛙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</si>
  <si>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一米教育科技有限公司</t>
    </r>
  </si>
  <si>
    <r>
      <t>果酒（含酒精）; 葡萄酒; 黄酒; 米酒;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</si>
  <si>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相逢不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</si>
  <si>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南充市晟晏商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</si>
  <si>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</si>
  <si>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ROSEMOUNT</t>
  </si>
  <si>
    <r>
      <t>富豪葡萄酒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英国品牌有限公司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</si>
  <si>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加烈葡萄酒; 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</si>
  <si>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GRANGIOIA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</si>
  <si>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升意酒国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</si>
  <si>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</si>
  <si>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稻</t>
    </r>
  </si>
  <si>
    <t>周旗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</si>
  <si>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</t>
    </r>
  </si>
  <si>
    <r>
      <t>修正</t>
    </r>
    <r>
      <rPr>
        <sz val="11"/>
        <color theme="1"/>
        <rFont val="ＭＳ Ｐゴシック"/>
        <family val="3"/>
        <charset val="134"/>
        <scheme val="minor"/>
      </rPr>
      <t>讲</t>
    </r>
    <r>
      <rPr>
        <sz val="11"/>
        <color theme="1"/>
        <rFont val="ＭＳ Ｐゴシック"/>
        <family val="3"/>
        <charset val="128"/>
        <scheme val="minor"/>
      </rPr>
      <t>究</t>
    </r>
  </si>
  <si>
    <r>
      <t>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</si>
  <si>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金兀妹花园</t>
  </si>
  <si>
    <t>郭丹丹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</si>
  <si>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</si>
  <si>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台朓源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</si>
  <si>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</si>
  <si>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快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共暖</t>
    </r>
  </si>
  <si>
    <r>
      <t>上海笑言笑</t>
    </r>
    <r>
      <rPr>
        <sz val="11"/>
        <color theme="1"/>
        <rFont val="ＭＳ Ｐゴシック"/>
        <family val="3"/>
        <charset val="134"/>
        <scheme val="minor"/>
      </rPr>
      <t>语娱乐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</si>
  <si>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</si>
  <si>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老五酒厂</t>
    </r>
  </si>
  <si>
    <r>
      <t>四川鑫峻达酒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</si>
  <si>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伏特加酒; 果酒（含酒精）; 开胃酒; 苹果酒; 青稞酒; 威士忌</t>
    </r>
  </si>
  <si>
    <t>黎左</t>
  </si>
  <si>
    <r>
      <t>黎巴左岸（深圳）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</si>
  <si>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开胃酒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</si>
  <si>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</si>
  <si>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</si>
  <si>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吖鸭</t>
    </r>
  </si>
  <si>
    <r>
      <t>刘交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</si>
  <si>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甜酒; 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</t>
    </r>
  </si>
  <si>
    <t>文化典醉</t>
  </si>
  <si>
    <t>四川航洲科技有限公司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</si>
  <si>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柑香酒;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</si>
  <si>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宏名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</si>
  <si>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</si>
  <si>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</t>
    </r>
  </si>
  <si>
    <t>威斯汀</t>
  </si>
  <si>
    <t>袁仕芳</t>
  </si>
  <si>
    <r>
      <t>清酒; 青稞酒; 梅酒; 白酒; 白葡萄酒;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</si>
  <si>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初养每日</t>
  </si>
  <si>
    <t>李新峰</t>
  </si>
  <si>
    <r>
      <t>果酒（含酒精）; 白酒;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</si>
  <si>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塞外格格</t>
  </si>
  <si>
    <r>
      <t>内蒙古雅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河蒙西酒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</si>
  <si>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露酒; 黄酒;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汽酒; 烈酒</t>
    </r>
  </si>
  <si>
    <t>久笑来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</si>
  <si>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翰堂生物科技有限公司</t>
    </r>
  </si>
  <si>
    <r>
      <t>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</si>
  <si>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贝尔</t>
    </r>
    <r>
      <rPr>
        <sz val="11"/>
        <color theme="1"/>
        <rFont val="ＭＳ Ｐゴシック"/>
        <family val="3"/>
        <charset val="128"/>
        <scheme val="minor"/>
      </rPr>
      <t>曼</t>
    </r>
  </si>
  <si>
    <r>
      <t>徐州海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</si>
  <si>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朗姆酒; 葡萄酒</t>
    </r>
  </si>
  <si>
    <t>邑豪王爵</t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</si>
  <si>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乐图诗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</si>
  <si>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开胃酒; 威士忌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</si>
  <si>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北聚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原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</si>
  <si>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中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</si>
  <si>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</t>
    </r>
  </si>
  <si>
    <t>WYACHY</t>
  </si>
  <si>
    <r>
      <t>深圳市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睿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</si>
  <si>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蒸煮提取物（利口酒和烈酒）;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</si>
  <si>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</si>
  <si>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果酒; 烈酒; 高粱酒; 黄酒; 白干酒（中国白酒）</t>
    </r>
  </si>
  <si>
    <t>CROSDESCLOUXVERGY</t>
  </si>
  <si>
    <t>法国梦幻之酒康帝公司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</si>
  <si>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</si>
  <si>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七品翁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</si>
  <si>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连凯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</si>
  <si>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含酒精的气泡水; 葡萄酒; 黄酒; 清酒（日本米酒）</t>
    </r>
  </si>
  <si>
    <t>QINGXI TEAHOUSE</t>
  </si>
  <si>
    <r>
      <t>四川恒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天地自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化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</si>
  <si>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青稞酒</t>
    </r>
  </si>
  <si>
    <t>杯水源</t>
  </si>
  <si>
    <r>
      <t>安徽杯水源酒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</si>
  <si>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</si>
  <si>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足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</si>
  <si>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信寿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</si>
  <si>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</si>
  <si>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竹</t>
    </r>
  </si>
  <si>
    <r>
      <t>信宜市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量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</si>
  <si>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</si>
  <si>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片仔保生堂</t>
  </si>
  <si>
    <r>
      <t>南京金陵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</si>
  <si>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青稞酒;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蜂蜜酒; 果酒; 露酒; 白酒</t>
    </r>
  </si>
  <si>
    <r>
      <t>南阳品真酒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</si>
  <si>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汽酒; 黄酒; 果酒（含酒精）; 蜂蜜酒; 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</si>
  <si>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世甄古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</si>
  <si>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忠国</t>
    </r>
  </si>
  <si>
    <r>
      <t>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青梅酒;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白干酒（中国白酒）</t>
    </r>
  </si>
  <si>
    <t>太易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</si>
  <si>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西九如山酒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</si>
  <si>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</t>
    </r>
  </si>
  <si>
    <t>王治江</t>
  </si>
  <si>
    <t>黄酒; 白酒; 葡萄酒</t>
  </si>
  <si>
    <r>
      <t>农</t>
    </r>
    <r>
      <rPr>
        <sz val="11"/>
        <color theme="1"/>
        <rFont val="ＭＳ Ｐゴシック"/>
        <family val="3"/>
        <charset val="128"/>
        <scheme val="minor"/>
      </rPr>
      <t>夫薯田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</si>
  <si>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夫薯田（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家口）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</si>
  <si>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黑覆盆子酒;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果酒（含酒精）; 米酒; 青梅酒</t>
    </r>
  </si>
  <si>
    <t>发缘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</si>
  <si>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</si>
  <si>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朝阳</t>
    </r>
    <r>
      <rPr>
        <sz val="11"/>
        <color theme="1"/>
        <rFont val="ＭＳ Ｐゴシック"/>
        <family val="3"/>
        <charset val="134"/>
        <scheme val="minor"/>
      </rPr>
      <t>颂</t>
    </r>
  </si>
  <si>
    <t>黄加阳</t>
  </si>
  <si>
    <r>
      <t>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伏特加酒; 黄酒; 葡萄酒; 朗姆酒; 白酒</t>
    </r>
  </si>
  <si>
    <t>B</t>
  </si>
  <si>
    <t>卞效金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</si>
  <si>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果酒; 高粱酒; 白酒; 黄酒;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</si>
  <si>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旺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</si>
  <si>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</si>
  <si>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秉乾酩匠</t>
  </si>
  <si>
    <r>
      <t>张</t>
    </r>
    <r>
      <rPr>
        <sz val="11"/>
        <color theme="1"/>
        <rFont val="ＭＳ Ｐゴシック"/>
        <family val="3"/>
        <charset val="128"/>
        <scheme val="minor"/>
      </rPr>
      <t>向前</t>
    </r>
  </si>
  <si>
    <r>
      <t xml:space="preserve">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</si>
  <si>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运河老渡口</t>
  </si>
  <si>
    <r>
      <t>衡水老渡口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</si>
  <si>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餐后酒（利口酒和烈酒）; 梨酒; 葡萄酒; 开胃酒;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</si>
  <si>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海上北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</si>
  <si>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苏盐</t>
    </r>
    <r>
      <rPr>
        <sz val="11"/>
        <color theme="1"/>
        <rFont val="ＭＳ Ｐゴシック"/>
        <family val="3"/>
        <charset val="128"/>
        <scheme val="minor"/>
      </rPr>
      <t>旅文化旅游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</si>
  <si>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清酒（日本米酒）;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</si>
  <si>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华润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</si>
  <si>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</si>
  <si>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青稞酒;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</si>
  <si>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太易云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</si>
  <si>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白酒; 葡萄酒; 梨酒; 米酒; 果酒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</si>
  <si>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严</t>
    </r>
  </si>
  <si>
    <r>
      <t>芜</t>
    </r>
    <r>
      <rPr>
        <sz val="11"/>
        <color theme="1"/>
        <rFont val="ＭＳ Ｐゴシック"/>
        <family val="3"/>
        <charset val="128"/>
        <scheme val="minor"/>
      </rPr>
      <t>湖福鑫茶叶有限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</si>
  <si>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开胃酒; 黄酒; 烈酒; 米酒</t>
    </r>
  </si>
  <si>
    <t>五嵩</t>
  </si>
  <si>
    <r>
      <t>铜</t>
    </r>
    <r>
      <rPr>
        <sz val="11"/>
        <color theme="1"/>
        <rFont val="ＭＳ Ｐゴシック"/>
        <family val="3"/>
        <charset val="128"/>
        <scheme val="minor"/>
      </rPr>
      <t>仁</t>
    </r>
    <r>
      <rPr>
        <sz val="11"/>
        <color theme="1"/>
        <rFont val="ＭＳ Ｐゴシック"/>
        <family val="3"/>
        <charset val="134"/>
        <scheme val="minor"/>
      </rPr>
      <t>绽</t>
    </r>
    <r>
      <rPr>
        <sz val="11"/>
        <color theme="1"/>
        <rFont val="ＭＳ Ｐゴシック"/>
        <family val="3"/>
        <charset val="128"/>
        <scheme val="minor"/>
      </rPr>
      <t>新白翎医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美容有限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</si>
  <si>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甜果酒;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</si>
  <si>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郭得好</t>
  </si>
  <si>
    <r>
      <t>成都郭得好品牌管理有限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</si>
  <si>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青稞酒; 米酒</t>
    </r>
  </si>
  <si>
    <t>粤荐</t>
  </si>
  <si>
    <r>
      <t>赖</t>
    </r>
    <r>
      <rPr>
        <sz val="11"/>
        <color theme="1"/>
        <rFont val="ＭＳ Ｐゴシック"/>
        <family val="3"/>
        <charset val="128"/>
        <scheme val="minor"/>
      </rPr>
      <t>妙晒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</si>
  <si>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米酒</t>
    </r>
  </si>
  <si>
    <r>
      <t>昌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</si>
  <si>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</si>
  <si>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流林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</si>
  <si>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</si>
  <si>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如意</t>
    </r>
    <r>
      <rPr>
        <sz val="11"/>
        <color theme="1"/>
        <rFont val="ＭＳ Ｐゴシック"/>
        <family val="3"/>
        <charset val="134"/>
        <scheme val="minor"/>
      </rPr>
      <t>说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</si>
  <si>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内蒙古冬虫夏草保健酒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</si>
  <si>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白酒; 青稞酒;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</si>
  <si>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尚品</t>
    </r>
    <r>
      <rPr>
        <sz val="11"/>
        <color theme="1"/>
        <rFont val="ＭＳ Ｐゴシック"/>
        <family val="3"/>
        <charset val="134"/>
        <scheme val="minor"/>
      </rPr>
      <t>挚轩</t>
    </r>
  </si>
  <si>
    <r>
      <t>河北河信</t>
    </r>
    <r>
      <rPr>
        <sz val="11"/>
        <color theme="1"/>
        <rFont val="ＭＳ Ｐゴシック"/>
        <family val="3"/>
        <charset val="134"/>
        <scheme val="minor"/>
      </rPr>
      <t>伟诚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</si>
  <si>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茴芹酒（利口酒）;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</si>
  <si>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避</t>
    </r>
    <r>
      <rPr>
        <sz val="11"/>
        <color theme="1"/>
        <rFont val="ＭＳ Ｐゴシック"/>
        <family val="3"/>
        <charset val="134"/>
        <scheme val="minor"/>
      </rPr>
      <t>风坛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</si>
  <si>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寿仙谷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</si>
  <si>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食用酒精</t>
    </r>
  </si>
  <si>
    <t>箸稷山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</si>
  <si>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里春餐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</si>
  <si>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威士忌;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</si>
  <si>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胡家儿女</t>
  </si>
  <si>
    <r>
      <t>衡水安</t>
    </r>
    <r>
      <rPr>
        <sz val="11"/>
        <color theme="1"/>
        <rFont val="ＭＳ Ｐゴシック"/>
        <family val="3"/>
        <charset val="134"/>
        <scheme val="minor"/>
      </rPr>
      <t>济桥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</si>
  <si>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薄荷酒; 米酒;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甜果酒; 白干酒（中国白酒）; 清酒; 果酒（含酒精）; 葡萄酒</t>
    </r>
  </si>
  <si>
    <t>丘粱香</t>
  </si>
  <si>
    <t>零壹零健康科技（河北）有限公司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</si>
  <si>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青稞酒; 白酒; 米酒; 黄酒</t>
    </r>
  </si>
  <si>
    <r>
      <t>千河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</si>
  <si>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开胃酒; 果酒（含酒精）;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</si>
  <si>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蟀王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</si>
  <si>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</si>
  <si>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</si>
  <si>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巩双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</si>
  <si>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</si>
  <si>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HJSF</t>
  </si>
  <si>
    <r>
      <t>内江市市中区侯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</si>
  <si>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 xml:space="preserve">梨酒;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青稞酒; 蜂蜜酒; 米酒; 果酒</t>
    </r>
  </si>
  <si>
    <t>沽打酒坊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</si>
  <si>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州天美健养老服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</si>
  <si>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米酒; 青稞酒; 黄酒;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</si>
  <si>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西秦</t>
    </r>
    <r>
      <rPr>
        <sz val="11"/>
        <color theme="1"/>
        <rFont val="ＭＳ Ｐゴシック"/>
        <family val="3"/>
        <charset val="134"/>
        <scheme val="minor"/>
      </rPr>
      <t>凤烧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</si>
  <si>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</si>
  <si>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圣槐</t>
  </si>
  <si>
    <t>王广涛</t>
  </si>
  <si>
    <r>
      <t xml:space="preserve">白酒; 薄荷酒;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</si>
  <si>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始</t>
    </r>
  </si>
  <si>
    <r>
      <t>廉</t>
    </r>
    <r>
      <rPr>
        <sz val="11"/>
        <color theme="1"/>
        <rFont val="ＭＳ Ｐゴシック"/>
        <family val="3"/>
        <charset val="134"/>
        <scheme val="minor"/>
      </rPr>
      <t>艳丽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</si>
  <si>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苹果酒; 葡萄汽酒;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白干酒（中国白酒）;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</si>
  <si>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虎</t>
    </r>
    <r>
      <rPr>
        <sz val="11"/>
        <color theme="1"/>
        <rFont val="ＭＳ Ｐゴシック"/>
        <family val="3"/>
        <charset val="134"/>
        <scheme val="minor"/>
      </rPr>
      <t>头鲨</t>
    </r>
  </si>
  <si>
    <t>李翠琴</t>
  </si>
  <si>
    <r>
      <t xml:space="preserve">青梅酒;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</si>
  <si>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伯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金匠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</si>
  <si>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</si>
  <si>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果酒; 食用酒精; 高粱酒; 白酒; 葡萄酒; 烈酒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</si>
  <si>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雍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</si>
  <si>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沙一犁教育咨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</si>
  <si>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青梅酒; 米酒; 青稞酒; 果酒（含酒精）</t>
    </r>
  </si>
  <si>
    <r>
      <t>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葫芦王 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</si>
  <si>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宁葫芦古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文化旅游集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</si>
  <si>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</t>
    </r>
  </si>
  <si>
    <t>照丰</t>
  </si>
  <si>
    <r>
      <t>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</si>
  <si>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神兮</t>
  </si>
  <si>
    <r>
      <t>赛</t>
    </r>
    <r>
      <rPr>
        <sz val="11"/>
        <color theme="1"/>
        <rFont val="ＭＳ Ｐゴシック"/>
        <family val="3"/>
        <charset val="128"/>
        <scheme val="minor"/>
      </rPr>
      <t>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（云南）集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</si>
  <si>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烈性干酒;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甜酒</t>
    </r>
  </si>
  <si>
    <r>
      <t>双囍</t>
    </r>
    <r>
      <rPr>
        <sz val="11"/>
        <color theme="1"/>
        <rFont val="ＭＳ Ｐゴシック"/>
        <family val="3"/>
        <charset val="134"/>
        <scheme val="minor"/>
      </rPr>
      <t>贵战</t>
    </r>
  </si>
  <si>
    <t>李清波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</si>
  <si>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青稞酒;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白干酒（中国白酒）; 葡萄酒; 甜酒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</si>
  <si>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嵛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</si>
  <si>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威海御尊酒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</si>
  <si>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伏特加酒; 葡萄酒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</si>
  <si>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</si>
  <si>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独解文化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</si>
  <si>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</si>
  <si>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小哥</t>
    </r>
  </si>
  <si>
    <r>
      <t>白酒; 葡萄酒;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米酒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</si>
  <si>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本芪元</t>
    </r>
  </si>
  <si>
    <r>
      <t>君康芪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（固阳）生物科技有限公司</t>
    </r>
  </si>
  <si>
    <r>
      <t>馨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</si>
  <si>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州黔岭智慧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</si>
  <si>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白酒; 草莓酒;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</si>
  <si>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垄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</si>
  <si>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娅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</si>
  <si>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果酒（含酒精）; 米酒;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</si>
  <si>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农爱质</t>
  </si>
  <si>
    <r>
      <t>林国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</si>
  <si>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</t>
    </r>
  </si>
  <si>
    <t>深圳无后科技有限公司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</si>
  <si>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果酒; 咖啡利口酒; 白干酒（中国白酒）;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苦味酒; 蜂蜜酒;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青梅酒;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</si>
  <si>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得沃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</si>
  <si>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得沃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</si>
  <si>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</si>
  <si>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桃园刀</t>
  </si>
  <si>
    <r>
      <t>罗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</si>
  <si>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甜酒; 白葡萄酒;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</t>
    </r>
  </si>
  <si>
    <t>泰谷</t>
  </si>
  <si>
    <r>
      <t>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</si>
  <si>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忆谈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</si>
  <si>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州五味人生酒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</si>
  <si>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葡萄酒; 米酒; 开胃酒;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</si>
  <si>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央韵坊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</si>
  <si>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西国唐文化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</si>
  <si>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果酒（含酒精）; 葡萄酒; 威士忌;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</si>
  <si>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易</t>
    </r>
    <r>
      <rPr>
        <sz val="11"/>
        <color theme="1"/>
        <rFont val="ＭＳ Ｐゴシック"/>
        <family val="3"/>
        <charset val="134"/>
        <scheme val="minor"/>
      </rPr>
      <t>窝</t>
    </r>
  </si>
  <si>
    <t>廖仲均</t>
  </si>
  <si>
    <r>
      <t>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果酒（含酒精）</t>
    </r>
  </si>
  <si>
    <r>
      <t>豆太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</si>
  <si>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宵味叮（上海）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</si>
  <si>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白酒; 梨酒;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</si>
  <si>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滩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</si>
  <si>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西晶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建筑科技有限公司</t>
    </r>
  </si>
  <si>
    <r>
      <t>白酒; 果酒（含酒精）;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</si>
  <si>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黄庭窖</t>
  </si>
  <si>
    <t>黄子鑫</t>
  </si>
  <si>
    <r>
      <t xml:space="preserve">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黄酒; 青稞酒</t>
    </r>
  </si>
  <si>
    <t>隋宋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</si>
  <si>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米酒; 烈酒</t>
    </r>
  </si>
  <si>
    <r>
      <t>花果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</si>
  <si>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永不分梨酒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</si>
  <si>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</si>
  <si>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民煎</t>
  </si>
  <si>
    <r>
      <t>吴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</si>
  <si>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</si>
  <si>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豪沐至尊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</si>
  <si>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邱双氏酒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</si>
  <si>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</si>
  <si>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青枝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叶</t>
    </r>
  </si>
  <si>
    <r>
      <t>京</t>
    </r>
    <r>
      <rPr>
        <sz val="11"/>
        <color theme="1"/>
        <rFont val="ＭＳ Ｐゴシック"/>
        <family val="3"/>
        <charset val="129"/>
        <scheme val="minor"/>
      </rPr>
      <t>漷</t>
    </r>
    <r>
      <rPr>
        <sz val="11"/>
        <color theme="1"/>
        <rFont val="ＭＳ Ｐゴシック"/>
        <family val="3"/>
        <charset val="128"/>
        <scheme val="minor"/>
      </rPr>
      <t>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</si>
  <si>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</si>
  <si>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船</t>
    </r>
    <r>
      <rPr>
        <sz val="11"/>
        <color theme="1"/>
        <rFont val="ＭＳ Ｐゴシック"/>
        <family val="3"/>
        <charset val="134"/>
        <scheme val="minor"/>
      </rPr>
      <t>东岚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</si>
  <si>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芭拉胡酒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</si>
  <si>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烈酒; 白酒; 清酒; 果酒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</si>
  <si>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尊澄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</si>
  <si>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州御洋酒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</si>
  <si>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白酒; 烈酒; 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</si>
  <si>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原明珠</t>
    </r>
    <r>
      <rPr>
        <sz val="11"/>
        <color theme="1"/>
        <rFont val="ＭＳ Ｐゴシック"/>
        <family val="3"/>
        <charset val="134"/>
        <scheme val="minor"/>
      </rPr>
      <t>陇</t>
    </r>
    <r>
      <rPr>
        <sz val="11"/>
        <color theme="1"/>
        <rFont val="ＭＳ Ｐゴシック"/>
        <family val="3"/>
        <charset val="128"/>
        <scheme val="minor"/>
      </rPr>
      <t>原</t>
    </r>
    <r>
      <rPr>
        <sz val="11"/>
        <color theme="1"/>
        <rFont val="ＭＳ Ｐゴシック"/>
        <family val="3"/>
        <charset val="134"/>
        <scheme val="minor"/>
      </rPr>
      <t>红</t>
    </r>
  </si>
  <si>
    <t>付承康</t>
  </si>
  <si>
    <r>
      <t xml:space="preserve">威士忌; 果酒（含酒精）;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</si>
  <si>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脍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</si>
  <si>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脍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（深圳）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食文化有限公司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</si>
  <si>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果酒（含酒精）</t>
    </r>
  </si>
  <si>
    <t>YBFL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</si>
  <si>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</si>
  <si>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好典 守正立本 以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致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</si>
  <si>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州央礼酒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</si>
  <si>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清酒（日本米酒）; 开胃酒;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果酒（含酒精）; 葡萄酒</t>
    </r>
  </si>
  <si>
    <t>太平洲</t>
  </si>
  <si>
    <r>
      <t>深圳前海中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科技投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</si>
  <si>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高粱酒;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佐餐酒;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</si>
  <si>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PURPLE AUTUMN</t>
  </si>
  <si>
    <t>梅卡庄园（烟台）葡萄酒有限公司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</si>
  <si>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白葡萄酒;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</si>
  <si>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语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</si>
  <si>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北京荣峰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</si>
  <si>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威士忌; 白干酒（中国白酒）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</si>
  <si>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开始</t>
    </r>
  </si>
  <si>
    <r>
      <t>阜阳茸盛酒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</si>
  <si>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食用酒精;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</si>
  <si>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秦嵩</t>
  </si>
  <si>
    <r>
      <t>李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</si>
  <si>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威士忌; 烈酒</t>
    </r>
  </si>
  <si>
    <t>澳潮葡韵 MTREND FEELING</t>
  </si>
  <si>
    <r>
      <t>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好之味商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</si>
  <si>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日式甜米酒;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</si>
  <si>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态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</si>
  <si>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旺</t>
    </r>
  </si>
  <si>
    <r>
      <t xml:space="preserve">威士忌; 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草莓酒; 利口酒; 开胃酒; 黄酒</t>
    </r>
  </si>
  <si>
    <t>川洒王</t>
  </si>
  <si>
    <r>
      <t>四川省邛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市江洋酒厂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</si>
  <si>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</si>
  <si>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欢浔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</si>
  <si>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</si>
  <si>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</si>
  <si>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铸</t>
    </r>
    <r>
      <rPr>
        <sz val="11"/>
        <color theme="1"/>
        <rFont val="ＭＳ Ｐゴシック"/>
        <family val="3"/>
        <charset val="128"/>
        <scheme val="minor"/>
      </rPr>
      <t>梦人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</si>
  <si>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微生源生物科技有限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</si>
  <si>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</si>
  <si>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t>驼营联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</si>
  <si>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齐龙凤</t>
    </r>
    <r>
      <rPr>
        <sz val="11"/>
        <color theme="1"/>
        <rFont val="ＭＳ Ｐゴシック"/>
        <family val="3"/>
        <charset val="128"/>
        <scheme val="minor"/>
      </rPr>
      <t>祥商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</si>
  <si>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黄酒; 果酒（含酒精）;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葡萄酒</t>
    </r>
  </si>
  <si>
    <r>
      <t>宝号</t>
    </r>
    <r>
      <rPr>
        <sz val="11"/>
        <color theme="1"/>
        <rFont val="ＭＳ Ｐゴシック"/>
        <family val="3"/>
        <charset val="134"/>
        <scheme val="minor"/>
      </rPr>
      <t>顺</t>
    </r>
  </si>
  <si>
    <t>薛佳佳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</si>
  <si>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白酒; 葡萄酒; 果酒（含酒精）;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</si>
  <si>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石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牌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</si>
  <si>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泰安泰山御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</si>
  <si>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</si>
  <si>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角斗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</si>
  <si>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肖</t>
    </r>
    <r>
      <rPr>
        <sz val="11"/>
        <color theme="1"/>
        <rFont val="ＭＳ Ｐゴシック"/>
        <family val="3"/>
        <charset val="134"/>
        <scheme val="minor"/>
      </rPr>
      <t>兽</t>
    </r>
    <r>
      <rPr>
        <sz val="11"/>
        <color theme="1"/>
        <rFont val="ＭＳ Ｐゴシック"/>
        <family val="3"/>
        <charset val="128"/>
        <scheme val="minor"/>
      </rPr>
      <t>（上海）品牌策划有限公司</t>
    </r>
  </si>
  <si>
    <r>
      <t>混合威士忌酒; 白酒;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黄酒</t>
    </r>
  </si>
  <si>
    <r>
      <t>古鼎黔</t>
    </r>
    <r>
      <rPr>
        <sz val="11"/>
        <color theme="1"/>
        <rFont val="ＭＳ Ｐゴシック"/>
        <family val="3"/>
        <charset val="134"/>
        <scheme val="minor"/>
      </rPr>
      <t>贯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</si>
  <si>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宏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</si>
  <si>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威士忌; 葡萄酒; 果酒（含酒精）; 黄酒; 白酒; 清酒（日本米酒）</t>
    </r>
  </si>
  <si>
    <t>盹</t>
  </si>
  <si>
    <r>
      <t>安徽大勤酒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</si>
  <si>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</si>
  <si>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不老潭小酒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</si>
  <si>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四川不老潭企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</si>
  <si>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苹果酒;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蜂蜜酒; 白酒; 清酒</t>
    </r>
  </si>
  <si>
    <t>新峰窖酒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</si>
  <si>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州清峰品牌管理有限公司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</si>
  <si>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青稞酒; 果酒（含酒精）; 威士忌; 黄酒; 白酒; 食用酒精</t>
    </r>
  </si>
  <si>
    <t>忝崎庄园</t>
  </si>
  <si>
    <r>
      <t>王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</si>
  <si>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</t>
    </r>
  </si>
  <si>
    <t>醉梦蜀</t>
  </si>
  <si>
    <r>
      <t>古</t>
    </r>
    <r>
      <rPr>
        <sz val="11"/>
        <color theme="1"/>
        <rFont val="ＭＳ Ｐゴシック"/>
        <family val="3"/>
        <charset val="134"/>
        <scheme val="minor"/>
      </rPr>
      <t>蔺乡</t>
    </r>
    <r>
      <rPr>
        <sz val="11"/>
        <color theme="1"/>
        <rFont val="ＭＳ Ｐゴシック"/>
        <family val="3"/>
        <charset val="128"/>
        <scheme val="minor"/>
      </rPr>
      <t>味</t>
    </r>
    <r>
      <rPr>
        <sz val="11"/>
        <color theme="1"/>
        <rFont val="ＭＳ Ｐゴシック"/>
        <family val="3"/>
        <charset val="134"/>
        <scheme val="minor"/>
      </rPr>
      <t>浓农业发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</si>
  <si>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开胃酒;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</si>
  <si>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宁小川</t>
  </si>
  <si>
    <r>
      <t>宁夏福兆源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</si>
  <si>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白干酒（中国白酒）;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</t>
    </r>
  </si>
  <si>
    <t>巴小二</t>
  </si>
  <si>
    <t>黄先梅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</si>
  <si>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白干酒（中国白酒）;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</si>
  <si>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文光无限</t>
  </si>
  <si>
    <r>
      <t>四川巴两口酒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</si>
  <si>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苹果酒; 葡萄酒; 果酒（含酒精）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</si>
  <si>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之情</t>
    </r>
  </si>
  <si>
    <r>
      <t>南京洽商投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</si>
  <si>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果酒; 清酒; 高粱酒;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米酒</t>
    </r>
  </si>
  <si>
    <r>
      <t>膝下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</si>
  <si>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上海常庚网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</si>
  <si>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茴芹酒（利口酒）; 茴香酒（利口酒）;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</si>
  <si>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</si>
  <si>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区皓盈百</t>
    </r>
    <r>
      <rPr>
        <sz val="11"/>
        <color theme="1"/>
        <rFont val="ＭＳ Ｐゴシック"/>
        <family val="3"/>
        <charset val="134"/>
        <scheme val="minor"/>
      </rPr>
      <t>货经营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</si>
  <si>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黄酒; 米酒; 果酒（含酒精）;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</si>
  <si>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壮必</t>
    </r>
    <r>
      <rPr>
        <sz val="11"/>
        <color theme="1"/>
        <rFont val="ＭＳ Ｐゴシック"/>
        <family val="3"/>
        <charset val="134"/>
        <scheme val="minor"/>
      </rPr>
      <t>侬</t>
    </r>
  </si>
  <si>
    <r>
      <t>钟卫</t>
    </r>
    <r>
      <rPr>
        <sz val="11"/>
        <color theme="1"/>
        <rFont val="ＭＳ Ｐゴシック"/>
        <family val="3"/>
        <charset val="128"/>
        <scheme val="minor"/>
      </rPr>
      <t>革</t>
    </r>
  </si>
  <si>
    <r>
      <t>朗姆酒;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</si>
  <si>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万丰福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</si>
  <si>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州黔北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</si>
  <si>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餐后酒（利口酒和烈酒）; 露酒; 苹果酒;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</si>
  <si>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醴杜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</si>
  <si>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两心同酒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</si>
  <si>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</si>
  <si>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撸</t>
    </r>
    <r>
      <rPr>
        <sz val="11"/>
        <color theme="1"/>
        <rFont val="ＭＳ Ｐゴシック"/>
        <family val="3"/>
        <charset val="128"/>
        <scheme val="minor"/>
      </rPr>
      <t>羊羊</t>
    </r>
  </si>
  <si>
    <r>
      <t>王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</si>
  <si>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</si>
  <si>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衡昌御帝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</si>
  <si>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</si>
  <si>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套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格格</t>
    </r>
  </si>
  <si>
    <t>刘明慧</t>
  </si>
  <si>
    <r>
      <t>开胃酒;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</si>
  <si>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根王</t>
    </r>
  </si>
  <si>
    <r>
      <t>世台科技集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</si>
  <si>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</si>
  <si>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 xml:space="preserve">LZYP 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字阳牌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</si>
  <si>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</si>
  <si>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白酒; 露酒;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</si>
  <si>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温州金溪谷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</si>
  <si>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</si>
  <si>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鑫奥迪 突破科技 启迪未来</t>
  </si>
  <si>
    <t>王法壮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</si>
  <si>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</si>
  <si>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望君有前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</si>
  <si>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君黔酒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</si>
  <si>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</si>
  <si>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苗阿祖康养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</si>
  <si>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州苗</t>
    </r>
    <r>
      <rPr>
        <sz val="11"/>
        <color theme="1"/>
        <rFont val="ＭＳ Ｐゴシック"/>
        <family val="3"/>
        <charset val="134"/>
        <scheme val="minor"/>
      </rPr>
      <t>药药业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</si>
  <si>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烈酒;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</si>
  <si>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皇家繁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</si>
  <si>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上海皇家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</si>
  <si>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柑香酒;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黄酒; 开胃酒; 汽酒; 苦味酒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</si>
  <si>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</si>
  <si>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果酒; 白干酒（中国白酒）;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</si>
  <si>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根王</t>
  </si>
  <si>
    <r>
      <t xml:space="preserve">黄酒;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</si>
  <si>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雪皇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</si>
  <si>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城佳煜酒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</si>
  <si>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利口酒</t>
    </r>
  </si>
  <si>
    <t>洛邑福</t>
  </si>
  <si>
    <r>
      <t>一两黄御酒（河南）酒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</si>
  <si>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</si>
  <si>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拱猪将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</si>
  <si>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州炎翔商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</si>
  <si>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甜果酒;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</si>
  <si>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接粮封</t>
  </si>
  <si>
    <r>
      <t>河南国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</si>
  <si>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白干酒（中国白酒）;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</si>
  <si>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芙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</si>
  <si>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吉林市芙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</si>
  <si>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</si>
  <si>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爹爹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</si>
  <si>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岩洋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</si>
  <si>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黄酒; 米酒;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</si>
  <si>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拱猪匠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</si>
  <si>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甜果酒</t>
    </r>
  </si>
  <si>
    <t>云潭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</si>
  <si>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闹乐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</si>
  <si>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</si>
  <si>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拱猪大沙河</t>
  </si>
  <si>
    <r>
      <t>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甜果酒</t>
    </r>
  </si>
  <si>
    <t>福馨元</t>
  </si>
  <si>
    <r>
      <t>云南九樽酒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</si>
  <si>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开胃酒; 白酒; 甘蔗制烈酒;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</si>
  <si>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聚建搭</t>
  </si>
  <si>
    <r>
      <t>河南零易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</si>
  <si>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米酒; 白酒; 果酒（含酒精）; 黄酒;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</si>
  <si>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大亼毉</t>
  </si>
  <si>
    <r>
      <t>河南藏象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</si>
  <si>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利口酒; 清酒; 白酒</t>
    </r>
  </si>
  <si>
    <r>
      <t>余氏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</si>
  <si>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>湖南省余盈源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</si>
  <si>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</si>
  <si>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英皇卡迪 EMPEROR CADY</t>
  </si>
  <si>
    <r>
      <t>兄弟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易（深圳）有限公司</t>
    </r>
  </si>
  <si>
    <r>
      <t>开胃酒; 葡萄酒; 白酒; 果酒（含酒精）; 米酒;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</si>
  <si>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莫吉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</si>
  <si>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奇果恋</t>
    </r>
    <r>
      <rPr>
        <sz val="11"/>
        <color theme="1"/>
        <rFont val="ＭＳ Ｐゴシック"/>
        <family val="3"/>
        <charset val="134"/>
        <scheme val="minor"/>
      </rPr>
      <t>栈</t>
    </r>
    <r>
      <rPr>
        <sz val="11"/>
        <color theme="1"/>
        <rFont val="ＭＳ Ｐゴシック"/>
        <family val="3"/>
        <charset val="128"/>
        <scheme val="minor"/>
      </rPr>
      <t>酒水有限公司</t>
    </r>
  </si>
  <si>
    <r>
      <t xml:space="preserve">白酒; 果酒（含酒精）; 威士忌; 清酒（日本米酒）;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</si>
  <si>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t>游九洲</t>
  </si>
  <si>
    <r>
      <t>华</t>
    </r>
    <r>
      <rPr>
        <sz val="11"/>
        <color theme="1"/>
        <rFont val="ＭＳ Ｐゴシック"/>
        <family val="3"/>
        <charset val="128"/>
        <scheme val="minor"/>
      </rPr>
      <t>海恒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（深圳）商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</si>
  <si>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青稞酒; 黄酒</t>
    </r>
  </si>
  <si>
    <t>芋莱芋䒵</t>
  </si>
  <si>
    <t>弭柯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</si>
  <si>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果酒（含酒精）</t>
    </r>
  </si>
  <si>
    <r>
      <t>燃</t>
    </r>
    <r>
      <rPr>
        <sz val="11"/>
        <color theme="1"/>
        <rFont val="ＭＳ Ｐゴシック"/>
        <family val="3"/>
        <charset val="134"/>
        <scheme val="minor"/>
      </rPr>
      <t>嘫</t>
    </r>
  </si>
  <si>
    <r>
      <t>上海豚宝味</t>
    </r>
    <r>
      <rPr>
        <sz val="11"/>
        <color theme="1"/>
        <rFont val="ＭＳ Ｐゴシック"/>
        <family val="3"/>
        <charset val="134"/>
        <scheme val="minor"/>
      </rPr>
      <t>徕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</si>
  <si>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</si>
  <si>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DIALOGOS HALL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</si>
  <si>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州言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堂文化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</si>
  <si>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</t>
    </r>
  </si>
  <si>
    <r>
      <t>煜</t>
    </r>
    <r>
      <rPr>
        <sz val="11"/>
        <color theme="1"/>
        <rFont val="ＭＳ Ｐゴシック"/>
        <family val="3"/>
        <charset val="134"/>
        <scheme val="minor"/>
      </rPr>
      <t>烨</t>
    </r>
    <r>
      <rPr>
        <sz val="11"/>
        <color theme="1"/>
        <rFont val="ＭＳ Ｐゴシック"/>
        <family val="3"/>
        <charset val="128"/>
        <scheme val="minor"/>
      </rPr>
      <t>王</t>
    </r>
  </si>
  <si>
    <t>王海涛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</si>
  <si>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</si>
  <si>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r>
      <t>湖北康寿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大健康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</si>
  <si>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清酒; 高粱酒; 果酒; 米酒; 甜酒; 白酒; 食用酒精; 葡萄酒; 烈酒; 黄酒</t>
  </si>
  <si>
    <t>Z</t>
  </si>
  <si>
    <t>林玉英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</si>
  <si>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清酒（日本米酒）; 蒸煮提取物（利口酒和烈酒）;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</si>
  <si>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拾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</si>
  <si>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蔺县</t>
    </r>
    <r>
      <rPr>
        <sz val="11"/>
        <color theme="1"/>
        <rFont val="ＭＳ Ｐゴシック"/>
        <family val="3"/>
        <charset val="128"/>
        <scheme val="minor"/>
      </rPr>
      <t>久盛投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</si>
  <si>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高粱酒;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葡萄酒; 果酒（含酒精）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</si>
  <si>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</si>
  <si>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白葡萄酒; 苹果酒; 果酒（含酒精）; 果酒</t>
    </r>
  </si>
  <si>
    <t>悦佰康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</si>
  <si>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台悦酒厂有限公司</t>
    </r>
  </si>
  <si>
    <r>
      <t>开胃酒; 黄酒; 果酒（含酒精）; 薄荷酒; 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</si>
  <si>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勿忘道</t>
  </si>
  <si>
    <t>胡方明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</si>
  <si>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含酒精的气泡水; 葡萄酒</t>
    </r>
  </si>
  <si>
    <r>
      <t>正</t>
    </r>
    <r>
      <rPr>
        <sz val="11"/>
        <color theme="1"/>
        <rFont val="ＭＳ Ｐゴシック"/>
        <family val="3"/>
        <charset val="134"/>
        <scheme val="minor"/>
      </rPr>
      <t>义树</t>
    </r>
  </si>
  <si>
    <r>
      <t>廖小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</si>
  <si>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</si>
  <si>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t>一番元气</t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</si>
  <si>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</si>
  <si>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t>地心熔岩</t>
  </si>
  <si>
    <r>
      <t>杭州地心熔岩文化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</si>
  <si>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混合威士忌酒; 米酒;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麦芽威士忌; 白葡萄酒;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</si>
  <si>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栖臾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</si>
  <si>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铭灏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</si>
  <si>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</si>
  <si>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29"/>
        <scheme val="minor"/>
      </rPr>
      <t>燊</t>
    </r>
  </si>
  <si>
    <r>
      <t>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29"/>
        <scheme val="minor"/>
      </rPr>
      <t>燊</t>
    </r>
    <r>
      <rPr>
        <sz val="11"/>
        <color theme="1"/>
        <rFont val="ＭＳ Ｐゴシック"/>
        <family val="3"/>
        <charset val="128"/>
        <scheme val="minor"/>
      </rPr>
      <t>畜禽养殖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</si>
  <si>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t>清酒; 果酒（含酒精）; 白酒; 黄酒</t>
  </si>
  <si>
    <r>
      <t>杏</t>
    </r>
    <r>
      <rPr>
        <sz val="11"/>
        <color theme="1"/>
        <rFont val="ＭＳ Ｐゴシック"/>
        <family val="3"/>
        <charset val="134"/>
        <scheme val="minor"/>
      </rPr>
      <t>举</t>
    </r>
    <r>
      <rPr>
        <sz val="11"/>
        <color theme="1"/>
        <rFont val="ＭＳ Ｐゴシック"/>
        <family val="3"/>
        <charset val="128"/>
        <scheme val="minor"/>
      </rPr>
      <t>竹</t>
    </r>
  </si>
  <si>
    <r>
      <t>汾阳市恒</t>
    </r>
    <r>
      <rPr>
        <sz val="11"/>
        <color theme="1"/>
        <rFont val="ＭＳ Ｐゴシック"/>
        <family val="3"/>
        <charset val="134"/>
        <scheme val="minor"/>
      </rPr>
      <t>飞电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</si>
  <si>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高粱酒; 黄酒; 露酒; 果酒（含酒精）; 白酒; 利口酒;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</si>
  <si>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麒沄</t>
  </si>
  <si>
    <t>王悦</t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</si>
  <si>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</si>
  <si>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奉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</si>
  <si>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>白酒; 高粱酒; 露酒;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</si>
  <si>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长岁</t>
    </r>
    <r>
      <rPr>
        <sz val="11"/>
        <color theme="1"/>
        <rFont val="ＭＳ Ｐゴシック"/>
        <family val="3"/>
        <charset val="128"/>
        <scheme val="minor"/>
      </rPr>
      <t>客</t>
    </r>
  </si>
  <si>
    <t>葛岩</t>
  </si>
  <si>
    <r>
      <t xml:space="preserve">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</si>
  <si>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艾克靶健</t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</si>
  <si>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傣御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生物开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</si>
  <si>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利口酒; 苦味酒; 果酒（含酒精）; 葡萄酒; 薄荷酒;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</si>
  <si>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TASTOLOGY</t>
  </si>
  <si>
    <r>
      <t>葡然自居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易(南京)有限公司</t>
    </r>
  </si>
  <si>
    <r>
      <t xml:space="preserve">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</si>
  <si>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</si>
  <si>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</si>
  <si>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食用酒精;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</si>
  <si>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映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</si>
  <si>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湖南乖</t>
    </r>
    <r>
      <rPr>
        <sz val="11"/>
        <color theme="1"/>
        <rFont val="ＭＳ Ｐゴシック"/>
        <family val="3"/>
        <charset val="129"/>
        <scheme val="minor"/>
      </rPr>
      <t>咚</t>
    </r>
    <r>
      <rPr>
        <sz val="11"/>
        <color theme="1"/>
        <rFont val="ＭＳ Ｐゴシック"/>
        <family val="3"/>
        <charset val="128"/>
        <scheme val="minor"/>
      </rPr>
      <t>乖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</si>
  <si>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</si>
  <si>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年君</t>
    </r>
  </si>
  <si>
    <r>
      <t>肖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</si>
  <si>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清酒; 米酒; 果酒（含酒精）</t>
    </r>
  </si>
  <si>
    <t>酒又达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</si>
  <si>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中晟丰醇酒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</si>
  <si>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果酒</t>
    </r>
  </si>
  <si>
    <t>丝侬</t>
  </si>
  <si>
    <r>
      <t>天津酒分享文化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</si>
  <si>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威士忌; 米酒; 白酒; 烈酒;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</si>
  <si>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星幻灵</t>
  </si>
  <si>
    <r>
      <t>吕</t>
    </r>
    <r>
      <rPr>
        <sz val="11"/>
        <color theme="1"/>
        <rFont val="ＭＳ Ｐゴシック"/>
        <family val="3"/>
        <charset val="128"/>
        <scheme val="minor"/>
      </rPr>
      <t>梁</t>
    </r>
    <r>
      <rPr>
        <sz val="11"/>
        <color theme="1"/>
        <rFont val="ＭＳ Ｐゴシック"/>
        <family val="3"/>
        <charset val="134"/>
        <scheme val="minor"/>
      </rPr>
      <t>驰创检测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</si>
  <si>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烈酒; 葡萄酒; 露酒;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</si>
  <si>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梁市文化旅游投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</si>
  <si>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威士忌;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</si>
  <si>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嫲</t>
    </r>
    <r>
      <rPr>
        <sz val="11"/>
        <color theme="1"/>
        <rFont val="ＭＳ Ｐゴシック"/>
        <family val="3"/>
        <charset val="128"/>
        <scheme val="minor"/>
      </rPr>
      <t>塔</t>
    </r>
    <r>
      <rPr>
        <sz val="11"/>
        <color theme="1"/>
        <rFont val="ＭＳ Ｐゴシック"/>
        <family val="3"/>
        <charset val="134"/>
        <scheme val="minor"/>
      </rPr>
      <t>传说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</si>
  <si>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东飞</t>
    </r>
    <r>
      <rPr>
        <sz val="11"/>
        <color theme="1"/>
        <rFont val="ＭＳ Ｐゴシック"/>
        <family val="3"/>
        <charset val="128"/>
        <scheme val="minor"/>
      </rPr>
      <t>卓品牌管理有限公司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</si>
  <si>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</si>
  <si>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药时</t>
    </r>
    <r>
      <rPr>
        <sz val="11"/>
        <color theme="1"/>
        <rFont val="ＭＳ Ｐゴシック"/>
        <family val="3"/>
        <charset val="128"/>
        <scheme val="minor"/>
      </rPr>
      <t>膳方</t>
    </r>
  </si>
  <si>
    <r>
      <t>塞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斯盖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管理（西安）有限公司</t>
    </r>
  </si>
  <si>
    <r>
      <t>白酒; 开胃酒;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</si>
  <si>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憬御堂</t>
  </si>
  <si>
    <r>
      <t>安徽省憬御堂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</si>
  <si>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果酒;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</si>
  <si>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CHATEAU DU BRANDELET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</si>
  <si>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</si>
  <si>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托拉索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</si>
  <si>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白酒; 烈酒; 葡萄酒</t>
    </r>
  </si>
  <si>
    <r>
      <t>雅淳国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易（广州）有限公司</t>
    </r>
  </si>
  <si>
    <r>
      <t xml:space="preserve">葡萄酒; 伏特加酒; 薄荷酒; 利口酒; 威士忌;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</si>
  <si>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馨嘉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</si>
  <si>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庆创</t>
    </r>
    <r>
      <rPr>
        <sz val="11"/>
        <color theme="1"/>
        <rFont val="ＭＳ Ｐゴシック"/>
        <family val="3"/>
        <charset val="128"/>
        <scheme val="minor"/>
      </rPr>
      <t>馨嘉家具制造有限公司</t>
    </r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</si>
  <si>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</si>
  <si>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韬</t>
    </r>
    <r>
      <rPr>
        <sz val="11"/>
        <color theme="1"/>
        <rFont val="ＭＳ Ｐゴシック"/>
        <family val="3"/>
        <charset val="128"/>
        <scheme val="minor"/>
      </rPr>
      <t>寿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</si>
  <si>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轩韬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</si>
  <si>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</si>
  <si>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德思福</t>
  </si>
  <si>
    <r>
      <t>珠海德思福商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</si>
  <si>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白酒; 蒸煮提取物（利口酒和烈酒）</t>
    </r>
  </si>
  <si>
    <t>世之潭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</si>
  <si>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州金沙金撼酒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</si>
  <si>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</si>
  <si>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骄</t>
    </r>
    <r>
      <rPr>
        <sz val="11"/>
        <color theme="1"/>
        <rFont val="ＭＳ Ｐゴシック"/>
        <family val="3"/>
        <charset val="128"/>
        <scheme val="minor"/>
      </rPr>
      <t>子清花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</si>
  <si>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</si>
  <si>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清酒; 烈酒;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</si>
  <si>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七廿泉</t>
  </si>
  <si>
    <r>
      <t>德州荣安广告装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</si>
  <si>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</si>
  <si>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冠液佳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</si>
  <si>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州省冠液天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</si>
  <si>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烈酒; 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</si>
  <si>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心灵渡口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</si>
  <si>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播州区珍盛园生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</si>
  <si>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</si>
  <si>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梦光年</t>
  </si>
  <si>
    <r>
      <t>钟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</si>
  <si>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黄酒;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白酒</t>
    </r>
  </si>
  <si>
    <t>稻易丰</t>
  </si>
  <si>
    <r>
      <t>陈</t>
    </r>
    <r>
      <rPr>
        <sz val="11"/>
        <color theme="1"/>
        <rFont val="ＭＳ Ｐゴシック"/>
        <family val="3"/>
        <charset val="128"/>
        <scheme val="minor"/>
      </rPr>
      <t>杏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</si>
  <si>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蜂蜜酒;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伏特加酒; 利口酒; 米酒; 白酒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</si>
  <si>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卧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</si>
  <si>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计</t>
    </r>
    <r>
      <rPr>
        <sz val="11"/>
        <color theme="1"/>
        <rFont val="ＭＳ Ｐゴシック"/>
        <family val="3"/>
        <charset val="128"/>
        <scheme val="minor"/>
      </rPr>
      <t>和国</t>
    </r>
  </si>
  <si>
    <r>
      <t xml:space="preserve">白干酒（中国白酒）; 青稞酒;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</si>
  <si>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江江白</t>
  </si>
  <si>
    <r>
      <t>艾沙木吨·</t>
    </r>
    <r>
      <rPr>
        <sz val="11"/>
        <color theme="1"/>
        <rFont val="ＭＳ Ｐゴシック"/>
        <family val="3"/>
        <charset val="134"/>
        <scheme val="minor"/>
      </rPr>
      <t>买买</t>
    </r>
    <r>
      <rPr>
        <sz val="11"/>
        <color theme="1"/>
        <rFont val="ＭＳ Ｐゴシック"/>
        <family val="3"/>
        <charset val="128"/>
        <scheme val="minor"/>
      </rPr>
      <t>提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</si>
  <si>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烈酒; 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</si>
  <si>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君雅集</t>
  </si>
  <si>
    <t>王涛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</si>
  <si>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葡萄酒; 伏特加酒; 黄酒; 威士忌; 白酒</t>
    </r>
  </si>
  <si>
    <t>福美雅</t>
  </si>
  <si>
    <r>
      <t>项</t>
    </r>
    <r>
      <rPr>
        <sz val="11"/>
        <color theme="1"/>
        <rFont val="ＭＳ Ｐゴシック"/>
        <family val="3"/>
        <charset val="128"/>
        <scheme val="minor"/>
      </rPr>
      <t>城市福美雅商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</si>
  <si>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</si>
  <si>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</si>
  <si>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高粱酒; 葡萄酒;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清酒</t>
    </r>
  </si>
  <si>
    <r>
      <t>任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有酒</t>
    </r>
  </si>
  <si>
    <r>
      <t>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土城</t>
    </r>
    <r>
      <rPr>
        <sz val="11"/>
        <color theme="1"/>
        <rFont val="ＭＳ Ｐゴシック"/>
        <family val="3"/>
        <charset val="134"/>
        <scheme val="minor"/>
      </rPr>
      <t>镇晓岚</t>
    </r>
    <r>
      <rPr>
        <sz val="11"/>
        <color theme="1"/>
        <rFont val="ＭＳ Ｐゴシック"/>
        <family val="3"/>
        <charset val="128"/>
        <scheme val="minor"/>
      </rPr>
      <t>黄酒手工作坊</t>
    </r>
  </si>
  <si>
    <r>
      <t>餐后酒（利口酒和烈酒）;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</si>
  <si>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云礼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</si>
  <si>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新科技有限公司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</si>
  <si>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</si>
  <si>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帆</t>
    </r>
    <r>
      <rPr>
        <sz val="11"/>
        <color theme="1"/>
        <rFont val="ＭＳ Ｐゴシック"/>
        <family val="3"/>
        <charset val="134"/>
        <scheme val="minor"/>
      </rPr>
      <t>铂</t>
    </r>
  </si>
  <si>
    <r>
      <t>杭州帆</t>
    </r>
    <r>
      <rPr>
        <sz val="11"/>
        <color theme="1"/>
        <rFont val="ＭＳ Ｐゴシック"/>
        <family val="3"/>
        <charset val="134"/>
        <scheme val="minor"/>
      </rPr>
      <t>铂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</si>
  <si>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</si>
  <si>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冠</t>
    </r>
    <r>
      <rPr>
        <sz val="11"/>
        <color theme="1"/>
        <rFont val="ＭＳ Ｐゴシック"/>
        <family val="3"/>
        <charset val="134"/>
        <scheme val="minor"/>
      </rPr>
      <t>荡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</si>
  <si>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丹</t>
    </r>
  </si>
  <si>
    <r>
      <t>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米酒; 高粱酒; 果酒</t>
    </r>
  </si>
  <si>
    <t>榴芳郡</t>
  </si>
  <si>
    <r>
      <t>天下第一庄食品科技（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庄）有限公司</t>
    </r>
  </si>
  <si>
    <r>
      <t xml:space="preserve">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</si>
  <si>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商邑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</si>
  <si>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 xml:space="preserve">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</si>
  <si>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JOYFUL HAPPINESS</t>
  </si>
  <si>
    <r>
      <t>天台聚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</si>
  <si>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不起泡葡萄酒; 葡萄酒; 米酒; 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</t>
    </r>
  </si>
  <si>
    <t>YUE XING FU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</si>
  <si>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白酒;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不起泡葡萄酒; 清酒</t>
    </r>
  </si>
  <si>
    <t>瑛哥伍</t>
  </si>
  <si>
    <t>林玟槐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</si>
  <si>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薄荷酒;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开胃酒</t>
    </r>
  </si>
  <si>
    <r>
      <t>揽萧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</si>
  <si>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萧</t>
    </r>
    <r>
      <rPr>
        <sz val="11"/>
        <color theme="1"/>
        <rFont val="ＭＳ Ｐゴシック"/>
        <family val="3"/>
        <charset val="128"/>
        <scheme val="minor"/>
      </rPr>
      <t>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</si>
  <si>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苦味酒</t>
    </r>
  </si>
  <si>
    <t>享宋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</si>
  <si>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沙英工智能科技有限公司</t>
    </r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</si>
  <si>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果酒（含酒精）</t>
    </r>
  </si>
  <si>
    <t>蒙天臻</t>
  </si>
  <si>
    <r>
      <t>内蒙古食集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</si>
  <si>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米酒; 果酒; 含酒精蛋奶酒</t>
    </r>
  </si>
  <si>
    <t>继龙坛</t>
  </si>
  <si>
    <t>刘金岭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</si>
  <si>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果酒（含酒精）; 高粱酒;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</si>
  <si>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时烧</t>
    </r>
    <r>
      <rPr>
        <sz val="11"/>
        <color theme="1"/>
        <rFont val="ＭＳ Ｐゴシック"/>
        <family val="3"/>
        <charset val="128"/>
        <scheme val="minor"/>
      </rPr>
      <t>坊</t>
    </r>
  </si>
  <si>
    <t>牛献忠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</si>
  <si>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米酒</t>
    </r>
  </si>
  <si>
    <t>中巩</t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</si>
  <si>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山昆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</si>
  <si>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</si>
  <si>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YSOUYA 豫商欧雅</t>
  </si>
  <si>
    <r>
      <t>梁志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</si>
  <si>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米酒; 黄酒;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威士忌</t>
    </r>
  </si>
  <si>
    <t>梓瑶ZI AO</t>
  </si>
  <si>
    <r>
      <t>绵</t>
    </r>
    <r>
      <rPr>
        <sz val="11"/>
        <color theme="1"/>
        <rFont val="ＭＳ Ｐゴシック"/>
        <family val="3"/>
        <charset val="128"/>
        <scheme val="minor"/>
      </rPr>
      <t>阳市千家循</t>
    </r>
    <r>
      <rPr>
        <sz val="11"/>
        <color theme="1"/>
        <rFont val="ＭＳ Ｐゴシック"/>
        <family val="3"/>
        <charset val="134"/>
        <scheme val="minor"/>
      </rPr>
      <t>环农业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</si>
  <si>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蒸煮提取物（利口酒和烈酒）; 甜酒; 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开胃酒; 米酒; 白酒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</si>
  <si>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境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</si>
  <si>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（天津）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</si>
  <si>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</si>
  <si>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JIANGJIUBOSHI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</si>
  <si>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市大壑文化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</si>
  <si>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</si>
  <si>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五福六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</si>
  <si>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南通超一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</si>
  <si>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食用酒精; 清酒（日本米酒）; 开胃酒;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</t>
    </r>
  </si>
  <si>
    <t>POP FLOWER</t>
  </si>
  <si>
    <t>李佳</t>
  </si>
  <si>
    <r>
      <t>薄荷酒;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</si>
  <si>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t>卓功</t>
  </si>
  <si>
    <r>
      <t>韦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础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</si>
  <si>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果酒（含酒精）; 高粱酒;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</si>
  <si>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宇清花</t>
  </si>
  <si>
    <r>
      <t>文水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宇香醇酒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</si>
  <si>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白干酒（中国白酒）;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苹果酒;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</si>
  <si>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万本青杉堂</t>
  </si>
  <si>
    <r>
      <t>江西省天韵文化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</si>
  <si>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</si>
  <si>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养森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</si>
  <si>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市蔚来房地</t>
    </r>
    <r>
      <rPr>
        <sz val="11"/>
        <color theme="1"/>
        <rFont val="ＭＳ Ｐゴシック"/>
        <family val="3"/>
        <charset val="134"/>
        <scheme val="minor"/>
      </rPr>
      <t>产营销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</si>
  <si>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</si>
  <si>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悦之林</t>
  </si>
  <si>
    <r>
      <t>遵化市悦之林商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</si>
  <si>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食用酒精; 果酒（含酒精）; 青稞酒;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</si>
  <si>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布袋谷</t>
  </si>
  <si>
    <r>
      <t>纪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</si>
  <si>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白酒; 开胃酒;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</si>
  <si>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毛璥</t>
  </si>
  <si>
    <t>胡珍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</si>
  <si>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</si>
  <si>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凌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</si>
  <si>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东赛</t>
    </r>
    <r>
      <rPr>
        <sz val="11"/>
        <color theme="1"/>
        <rFont val="ＭＳ Ｐゴシック"/>
        <family val="3"/>
        <charset val="128"/>
        <scheme val="minor"/>
      </rPr>
      <t>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</si>
  <si>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高粱酒; 果酒（含酒精）; 开胃酒</t>
    </r>
  </si>
  <si>
    <t>蕊凝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</si>
  <si>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西鼎味臻餐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</si>
  <si>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清酒; 朗姆酒;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白葡萄酒;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甘蔗制烈酒;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谷物制...</t>
    </r>
  </si>
  <si>
    <t>IMUNE 恩米奥</t>
  </si>
  <si>
    <r>
      <t>恩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威(广州)运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</si>
  <si>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黄酒; 葡萄酒; 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</si>
  <si>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龄</t>
    </r>
    <r>
      <rPr>
        <sz val="11"/>
        <color theme="1"/>
        <rFont val="ＭＳ Ｐゴシック"/>
        <family val="3"/>
        <charset val="128"/>
        <scheme val="minor"/>
      </rPr>
      <t>醉坊</t>
    </r>
  </si>
  <si>
    <r>
      <t>深圳市弘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</si>
  <si>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清酒; 白酒;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</si>
  <si>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极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力</t>
    </r>
  </si>
  <si>
    <t>徐定坤</t>
  </si>
  <si>
    <t>白酒; 食用酒精; 黄酒; 开胃酒; 葡萄酒; 甜酒; 米酒; 果酒; 汽酒; 清酒</t>
  </si>
  <si>
    <t>李二嫂</t>
  </si>
  <si>
    <r>
      <t>李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</si>
  <si>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黄酒; 含酒精的气泡水;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</t>
    </r>
  </si>
  <si>
    <t>潺涓</t>
  </si>
  <si>
    <r>
      <t>四川涓酒酒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</si>
  <si>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</si>
  <si>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鸿缘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</si>
  <si>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城市</t>
    </r>
    <r>
      <rPr>
        <sz val="11"/>
        <color theme="1"/>
        <rFont val="ＭＳ Ｐゴシック"/>
        <family val="3"/>
        <charset val="134"/>
        <scheme val="minor"/>
      </rPr>
      <t>赛马镇</t>
    </r>
    <r>
      <rPr>
        <sz val="11"/>
        <color theme="1"/>
        <rFont val="ＭＳ Ｐゴシック"/>
        <family val="3"/>
        <charset val="128"/>
        <scheme val="minor"/>
      </rPr>
      <t>源浩建筑工程</t>
    </r>
    <r>
      <rPr>
        <sz val="11"/>
        <color theme="1"/>
        <rFont val="ＭＳ Ｐゴシック"/>
        <family val="3"/>
        <charset val="134"/>
        <scheme val="minor"/>
      </rPr>
      <t>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</si>
  <si>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米酒; 葡萄酒; 白酒;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</si>
  <si>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晋水母</t>
  </si>
  <si>
    <r>
      <t>赵</t>
    </r>
    <r>
      <rPr>
        <sz val="11"/>
        <color theme="1"/>
        <rFont val="ＭＳ Ｐゴシック"/>
        <family val="3"/>
        <charset val="128"/>
        <scheme val="minor"/>
      </rPr>
      <t>建平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</si>
  <si>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食用酒精;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</si>
  <si>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正義谷</t>
  </si>
  <si>
    <r>
      <t>廖小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</si>
  <si>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</si>
  <si>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</si>
  <si>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由</t>
    </r>
  </si>
  <si>
    <r>
      <t>威士忌;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</si>
  <si>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源</t>
    </r>
    <r>
      <rPr>
        <sz val="11"/>
        <color theme="1"/>
        <rFont val="ＭＳ Ｐゴシック"/>
        <family val="3"/>
        <charset val="129"/>
        <scheme val="minor"/>
      </rPr>
      <t>洺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</si>
  <si>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陶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全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</si>
  <si>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</si>
  <si>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人昶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</si>
  <si>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黄酒; 白干酒（中国白酒）; 开胃酒; 米酒; 果酒（含酒精）;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</si>
  <si>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神保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</si>
  <si>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广州南唐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</si>
  <si>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威士忌; 朗姆酒</t>
    </r>
  </si>
  <si>
    <r>
      <t>四川怡和祥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</si>
  <si>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白酒; 白干酒（中国白酒）;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</si>
  <si>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铜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哥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</si>
  <si>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千海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</si>
  <si>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</t>
    </r>
  </si>
  <si>
    <t>甪直本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</si>
  <si>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州甪瑞酒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</si>
  <si>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</si>
  <si>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㞤山人</t>
  </si>
  <si>
    <r>
      <t>冯</t>
    </r>
    <r>
      <rPr>
        <sz val="11"/>
        <color theme="1"/>
        <rFont val="ＭＳ Ｐゴシック"/>
        <family val="3"/>
        <charset val="128"/>
        <scheme val="minor"/>
      </rPr>
      <t>阳阳</t>
    </r>
  </si>
  <si>
    <r>
      <t>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蜂蜜酒; 米酒;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</si>
  <si>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布袋九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</si>
  <si>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清酒（日本米酒）; 利口酒;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</si>
  <si>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正数</t>
  </si>
  <si>
    <r>
      <t>四川唐小米酒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</si>
  <si>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</si>
  <si>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心灵一号道道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</si>
  <si>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蜂蜜酒;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</si>
  <si>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春争暖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</si>
  <si>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科技（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</si>
  <si>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</si>
  <si>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冬寒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</si>
  <si>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</si>
  <si>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秋月映霜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</si>
  <si>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</si>
  <si>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夏惊昼眠</t>
  </si>
  <si>
    <r>
      <t>食用酒精;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</si>
  <si>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半荣</t>
    </r>
    <r>
      <rPr>
        <sz val="11"/>
        <color theme="1"/>
        <rFont val="ＭＳ Ｐゴシック"/>
        <family val="3"/>
        <charset val="134"/>
        <scheme val="minor"/>
      </rPr>
      <t>斋</t>
    </r>
  </si>
  <si>
    <t>师铭泽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</si>
  <si>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朗姆酒;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苦味酒</t>
    </r>
  </si>
  <si>
    <r>
      <t>歆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</si>
  <si>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白酒; 果酒（含酒精）</t>
    </r>
  </si>
  <si>
    <t>泓礼</t>
  </si>
  <si>
    <t>冯润龙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</si>
  <si>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黄酒; 开胃酒; 白酒;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</si>
  <si>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细</t>
    </r>
    <r>
      <rPr>
        <sz val="11"/>
        <color theme="1"/>
        <rFont val="ＭＳ Ｐゴシック"/>
        <family val="3"/>
        <charset val="128"/>
        <scheme val="minor"/>
      </rPr>
      <t>雨生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</si>
  <si>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</si>
  <si>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勃地丘</t>
  </si>
  <si>
    <t>金樽精品葡萄酒（广州）有限公司</t>
  </si>
  <si>
    <r>
      <t>甜果酒;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利口酒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</si>
  <si>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曲令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</si>
  <si>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帮作</t>
    </r>
  </si>
  <si>
    <r>
      <t>白酒; 开胃酒; 威士忌;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清酒（日本米酒）</t>
    </r>
  </si>
  <si>
    <t>伊知鹿</t>
  </si>
  <si>
    <r>
      <t>朱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朗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</si>
  <si>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</si>
  <si>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t>鲲飞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</si>
  <si>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鲲</t>
    </r>
    <r>
      <rPr>
        <sz val="11"/>
        <color theme="1"/>
        <rFont val="ＭＳ Ｐゴシック"/>
        <family val="3"/>
        <charset val="128"/>
        <scheme val="minor"/>
      </rPr>
      <t>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</si>
  <si>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</si>
  <si>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拱宸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</si>
  <si>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坤峰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</si>
  <si>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甜果酒; 含酒精的气泡水;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</si>
  <si>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百丈松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</si>
  <si>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</si>
  <si>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晋禹兆</t>
    </r>
    <r>
      <rPr>
        <sz val="11"/>
        <color theme="1"/>
        <rFont val="ＭＳ Ｐゴシック"/>
        <family val="3"/>
        <charset val="129"/>
        <scheme val="minor"/>
      </rPr>
      <t>馫</t>
    </r>
  </si>
  <si>
    <r>
      <t>灵石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禹王酒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</si>
  <si>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白酒; 果酒（含酒精）; 汽酒; 黄酒; 葡萄酒; 米酒</t>
    </r>
  </si>
  <si>
    <r>
      <t>品尚</t>
    </r>
    <r>
      <rPr>
        <sz val="11"/>
        <color theme="1"/>
        <rFont val="ＭＳ Ｐゴシック"/>
        <family val="3"/>
        <charset val="134"/>
        <scheme val="minor"/>
      </rPr>
      <t>鲜渔</t>
    </r>
    <r>
      <rPr>
        <sz val="11"/>
        <color theme="1"/>
        <rFont val="ＭＳ Ｐゴシック"/>
        <family val="3"/>
        <charset val="128"/>
        <scheme val="minor"/>
      </rPr>
      <t>海湾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</si>
  <si>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品尚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</si>
  <si>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甜酒; 烈酒; 威士忌;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白酒; 清酒</t>
    </r>
  </si>
  <si>
    <t>和誉和不同</t>
  </si>
  <si>
    <r>
      <t>宁夏和誉国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葡萄酒庄有限公司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</si>
  <si>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汽酒; 薄荷酒; 果酒（含酒精）; 利口酒</t>
    </r>
  </si>
  <si>
    <t>亦孔之固</t>
  </si>
  <si>
    <r>
      <t>贺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造梦境酒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</si>
  <si>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利口酒; 加烈葡萄酒;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</si>
  <si>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LBHI</t>
  </si>
  <si>
    <t>力博重工科技股份有限公司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</si>
  <si>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蒸煮提取物（利口酒和烈酒）; 含酒精的气泡水; 高粱酒; 果酒（含酒精）; 蜂蜜酒;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</si>
  <si>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曲梦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</si>
  <si>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清酒（日本米酒）; 烈酒; 白酒; 开胃酒; 果酒（含酒精）</t>
    </r>
  </si>
  <si>
    <r>
      <t>桃花神</t>
    </r>
    <r>
      <rPr>
        <sz val="11"/>
        <color theme="1"/>
        <rFont val="ＭＳ Ｐゴシック"/>
        <family val="3"/>
        <charset val="134"/>
        <scheme val="minor"/>
      </rPr>
      <t>话</t>
    </r>
  </si>
  <si>
    <t>胡可超</t>
  </si>
  <si>
    <r>
      <t>清酒（日本米酒）; 食用酒精; 葡萄酒; 果酒（含酒精）;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</si>
  <si>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创锦</t>
    </r>
  </si>
  <si>
    <t>李美霞</t>
  </si>
  <si>
    <r>
      <t>葡萄酒; 白酒; 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</si>
  <si>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凿</t>
    </r>
    <r>
      <rPr>
        <sz val="11"/>
        <color theme="1"/>
        <rFont val="ＭＳ Ｐゴシック"/>
        <family val="3"/>
        <charset val="128"/>
        <scheme val="minor"/>
      </rPr>
      <t>墨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</si>
  <si>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朗姆酒; 薄荷酒</t>
    </r>
  </si>
  <si>
    <t>鼓斟</t>
  </si>
  <si>
    <r>
      <t>张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</si>
  <si>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清酒（日本米酒）; 白酒;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</si>
  <si>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村里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</si>
  <si>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雪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</si>
  <si>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</si>
  <si>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r>
      <t>匠山</t>
    </r>
    <r>
      <rPr>
        <sz val="11"/>
        <color theme="1"/>
        <rFont val="ＭＳ Ｐゴシック"/>
        <family val="3"/>
        <charset val="134"/>
        <scheme val="minor"/>
      </rPr>
      <t>玺</t>
    </r>
  </si>
  <si>
    <t>梁英泉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</si>
  <si>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</si>
  <si>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芹大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</si>
  <si>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千淼（深圳）投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</si>
  <si>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汽酒; 果酒;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</si>
  <si>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天台荣登</t>
  </si>
  <si>
    <r>
      <t>卢</t>
    </r>
    <r>
      <rPr>
        <sz val="11"/>
        <color theme="1"/>
        <rFont val="ＭＳ Ｐゴシック"/>
        <family val="3"/>
        <charset val="128"/>
        <scheme val="minor"/>
      </rPr>
      <t>弟茂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</si>
  <si>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</si>
  <si>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欧</t>
    </r>
    <r>
      <rPr>
        <sz val="11"/>
        <color theme="1"/>
        <rFont val="ＭＳ Ｐゴシック"/>
        <family val="3"/>
        <charset val="134"/>
        <scheme val="minor"/>
      </rPr>
      <t>谕</t>
    </r>
  </si>
  <si>
    <r>
      <t xml:space="preserve">葡萄酒; 朗姆酒;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</t>
    </r>
  </si>
  <si>
    <t>葫芦李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</si>
  <si>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朗姆酒; 薄荷酒; 白酒; 伏特加酒;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</si>
  <si>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</si>
  <si>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露酒;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</si>
  <si>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万作之花</t>
  </si>
  <si>
    <r>
      <t>陈则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</si>
  <si>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梨酒; 青稞酒; 清酒（日本米酒）; 果酒（含酒精）; 米酒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</si>
  <si>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统</t>
    </r>
  </si>
  <si>
    <r>
      <t>钱华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</si>
  <si>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伏特加酒; 白酒</t>
    </r>
  </si>
  <si>
    <t>棠养</t>
  </si>
  <si>
    <t>黄奕豪</t>
  </si>
  <si>
    <r>
      <t>果酒; 甜酒; 葡萄酒; 米酒;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</si>
  <si>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桶雅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</si>
  <si>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威士忌; 黄酒; 白酒; 薄荷酒</t>
    </r>
  </si>
  <si>
    <r>
      <t>青西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物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</si>
  <si>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青西山海文化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</si>
  <si>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威士忌; 伏特加酒;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</si>
  <si>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冬雪盈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</si>
  <si>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</si>
  <si>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厚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</si>
  <si>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四川九道大成文化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</si>
  <si>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清酒（日本米酒）;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</si>
  <si>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河原酒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 xml:space="preserve"> HEYUAN LIQUOR</t>
    </r>
  </si>
  <si>
    <r>
      <t>付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</si>
  <si>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白酒; 米酒; 青稞酒;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食用酒精; 黄酒</t>
    </r>
  </si>
  <si>
    <t>黔北重拾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</si>
  <si>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州重拾酒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</si>
  <si>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</si>
  <si>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琅无忌</t>
  </si>
  <si>
    <r>
      <t>滁州市醉得意餐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</si>
  <si>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威士忌;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</si>
  <si>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高情桑</t>
  </si>
  <si>
    <r>
      <t>广西平果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王山投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</si>
  <si>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果酒; 茴香酒; 露酒;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</si>
  <si>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最粮心</t>
  </si>
  <si>
    <t>山西棣雅棠茶酒文化有限公司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</si>
  <si>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青稞酒;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</t>
    </r>
  </si>
  <si>
    <t>老爻台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</si>
  <si>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州老爻台酒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</si>
  <si>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威士忌</t>
    </r>
  </si>
  <si>
    <r>
      <t>光</t>
    </r>
    <r>
      <rPr>
        <sz val="11"/>
        <color theme="1"/>
        <rFont val="ＭＳ Ｐゴシック"/>
        <family val="3"/>
        <charset val="134"/>
        <scheme val="minor"/>
      </rPr>
      <t>纷</t>
    </r>
  </si>
  <si>
    <t>李秀枝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</si>
  <si>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</t>
    </r>
  </si>
  <si>
    <r>
      <t>万喜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</si>
  <si>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市吉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</si>
  <si>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汽酒; 米酒; 白酒; 黄酒; 柑香酒;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</si>
  <si>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和聚昇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</si>
  <si>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聚天下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</si>
  <si>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白酒;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</si>
  <si>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浙在心礼</t>
  </si>
  <si>
    <t>河北雄安望湖春健康管理有限公司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</si>
  <si>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</si>
  <si>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村窖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</si>
  <si>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贵军</t>
    </r>
  </si>
  <si>
    <r>
      <t xml:space="preserve">餐后酒（利口酒和烈酒）; 高粱酒; 薄荷酒;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</si>
  <si>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奥</t>
    </r>
    <r>
      <rPr>
        <sz val="11"/>
        <color theme="1"/>
        <rFont val="ＭＳ Ｐゴシック"/>
        <family val="3"/>
        <charset val="134"/>
        <scheme val="minor"/>
      </rPr>
      <t>狮龙</t>
    </r>
  </si>
  <si>
    <r>
      <t>世歌（青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</si>
  <si>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蒸煮提取物（利口酒和烈酒）; 果酒（含酒精）; 葡萄酒; 食用酒精; 开胃酒</t>
    </r>
  </si>
  <si>
    <r>
      <t>孤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少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</si>
  <si>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闺</t>
    </r>
    <r>
      <rPr>
        <sz val="11"/>
        <color theme="1"/>
        <rFont val="ＭＳ Ｐゴシック"/>
        <family val="3"/>
        <charset val="128"/>
        <scheme val="minor"/>
      </rPr>
      <t>蜜之恋品牌管理有限公司</t>
    </r>
  </si>
  <si>
    <r>
      <t>白酒;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</si>
  <si>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天下一庄宴</t>
  </si>
  <si>
    <r>
      <t>枣</t>
    </r>
    <r>
      <rPr>
        <sz val="11"/>
        <color theme="1"/>
        <rFont val="ＭＳ Ｐゴシック"/>
        <family val="3"/>
        <charset val="128"/>
        <scheme val="minor"/>
      </rPr>
      <t>庄市天下第一庄酒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</si>
  <si>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</si>
  <si>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千禧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</si>
  <si>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葡萄酒控股有限公司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</si>
  <si>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</si>
  <si>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天下喜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</si>
  <si>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</si>
  <si>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白酒; 食用酒精; 威士忌;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</si>
  <si>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沙新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力企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</si>
  <si>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</si>
  <si>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狮龙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</si>
  <si>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</si>
  <si>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夯匠</t>
  </si>
  <si>
    <t>吴伯天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</si>
  <si>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清酒; 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</si>
  <si>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运</t>
    </r>
  </si>
  <si>
    <t>李伶俐</t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</si>
  <si>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</si>
  <si>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慕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</si>
  <si>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高碑店市启思儿童健康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</si>
  <si>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清酒</t>
    </r>
  </si>
  <si>
    <r>
      <t>豆柒四</t>
    </r>
    <r>
      <rPr>
        <sz val="11"/>
        <color theme="1"/>
        <rFont val="ＭＳ Ｐゴシック"/>
        <family val="3"/>
        <charset val="134"/>
        <scheme val="minor"/>
      </rPr>
      <t>样</t>
    </r>
  </si>
  <si>
    <r>
      <t>董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繁</t>
    </r>
  </si>
  <si>
    <r>
      <t>葡萄酒; 果酒（含酒精）; 威士忌; 白酒;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</t>
    </r>
  </si>
  <si>
    <r>
      <t>终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</si>
  <si>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西梓溪文化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</si>
  <si>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 xml:space="preserve">朗姆酒;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食用酒精; 白酒; 白干酒（中国白酒）; 含酒精蛋奶酒;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</si>
  <si>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邕抱未来</t>
  </si>
  <si>
    <r>
      <t>黄酒; 果酒; 葡萄酒;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茴香酒; 米酒</t>
    </r>
  </si>
  <si>
    <t>放山客</t>
  </si>
  <si>
    <t>通化御皇参生物科技有限公司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</si>
  <si>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伏特加酒;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</si>
  <si>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旺奇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</si>
  <si>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烈酒; 米酒</t>
    </r>
  </si>
  <si>
    <t>宋醍</t>
  </si>
  <si>
    <t>上海科帛信息科技工作室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</si>
  <si>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汽酒; 白酒; 餐后酒（利口酒和烈酒）; 梅酒; 米酒; 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</si>
  <si>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厸台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</si>
  <si>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青稞酒</t>
    </r>
  </si>
  <si>
    <t>佬有泉</t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</si>
  <si>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葡萄酒; 蜂蜜酒;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高粱酒</t>
    </r>
  </si>
  <si>
    <t>DEFENGTANG</t>
  </si>
  <si>
    <t>北京那美生物科技有限公司</t>
  </si>
  <si>
    <r>
      <t>威士忌;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</si>
  <si>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大眼熊</t>
  </si>
  <si>
    <r>
      <t>李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</si>
  <si>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</si>
  <si>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武祛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</si>
  <si>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春市祛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堂生物科技有限公司</t>
    </r>
  </si>
  <si>
    <r>
      <t xml:space="preserve">露酒; 青稞酒; 食用酒精; 五加皮酒（中国混合烈酒）;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</si>
  <si>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上元食代</t>
  </si>
  <si>
    <r>
      <t>内蒙古自治区上元生</t>
    </r>
    <r>
      <rPr>
        <sz val="11"/>
        <color theme="1"/>
        <rFont val="ＭＳ Ｐゴシック"/>
        <family val="3"/>
        <charset val="134"/>
        <scheme val="minor"/>
      </rPr>
      <t>态农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</si>
  <si>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蜂蜜酒; 葡萄酒;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</si>
  <si>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MOST DATE</t>
  </si>
  <si>
    <t>温州姆氏德控股有限公司</t>
  </si>
  <si>
    <r>
      <t>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葡萄酒;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</si>
  <si>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库尔</t>
    </r>
    <r>
      <rPr>
        <sz val="11"/>
        <color theme="1"/>
        <rFont val="ＭＳ Ｐゴシック"/>
        <family val="3"/>
        <charset val="128"/>
        <scheme val="minor"/>
      </rPr>
      <t>德宁蝴蝶 KUERDENIGNHUDIE</t>
    </r>
  </si>
  <si>
    <t>彭致瑞</t>
  </si>
  <si>
    <r>
      <t xml:space="preserve">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白干酒（中国白酒）;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</si>
  <si>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九池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</si>
  <si>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美棋</t>
    </r>
  </si>
  <si>
    <r>
      <t xml:space="preserve">黄酒; 开胃酒; 葡萄酒; 清酒（日本米酒）;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</si>
  <si>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t>关振</t>
  </si>
  <si>
    <r>
      <t>安徽偶寓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宿投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</si>
  <si>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白酒; 米酒; 葡萄酒; 青稞酒;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</si>
  <si>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二月亭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</si>
  <si>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溪区六</t>
    </r>
    <r>
      <rPr>
        <sz val="11"/>
        <color theme="1"/>
        <rFont val="ＭＳ Ｐゴシック"/>
        <family val="3"/>
        <charset val="134"/>
        <scheme val="minor"/>
      </rPr>
      <t>桩</t>
    </r>
    <r>
      <rPr>
        <sz val="11"/>
        <color theme="1"/>
        <rFont val="ＭＳ Ｐゴシック"/>
        <family val="3"/>
        <charset val="128"/>
        <scheme val="minor"/>
      </rPr>
      <t>坡</t>
    </r>
    <r>
      <rPr>
        <sz val="11"/>
        <color theme="1"/>
        <rFont val="ＭＳ Ｐゴシック"/>
        <family val="3"/>
        <charset val="134"/>
        <scheme val="minor"/>
      </rPr>
      <t>农业专业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</si>
  <si>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葡萄酒; 黄酒; 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</si>
  <si>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品泰味</t>
  </si>
  <si>
    <r>
      <t>瑞祥中泰（深圳）商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</si>
  <si>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米酒; 黄酒; 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白酒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</si>
  <si>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曼尼大地</t>
    </r>
  </si>
  <si>
    <r>
      <t>酒溢供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管理（上海）有限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</si>
  <si>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白酒; 食用酒精; 葡萄酒</t>
    </r>
  </si>
  <si>
    <t>咸亨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</si>
  <si>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咸亨酒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</si>
  <si>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</t>
    </r>
  </si>
  <si>
    <t>梓小涵</t>
  </si>
  <si>
    <r>
      <t>宁夏古城人家酒庄有限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</si>
  <si>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</si>
  <si>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三深</t>
  </si>
  <si>
    <t>李芝芳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</si>
  <si>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开胃酒; 白酒; 果酒（含酒精）; 葡萄酒; 米酒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</si>
  <si>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阳谷</t>
    </r>
    <r>
      <rPr>
        <sz val="11"/>
        <color theme="1"/>
        <rFont val="ＭＳ Ｐゴシック"/>
        <family val="3"/>
        <charset val="134"/>
        <scheme val="minor"/>
      </rPr>
      <t>陈酿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</si>
  <si>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开胃酒; 果酒; 白酒; 黄酒; 烈酒; 米酒; 青稞酒;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</si>
  <si>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晋知良</t>
  </si>
  <si>
    <r>
      <t>吕</t>
    </r>
    <r>
      <rPr>
        <sz val="11"/>
        <color theme="1"/>
        <rFont val="ＭＳ Ｐゴシック"/>
        <family val="3"/>
        <charset val="128"/>
        <scheme val="minor"/>
      </rPr>
      <t>梁市知良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</si>
  <si>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</si>
  <si>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芳菲如歌</t>
  </si>
  <si>
    <t>徐舟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</si>
  <si>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伏特加酒;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黄酒</t>
    </r>
  </si>
  <si>
    <r>
      <t>恒史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</si>
  <si>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河南求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</si>
  <si>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葡萄酒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</si>
  <si>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石范</t>
    </r>
  </si>
  <si>
    <r>
      <t>三化一</t>
    </r>
    <r>
      <rPr>
        <sz val="11"/>
        <color theme="1"/>
        <rFont val="ＭＳ Ｐゴシック"/>
        <family val="3"/>
        <charset val="134"/>
        <scheme val="minor"/>
      </rPr>
      <t>权产</t>
    </r>
    <r>
      <rPr>
        <sz val="11"/>
        <color theme="1"/>
        <rFont val="ＭＳ Ｐゴシック"/>
        <family val="3"/>
        <charset val="128"/>
        <scheme val="minor"/>
      </rPr>
      <t>教技能服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</si>
  <si>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</si>
  <si>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远贞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</si>
  <si>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</si>
  <si>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 xml:space="preserve">果酒（含酒精）; 米酒; 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</si>
  <si>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嬴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王者</t>
    </r>
  </si>
  <si>
    <r>
      <t>河北邯神酒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</si>
  <si>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</si>
  <si>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坤.紫御</t>
  </si>
  <si>
    <r>
      <t>元一源（北京）商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</si>
  <si>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清酒;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</si>
  <si>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VIV ANT</t>
  </si>
  <si>
    <r>
      <t>思塔瑞艾耒餐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管理（上海）有限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</si>
  <si>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</si>
  <si>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景阳水</t>
    </r>
    <r>
      <rPr>
        <sz val="11"/>
        <color theme="1"/>
        <rFont val="ＭＳ Ｐゴシック"/>
        <family val="3"/>
        <charset val="134"/>
        <scheme val="minor"/>
      </rPr>
      <t>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</si>
  <si>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</si>
  <si>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甜酒; 米酒; 梅酒;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</si>
  <si>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平凡</t>
    </r>
    <r>
      <rPr>
        <sz val="11"/>
        <color theme="1"/>
        <rFont val="ＭＳ Ｐゴシック"/>
        <family val="3"/>
        <charset val="129"/>
        <scheme val="minor"/>
      </rPr>
      <t>旳</t>
    </r>
    <r>
      <rPr>
        <sz val="11"/>
        <color theme="1"/>
        <rFont val="ＭＳ Ｐゴシック"/>
        <family val="3"/>
        <charset val="128"/>
        <scheme val="minor"/>
      </rPr>
      <t>世界</t>
    </r>
  </si>
  <si>
    <t>魏江浩</t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</si>
  <si>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</si>
  <si>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DIILEE</t>
  </si>
  <si>
    <t>上海玖和食品有限公司</t>
  </si>
  <si>
    <r>
      <t>威士忌; 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酸酒（低等葡萄酒）;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</si>
  <si>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道唐王樽</t>
  </si>
  <si>
    <t>广州道唐日化用品有限公司</t>
  </si>
  <si>
    <r>
      <t xml:space="preserve">薄荷酒;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</si>
  <si>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穆沟</t>
  </si>
  <si>
    <r>
      <t>阜宁益穆旅游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</si>
  <si>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白酒;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</si>
  <si>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可蒂娜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</si>
  <si>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仑联</t>
    </r>
    <r>
      <rPr>
        <sz val="11"/>
        <color theme="1"/>
        <rFont val="ＭＳ Ｐゴシック"/>
        <family val="3"/>
        <charset val="128"/>
        <scheme val="minor"/>
      </rPr>
      <t>合（天津）科技有限公司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</si>
  <si>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清酒; 食用酒精; 薄荷酒; 葡萄酒; 蜂蜜酒; 白酒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</si>
  <si>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</si>
  <si>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</si>
  <si>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日上</t>
    </r>
  </si>
  <si>
    <r>
      <t>北京京河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</si>
  <si>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</si>
  <si>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方名人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</si>
  <si>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州云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酒庄酒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</si>
  <si>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</si>
  <si>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伏摩</t>
  </si>
  <si>
    <r>
      <t>泉州杰</t>
    </r>
    <r>
      <rPr>
        <sz val="11"/>
        <color theme="1"/>
        <rFont val="ＭＳ Ｐゴシック"/>
        <family val="3"/>
        <charset val="134"/>
        <scheme val="minor"/>
      </rPr>
      <t>铠贸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</si>
  <si>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威士忌</t>
    </r>
  </si>
  <si>
    <t>仁叔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</si>
  <si>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匠香酒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</si>
  <si>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餐后酒（利口酒和烈酒）; 米酒; 苹果酒;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果酒（含酒精）</t>
    </r>
  </si>
  <si>
    <t>杏辰迎清花</t>
  </si>
  <si>
    <r>
      <t>汾阳市万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</si>
  <si>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杜松子酒; 青稞酒; 利口酒;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</si>
  <si>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洒福台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</si>
  <si>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</si>
  <si>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果酒（含酒精）; 葡萄酒; 开胃酒;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蜂蜜酒; 白酒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</si>
  <si>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极大咖</t>
    </r>
  </si>
  <si>
    <t>王明坤</t>
  </si>
  <si>
    <r>
      <t>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甜酒</t>
    </r>
  </si>
  <si>
    <t>汲郡</t>
  </si>
  <si>
    <r>
      <t>卫辉</t>
    </r>
    <r>
      <rPr>
        <sz val="11"/>
        <color theme="1"/>
        <rFont val="ＭＳ Ｐゴシック"/>
        <family val="3"/>
        <charset val="128"/>
        <scheme val="minor"/>
      </rPr>
      <t>市府承商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</si>
  <si>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</si>
  <si>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宴春韵</t>
  </si>
  <si>
    <r>
      <t>河北旭达投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</si>
  <si>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威士忌; 葡萄酒; 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</si>
  <si>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天梦</t>
    </r>
  </si>
  <si>
    <r>
      <t>亳州中支酒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</si>
  <si>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葡萄酒;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梨酒</t>
    </r>
  </si>
  <si>
    <t>乾.紫御</t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</si>
  <si>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白干酒（中国白酒）;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</si>
  <si>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智品一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</si>
  <si>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北京中盛九橙企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</si>
  <si>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</si>
  <si>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信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梦</t>
    </r>
  </si>
  <si>
    <t>刘伊然</t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</si>
  <si>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米酒; 葡萄酒; 食用酒精</t>
    </r>
  </si>
  <si>
    <r>
      <t>利口酒;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食用酒精</t>
    </r>
  </si>
  <si>
    <t>一涿</t>
  </si>
  <si>
    <r>
      <t>河北屹甄商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</si>
  <si>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高粱酒;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青梅酒</t>
    </r>
  </si>
  <si>
    <t>葚世源</t>
  </si>
  <si>
    <r>
      <t>上海瀚珠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</si>
  <si>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</si>
  <si>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恒裕达</t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</si>
  <si>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市本源商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</si>
  <si>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</si>
  <si>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奔海</t>
    </r>
    <r>
      <rPr>
        <sz val="11"/>
        <color theme="1"/>
        <rFont val="ＭＳ Ｐゴシック"/>
        <family val="3"/>
        <charset val="134"/>
        <scheme val="minor"/>
      </rPr>
      <t>兰贵宾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</si>
  <si>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惠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</si>
  <si>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白酒; 果酒（含酒精）; 威士忌;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</si>
  <si>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VIVANT BY JOHNNY PHAM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</si>
  <si>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葡萄酒</t>
    </r>
  </si>
  <si>
    <t>亀炅春</t>
  </si>
  <si>
    <r>
      <t>杨绍</t>
    </r>
    <r>
      <rPr>
        <sz val="11"/>
        <color theme="1"/>
        <rFont val="ＭＳ Ｐゴシック"/>
        <family val="3"/>
        <charset val="128"/>
        <scheme val="minor"/>
      </rPr>
      <t>前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</si>
  <si>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薄荷酒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</si>
  <si>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湖区水果兄弟文教用品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</si>
  <si>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高粱酒; 烈酒; 白干酒（中国白酒）; 黄酒</t>
    </r>
  </si>
  <si>
    <t>酥羽</t>
  </si>
  <si>
    <r>
      <t>曾广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</si>
  <si>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</t>
    </r>
  </si>
  <si>
    <t>MONGTEOS GLORY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</si>
  <si>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岛爱</t>
    </r>
    <r>
      <rPr>
        <sz val="11"/>
        <color theme="1"/>
        <rFont val="ＭＳ Ｐゴシック"/>
        <family val="3"/>
        <charset val="128"/>
        <scheme val="minor"/>
      </rPr>
      <t>德森堡酒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</si>
  <si>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烈酒</t>
    </r>
  </si>
  <si>
    <t>暸蒯</t>
  </si>
  <si>
    <r>
      <t>柳州市君及商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</si>
  <si>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餐后酒（利口酒和烈酒）; 露酒;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</si>
  <si>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央南</t>
  </si>
  <si>
    <r>
      <t>黄平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重安江酒坊</t>
    </r>
  </si>
  <si>
    <r>
      <t>清酒（日本米酒）;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甜酒; 日式甜米酒;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</si>
  <si>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黄金之年</t>
  </si>
  <si>
    <r>
      <t>史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英</t>
    </r>
  </si>
  <si>
    <t>果酒; 甜酒; 米酒; 食用酒精; 黄酒; 汽酒; 清酒; 葡萄酒; 白酒; 开胃酒</t>
  </si>
  <si>
    <r>
      <t>白廉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</si>
  <si>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南冠</t>
    </r>
    <r>
      <rPr>
        <sz val="11"/>
        <color theme="1"/>
        <rFont val="ＭＳ Ｐゴシック"/>
        <family val="3"/>
        <charset val="134"/>
        <scheme val="minor"/>
      </rPr>
      <t>鸿经贸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</si>
  <si>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</t>
    </r>
  </si>
  <si>
    <t>君易和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</si>
  <si>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白酒; 利口酒; 米酒; 葡萄酒; 食用酒精</t>
    </r>
  </si>
  <si>
    <t>云圣登</t>
  </si>
  <si>
    <t>浙江云圣照明科技有限公司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</si>
  <si>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</si>
  <si>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踏棘行</t>
  </si>
  <si>
    <r>
      <t>河北金棘百益科技开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</si>
  <si>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食用酒精; 开胃酒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</si>
  <si>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</si>
  <si>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省开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笑国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</si>
  <si>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</si>
  <si>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吟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行天下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</si>
  <si>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奇国酒（北京）酒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</si>
  <si>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</si>
  <si>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腾顺</t>
    </r>
  </si>
  <si>
    <r>
      <t>陈汉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</si>
  <si>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清酒; 黄酒; 开胃酒;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</si>
  <si>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嘉禾力</t>
  </si>
  <si>
    <r>
      <t>江西国康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</si>
  <si>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</si>
  <si>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花精灵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</si>
  <si>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</si>
  <si>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 xml:space="preserve">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</t>
    </r>
  </si>
  <si>
    <r>
      <t>牟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</si>
  <si>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内蒙古穆尼山酒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</si>
  <si>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米酒; 蜂蜜酒; 青稞酒;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</si>
  <si>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欣恒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喜桃</t>
    </r>
    <r>
      <rPr>
        <sz val="11"/>
        <color theme="1"/>
        <rFont val="ＭＳ Ｐゴシック"/>
        <family val="3"/>
        <charset val="134"/>
        <scheme val="minor"/>
      </rPr>
      <t>红</t>
    </r>
  </si>
  <si>
    <t>宁夏欣恒葡萄酒庄有限公司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</si>
  <si>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</si>
  <si>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陈现</t>
  </si>
  <si>
    <t>方承礼</t>
  </si>
  <si>
    <r>
      <t>露酒; 餐后酒（利口酒和烈酒）; 苹果酒; 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</si>
  <si>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民供基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</si>
  <si>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市民供酒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</si>
  <si>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薄荷酒; 葡萄酒; 白酒; 黄酒; 苹果酒; 蜂蜜酒; 青稞酒; 茴香酒;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</si>
  <si>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川酩福</t>
  </si>
  <si>
    <r>
      <t>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开胃酒; 清酒（日本米酒）</t>
    </r>
  </si>
  <si>
    <t>御古恒</t>
  </si>
  <si>
    <t>李春琴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</si>
  <si>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薄荷酒; 烈性干酒; 餐后酒（利口酒和烈酒）; 烈酒</t>
    </r>
  </si>
  <si>
    <t>瑰夏村</t>
  </si>
  <si>
    <t>杭翔翔</t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</si>
  <si>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咖啡利口酒;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</si>
  <si>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纱</t>
    </r>
    <r>
      <rPr>
        <sz val="11"/>
        <color theme="1"/>
        <rFont val="ＭＳ Ｐゴシック"/>
        <family val="3"/>
        <charset val="128"/>
        <scheme val="minor"/>
      </rPr>
      <t>香液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</si>
  <si>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香液酒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</si>
  <si>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甘蔗制烈酒;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白干酒（中国白酒）; 甜酒; 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</si>
  <si>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九客坊</t>
  </si>
  <si>
    <r>
      <t>浙江九客供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</si>
  <si>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白酒; 烈酒;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果酒（含酒精）; 高粱酒; 清酒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</si>
  <si>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程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</si>
  <si>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</si>
  <si>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</si>
  <si>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果酒（含酒精）;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开胃酒; 葡萄酒; 黄酒</t>
    </r>
  </si>
  <si>
    <t>初台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</si>
  <si>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州粮匠台酒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</si>
  <si>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高粱酒;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</si>
  <si>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巴格</t>
    </r>
  </si>
  <si>
    <r>
      <t>吐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番白粮液酒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</si>
  <si>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含酒精的气泡水;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</si>
  <si>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四事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</si>
  <si>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清酒;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</si>
  <si>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t>桑霖甚悦</t>
  </si>
  <si>
    <r>
      <t>于</t>
    </r>
    <r>
      <rPr>
        <sz val="11"/>
        <color theme="1"/>
        <rFont val="ＭＳ Ｐゴシック"/>
        <family val="3"/>
        <charset val="134"/>
        <scheme val="minor"/>
      </rPr>
      <t>卫东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</si>
  <si>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清酒（日本米酒）;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</si>
  <si>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极境黍香</t>
  </si>
  <si>
    <t>朱桂萍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</si>
  <si>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黄酒; 开胃酒; 葡萄酒; 果酒; 米酒; 高粱酒</t>
    </r>
  </si>
  <si>
    <t>皮夫子</t>
  </si>
  <si>
    <t>新会区思邦商行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</si>
  <si>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威士忌; 黄酒; 伏特加酒</t>
    </r>
  </si>
  <si>
    <r>
      <t>启封酩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仙</t>
    </r>
  </si>
  <si>
    <t>侯宝瑞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</si>
  <si>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青稞酒; 白酒; 清酒; 清酒（日本米酒）;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</si>
  <si>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蒂斯安</t>
  </si>
  <si>
    <r>
      <t>深圳麋鹿酒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</si>
  <si>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薄荷酒; 葡萄酒; 果酒（含酒精）; 威士忌; 苹果酒;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</si>
  <si>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t>汣酿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</si>
  <si>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州峪峰酒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</si>
  <si>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白酒;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</si>
  <si>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程知己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</si>
  <si>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</si>
  <si>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为</t>
    </r>
  </si>
  <si>
    <t>董德述</t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</si>
  <si>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果酒（含酒精）; 甜酒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</si>
  <si>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</si>
  <si>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小燕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</si>
  <si>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</si>
  <si>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米倌儿</t>
  </si>
  <si>
    <r>
      <t>呼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和食品有限公司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</si>
  <si>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清酒（日本米酒）; 黄酒; 白酒</t>
    </r>
  </si>
  <si>
    <r>
      <t>会源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</si>
  <si>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市青泉酒坊</t>
    </r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</si>
  <si>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</si>
  <si>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炳娃</t>
  </si>
  <si>
    <t>广州天予智能科技有限公司</t>
  </si>
  <si>
    <r>
      <t>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</si>
  <si>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山背谷酒稻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</si>
  <si>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奥国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公共关系(北京)有限公司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</si>
  <si>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青梅酒;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</si>
  <si>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山竺</t>
  </si>
  <si>
    <t>王建森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</si>
  <si>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</si>
  <si>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t>JFOUR</t>
  </si>
  <si>
    <t>陈进华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</si>
  <si>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果酒;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</si>
  <si>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凌小台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</si>
  <si>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州凌台商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</si>
  <si>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</si>
  <si>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</si>
  <si>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查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</si>
  <si>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 xml:space="preserve">米酒; 餐后酒（利口酒和烈酒）; 高粱酒; 烈酒; 果酒（含酒精）;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</si>
  <si>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阳安春</t>
  </si>
  <si>
    <t>李彦良</t>
  </si>
  <si>
    <r>
      <t xml:space="preserve">葡萄酒; 蜂蜜酒; 青稞酒;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</si>
  <si>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特琳克</t>
  </si>
  <si>
    <r>
      <t>莫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索国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易(上海)有限公司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</si>
  <si>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开胃酒;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</t>
    </r>
  </si>
  <si>
    <r>
      <t>写</t>
    </r>
    <r>
      <rPr>
        <sz val="11"/>
        <color theme="1"/>
        <rFont val="ＭＳ Ｐゴシック"/>
        <family val="3"/>
        <charset val="134"/>
        <scheme val="minor"/>
      </rPr>
      <t>许</t>
    </r>
  </si>
  <si>
    <r>
      <t>果酒（含酒精）; 蜂蜜酒;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</si>
  <si>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一杯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</si>
  <si>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王琮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</si>
  <si>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</si>
  <si>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曲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</si>
  <si>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</si>
  <si>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台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喜宴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</si>
  <si>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州台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</si>
  <si>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</si>
  <si>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r>
      <t>驸</t>
    </r>
    <r>
      <rPr>
        <sz val="11"/>
        <color theme="1"/>
        <rFont val="ＭＳ Ｐゴシック"/>
        <family val="3"/>
        <charset val="128"/>
        <scheme val="minor"/>
      </rPr>
      <t>藏</t>
    </r>
  </si>
  <si>
    <t>曹明亮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</si>
  <si>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白酒</t>
    </r>
  </si>
  <si>
    <r>
      <t>刘集五</t>
    </r>
    <r>
      <rPr>
        <sz val="11"/>
        <color theme="1"/>
        <rFont val="ＭＳ Ｐゴシック"/>
        <family val="3"/>
        <charset val="134"/>
        <scheme val="minor"/>
      </rPr>
      <t>龙桥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</si>
  <si>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州市四好酒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</si>
  <si>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</si>
  <si>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鎏</t>
    </r>
    <r>
      <rPr>
        <sz val="11"/>
        <color theme="1"/>
        <rFont val="ＭＳ Ｐゴシック"/>
        <family val="3"/>
        <charset val="134"/>
        <scheme val="minor"/>
      </rPr>
      <t>财</t>
    </r>
  </si>
  <si>
    <t>崔向向</t>
  </si>
  <si>
    <r>
      <t>清酒（日本米酒）;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</t>
    </r>
  </si>
  <si>
    <r>
      <t>觉</t>
    </r>
    <r>
      <rPr>
        <sz val="11"/>
        <color theme="1"/>
        <rFont val="ＭＳ Ｐゴシック"/>
        <family val="3"/>
        <charset val="128"/>
        <scheme val="minor"/>
      </rPr>
      <t>醒人生</t>
    </r>
  </si>
  <si>
    <r>
      <t>成都中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百年供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</si>
  <si>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白酒; 葡萄酒; 汽酒; 黄酒; 果酒（含酒精）</t>
    </r>
  </si>
  <si>
    <t>衡昌樽品</t>
  </si>
  <si>
    <r>
      <t xml:space="preserve">米酒;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</si>
  <si>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衡昌典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</si>
  <si>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果酒; 青稞酒; 白酒; 白干酒（中国白酒）;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</si>
  <si>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至遵天品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</si>
  <si>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果酒（含酒精）; 黄酒; 白酒</t>
    </r>
  </si>
  <si>
    <t>青花沃</t>
  </si>
  <si>
    <r>
      <t>山西青花老作坊酒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</si>
  <si>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黄酒; 高粱酒; 利口酒;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食用酒精; 白酒; 果酒; 青稞酒;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</si>
  <si>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樽</t>
    </r>
  </si>
  <si>
    <t>江晁梅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</si>
  <si>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清酒; 威士忌; 米酒; 黄酒; 葡萄酒</t>
    </r>
  </si>
  <si>
    <r>
      <t>中匠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</si>
  <si>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果酒; 米酒; 威士忌</t>
    </r>
  </si>
  <si>
    <r>
      <t>沈</t>
    </r>
    <r>
      <rPr>
        <sz val="11"/>
        <color theme="1"/>
        <rFont val="ＭＳ Ｐゴシック"/>
        <family val="3"/>
        <charset val="134"/>
        <scheme val="minor"/>
      </rPr>
      <t>财亿亿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</si>
  <si>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东潍县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</si>
  <si>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伏特加酒; 食用酒精; 葡萄酒; 黄酒; 白酒;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</si>
  <si>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瑾娪福</t>
  </si>
  <si>
    <t>刘玲玲</t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</si>
  <si>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</si>
  <si>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t>傲野</t>
  </si>
  <si>
    <r>
      <t>维</t>
    </r>
    <r>
      <rPr>
        <sz val="11"/>
        <color theme="1"/>
        <rFont val="ＭＳ Ｐゴシック"/>
        <family val="3"/>
        <charset val="128"/>
        <scheme val="minor"/>
      </rPr>
      <t>巴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瓦有限公司</t>
    </r>
  </si>
  <si>
    <t>伏特加酒</t>
  </si>
  <si>
    <r>
      <t>百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</si>
  <si>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湖休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体育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</si>
  <si>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</si>
  <si>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t>中黔人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</si>
  <si>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</si>
  <si>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果酒（含酒精）; 开胃酒;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</si>
  <si>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份自在</t>
    </r>
  </si>
  <si>
    <r>
      <t>成都青青旭阳商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</si>
  <si>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米酒; 白酒; 青稞酒</t>
    </r>
  </si>
  <si>
    <t>TUOLAS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</si>
  <si>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海之韵酒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</si>
  <si>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青稞酒;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蜂蜜酒</t>
    </r>
  </si>
  <si>
    <r>
      <t>和行致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</si>
  <si>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嘉世航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</si>
  <si>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</si>
  <si>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天利晟泰</t>
  </si>
  <si>
    <r>
      <t>贺兴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</si>
  <si>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 xml:space="preserve">葡萄酒;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米酒; 烈酒;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</si>
  <si>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MOONQUAKE &amp; LLI</t>
  </si>
  <si>
    <r>
      <t>新疆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克西酒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</si>
  <si>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柑香酒; 加烈葡萄酒;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</si>
  <si>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杏安玖</t>
  </si>
  <si>
    <r>
      <t>郝文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</si>
  <si>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食用酒精</t>
    </r>
  </si>
  <si>
    <t>PIPIKE</t>
  </si>
  <si>
    <r>
      <t>深圳市深度</t>
    </r>
    <r>
      <rPr>
        <sz val="11"/>
        <color theme="1"/>
        <rFont val="ＭＳ Ｐゴシック"/>
        <family val="3"/>
        <charset val="134"/>
        <scheme val="minor"/>
      </rPr>
      <t>严选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</si>
  <si>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开胃酒; 利口酒; 黄酒; 米酒; 果酒; 清酒（日本米酒）; 白酒;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</si>
  <si>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棉田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</si>
  <si>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梅州市梅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区勇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壹品酒坊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</si>
  <si>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黄酒</t>
    </r>
  </si>
  <si>
    <r>
      <t>唐酩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</si>
  <si>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葡萄酒; 果酒（含酒精）; 白酒; 开胃酒</t>
    </r>
  </si>
  <si>
    <t>福莱塔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</si>
  <si>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舒墨文化投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</si>
  <si>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果酒（含酒精）; 清酒（日本米酒）;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</si>
  <si>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福荐</t>
    </r>
    <r>
      <rPr>
        <sz val="11"/>
        <color theme="1"/>
        <rFont val="ＭＳ Ｐゴシック"/>
        <family val="3"/>
        <charset val="134"/>
        <scheme val="minor"/>
      </rPr>
      <t>缘</t>
    </r>
  </si>
  <si>
    <t>范桂榕</t>
  </si>
  <si>
    <r>
      <t>果酒; 葡萄酒;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甜酒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</si>
  <si>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澄酒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</si>
  <si>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澄（深圳）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</si>
  <si>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加烈葡萄酒; 果酒; 汽酒; 葡萄酒; 威士忌;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</si>
  <si>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驸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</si>
  <si>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餐后酒（利口酒和烈酒）;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威士忌</t>
    </r>
  </si>
  <si>
    <t>竹木永</t>
  </si>
  <si>
    <t>王超群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</si>
  <si>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果酒（含酒精）; 白酒; 蒸煮提取物（利口酒和烈酒）;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</si>
  <si>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拙功坊</t>
  </si>
  <si>
    <t>杭州郭大侠品牌管理有限公司</t>
  </si>
  <si>
    <r>
      <t>果酒（含酒精）;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</si>
  <si>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座座看</t>
  </si>
  <si>
    <t>朱晨繁</t>
  </si>
  <si>
    <r>
      <t xml:space="preserve">果酒（含酒精）;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</si>
  <si>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曲百香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</si>
  <si>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市璟玟酒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包材店(个体工商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</si>
  <si>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葡萄酒</t>
    </r>
  </si>
  <si>
    <r>
      <t>客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</si>
  <si>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市福客来酒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</si>
  <si>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露酒; 餐后酒（利口酒和烈酒）; 苹果酒;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</si>
  <si>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古小仙</t>
  </si>
  <si>
    <r>
      <t>恒古酒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</t>
    </r>
    <r>
      <rPr>
        <sz val="11"/>
        <color theme="1"/>
        <rFont val="ＭＳ Ｐゴシック"/>
        <family val="3"/>
        <charset val="134"/>
        <scheme val="minor"/>
      </rP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</si>
  <si>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 xml:space="preserve">果酒（含酒精）; 蜂蜜酒;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</si>
  <si>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</si>
  <si>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</si>
  <si>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葡萄酒;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威士忌</t>
    </r>
  </si>
  <si>
    <t>蜀彩</t>
  </si>
  <si>
    <r>
      <t>果酒（含酒精）;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甜酒;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</si>
  <si>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都藤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</si>
  <si>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</si>
  <si>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葡萄酒; 加烈葡萄酒; 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</si>
  <si>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烤肆</t>
  </si>
  <si>
    <r>
      <t>成都和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</si>
  <si>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蜂蜜酒; 白酒;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</si>
  <si>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潮喜</t>
    </r>
    <r>
      <rPr>
        <sz val="11"/>
        <color theme="1"/>
        <rFont val="ＭＳ Ｐゴシック"/>
        <family val="3"/>
        <charset val="134"/>
        <scheme val="minor"/>
      </rPr>
      <t>鹤</t>
    </r>
  </si>
  <si>
    <t>烟台七大海岸庄园葡萄酒有限公司</t>
  </si>
  <si>
    <r>
      <t>果酒（含酒精）; 葡萄酒; 清酒（日本米酒）;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</si>
  <si>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钻师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</si>
  <si>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</si>
  <si>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</si>
  <si>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t>商力老</t>
  </si>
  <si>
    <r>
      <t>张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</si>
  <si>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</si>
  <si>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县龙</t>
    </r>
    <r>
      <rPr>
        <sz val="11"/>
        <color theme="1"/>
        <rFont val="ＭＳ Ｐゴシック"/>
        <family val="3"/>
        <charset val="128"/>
        <scheme val="minor"/>
      </rPr>
      <t xml:space="preserve"> 387</t>
    </r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</si>
  <si>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酒作坊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</si>
  <si>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</si>
  <si>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百眷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</si>
  <si>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</si>
  <si>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</si>
  <si>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君品珍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</si>
  <si>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开胃酒; 青稞酒; 米酒; 白酒; 梨酒; 清酒（日本米酒）; 利口酒</t>
    </r>
  </si>
  <si>
    <r>
      <t>汉酿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</si>
  <si>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 xml:space="preserve">开胃酒; 葡萄酒; 梨酒; 白酒; 青稞酒;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</si>
  <si>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良川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</si>
  <si>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清酒; 威士忌; 果酒（含酒精）;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</si>
  <si>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29"/>
        <scheme val="minor"/>
      </rPr>
      <t>乒乓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</si>
  <si>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泓正印刷包装科技有限公司</t>
    </r>
  </si>
  <si>
    <r>
      <t>葡萄酒; 清酒（日本米酒）;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黄酒; 米酒</t>
    </r>
  </si>
  <si>
    <t>天朝坤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</si>
  <si>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州市盒品会包装制品有限公司</t>
    </r>
  </si>
  <si>
    <r>
      <t xml:space="preserve">白酒;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</si>
  <si>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政然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</si>
  <si>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州少宸酒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</si>
  <si>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开胃酒; 葡萄酒</t>
    </r>
  </si>
  <si>
    <t>厚十五</t>
  </si>
  <si>
    <r>
      <t xml:space="preserve">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梨酒; 葡萄酒; 米酒; 白酒; 开胃酒; 利口酒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</si>
  <si>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</si>
  <si>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乐红</t>
    </r>
    <r>
      <rPr>
        <sz val="11"/>
        <color theme="1"/>
        <rFont val="ＭＳ Ｐゴシック"/>
        <family val="3"/>
        <charset val="128"/>
        <scheme val="minor"/>
      </rPr>
      <t>粮酒厂</t>
    </r>
  </si>
  <si>
    <r>
      <t>黄酒; 葡萄酒; 利口酒; 米酒; 食用酒精;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</si>
  <si>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青松</t>
    </r>
    <r>
      <rPr>
        <sz val="11"/>
        <color theme="1"/>
        <rFont val="ＭＳ Ｐゴシック"/>
        <family val="3"/>
        <charset val="134"/>
        <scheme val="minor"/>
      </rPr>
      <t>风华</t>
    </r>
  </si>
  <si>
    <r>
      <t>福建金方舟供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</si>
  <si>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</si>
  <si>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华问烧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</si>
  <si>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</si>
  <si>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楚霸恋</t>
    </r>
    <r>
      <rPr>
        <sz val="11"/>
        <color theme="1"/>
        <rFont val="ＭＳ Ｐゴシック"/>
        <family val="3"/>
        <charset val="129"/>
        <scheme val="minor"/>
      </rPr>
      <t>姬</t>
    </r>
  </si>
  <si>
    <r>
      <t>清酒（日本米酒）; 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汽酒</t>
    </r>
  </si>
  <si>
    <t>魁牟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</si>
  <si>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州向日魁酒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</si>
  <si>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果酒; 葡萄酒; 烈酒; 青稞酒; 食用酒精</t>
    </r>
  </si>
  <si>
    <t>华劲</t>
  </si>
  <si>
    <t>李云雷</t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</si>
  <si>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蒸煮提取物（利口酒和烈酒）;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</si>
  <si>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欢</t>
    </r>
  </si>
  <si>
    <t>程瑞明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</si>
  <si>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佐餐酒;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米酒; 果酒</t>
    </r>
  </si>
  <si>
    <t>皇禾酩典</t>
  </si>
  <si>
    <r>
      <t>黄</t>
    </r>
    <r>
      <rPr>
        <sz val="11"/>
        <color theme="1"/>
        <rFont val="ＭＳ Ｐゴシック"/>
        <family val="3"/>
        <charset val="134"/>
        <scheme val="minor"/>
      </rPr>
      <t>维钦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</si>
  <si>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威士忌; 黄酒;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</si>
  <si>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t>牟魁</t>
  </si>
  <si>
    <r>
      <t>果酒; 白酒; 米酒; 高粱酒; 食用酒精; 烈酒;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</si>
  <si>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t>法谷善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</si>
  <si>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正安食品科技有限公司</t>
    </r>
  </si>
  <si>
    <r>
      <t>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</si>
  <si>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AQUAVALLEY</t>
  </si>
  <si>
    <r>
      <t>郭益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</si>
  <si>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清酒;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</si>
  <si>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世家</t>
    </r>
  </si>
  <si>
    <r>
      <t>乐药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健康科技（上海）有限公司</t>
    </r>
  </si>
  <si>
    <r>
      <t xml:space="preserve">果酒;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露酒; 米酒; 甜酒;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</si>
  <si>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水牛哥</t>
  </si>
  <si>
    <r>
      <t>聂</t>
    </r>
    <r>
      <rPr>
        <sz val="11"/>
        <color theme="1"/>
        <rFont val="ＭＳ Ｐゴシック"/>
        <family val="3"/>
        <charset val="128"/>
        <scheme val="minor"/>
      </rPr>
      <t>印根******************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</si>
  <si>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甜酒; 白酒; 果酒;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</si>
  <si>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</si>
  <si>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练</t>
    </r>
    <r>
      <rPr>
        <sz val="11"/>
        <color theme="1"/>
        <rFont val="ＭＳ Ｐゴシック"/>
        <family val="3"/>
        <charset val="128"/>
        <scheme val="minor"/>
      </rPr>
      <t>添明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</si>
  <si>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白干酒（中国白酒）; 清酒;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</si>
  <si>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州茅客居国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</si>
  <si>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清酒; 果酒; 米酒; 食用酒精</t>
    </r>
  </si>
  <si>
    <r>
      <t>幸</t>
    </r>
    <r>
      <rPr>
        <sz val="11"/>
        <color theme="1"/>
        <rFont val="ＭＳ Ｐゴシック"/>
        <family val="3"/>
        <charset val="134"/>
        <scheme val="minor"/>
      </rPr>
      <t>嗳</t>
    </r>
  </si>
  <si>
    <r>
      <t>广州心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幸福文化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</si>
  <si>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烈酒; 梨酒</t>
    </r>
  </si>
  <si>
    <r>
      <t>龙宫龙</t>
    </r>
    <r>
      <rPr>
        <sz val="11"/>
        <color theme="1"/>
        <rFont val="ＭＳ Ｐゴシック"/>
        <family val="3"/>
        <charset val="128"/>
        <scheme val="minor"/>
      </rPr>
      <t>洞堡</t>
    </r>
  </si>
  <si>
    <t>万明宇</t>
  </si>
  <si>
    <r>
      <t>果酒（含酒精）; 开胃酒; 米酒; 薄荷酒;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</si>
  <si>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方清瑶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</si>
  <si>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九延酒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</si>
  <si>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酸酒（低等葡萄酒）; 利口酒; 果酒;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</si>
  <si>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枝心人</t>
  </si>
  <si>
    <r>
      <t>陈</t>
    </r>
    <r>
      <rPr>
        <sz val="11"/>
        <color theme="1"/>
        <rFont val="ＭＳ Ｐゴシック"/>
        <family val="3"/>
        <charset val="128"/>
        <scheme val="minor"/>
      </rPr>
      <t>金渠</t>
    </r>
  </si>
  <si>
    <r>
      <t>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</t>
    </r>
  </si>
  <si>
    <t>皇思妃</t>
  </si>
  <si>
    <r>
      <t>纤</t>
    </r>
    <r>
      <rPr>
        <sz val="11"/>
        <color theme="1"/>
        <rFont val="ＭＳ Ｐゴシック"/>
        <family val="3"/>
        <charset val="128"/>
        <scheme val="minor"/>
      </rPr>
      <t>体</t>
    </r>
    <r>
      <rPr>
        <sz val="11"/>
        <color theme="1"/>
        <rFont val="ＭＳ Ｐゴシック"/>
        <family val="3"/>
        <charset val="134"/>
        <scheme val="minor"/>
      </rPr>
      <t>稳</t>
    </r>
    <r>
      <rPr>
        <sz val="11"/>
        <color theme="1"/>
        <rFont val="ＭＳ Ｐゴシック"/>
        <family val="3"/>
        <charset val="128"/>
        <scheme val="minor"/>
      </rPr>
      <t>糖（北京）餐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</si>
  <si>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烈酒; 葡萄酒; 黄酒; 果酒（含酒精）; 白酒; 米酒; 蒸煮提取物（利口酒和烈酒）; 食用酒精</t>
    </r>
  </si>
  <si>
    <r>
      <t>福演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</si>
  <si>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罗时</t>
    </r>
    <r>
      <rPr>
        <sz val="11"/>
        <color theme="1"/>
        <rFont val="ＭＳ Ｐゴシック"/>
        <family val="3"/>
        <charset val="128"/>
        <scheme val="minor"/>
      </rPr>
      <t>根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</si>
  <si>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米酒;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</si>
  <si>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隆 JAM YUK LUNG</t>
    </r>
  </si>
  <si>
    <r>
      <t>沈阳鑫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隆供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</si>
  <si>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</t>
    </r>
  </si>
  <si>
    <t>客礼司多福</t>
  </si>
  <si>
    <t>客礼司多福有限公司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</si>
  <si>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</si>
  <si>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品嘉醴</t>
  </si>
  <si>
    <r>
      <t>沈阳三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</si>
  <si>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果酒（含酒精）; 葡萄酒; 朗姆酒; 伏特加酒</t>
    </r>
  </si>
  <si>
    <t>王存香</t>
  </si>
  <si>
    <t>王存</t>
  </si>
  <si>
    <r>
      <t xml:space="preserve">葡萄酒; 米酒; 食用酒精;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薄荷酒;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</si>
  <si>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越寒造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</si>
  <si>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越之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黄酒文化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</si>
  <si>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开胃酒; 蜂蜜酒;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汽酒;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</t>
    </r>
  </si>
  <si>
    <r>
      <t>特</t>
    </r>
    <r>
      <rPr>
        <sz val="11"/>
        <color theme="1"/>
        <rFont val="ＭＳ Ｐゴシック"/>
        <family val="3"/>
        <charset val="134"/>
        <scheme val="minor"/>
      </rPr>
      <t>谧</t>
    </r>
  </si>
  <si>
    <r>
      <t xml:space="preserve">白酒; 开胃酒; 梨酒; 黄酒;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利口酒</t>
    </r>
  </si>
  <si>
    <t>HABITUDE</t>
  </si>
  <si>
    <r>
      <t>余少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</si>
  <si>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葡萄酒;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</si>
  <si>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澊</t>
    </r>
    <r>
      <rPr>
        <sz val="11"/>
        <color theme="1"/>
        <rFont val="ＭＳ Ｐゴシック"/>
        <family val="3"/>
        <charset val="128"/>
        <scheme val="minor"/>
      </rPr>
      <t>心曲</t>
    </r>
  </si>
  <si>
    <r>
      <t>彭</t>
    </r>
    <r>
      <rPr>
        <sz val="11"/>
        <color theme="1"/>
        <rFont val="ＭＳ Ｐゴシック"/>
        <family val="3"/>
        <charset val="134"/>
        <scheme val="minor"/>
      </rPr>
      <t>连树</t>
    </r>
  </si>
  <si>
    <r>
      <t>黑覆盆子酒;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果酒; 白酒; 果酒（含酒精）; 蒸煮提取物（利口酒和烈酒）; 米酒; 加烈葡萄酒</t>
    </r>
  </si>
  <si>
    <r>
      <t>须</t>
    </r>
    <r>
      <rPr>
        <sz val="11"/>
        <color theme="1"/>
        <rFont val="ＭＳ Ｐゴシック"/>
        <family val="3"/>
        <charset val="128"/>
        <scheme val="minor"/>
      </rPr>
      <t>古</t>
    </r>
  </si>
  <si>
    <t>郭峰</t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</si>
  <si>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甜果酒; 米酒;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薄荷酒</t>
    </r>
  </si>
  <si>
    <t>盛好彩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</si>
  <si>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宁恒福生物科技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</si>
  <si>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开胃酒; 葡萄酒; 黄酒; 薄荷酒;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</si>
  <si>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HAN DENG KUI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</si>
  <si>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果酒（含酒精）; 白酒; 米酒</t>
    </r>
  </si>
  <si>
    <t>再山河</t>
  </si>
  <si>
    <r>
      <t>杨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铄</t>
    </r>
  </si>
  <si>
    <r>
      <t>黄酒; 葡萄酒; 白酒;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</si>
  <si>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HONGSONG'S CLUB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</si>
  <si>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松在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</si>
  <si>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薄荷酒; 葡萄酒; 果酒</t>
    </r>
  </si>
  <si>
    <t>黔功夫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</si>
  <si>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捷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佳工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</si>
  <si>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白干酒（中国白酒）; 黄酒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</si>
  <si>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坊九河</t>
    </r>
  </si>
  <si>
    <r>
      <t>山西翻斗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</si>
  <si>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汽酒; 白酒; 烈酒</t>
    </r>
  </si>
  <si>
    <r>
      <t>金台</t>
    </r>
    <r>
      <rPr>
        <sz val="11"/>
        <color theme="1"/>
        <rFont val="ＭＳ Ｐゴシック"/>
        <family val="3"/>
        <charset val="134"/>
        <scheme val="minor"/>
      </rPr>
      <t>贤</t>
    </r>
  </si>
  <si>
    <t>王利平</t>
  </si>
  <si>
    <r>
      <t xml:space="preserve">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汽酒; 清酒; 果酒; 黄酒</t>
    </r>
  </si>
  <si>
    <t>胡祥泰</t>
  </si>
  <si>
    <r>
      <t>科技谷（武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市）咨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</si>
  <si>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</si>
  <si>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鼎从容</t>
  </si>
  <si>
    <r>
      <t>珠海</t>
    </r>
    <r>
      <rPr>
        <sz val="11"/>
        <color theme="1"/>
        <rFont val="ＭＳ Ｐゴシック"/>
        <family val="3"/>
        <charset val="134"/>
        <scheme val="minor"/>
      </rPr>
      <t>觞</t>
    </r>
    <r>
      <rPr>
        <sz val="11"/>
        <color theme="1"/>
        <rFont val="ＭＳ Ｐゴシック"/>
        <family val="3"/>
        <charset val="128"/>
        <scheme val="minor"/>
      </rPr>
      <t>斛台酒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</si>
  <si>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葡萄酒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</si>
  <si>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天渠</t>
    </r>
  </si>
  <si>
    <r>
      <t>北京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天旅游客运有限公司</t>
    </r>
  </si>
  <si>
    <r>
      <t>麦芽威士忌;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烈性干酒;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</si>
  <si>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陌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</si>
  <si>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酉香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</si>
  <si>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</si>
  <si>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谈</t>
    </r>
    <r>
      <rPr>
        <sz val="11"/>
        <color theme="1"/>
        <rFont val="ＭＳ Ｐゴシック"/>
        <family val="3"/>
        <charset val="128"/>
        <scheme val="minor"/>
      </rPr>
      <t>火火</t>
    </r>
  </si>
  <si>
    <t>谈飞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</si>
  <si>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</t>
    </r>
  </si>
  <si>
    <t>菲力保那</t>
  </si>
  <si>
    <r>
      <t>菲力保那香</t>
    </r>
    <r>
      <rPr>
        <sz val="11"/>
        <color theme="1"/>
        <rFont val="ＭＳ Ｐゴシック"/>
        <family val="3"/>
        <charset val="134"/>
        <scheme val="minor"/>
      </rPr>
      <t>槟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</si>
  <si>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白葡萄酒; 起泡白葡萄酒; 水果汽酒; 葡萄汽酒; 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</si>
  <si>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密林仙踪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</si>
  <si>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东兴</t>
    </r>
    <r>
      <rPr>
        <sz val="11"/>
        <color theme="1"/>
        <rFont val="ＭＳ Ｐゴシック"/>
        <family val="3"/>
        <charset val="128"/>
        <scheme val="minor"/>
      </rPr>
      <t>广品牌策划有限公司</t>
    </r>
  </si>
  <si>
    <r>
      <t xml:space="preserve">黄酒; 果酒; 露酒; 白酒; 米酒; 葡萄酒; 青梅酒; 清酒;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</si>
  <si>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兴篮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</si>
  <si>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和平</t>
    </r>
    <r>
      <rPr>
        <sz val="11"/>
        <color theme="1"/>
        <rFont val="ＭＳ Ｐゴシック"/>
        <family val="3"/>
        <charset val="134"/>
        <scheme val="minor"/>
      </rPr>
      <t>县热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镇联兴</t>
    </r>
    <r>
      <rPr>
        <sz val="11"/>
        <color theme="1"/>
        <rFont val="ＭＳ Ｐゴシック"/>
        <family val="3"/>
        <charset val="128"/>
        <scheme val="minor"/>
      </rPr>
      <t>酒厂(个体工商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</si>
  <si>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果酒（含酒精）; 开胃酒; 葡萄酒; 蜂蜜酒; 白酒; 酸酒（低等葡萄酒）; 黄酒;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</si>
  <si>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勤善成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</si>
  <si>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州老参林商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</si>
  <si>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蒸煮提取物（利口酒和烈酒）;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</si>
  <si>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柯宁家家福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</si>
  <si>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南家家福商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</si>
  <si>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米酒; 白酒;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威士忌</t>
    </r>
  </si>
  <si>
    <r>
      <t>深圳市特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</si>
  <si>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</si>
  <si>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葡萄酒;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</si>
  <si>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炎光</t>
  </si>
  <si>
    <r>
      <t>深圳金信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</si>
  <si>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青稞酒; 米酒</t>
    </r>
  </si>
  <si>
    <t>乒乒乓乓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</si>
  <si>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苹果酒;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</si>
  <si>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深山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猪</t>
    </r>
  </si>
  <si>
    <r>
      <t>广西云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菜配送有限公司</t>
    </r>
  </si>
  <si>
    <r>
      <t xml:space="preserve">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</si>
  <si>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果萌主</t>
  </si>
  <si>
    <r>
      <t>全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学成（北京）国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</si>
  <si>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葡萄酒; 开胃酒; 黄酒; 威士忌</t>
    </r>
  </si>
  <si>
    <t>垚韵</t>
  </si>
  <si>
    <r>
      <t>练</t>
    </r>
    <r>
      <rPr>
        <sz val="11"/>
        <color theme="1"/>
        <rFont val="ＭＳ Ｐゴシック"/>
        <family val="3"/>
        <charset val="128"/>
        <scheme val="minor"/>
      </rPr>
      <t>祺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</si>
  <si>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白酒; 白干酒（中国白酒）;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</t>
    </r>
  </si>
  <si>
    <t>合食味</t>
  </si>
  <si>
    <r>
      <t>叶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</si>
  <si>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 xml:space="preserve">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米酒; 白酒</t>
    </r>
  </si>
  <si>
    <t>朗川王家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</si>
  <si>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景源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</si>
  <si>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</si>
  <si>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咏</t>
    </r>
    <r>
      <rPr>
        <sz val="11"/>
        <color theme="1"/>
        <rFont val="ＭＳ Ｐゴシック"/>
        <family val="3"/>
        <charset val="134"/>
        <scheme val="minor"/>
      </rPr>
      <t>鹅诗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</si>
  <si>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达控股集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</si>
  <si>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白酒; 葡萄酒</t>
    </r>
  </si>
  <si>
    <t>昊天草原</t>
  </si>
  <si>
    <r>
      <t>承德皇林山庄酒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</si>
  <si>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汽酒; 果酒（含酒精）;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</si>
  <si>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BEN SPENCER</t>
  </si>
  <si>
    <r>
      <t>深圳市</t>
    </r>
    <r>
      <rPr>
        <sz val="11"/>
        <color theme="1"/>
        <rFont val="ＭＳ Ｐゴシック"/>
        <family val="3"/>
        <charset val="129"/>
        <scheme val="minor"/>
      </rPr>
      <t>喵</t>
    </r>
    <r>
      <rPr>
        <sz val="11"/>
        <color theme="1"/>
        <rFont val="ＭＳ Ｐゴシック"/>
        <family val="3"/>
        <charset val="128"/>
        <scheme val="minor"/>
      </rPr>
      <t>跑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</si>
  <si>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</si>
  <si>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咏粹台</t>
  </si>
  <si>
    <r>
      <t>朱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驹</t>
    </r>
  </si>
  <si>
    <r>
      <t xml:space="preserve">黄酒; 开胃酒; 葡萄酒; 果酒（含酒精）; 烈酒;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</si>
  <si>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米豆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</si>
  <si>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州力量商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</si>
  <si>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开胃酒; 清酒（日本米酒）;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</si>
  <si>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赚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</si>
  <si>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博融兄弟投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</si>
  <si>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</si>
  <si>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代</t>
    </r>
    <r>
      <rPr>
        <sz val="11"/>
        <color theme="1"/>
        <rFont val="ＭＳ Ｐゴシック"/>
        <family val="3"/>
        <charset val="134"/>
        <scheme val="minor"/>
      </rPr>
      <t>觅尔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</si>
  <si>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江超前区工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</si>
  <si>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伏特加酒;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苦味酒</t>
    </r>
  </si>
  <si>
    <r>
      <t>韬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</si>
  <si>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韬</t>
    </r>
    <r>
      <rPr>
        <sz val="11"/>
        <color theme="1"/>
        <rFont val="ＭＳ Ｐゴシック"/>
        <family val="3"/>
        <charset val="128"/>
        <scheme val="minor"/>
      </rPr>
      <t>禾（天津）科技股份有限公司</t>
    </r>
  </si>
  <si>
    <r>
      <t>伏特加酒;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</si>
  <si>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哈啦蜜</t>
  </si>
  <si>
    <r>
      <t>安徽金蜂蜂毒生物科技开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</si>
  <si>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开胃酒;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</si>
  <si>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酣窖天下</t>
  </si>
  <si>
    <t>田秋菊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</si>
  <si>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</si>
  <si>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t>GEMMY JAMMY</t>
  </si>
  <si>
    <r>
      <t>绽</t>
    </r>
    <r>
      <rPr>
        <sz val="11"/>
        <color theme="1"/>
        <rFont val="ＭＳ Ｐゴシック"/>
        <family val="3"/>
        <charset val="128"/>
        <scheme val="minor"/>
      </rPr>
      <t>每珠宝（上海）有限公司</t>
    </r>
  </si>
  <si>
    <r>
      <t>米酒; 威士忌; 苹果酒; 甜酒;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</si>
  <si>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</si>
  <si>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利口酒; 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</t>
    </r>
  </si>
  <si>
    <t>哆啦蜜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</si>
  <si>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果酒（含酒精）; 蜂蜜酒; 甜果酒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</si>
  <si>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觅</t>
    </r>
  </si>
  <si>
    <r>
      <t>果酒（含酒精）; 开胃酒;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</si>
  <si>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TINY BUBS 泰尼泡泡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</si>
  <si>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门举</t>
    </r>
    <r>
      <rPr>
        <sz val="11"/>
        <color theme="1"/>
        <rFont val="ＭＳ Ｐゴシック"/>
        <family val="3"/>
        <charset val="128"/>
        <scheme val="minor"/>
      </rPr>
      <t>步生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</si>
  <si>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</si>
  <si>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印古今</t>
  </si>
  <si>
    <t>彭小江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</si>
  <si>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白干酒（中国白酒）; 烈酒;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</si>
  <si>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笼头</t>
    </r>
  </si>
  <si>
    <r>
      <t>西安国浩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</si>
  <si>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清酒（日本米酒）</t>
    </r>
  </si>
  <si>
    <t>叩天</t>
  </si>
  <si>
    <r>
      <t>物博天下（北京）商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</si>
  <si>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薄荷酒; 开胃酒;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汽酒; 苹果酒; 含酒精的气泡水</t>
    </r>
  </si>
  <si>
    <t>乡寻</t>
  </si>
  <si>
    <r>
      <t>乡寻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成都有限公司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</si>
  <si>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</si>
  <si>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沙城元邑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</si>
  <si>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</si>
  <si>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</si>
  <si>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水安堡</t>
  </si>
  <si>
    <r>
      <t>株式会社</t>
    </r>
    <r>
      <rPr>
        <sz val="11"/>
        <color theme="1"/>
        <rFont val="ＭＳ Ｐゴシック"/>
        <family val="3"/>
        <charset val="134"/>
        <scheme val="minor"/>
      </rPr>
      <t>蓝鲸</t>
    </r>
    <r>
      <rPr>
        <sz val="11"/>
        <color theme="1"/>
        <rFont val="ＭＳ Ｐゴシック"/>
        <family val="3"/>
        <charset val="128"/>
        <scheme val="minor"/>
      </rPr>
      <t>啤酒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</si>
  <si>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</si>
  <si>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航帆御品堂</t>
  </si>
  <si>
    <r>
      <t>吉林省海明参茸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</si>
  <si>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</si>
  <si>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ZHENYIGUO</t>
  </si>
  <si>
    <r>
      <t>卡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（河南）有限公司</t>
    </r>
  </si>
  <si>
    <r>
      <t>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</si>
  <si>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刘万里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</si>
  <si>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</si>
  <si>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怡然</t>
  </si>
  <si>
    <t>新疆怡然酒庄有限公司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</si>
  <si>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清酒（日本米酒）;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</si>
  <si>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月之暗面</t>
  </si>
  <si>
    <r>
      <t>上海匠三渡酒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</si>
  <si>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果酒（含酒精）</t>
    </r>
  </si>
  <si>
    <r>
      <t>立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</si>
  <si>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衡峰</t>
    </r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</si>
  <si>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</si>
  <si>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窖天下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</si>
  <si>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</si>
  <si>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葡萄酒</t>
    </r>
  </si>
  <si>
    <r>
      <t>萦岚</t>
    </r>
    <r>
      <rPr>
        <sz val="11"/>
        <color theme="1"/>
        <rFont val="ＭＳ Ｐゴシック"/>
        <family val="3"/>
        <charset val="128"/>
        <scheme val="minor"/>
      </rPr>
      <t xml:space="preserve"> INMOST LAND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</si>
  <si>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孙</t>
    </r>
    <r>
      <rPr>
        <sz val="11"/>
        <color theme="1"/>
        <rFont val="ＭＳ Ｐゴシック"/>
        <family val="3"/>
        <charset val="128"/>
        <scheme val="minor"/>
      </rPr>
      <t>祥******************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</si>
  <si>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薄荷酒;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白酒</t>
    </r>
  </si>
  <si>
    <t>SK株式会社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</si>
  <si>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</si>
  <si>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ASOMO FIGUERO</t>
  </si>
  <si>
    <r>
      <t>加西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菲格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葡萄酒庄</t>
    </r>
  </si>
  <si>
    <t>仙村匠</t>
  </si>
  <si>
    <r>
      <t>清流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镇终</t>
    </r>
    <r>
      <rPr>
        <sz val="11"/>
        <color theme="1"/>
        <rFont val="ＭＳ Ｐゴシック"/>
        <family val="3"/>
        <charset val="128"/>
        <scheme val="minor"/>
      </rPr>
      <t>都</t>
    </r>
    <r>
      <rPr>
        <sz val="11"/>
        <color theme="1"/>
        <rFont val="ＭＳ Ｐゴシック"/>
        <family val="3"/>
        <charset val="134"/>
        <scheme val="minor"/>
      </rPr>
      <t>训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</si>
  <si>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开胃酒;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奶油利口酒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</si>
  <si>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</si>
  <si>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泉州江小</t>
    </r>
    <r>
      <rPr>
        <sz val="11"/>
        <color theme="1"/>
        <rFont val="ＭＳ Ｐゴシック"/>
        <family val="3"/>
        <charset val="134"/>
        <scheme val="minor"/>
      </rPr>
      <t>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</si>
  <si>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威士忌; 清酒（日本米酒）</t>
    </r>
  </si>
  <si>
    <r>
      <t>拉</t>
    </r>
    <r>
      <rPr>
        <sz val="11"/>
        <color theme="1"/>
        <rFont val="ＭＳ Ｐゴシック"/>
        <family val="3"/>
        <charset val="134"/>
        <scheme val="minor"/>
      </rPr>
      <t>图迈</t>
    </r>
    <r>
      <rPr>
        <sz val="11"/>
        <color theme="1"/>
        <rFont val="ＭＳ Ｐゴシック"/>
        <family val="3"/>
        <charset val="128"/>
        <scheme val="minor"/>
      </rPr>
      <t>巴克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</si>
  <si>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婷酒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</si>
  <si>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威士忌; 葡萄酒; 果酒（含酒精）; 米酒; 清酒（日本米酒）;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</t>
    </r>
  </si>
  <si>
    <r>
      <t>刘集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周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黄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</si>
  <si>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葡萄酒;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白酒</t>
    </r>
  </si>
  <si>
    <r>
      <t>福康升五加</t>
    </r>
    <r>
      <rPr>
        <sz val="11"/>
        <color theme="1"/>
        <rFont val="ＭＳ Ｐゴシック"/>
        <family val="3"/>
        <charset val="134"/>
        <scheme val="minor"/>
      </rPr>
      <t>红</t>
    </r>
  </si>
  <si>
    <t>徐秀臣******************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</si>
  <si>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刺五加酒; 蒸煮提取物（利口酒和烈酒）; 黄酒</t>
    </r>
  </si>
  <si>
    <t>芬奈 FENERA</t>
  </si>
  <si>
    <r>
      <t>芬奈(广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)家具有限公司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</si>
  <si>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汽酒; 威士忌; 白葡萄酒; 伏特加酒; 白酒;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</si>
  <si>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</si>
  <si>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</si>
  <si>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水湖</t>
    </r>
  </si>
  <si>
    <r>
      <t>万吉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养殖(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平)有限公司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</si>
  <si>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</si>
  <si>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河山君品</t>
  </si>
  <si>
    <r>
      <t>芝罘区慧慧云日用百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</si>
  <si>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白酒; 餐后酒（利口酒和烈酒）; 苹果酒;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</si>
  <si>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JUANCHA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</si>
  <si>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缮</t>
    </r>
    <r>
      <rPr>
        <sz val="11"/>
        <color theme="1"/>
        <rFont val="ＭＳ Ｐゴシック"/>
        <family val="3"/>
        <charset val="128"/>
        <scheme val="minor"/>
      </rPr>
      <t>眷餐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</si>
  <si>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白酒; 利口酒; 葡萄酒;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</si>
  <si>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春琮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</si>
  <si>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</si>
  <si>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葡萄酒; 清酒（日本米酒）; 食用酒精;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</si>
  <si>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五厂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</si>
  <si>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</si>
  <si>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清酒; 米酒; 威士忌; 白酒; 蜂蜜酒; 果酒（含酒精）;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</si>
  <si>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鹿养君</t>
  </si>
  <si>
    <r>
      <t>陈</t>
    </r>
    <r>
      <rPr>
        <sz val="11"/>
        <color theme="1"/>
        <rFont val="ＭＳ Ｐゴシック"/>
        <family val="3"/>
        <charset val="128"/>
        <scheme val="minor"/>
      </rPr>
      <t>名超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</si>
  <si>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</si>
  <si>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晓丽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</si>
  <si>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</si>
  <si>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藏易达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</si>
  <si>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万友商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</si>
  <si>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果酒; 清酒; 葡萄酒; 黄酒; 甜酒; 白酒;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</t>
    </r>
  </si>
  <si>
    <t>NARUSA</t>
  </si>
  <si>
    <r>
      <t>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</si>
  <si>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酩天</t>
    </r>
  </si>
  <si>
    <r>
      <t>余添</t>
    </r>
    <r>
      <rPr>
        <sz val="11"/>
        <color theme="1"/>
        <rFont val="ＭＳ Ｐゴシック"/>
        <family val="3"/>
        <charset val="134"/>
        <scheme val="minor"/>
      </rPr>
      <t>钧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</si>
  <si>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黄酒; 威士忌; 烈酒; 开胃酒</t>
    </r>
  </si>
  <si>
    <t>晋三关</t>
  </si>
  <si>
    <r>
      <t>陈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</si>
  <si>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白酒; 黄酒; 开胃酒; 威士忌;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</si>
  <si>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雄台</t>
    </r>
  </si>
  <si>
    <t>黄巧</t>
  </si>
  <si>
    <r>
      <t>烈酒; 米酒; 清酒; 青稞酒;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</si>
  <si>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r>
      <t>恰瑞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</si>
  <si>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狩品牌策划有限公司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</si>
  <si>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青稞酒; 黄酒; 清酒（日本米酒）</t>
    </r>
  </si>
  <si>
    <t>无数山</t>
  </si>
  <si>
    <r>
      <t>吴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</si>
  <si>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</si>
  <si>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小二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</si>
  <si>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东蓝图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</si>
  <si>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汽酒; 苹果酒; 白酒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</si>
  <si>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爱乐</t>
    </r>
    <r>
      <rPr>
        <sz val="11"/>
        <color theme="1"/>
        <rFont val="ＭＳ Ｐゴシック"/>
        <family val="3"/>
        <charset val="128"/>
        <scheme val="minor"/>
      </rPr>
      <t>久</t>
    </r>
  </si>
  <si>
    <t>周文明******************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</si>
  <si>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高粱酒; 果酒（含酒精）; 开胃酒; 甜酒; 白酒; 黄酒</t>
    </r>
  </si>
  <si>
    <t>弗葆堂</t>
  </si>
  <si>
    <t>仇志盛******************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</si>
  <si>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果酒; 汽酒</t>
    </r>
  </si>
  <si>
    <t>山下岭</t>
  </si>
  <si>
    <r>
      <t>广州点睛包装工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</si>
  <si>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白酒</t>
    </r>
  </si>
  <si>
    <t>古金堤</t>
  </si>
  <si>
    <t>丁玉磊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</si>
  <si>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薄荷酒;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</si>
  <si>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FR·PICAS</t>
  </si>
  <si>
    <r>
      <t>北京瀚海如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家居用品有限公司</t>
    </r>
  </si>
  <si>
    <r>
      <t>威士忌;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清酒（日本米酒）</t>
    </r>
  </si>
  <si>
    <r>
      <t>冰</t>
    </r>
    <r>
      <rPr>
        <sz val="11"/>
        <color theme="1"/>
        <rFont val="ＭＳ Ｐゴシック"/>
        <family val="3"/>
        <charset val="134"/>
        <scheme val="minor"/>
      </rPr>
      <t>带</t>
    </r>
    <r>
      <rPr>
        <sz val="11"/>
        <color theme="1"/>
        <rFont val="ＭＳ Ｐゴシック"/>
        <family val="3"/>
        <charset val="128"/>
        <scheme val="minor"/>
      </rPr>
      <t>壳</t>
    </r>
  </si>
  <si>
    <r>
      <t>新疆荔枝文化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</si>
  <si>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</si>
  <si>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秘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</si>
  <si>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州黔庄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醇坊酒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</si>
  <si>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</si>
  <si>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七江山</t>
  </si>
  <si>
    <r>
      <t>刘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</si>
  <si>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</t>
    </r>
  </si>
  <si>
    <t>善美清花</t>
  </si>
  <si>
    <r>
      <t>山西杏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</si>
  <si>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高粱酒; 白酒</t>
    </r>
  </si>
  <si>
    <r>
      <t>海道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</si>
  <si>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苏东</t>
    </r>
    <r>
      <rPr>
        <sz val="11"/>
        <color theme="1"/>
        <rFont val="ＭＳ Ｐゴシック"/>
        <family val="3"/>
        <charset val="128"/>
        <scheme val="minor"/>
      </rPr>
      <t>塔酒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</si>
  <si>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</si>
  <si>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加</t>
    </r>
    <r>
      <rPr>
        <sz val="11"/>
        <color theme="1"/>
        <rFont val="ＭＳ Ｐゴシック"/>
        <family val="3"/>
        <charset val="134"/>
        <scheme val="minor"/>
      </rPr>
      <t>蓝丽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</si>
  <si>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海口中道安卓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</si>
  <si>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葡萄酒</t>
    </r>
  </si>
  <si>
    <r>
      <t>砚</t>
    </r>
    <r>
      <rPr>
        <sz val="11"/>
        <color theme="1"/>
        <rFont val="ＭＳ Ｐゴシック"/>
        <family val="3"/>
        <charset val="128"/>
        <scheme val="minor"/>
      </rPr>
      <t>樽</t>
    </r>
  </si>
  <si>
    <t>以撒富（云南）化肥有限公司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</si>
  <si>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</si>
  <si>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绽</t>
    </r>
    <r>
      <rPr>
        <sz val="11"/>
        <color theme="1"/>
        <rFont val="ＭＳ Ｐゴシック"/>
        <family val="3"/>
        <charset val="128"/>
        <scheme val="minor"/>
      </rPr>
      <t>每</t>
    </r>
  </si>
  <si>
    <r>
      <t>利口酒;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威士忌; 甜酒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</si>
  <si>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信堂</t>
    </r>
  </si>
  <si>
    <r>
      <t>河北弘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</si>
  <si>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</si>
  <si>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根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之梦</t>
    </r>
  </si>
  <si>
    <r>
      <t>柴家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</si>
  <si>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</si>
  <si>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三蜜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</si>
  <si>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蜂蜜酒; 甜果酒;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</si>
  <si>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玖唐</t>
    </r>
  </si>
  <si>
    <r>
      <t>杭州媛子化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</si>
  <si>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果酒（含酒精）; 薄荷酒; 清酒（日本米酒）</t>
    </r>
  </si>
  <si>
    <r>
      <t>奔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</si>
  <si>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烟台一焙企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</si>
  <si>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清酒（日本米酒）;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</si>
  <si>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神医疆多宝</t>
  </si>
  <si>
    <t>刘雁冰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</si>
  <si>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米酒; 黄酒; 高粱酒; 烈酒; 甜酒; 梅酒; 葡萄酒; 白酒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</si>
  <si>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迎春酒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</si>
  <si>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</si>
  <si>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四方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</si>
  <si>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白酒; 高粱酒; 清酒; 葡萄酒</t>
    </r>
  </si>
  <si>
    <r>
      <t>卧人</t>
    </r>
    <r>
      <rPr>
        <sz val="11"/>
        <color theme="1"/>
        <rFont val="ＭＳ Ｐゴシック"/>
        <family val="3"/>
        <charset val="134"/>
        <scheme val="minor"/>
      </rPr>
      <t>间</t>
    </r>
  </si>
  <si>
    <t>潘高功</t>
  </si>
  <si>
    <r>
      <t>葡萄酒; 果酒（含酒精）; 食用酒精;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高粱酒</t>
    </r>
  </si>
  <si>
    <t>誉中天</t>
  </si>
  <si>
    <r>
      <t>泉州市洛江区双阳尚呈百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</si>
  <si>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白酒; 米酒; 黄酒; 果酒;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</si>
  <si>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官山福</t>
  </si>
  <si>
    <r>
      <t>赵</t>
    </r>
    <r>
      <rPr>
        <sz val="11"/>
        <color theme="1"/>
        <rFont val="ＭＳ Ｐゴシック"/>
        <family val="3"/>
        <charset val="128"/>
        <scheme val="minor"/>
      </rPr>
      <t>恒</t>
    </r>
  </si>
  <si>
    <r>
      <t>白酒; 青稞酒; 梅酒;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梨酒; 黄酒; 高粱酒; 果酒（含酒精）</t>
    </r>
  </si>
  <si>
    <t>斛人福</t>
  </si>
  <si>
    <r>
      <t>煜程（海南）商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</si>
  <si>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白干酒（中国白酒）;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米酒</t>
    </r>
  </si>
  <si>
    <t>泰山林下芝</t>
  </si>
  <si>
    <r>
      <t>烟台市御生堂大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房有限公司</t>
    </r>
  </si>
  <si>
    <r>
      <t>果酒（含酒精）; 黄酒; 蜂蜜酒;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</si>
  <si>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壹礼万意</t>
  </si>
  <si>
    <r>
      <t>霍山古月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</si>
  <si>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葡萄酒; 清酒（日本米酒）;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利口酒;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</si>
  <si>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梅当家</t>
  </si>
  <si>
    <r>
      <t>王本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</si>
  <si>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梅酒;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</si>
  <si>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文楚滋笔</t>
  </si>
  <si>
    <r>
      <t>何茂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</si>
  <si>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利口酒; 青稞酒; 白酒; 开胃酒; 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</si>
  <si>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</si>
  <si>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</si>
  <si>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玄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第</t>
    </r>
  </si>
  <si>
    <t>朱云来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</si>
  <si>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青稞酒</t>
    </r>
  </si>
  <si>
    <t>地球男神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</si>
  <si>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市武陵山珍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</si>
  <si>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蜂蜜酒;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苹果酒</t>
    </r>
  </si>
  <si>
    <t>将人生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</si>
  <si>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州百家姓酒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</si>
  <si>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蜂蜜酒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</si>
  <si>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碛</t>
    </r>
    <r>
      <rPr>
        <sz val="11"/>
        <color theme="1"/>
        <rFont val="ＭＳ Ｐゴシック"/>
        <family val="3"/>
        <charset val="128"/>
        <scheme val="minor"/>
      </rPr>
      <t>玉友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</si>
  <si>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梁巷子深酒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</si>
  <si>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开胃酒; 米酒; 白酒; 果酒（含酒精）;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</si>
  <si>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州天子文化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</si>
  <si>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清酒（日本米酒）;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</si>
  <si>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猛雕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</si>
  <si>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灵力星球食品科技有限公司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</si>
  <si>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酸酒（低等葡萄酒）;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</si>
  <si>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梁章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</si>
  <si>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果酒; 白酒; 米酒; 烈酒; 开胃酒; 食用酒精;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</si>
  <si>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半笑</t>
  </si>
  <si>
    <r>
      <t>上海逅果文化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</si>
  <si>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</si>
  <si>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栗栗派</t>
  </si>
  <si>
    <r>
      <t>上海潮瓶文化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</si>
  <si>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利口酒;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</si>
  <si>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商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小酌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</si>
  <si>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新德</t>
    </r>
  </si>
  <si>
    <r>
      <t xml:space="preserve">葡萄酒; 米酒; 果酒（含酒精）; 清酒; 食用酒精;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</si>
  <si>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孝感市学悟物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</si>
  <si>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果酒; 黄酒; 果酒（含酒精）; 葡萄酒</t>
    </r>
  </si>
  <si>
    <r>
      <t>级</t>
    </r>
    <r>
      <rPr>
        <sz val="11"/>
        <color theme="1"/>
        <rFont val="ＭＳ Ｐゴシック"/>
        <family val="3"/>
        <charset val="128"/>
        <scheme val="minor"/>
      </rPr>
      <t>明二十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</si>
  <si>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荣幸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</si>
  <si>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</si>
  <si>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壮瑶福</t>
  </si>
  <si>
    <r>
      <t>韦</t>
    </r>
    <r>
      <rPr>
        <sz val="11"/>
        <color theme="1"/>
        <rFont val="ＭＳ Ｐゴシック"/>
        <family val="3"/>
        <charset val="128"/>
        <scheme val="minor"/>
      </rPr>
      <t>先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</si>
  <si>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葡萄酒; 果酒（含酒精）</t>
    </r>
  </si>
  <si>
    <t>生相洽河</t>
  </si>
  <si>
    <t>京港航空有限公司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</si>
  <si>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汽酒;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</si>
  <si>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食中源</t>
  </si>
  <si>
    <t>李菁</t>
  </si>
  <si>
    <r>
      <t>清酒（日本米酒）; 白酒; 青稞酒;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</si>
  <si>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厒</t>
    </r>
    <r>
      <rPr>
        <sz val="11"/>
        <color theme="1"/>
        <rFont val="ＭＳ Ｐゴシック"/>
        <family val="3"/>
        <charset val="128"/>
        <scheme val="minor"/>
      </rPr>
      <t>台</t>
    </r>
  </si>
  <si>
    <t>深圳宇禾健康科技有限公司</t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</si>
  <si>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黄酒; 高粱酒; 烈酒; 刺五加酒; 白酒; 甜果酒; 葡萄酒</t>
    </r>
  </si>
  <si>
    <t>咿等医</t>
  </si>
  <si>
    <r>
      <t>盈养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（吉林省）供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</si>
  <si>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</si>
  <si>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纽栋</t>
    </r>
    <r>
      <rPr>
        <sz val="11"/>
        <color theme="1"/>
        <rFont val="ＭＳ Ｐゴシック"/>
        <family val="3"/>
        <charset val="128"/>
        <scheme val="minor"/>
      </rPr>
      <t>酒庄 DOMAINE NUDANT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</si>
  <si>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华艺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</si>
  <si>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葡萄酒; 威士忌;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</si>
  <si>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萨</t>
    </r>
  </si>
  <si>
    <r>
      <t>云南麦迪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</si>
  <si>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威末酒;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杜松子酒;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清酒</t>
    </r>
  </si>
  <si>
    <t>陶家客</t>
  </si>
  <si>
    <r>
      <t>徐</t>
    </r>
    <r>
      <rPr>
        <sz val="11"/>
        <color theme="1"/>
        <rFont val="ＭＳ Ｐゴシック"/>
        <family val="3"/>
        <charset val="134"/>
        <scheme val="minor"/>
      </rPr>
      <t>莹莹</t>
    </r>
  </si>
  <si>
    <r>
      <t xml:space="preserve">汽酒;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</t>
    </r>
  </si>
  <si>
    <t>中鼎宣</t>
  </si>
  <si>
    <r>
      <t>京粮川（北京）酒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</si>
  <si>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黄酒; 白酒; 汽酒</t>
    </r>
  </si>
  <si>
    <r>
      <t>何炳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</si>
  <si>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</si>
  <si>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止定</t>
  </si>
  <si>
    <t>赵凯</t>
  </si>
  <si>
    <r>
      <t>白干酒（中国白酒）;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黄酒; 果酒（含酒精）</t>
    </r>
  </si>
  <si>
    <t>橘芝元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</si>
  <si>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农农</t>
    </r>
    <r>
      <rPr>
        <sz val="11"/>
        <color theme="1"/>
        <rFont val="ＭＳ Ｐゴシック"/>
        <family val="3"/>
        <charset val="128"/>
        <scheme val="minor"/>
      </rPr>
      <t>心生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</si>
  <si>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汽酒; 白酒; 葡萄酒; 食用酒精; 米酒; 青稞酒; 黄酒</t>
    </r>
  </si>
  <si>
    <r>
      <t>骞</t>
    </r>
    <r>
      <rPr>
        <sz val="11"/>
        <color theme="1"/>
        <rFont val="ＭＳ Ｐゴシック"/>
        <family val="3"/>
        <charset val="128"/>
        <scheme val="minor"/>
      </rPr>
      <t>思 THOUGHTS SOAR</t>
    </r>
  </si>
  <si>
    <r>
      <t>天津市北辰区餐盟央厨食品批</t>
    </r>
    <r>
      <rPr>
        <sz val="11"/>
        <color theme="1"/>
        <rFont val="ＭＳ Ｐゴシック"/>
        <family val="3"/>
        <charset val="134"/>
        <scheme val="minor"/>
      </rPr>
      <t>发经营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</si>
  <si>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白酒; 葡萄酒</t>
    </r>
  </si>
  <si>
    <r>
      <t>黔辰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奇酒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</si>
  <si>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市黔柔酒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</si>
  <si>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</si>
  <si>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泉耀世</t>
    </r>
  </si>
  <si>
    <r>
      <t>海南岭先酒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</si>
  <si>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果酒; 葡萄酒;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</si>
  <si>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黔辰名酒</t>
  </si>
  <si>
    <r>
      <t>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</si>
  <si>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MEWGULL</t>
  </si>
  <si>
    <r>
      <t>上海斗西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</si>
  <si>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青稞酒; 米酒; 清酒;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</si>
  <si>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五步小娘子</t>
  </si>
  <si>
    <t>王婷</t>
  </si>
  <si>
    <r>
      <t>葡萄酒; 米酒; 威士忌; 黄酒; 白酒;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</si>
  <si>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首瓷</t>
  </si>
  <si>
    <r>
      <t>史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</si>
  <si>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米酒;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</si>
  <si>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益生</t>
    </r>
  </si>
  <si>
    <r>
      <t>河南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川堂生物科技有限公司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</si>
  <si>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苦艾酒; 米酒; 黄酒; 果酒（含酒精）</t>
    </r>
  </si>
  <si>
    <t>美莉芳</t>
  </si>
  <si>
    <r>
      <t>蔡建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</si>
  <si>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朗姆酒; 葡萄酒</t>
    </r>
  </si>
  <si>
    <r>
      <t>龙盘杨</t>
    </r>
    <r>
      <rPr>
        <sz val="11"/>
        <color theme="1"/>
        <rFont val="ＭＳ Ｐゴシック"/>
        <family val="3"/>
        <charset val="128"/>
        <scheme val="minor"/>
      </rPr>
      <t>府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</si>
  <si>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</si>
  <si>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果酒（含酒精）; 黄酒; 汽酒; 高粱酒;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</si>
  <si>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旮</t>
    </r>
    <r>
      <rPr>
        <sz val="11"/>
        <color theme="1"/>
        <rFont val="ＭＳ Ｐゴシック"/>
        <family val="3"/>
        <charset val="128"/>
        <scheme val="minor"/>
      </rPr>
      <t>洒</t>
    </r>
  </si>
  <si>
    <r>
      <t>耿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嘉梁商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</si>
  <si>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白酒;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</si>
  <si>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武夷雍</t>
  </si>
  <si>
    <r>
      <t>吕</t>
    </r>
    <r>
      <rPr>
        <sz val="11"/>
        <color theme="1"/>
        <rFont val="ＭＳ Ｐゴシック"/>
        <family val="3"/>
        <charset val="128"/>
        <scheme val="minor"/>
      </rPr>
      <t>阳洪</t>
    </r>
  </si>
  <si>
    <r>
      <t>甜酒; 水果汽酒;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威士忌; 食用酒精</t>
    </r>
  </si>
  <si>
    <r>
      <t>吾九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</si>
  <si>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市王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</si>
  <si>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高粱酒; 烈酒; 黄酒</t>
    </r>
  </si>
  <si>
    <t>念世台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</si>
  <si>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甘蔗制烈酒</t>
    </r>
  </si>
  <si>
    <r>
      <t>达</t>
    </r>
    <r>
      <rPr>
        <sz val="11"/>
        <color theme="1"/>
        <rFont val="ＭＳ Ｐゴシック"/>
        <family val="3"/>
        <charset val="134"/>
        <scheme val="minor"/>
      </rPr>
      <t>乐汇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</si>
  <si>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州达</t>
    </r>
    <r>
      <rPr>
        <sz val="11"/>
        <color theme="1"/>
        <rFont val="ＭＳ Ｐゴシック"/>
        <family val="3"/>
        <charset val="134"/>
        <scheme val="minor"/>
      </rPr>
      <t>乐汇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</si>
  <si>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利口酒;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</t>
    </r>
  </si>
  <si>
    <r>
      <t>壹城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泉</t>
    </r>
  </si>
  <si>
    <t>李云泉</t>
  </si>
  <si>
    <r>
      <t>利口酒;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</si>
  <si>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t>大关名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</si>
  <si>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</t>
    </r>
    <r>
      <rPr>
        <sz val="11"/>
        <color theme="1"/>
        <rFont val="ＭＳ Ｐゴシック"/>
        <family val="3"/>
        <charset val="134"/>
        <scheme val="minor"/>
      </rPr>
      <t>汉酱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</si>
  <si>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薄荷酒; 蜂蜜酒; 利口酒; 白酒</t>
    </r>
  </si>
  <si>
    <r>
      <t>衡丘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</si>
  <si>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娄嘉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</si>
  <si>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汽酒; 米酒; 葡萄酒; 白干酒（中国白酒）; 果酒; 黄酒; 佐餐酒;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</si>
  <si>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秋晨</t>
    </r>
    <r>
      <rPr>
        <sz val="11"/>
        <color theme="1"/>
        <rFont val="ＭＳ Ｐゴシック"/>
        <family val="3"/>
        <charset val="134"/>
        <scheme val="minor"/>
      </rPr>
      <t>雾</t>
    </r>
    <r>
      <rPr>
        <sz val="11"/>
        <color theme="1"/>
        <rFont val="ＭＳ Ｐゴシック"/>
        <family val="3"/>
        <charset val="128"/>
        <scheme val="minor"/>
      </rPr>
      <t>起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</si>
  <si>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</si>
  <si>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智</t>
    </r>
    <r>
      <rPr>
        <sz val="11"/>
        <color theme="1"/>
        <rFont val="ＭＳ Ｐゴシック"/>
        <family val="3"/>
        <charset val="134"/>
        <scheme val="minor"/>
      </rPr>
      <t>酿时</t>
    </r>
    <r>
      <rPr>
        <sz val="11"/>
        <color theme="1"/>
        <rFont val="ＭＳ Ｐゴシック"/>
        <family val="3"/>
        <charset val="128"/>
        <scheme val="minor"/>
      </rPr>
      <t>光</t>
    </r>
  </si>
  <si>
    <t>任彦瑞</t>
  </si>
  <si>
    <r>
      <t xml:space="preserve">黄酒;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</si>
  <si>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粤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</si>
  <si>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复酒酒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</si>
  <si>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米酒; 白酒; 苹果酒; 苦味酒;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</si>
  <si>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运赤云</t>
    </r>
  </si>
  <si>
    <r>
      <t>惠州市惠城区赤云食品商行（个体工商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</si>
  <si>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青稞酒;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</si>
  <si>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林浩</t>
    </r>
  </si>
  <si>
    <t>苏凤兰</t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</si>
  <si>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烈性干酒; 食用酒精; 白干酒（中国白酒）</t>
    </r>
  </si>
  <si>
    <t>复韵</t>
  </si>
  <si>
    <r>
      <t>英国格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里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特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</si>
  <si>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t>伍氏大夫第 伍</t>
  </si>
  <si>
    <r>
      <t>四川天辰酒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</si>
  <si>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伏特加酒;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果酒（含酒精）; 白酒</t>
    </r>
  </si>
  <si>
    <t>芝而堂</t>
  </si>
  <si>
    <r>
      <t>王</t>
    </r>
    <r>
      <rPr>
        <sz val="11"/>
        <color theme="1"/>
        <rFont val="ＭＳ Ｐゴシック"/>
        <family val="3"/>
        <charset val="134"/>
        <scheme val="minor"/>
      </rPr>
      <t>观发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</si>
  <si>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白酒</t>
    </r>
  </si>
  <si>
    <t>肥猪侠</t>
  </si>
  <si>
    <t>陈泽伟</t>
  </si>
  <si>
    <r>
      <t xml:space="preserve">米酒; 伏特加酒; 黄酒; 朗姆酒; 威士忌; 葡萄酒; 果酒;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</si>
  <si>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如萸</t>
  </si>
  <si>
    <r>
      <t>杭州如萸茶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</si>
  <si>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烈性干酒; 白葡萄酒; 白酒; 葡萄酒</t>
    </r>
  </si>
  <si>
    <t>橘洲福</t>
  </si>
  <si>
    <r>
      <t>陈</t>
    </r>
    <r>
      <rPr>
        <sz val="11"/>
        <color theme="1"/>
        <rFont val="ＭＳ Ｐゴシック"/>
        <family val="3"/>
        <charset val="128"/>
        <scheme val="minor"/>
      </rPr>
      <t>添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</si>
  <si>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清酒（日本米酒）; 甜酒;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梅酒; 青稞酒; 白酒</t>
    </r>
  </si>
  <si>
    <t>雪香春</t>
  </si>
  <si>
    <r>
      <t>贾远</t>
    </r>
    <r>
      <rPr>
        <sz val="11"/>
        <color theme="1"/>
        <rFont val="ＭＳ Ｐゴシック"/>
        <family val="3"/>
        <charset val="128"/>
        <scheme val="minor"/>
      </rPr>
      <t>攀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</si>
  <si>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葡萄酒; 果酒（含酒精）</t>
    </r>
  </si>
  <si>
    <t>蓉怡送</t>
  </si>
  <si>
    <r>
      <t>四川水达人商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</si>
  <si>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开胃酒;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梅酒; 蜂蜜酒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</si>
  <si>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义兴</t>
    </r>
    <r>
      <rPr>
        <sz val="11"/>
        <color theme="1"/>
        <rFont val="ＭＳ Ｐゴシック"/>
        <family val="3"/>
        <charset val="128"/>
        <scheme val="minor"/>
      </rPr>
      <t>隆</t>
    </r>
  </si>
  <si>
    <r>
      <t>北京广</t>
    </r>
    <r>
      <rPr>
        <sz val="11"/>
        <color theme="1"/>
        <rFont val="ＭＳ Ｐゴシック"/>
        <family val="3"/>
        <charset val="134"/>
        <scheme val="minor"/>
      </rPr>
      <t>义兴</t>
    </r>
    <r>
      <rPr>
        <sz val="11"/>
        <color theme="1"/>
        <rFont val="ＭＳ Ｐゴシック"/>
        <family val="3"/>
        <charset val="128"/>
        <scheme val="minor"/>
      </rPr>
      <t>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</si>
  <si>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黄酒; 食用酒精; 高粱酒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</si>
  <si>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洆</t>
    </r>
  </si>
  <si>
    <r>
      <t>西安静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信息工程有限公司</t>
    </r>
  </si>
  <si>
    <r>
      <t>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葡萄酒; 米酒; 果酒</t>
    </r>
  </si>
  <si>
    <t>森林漫步 STROLL FOREST</t>
  </si>
  <si>
    <r>
      <t>杭州悦瀚网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</si>
  <si>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果酒（含酒精）</t>
    </r>
  </si>
  <si>
    <t>北册</t>
  </si>
  <si>
    <r>
      <t>王文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</si>
  <si>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汽酒; 食用酒精;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烈酒;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</si>
  <si>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夏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</si>
  <si>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能（厦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）生活服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</si>
  <si>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威士忌</t>
    </r>
  </si>
  <si>
    <t>庭羽</t>
  </si>
  <si>
    <r>
      <t>刘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</si>
  <si>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</si>
  <si>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QTWX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</si>
  <si>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千挑万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</si>
  <si>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利口酒; 米酒; 汽酒; 黄酒; 果酒（含酒精）; 梅酒; 葡萄汽酒;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</si>
  <si>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金厚源</t>
  </si>
  <si>
    <r>
      <t>和</t>
    </r>
    <r>
      <rPr>
        <sz val="11"/>
        <color theme="1"/>
        <rFont val="ＭＳ Ｐゴシック"/>
        <family val="3"/>
        <charset val="134"/>
        <scheme val="minor"/>
      </rPr>
      <t>顺县</t>
    </r>
    <r>
      <rPr>
        <sz val="11"/>
        <color theme="1"/>
        <rFont val="ＭＳ Ｐゴシック"/>
        <family val="3"/>
        <charset val="128"/>
        <scheme val="minor"/>
      </rPr>
      <t>厚源酒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</si>
  <si>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白酒; 葡萄酒;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苹果酒; 米酒</t>
    </r>
  </si>
  <si>
    <r>
      <t>奇谷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</si>
  <si>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寅茂呈企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管理(上海)有限公司</t>
    </r>
  </si>
  <si>
    <r>
      <t>米酒; 白干酒（中国白酒）;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</si>
  <si>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信芳菲</t>
  </si>
  <si>
    <r>
      <t>西安伊甘精品酒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</si>
  <si>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烈酒;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</si>
  <si>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富鑫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</si>
  <si>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小琴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</si>
  <si>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</si>
  <si>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遇</t>
    </r>
  </si>
  <si>
    <r>
      <t>点亮大</t>
    </r>
    <r>
      <rPr>
        <sz val="11"/>
        <color theme="1"/>
        <rFont val="ＭＳ Ｐゴシック"/>
        <family val="3"/>
        <charset val="134"/>
        <scheme val="minor"/>
      </rPr>
      <t>脑</t>
    </r>
    <r>
      <rPr>
        <sz val="11"/>
        <color theme="1"/>
        <rFont val="ＭＳ Ｐゴシック"/>
        <family val="3"/>
        <charset val="128"/>
        <scheme val="minor"/>
      </rPr>
      <t>（北京）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新科技有限公司</t>
    </r>
  </si>
  <si>
    <r>
      <t xml:space="preserve">清酒; 烈酒; 白酒; 葡萄酒;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</t>
    </r>
  </si>
  <si>
    <t>彩云堡</t>
  </si>
  <si>
    <r>
      <t>鼎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科技（云南）有限公司</t>
    </r>
  </si>
  <si>
    <r>
      <t>葡萄酒; 白干酒（中国白酒）; 水果汽酒;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餐后酒（利口酒和烈酒）;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</si>
  <si>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条太</t>
  </si>
  <si>
    <r>
      <t>董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</si>
  <si>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 xml:space="preserve">威士忌; 米酒; 食用酒精;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果酒（含酒精）</t>
    </r>
  </si>
  <si>
    <t>英斯</t>
  </si>
  <si>
    <t>吴桐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</si>
  <si>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伏特加酒</t>
    </r>
  </si>
  <si>
    <t>HO KA KA</t>
  </si>
  <si>
    <r>
      <t>海南山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稻作文化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</si>
  <si>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</si>
  <si>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聚宝池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</si>
  <si>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大曲酒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</si>
  <si>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</si>
  <si>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小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</si>
  <si>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 xml:space="preserve">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柑香酒; 苦味酒; 葡萄酒; 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</si>
  <si>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t>求度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</si>
  <si>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</si>
  <si>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</si>
  <si>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无双</t>
    </r>
  </si>
  <si>
    <t>何杰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</si>
  <si>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</si>
  <si>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魁池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</si>
  <si>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</si>
  <si>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悟星河</t>
  </si>
  <si>
    <r>
      <t>北京胡同印象酒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</si>
  <si>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</si>
  <si>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俍方百草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</si>
  <si>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百草良方科技集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</si>
  <si>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</t>
    </r>
  </si>
  <si>
    <t>泓大圣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</si>
  <si>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州欣茂商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</si>
  <si>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甜酒</t>
    </r>
  </si>
  <si>
    <t>波吉涯水上城堡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</si>
  <si>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岛鹏润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</si>
  <si>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伏特加酒; 黄酒;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</t>
    </r>
  </si>
  <si>
    <t>班届</t>
  </si>
  <si>
    <r>
      <t>五常市班届商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</si>
  <si>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米酒; 食用酒精; 白酒;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</si>
  <si>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疆和益</t>
  </si>
  <si>
    <r>
      <t>新疆一通全</t>
    </r>
    <r>
      <rPr>
        <sz val="11"/>
        <color theme="1"/>
        <rFont val="ＭＳ Ｐゴシック"/>
        <family val="3"/>
        <charset val="134"/>
        <scheme val="minor"/>
      </rPr>
      <t>兑连锁</t>
    </r>
    <r>
      <rPr>
        <sz val="11"/>
        <color theme="1"/>
        <rFont val="ＭＳ Ｐゴシック"/>
        <family val="3"/>
        <charset val="128"/>
        <scheme val="minor"/>
      </rPr>
      <t>超市有限公司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</si>
  <si>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</si>
  <si>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t>三多玉藏春</t>
  </si>
  <si>
    <r>
      <t>丽</t>
    </r>
    <r>
      <rPr>
        <sz val="11"/>
        <color theme="1"/>
        <rFont val="ＭＳ Ｐゴシック"/>
        <family val="3"/>
        <charset val="128"/>
        <scheme val="minor"/>
      </rPr>
      <t>江翰林文化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</si>
  <si>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薄荷酒; 果酒（含酒精）; 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</si>
  <si>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富家井</t>
  </si>
  <si>
    <r>
      <t>陈</t>
    </r>
    <r>
      <rPr>
        <sz val="11"/>
        <color theme="1"/>
        <rFont val="ＭＳ Ｐゴシック"/>
        <family val="3"/>
        <charset val="128"/>
        <scheme val="minor"/>
      </rPr>
      <t>林昊</t>
    </r>
  </si>
  <si>
    <r>
      <t xml:space="preserve">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开胃酒; 米酒</t>
    </r>
  </si>
  <si>
    <t>厚迹至交</t>
  </si>
  <si>
    <r>
      <t>上海沫恩商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</si>
  <si>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高粱酒; 青稞酒; 果酒; 白酒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</si>
  <si>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火</t>
    </r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</si>
  <si>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江越</t>
    </r>
    <r>
      <rPr>
        <sz val="11"/>
        <color theme="1"/>
        <rFont val="ＭＳ Ｐゴシック"/>
        <family val="3"/>
        <charset val="134"/>
        <scheme val="minor"/>
      </rPr>
      <t>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</si>
  <si>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果酒; 白酒; 高粱酒; 烈酒; 食用酒精;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</si>
  <si>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粮大叔</t>
  </si>
  <si>
    <r>
      <t>喻</t>
    </r>
    <r>
      <rPr>
        <sz val="11"/>
        <color theme="1"/>
        <rFont val="ＭＳ Ｐゴシック"/>
        <family val="3"/>
        <charset val="128"/>
        <scheme val="minor"/>
      </rPr>
      <t>荣平</t>
    </r>
  </si>
  <si>
    <t>白酒; 葡萄酒; 果酒; 清酒; 食用酒精; 甜酒; 开胃酒; 汽酒; 米酒; 黄酒</t>
  </si>
  <si>
    <t>非</t>
  </si>
  <si>
    <t>段嘉富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</si>
  <si>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</si>
  <si>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浤呈</t>
  </si>
  <si>
    <r>
      <t>醉一斗酒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</si>
  <si>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伏特加酒; 露酒; 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</t>
    </r>
  </si>
  <si>
    <t>秉乾宗源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</si>
  <si>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哥白酒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</si>
  <si>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利口酒; 白酒; 黄酒; 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混合威士忌酒</t>
    </r>
  </si>
  <si>
    <t>悟星台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</si>
  <si>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蒸煮提取物（利口酒和烈酒）</t>
    </r>
  </si>
  <si>
    <t>吾悦健派</t>
  </si>
  <si>
    <r>
      <t>海口</t>
    </r>
    <r>
      <rPr>
        <sz val="11"/>
        <color theme="1"/>
        <rFont val="ＭＳ Ｐゴシック"/>
        <family val="3"/>
        <charset val="134"/>
        <scheme val="minor"/>
      </rPr>
      <t>龙华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荣福信息技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</si>
  <si>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苹果酒;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</si>
  <si>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民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</si>
  <si>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州黔仙樽酒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</si>
  <si>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清酒; 黄酒; 食用酒精;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</t>
    </r>
  </si>
  <si>
    <t>福泰丰</t>
  </si>
  <si>
    <r>
      <t>湖北百年茶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</si>
  <si>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伏特加酒; 杜松子酒; 黄酒; 威士忌;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</t>
    </r>
  </si>
  <si>
    <r>
      <t>衡袍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</si>
  <si>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郭壮利</t>
  </si>
  <si>
    <r>
      <t>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白酒; 米酒; 白干酒（中国白酒）;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</si>
  <si>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春物萌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</si>
  <si>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</si>
  <si>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巾莘旺族</t>
  </si>
  <si>
    <r>
      <t>魏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</si>
  <si>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</si>
  <si>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酂</t>
    </r>
  </si>
  <si>
    <t>闫伟</t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</si>
  <si>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蜂蜜酒; 果酒（含酒精）;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</si>
  <si>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麦</t>
    </r>
  </si>
  <si>
    <t>杭州漾舞食品有限公司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</si>
  <si>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汽酒; 葡萄酒; 黄酒; 苹果酒; 米酒; 白酒; 青稞酒</t>
    </r>
  </si>
  <si>
    <r>
      <t>豫黔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</si>
  <si>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商丘市豫黔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</si>
  <si>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</t>
    </r>
  </si>
  <si>
    <r>
      <t>贯贯</t>
    </r>
    <r>
      <rPr>
        <sz val="11"/>
        <color theme="1"/>
        <rFont val="ＭＳ Ｐゴシック"/>
        <family val="3"/>
        <charset val="128"/>
        <scheme val="minor"/>
      </rPr>
      <t>吉</t>
    </r>
  </si>
  <si>
    <r>
      <t>马维</t>
    </r>
    <r>
      <rPr>
        <sz val="11"/>
        <color theme="1"/>
        <rFont val="ＭＳ Ｐゴシック"/>
        <family val="3"/>
        <charset val="128"/>
        <scheme val="minor"/>
      </rPr>
      <t>渊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</si>
  <si>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</si>
  <si>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答卷老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</si>
  <si>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市醉了么酒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</si>
  <si>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米酒; 果酒</t>
    </r>
  </si>
  <si>
    <t>邈宴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</si>
  <si>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想浩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</si>
  <si>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黄酒</t>
    </r>
  </si>
  <si>
    <r>
      <t>毛小</t>
    </r>
    <r>
      <rPr>
        <sz val="11"/>
        <color theme="1"/>
        <rFont val="ＭＳ Ｐゴシック"/>
        <family val="3"/>
        <charset val="134"/>
        <scheme val="minor"/>
      </rPr>
      <t>满</t>
    </r>
  </si>
  <si>
    <t>袁玉林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</si>
  <si>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</si>
  <si>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娘家竹</t>
  </si>
  <si>
    <t>文占海</t>
  </si>
  <si>
    <r>
      <t>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</t>
    </r>
  </si>
  <si>
    <r>
      <t>克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力克 伊斯塔坎</t>
    </r>
  </si>
  <si>
    <r>
      <t>哈密</t>
    </r>
    <r>
      <rPr>
        <sz val="11"/>
        <color theme="1"/>
        <rFont val="ＭＳ Ｐゴシック"/>
        <family val="3"/>
        <charset val="134"/>
        <scheme val="minor"/>
      </rPr>
      <t>赛亚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</si>
  <si>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餐后酒（利口酒和烈酒）; 米酒; 食用酒精; 开胃酒;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</t>
    </r>
  </si>
  <si>
    <r>
      <t>叹</t>
    </r>
    <r>
      <rPr>
        <sz val="11"/>
        <color theme="1"/>
        <rFont val="ＭＳ Ｐゴシック"/>
        <family val="3"/>
        <charset val="128"/>
        <scheme val="minor"/>
      </rPr>
      <t>支</t>
    </r>
  </si>
  <si>
    <r>
      <t>阳光先生（广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）食品有限公司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</si>
  <si>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</si>
  <si>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</si>
  <si>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州桓昌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</si>
  <si>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</si>
  <si>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宝古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熊猫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</si>
  <si>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市民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</si>
  <si>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高粱酒</t>
    </r>
  </si>
  <si>
    <r>
      <t>中窖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</si>
  <si>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白酒;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柑香酒;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</t>
    </r>
  </si>
  <si>
    <r>
      <t>宗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一昇</t>
    </r>
  </si>
  <si>
    <t>任冰</t>
  </si>
  <si>
    <r>
      <t xml:space="preserve">开胃酒;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汽酒; 葡萄酒</t>
    </r>
  </si>
  <si>
    <t>静江春</t>
  </si>
  <si>
    <r>
      <t>桂林毅</t>
    </r>
    <r>
      <rPr>
        <sz val="11"/>
        <color theme="1"/>
        <rFont val="ＭＳ Ｐゴシック"/>
        <family val="3"/>
        <charset val="134"/>
        <scheme val="minor"/>
      </rPr>
      <t>锋华</t>
    </r>
    <r>
      <rPr>
        <sz val="11"/>
        <color theme="1"/>
        <rFont val="ＭＳ Ｐゴシック"/>
        <family val="3"/>
        <charset val="128"/>
        <scheme val="minor"/>
      </rPr>
      <t>礼品包装有限公司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</si>
  <si>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</si>
  <si>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谷邱</t>
  </si>
  <si>
    <r>
      <t>安平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小鹿科技有限公司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</si>
  <si>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白干酒（中国白酒）; 白酒; 黄酒; 白葡萄酒;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</si>
  <si>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答卷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世</t>
    </r>
  </si>
  <si>
    <r>
      <t xml:space="preserve">清酒; 开胃酒; 黄酒; 蒸煮提取物（利口酒和烈酒）;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</si>
  <si>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照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</si>
  <si>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雷志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</si>
  <si>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威士忌;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</si>
  <si>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窖尊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</si>
  <si>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</si>
  <si>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</si>
  <si>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LKMMK</t>
  </si>
  <si>
    <t>深圳市永金常隆科技有限公司</t>
  </si>
  <si>
    <r>
      <t xml:space="preserve">果酒（含酒精）; 威士忌; 烈酒; 青稞酒; 清酒;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</si>
  <si>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昕亢</t>
  </si>
  <si>
    <r>
      <t>深圳市昕亢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</si>
  <si>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蜂蜜酒; 白酒</t>
    </r>
  </si>
  <si>
    <r>
      <t>首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</si>
  <si>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王桂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</si>
  <si>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</si>
  <si>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源(上海)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</si>
  <si>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黄酒;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</si>
  <si>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束野</t>
  </si>
  <si>
    <r>
      <t>王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</si>
  <si>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甜酒</t>
    </r>
  </si>
  <si>
    <r>
      <t>坝</t>
    </r>
    <r>
      <rPr>
        <sz val="11"/>
        <color theme="1"/>
        <rFont val="ＭＳ Ｐゴシック"/>
        <family val="3"/>
        <charset val="128"/>
        <scheme val="minor"/>
      </rPr>
      <t>根</t>
    </r>
  </si>
  <si>
    <t>高士恩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</si>
  <si>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餐后酒（利口酒和烈酒）;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</si>
  <si>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初糖半晚</t>
  </si>
  <si>
    <r>
      <t>鄱阳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良品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</si>
  <si>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</si>
  <si>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渝小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</si>
  <si>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庆农</t>
    </r>
    <r>
      <rPr>
        <sz val="11"/>
        <color theme="1"/>
        <rFont val="ＭＳ Ｐゴシック"/>
        <family val="3"/>
        <charset val="128"/>
        <scheme val="minor"/>
      </rPr>
      <t>众建筑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</si>
  <si>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米酒; 黄酒; 果酒（含酒精）;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</t>
    </r>
  </si>
  <si>
    <t>半山境</t>
  </si>
  <si>
    <r>
      <t>龚</t>
    </r>
    <r>
      <rPr>
        <sz val="11"/>
        <color theme="1"/>
        <rFont val="ＭＳ Ｐゴシック"/>
        <family val="3"/>
        <charset val="128"/>
        <scheme val="minor"/>
      </rPr>
      <t>成松</t>
    </r>
  </si>
  <si>
    <r>
      <t>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青梅酒; 甜酒; 米酒; 高粱酒; 白酒; 果酒（含酒精）; 葡萄酒</t>
    </r>
  </si>
  <si>
    <r>
      <t>轻动</t>
    </r>
    <r>
      <rPr>
        <sz val="11"/>
        <color theme="1"/>
        <rFont val="ＭＳ Ｐゴシック"/>
        <family val="3"/>
        <charset val="128"/>
        <scheme val="minor"/>
      </rPr>
      <t>力</t>
    </r>
  </si>
  <si>
    <t>徐未琴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</si>
  <si>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葡萄酒; 黄酒</t>
    </r>
  </si>
  <si>
    <t>WAKING DREAM</t>
  </si>
  <si>
    <t>阿森·哈察都利安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</si>
  <si>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</si>
  <si>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莫缺</t>
  </si>
  <si>
    <t>郭培嘉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</si>
  <si>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</si>
  <si>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顺财</t>
    </r>
  </si>
  <si>
    <r>
      <t>任丘市广</t>
    </r>
    <r>
      <rPr>
        <sz val="11"/>
        <color theme="1"/>
        <rFont val="ＭＳ Ｐゴシック"/>
        <family val="3"/>
        <charset val="134"/>
        <scheme val="minor"/>
      </rPr>
      <t>顺财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</si>
  <si>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含酒精的气泡水;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</si>
  <si>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魏甲</t>
  </si>
  <si>
    <t>河南群英会酒店管理有限公司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</si>
  <si>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黄酒; 烈酒; 清酒; 白酒; 利口酒; 米酒; 葡萄酒</t>
    </r>
  </si>
  <si>
    <t>金品侠</t>
  </si>
  <si>
    <r>
      <t xml:space="preserve">佐餐酒;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</t>
    </r>
  </si>
  <si>
    <t>科奇士</t>
  </si>
  <si>
    <r>
      <t>范</t>
    </r>
    <r>
      <rPr>
        <sz val="11"/>
        <color theme="1"/>
        <rFont val="ＭＳ Ｐゴシック"/>
        <family val="3"/>
        <charset val="134"/>
        <scheme val="minor"/>
      </rPr>
      <t>凯凯</t>
    </r>
  </si>
  <si>
    <t>白酒; 果酒; 汽酒; 清酒; 甜酒; 葡萄酒; 食用酒精; 黄酒; 开胃酒; 米酒</t>
  </si>
  <si>
    <t>内喜</t>
  </si>
  <si>
    <t>内喜（山西）健康科技有限公司</t>
  </si>
  <si>
    <r>
      <t>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果酒（含酒精）</t>
    </r>
  </si>
  <si>
    <r>
      <t>开天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</si>
  <si>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</si>
  <si>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白酒; 高粱酒; 米酒;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</si>
  <si>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田园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州</t>
    </r>
  </si>
  <si>
    <r>
      <t>曹志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</si>
  <si>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白酒; 果酒（含酒精）; 葡萄酒; 蜂蜜酒;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梨酒</t>
    </r>
  </si>
  <si>
    <t>九想你</t>
  </si>
  <si>
    <r>
      <t>张</t>
    </r>
    <r>
      <rPr>
        <sz val="11"/>
        <color theme="1"/>
        <rFont val="ＭＳ Ｐゴシック"/>
        <family val="3"/>
        <charset val="128"/>
        <scheme val="minor"/>
      </rPr>
      <t>玉林</t>
    </r>
  </si>
  <si>
    <r>
      <t>白酒; 威士忌;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开胃酒</t>
    </r>
  </si>
  <si>
    <t>宝承行</t>
  </si>
  <si>
    <r>
      <t>广州宝承行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</si>
  <si>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五加皮酒（中国混合烈酒）; 餐后酒（利口酒和烈酒）; 葡萄酒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</si>
  <si>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</si>
  <si>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</si>
  <si>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</si>
  <si>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宝</t>
    </r>
  </si>
  <si>
    <t>姜国保</t>
  </si>
  <si>
    <r>
      <t>白酒; 青稞酒;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</si>
  <si>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清和佳</t>
  </si>
  <si>
    <r>
      <t>俞</t>
    </r>
    <r>
      <rPr>
        <sz val="11"/>
        <color theme="1"/>
        <rFont val="ＭＳ Ｐゴシック"/>
        <family val="3"/>
        <charset val="128"/>
        <scheme val="minor"/>
      </rPr>
      <t>孟忠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</si>
  <si>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米酒; 果酒（含酒精）</t>
    </r>
  </si>
  <si>
    <t>合家宜</t>
  </si>
  <si>
    <t>董傲傲</t>
  </si>
  <si>
    <t>开胃酒; 果酒; 汽酒; 白酒; 清酒; 甜酒; 米酒; 食用酒精; 黄酒; 葡萄酒</t>
  </si>
  <si>
    <r>
      <t>苍陇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</si>
  <si>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北京新德功国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中医院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</si>
  <si>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</si>
  <si>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塘江家酒厂</t>
    </r>
  </si>
  <si>
    <r>
      <t>江雨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</si>
  <si>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甘蔗制烈酒;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食用酒精; 清酒</t>
    </r>
  </si>
  <si>
    <r>
      <t>上海蛮啾网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</si>
  <si>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</t>
    </r>
  </si>
  <si>
    <t>恒旺品富</t>
  </si>
  <si>
    <r>
      <t>恒旺澳大利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</si>
  <si>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</si>
  <si>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标迈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</si>
  <si>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标迈贸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</si>
  <si>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</t>
    </r>
  </si>
  <si>
    <r>
      <t>多拉那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</si>
  <si>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内蒙古嘻咪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目管理有限公司</t>
    </r>
  </si>
  <si>
    <r>
      <t>白酒;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</si>
  <si>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康姿悦</t>
  </si>
  <si>
    <t>浦江康悦品牌管理有限公司</t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</si>
  <si>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汽酒; 薄荷酒;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</si>
  <si>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LV BO FENG</t>
  </si>
  <si>
    <r>
      <t>湖北稻禾盛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</si>
  <si>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米酒; 白酒; 果酒（含酒精）</t>
    </r>
  </si>
  <si>
    <r>
      <t>夏候</t>
    </r>
    <r>
      <rPr>
        <sz val="11"/>
        <color theme="1"/>
        <rFont val="ＭＳ Ｐゴシック"/>
        <family val="3"/>
        <charset val="134"/>
        <scheme val="minor"/>
      </rPr>
      <t>顺</t>
    </r>
  </si>
  <si>
    <t>李相海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</si>
  <si>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</t>
    </r>
  </si>
  <si>
    <r>
      <t>屹鑫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</si>
  <si>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内蒙古屹鑫商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</si>
  <si>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</si>
  <si>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GUBESTO</t>
  </si>
  <si>
    <r>
      <t>上海山合澎湃餐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</si>
  <si>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含酒精蛋奶酒;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</t>
    </r>
  </si>
  <si>
    <r>
      <t>冬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断柳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</si>
  <si>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食用酒精</t>
    </r>
  </si>
  <si>
    <t>先儒</t>
  </si>
  <si>
    <r>
      <t xml:space="preserve">果酒（含酒精）; 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</si>
  <si>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世品台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</si>
  <si>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</t>
    </r>
  </si>
  <si>
    <r>
      <t>哄</t>
    </r>
    <r>
      <rPr>
        <sz val="11"/>
        <color theme="1"/>
        <rFont val="ＭＳ Ｐゴシック"/>
        <family val="3"/>
        <charset val="134"/>
        <scheme val="minor"/>
      </rPr>
      <t>咔咔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</si>
  <si>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</t>
    </r>
  </si>
  <si>
    <r>
      <t>龙坛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</si>
  <si>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 xml:space="preserve">黄酒; 白酒;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</t>
    </r>
  </si>
  <si>
    <r>
      <t>今粮</t>
    </r>
    <r>
      <rPr>
        <sz val="11"/>
        <color theme="1"/>
        <rFont val="ＭＳ Ｐゴシック"/>
        <family val="3"/>
        <charset val="134"/>
        <scheme val="minor"/>
      </rPr>
      <t>欢</t>
    </r>
  </si>
  <si>
    <t>曹承彬</t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</si>
  <si>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葡萄酒; 米酒; 烈酒;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</si>
  <si>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锦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</si>
  <si>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苹果酒;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柑香酒;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</si>
  <si>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秋</t>
    </r>
    <r>
      <rPr>
        <sz val="11"/>
        <color theme="1"/>
        <rFont val="ＭＳ Ｐゴシック"/>
        <family val="3"/>
        <charset val="129"/>
        <scheme val="minor"/>
      </rPr>
      <t>篱</t>
    </r>
    <r>
      <rPr>
        <sz val="11"/>
        <color theme="1"/>
        <rFont val="ＭＳ Ｐゴシック"/>
        <family val="3"/>
        <charset val="128"/>
        <scheme val="minor"/>
      </rPr>
      <t>菊茂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</si>
  <si>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</si>
  <si>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醉侠</t>
    </r>
  </si>
  <si>
    <r>
      <t>米酒; 白酒; 烈酒;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</t>
    </r>
  </si>
  <si>
    <t>子毅</t>
  </si>
  <si>
    <r>
      <t>沈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</si>
  <si>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</si>
  <si>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杯中笑</t>
  </si>
  <si>
    <r>
      <t>黄酒;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甜酒;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</si>
  <si>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熠檀</t>
  </si>
  <si>
    <r>
      <t>宿迁市洋河</t>
    </r>
    <r>
      <rPr>
        <sz val="11"/>
        <color theme="1"/>
        <rFont val="ＭＳ Ｐゴシック"/>
        <family val="3"/>
        <charset val="134"/>
        <scheme val="minor"/>
      </rPr>
      <t>镇华伟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</si>
  <si>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黄酒; 食用酒精;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</si>
  <si>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</si>
  <si>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众鑫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</si>
  <si>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白酒; 米酒; 果酒（含酒精）</t>
    </r>
  </si>
  <si>
    <t>禾菱</t>
  </si>
  <si>
    <r>
      <t>阜阳市晨光</t>
    </r>
    <r>
      <rPr>
        <sz val="11"/>
        <color theme="1"/>
        <rFont val="ＭＳ Ｐゴシック"/>
        <family val="3"/>
        <charset val="134"/>
        <scheme val="minor"/>
      </rPr>
      <t>龙电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</si>
  <si>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蜂蜜酒; 茴芹酒（利口酒）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</si>
  <si>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肆玖</t>
    </r>
  </si>
  <si>
    <t>刘德云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</si>
  <si>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葡萄酒; 果酒（含酒精）; 汽酒; 餐后酒（利口酒和烈酒）; 威士忌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</si>
  <si>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威士忌; 汽酒;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</si>
  <si>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维阁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</si>
  <si>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深圳奥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</si>
  <si>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</t>
    </r>
  </si>
  <si>
    <t>与卿同行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</si>
  <si>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州印像西山生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</si>
  <si>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</si>
  <si>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克林伯瑞</t>
  </si>
  <si>
    <r>
      <t>郑汉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</si>
  <si>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葡萄酒; 酸酒（低等葡萄酒）; 开胃酒;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</si>
  <si>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清炫青花中</t>
  </si>
  <si>
    <t>郭新建</t>
  </si>
  <si>
    <r>
      <t>伏特加酒;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汽酒;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</si>
  <si>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冠品天下</t>
  </si>
  <si>
    <r>
      <t>李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</si>
  <si>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白干酒（中国白酒）;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</si>
  <si>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盈养至上</t>
  </si>
  <si>
    <r>
      <t>陈</t>
    </r>
    <r>
      <rPr>
        <sz val="11"/>
        <color theme="1"/>
        <rFont val="ＭＳ Ｐゴシック"/>
        <family val="3"/>
        <charset val="128"/>
        <scheme val="minor"/>
      </rPr>
      <t>宇航</t>
    </r>
  </si>
  <si>
    <t>食用酒精; 开胃酒; 清酒; 汽酒; 果酒; 米酒; 黄酒; 甜酒; 葡萄酒; 白酒</t>
  </si>
  <si>
    <r>
      <t>百谷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</si>
  <si>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白酒; 食用酒精;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米酒</t>
    </r>
  </si>
  <si>
    <t>盈世台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</si>
  <si>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</si>
  <si>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答卷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世</t>
    </r>
  </si>
  <si>
    <r>
      <t>黄酒; 蒸煮提取物（利口酒和烈酒）;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</si>
  <si>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丛乡</t>
  </si>
  <si>
    <r>
      <t>平原德通商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</si>
  <si>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</si>
  <si>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望瀑</t>
    </r>
  </si>
  <si>
    <r>
      <t>白酒; 黄酒;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</si>
  <si>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秋落叶舞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</si>
  <si>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</si>
  <si>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钊锋</t>
    </r>
    <r>
      <rPr>
        <sz val="11"/>
        <color theme="1"/>
        <rFont val="ＭＳ Ｐゴシック"/>
        <family val="3"/>
        <charset val="128"/>
        <scheme val="minor"/>
      </rPr>
      <t>味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</si>
  <si>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仔世家餐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</si>
  <si>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汽酒; 黄酒; 白酒;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</si>
  <si>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德祥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渤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</si>
  <si>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</si>
  <si>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</si>
  <si>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九万山</t>
  </si>
  <si>
    <t>柳州市味来食品有限公司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</si>
  <si>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米酒; 清酒; 食用酒精;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</si>
  <si>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中黔商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</si>
  <si>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白酒;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</si>
  <si>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裕叶</t>
    </r>
    <r>
      <rPr>
        <sz val="11"/>
        <color theme="1"/>
        <rFont val="ＭＳ Ｐゴシック"/>
        <family val="3"/>
        <charset val="134"/>
        <scheme val="minor"/>
      </rPr>
      <t>纯</t>
    </r>
  </si>
  <si>
    <t>王淋淋</t>
  </si>
  <si>
    <r>
      <t>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</si>
  <si>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农绿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</si>
  <si>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灵丘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江朋</t>
    </r>
    <r>
      <rPr>
        <sz val="11"/>
        <color theme="1"/>
        <rFont val="ＭＳ Ｐゴシック"/>
        <family val="3"/>
        <charset val="134"/>
        <scheme val="minor"/>
      </rPr>
      <t>农业专业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</si>
  <si>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高粱酒; 黄酒</t>
    </r>
  </si>
  <si>
    <r>
      <t>泓</t>
    </r>
    <r>
      <rPr>
        <sz val="11"/>
        <color theme="1"/>
        <rFont val="ＭＳ Ｐゴシック"/>
        <family val="3"/>
        <charset val="134"/>
        <scheme val="minor"/>
      </rPr>
      <t>满门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</si>
  <si>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</si>
  <si>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中宝典</t>
    </r>
  </si>
  <si>
    <r>
      <t>果酒（含酒精）; 白干酒（中国白酒）; 食用酒精;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</si>
  <si>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立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</si>
  <si>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厉</t>
    </r>
    <r>
      <rPr>
        <sz val="11"/>
        <color theme="1"/>
        <rFont val="ＭＳ Ｐゴシック"/>
        <family val="3"/>
        <charset val="128"/>
        <scheme val="minor"/>
      </rPr>
      <t>忠英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</si>
  <si>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苦味酒; 白酒; 葡萄酒; 黄酒; 米酒; 开胃酒;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</si>
  <si>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声喧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</si>
  <si>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</si>
  <si>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春微雨</t>
    </r>
    <r>
      <rPr>
        <sz val="11"/>
        <color theme="1"/>
        <rFont val="ＭＳ Ｐゴシック"/>
        <family val="3"/>
        <charset val="134"/>
        <scheme val="minor"/>
      </rPr>
      <t>纷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</si>
  <si>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</si>
  <si>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叙章</t>
    </r>
  </si>
  <si>
    <r>
      <t xml:space="preserve">白酒; 烈酒;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</si>
  <si>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道生厚道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</si>
  <si>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白干酒（中国白酒）; 食用酒精</t>
    </r>
  </si>
  <si>
    <t>咱家西域</t>
  </si>
  <si>
    <r>
      <t>汪</t>
    </r>
    <r>
      <rPr>
        <sz val="11"/>
        <color theme="1"/>
        <rFont val="ＭＳ Ｐゴシック"/>
        <family val="3"/>
        <charset val="134"/>
        <scheme val="minor"/>
      </rPr>
      <t>进</t>
    </r>
  </si>
  <si>
    <t>甜酒; 食用酒精; 开胃酒; 白酒; 黄酒; 汽酒; 清酒; 米酒; 葡萄酒; 果酒</t>
  </si>
  <si>
    <t>您哈哈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</si>
  <si>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黔逸商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</si>
  <si>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伏特加酒;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</si>
  <si>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沪粹坊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</si>
  <si>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烈酒; 白酒; 清酒（日本米酒）; 黄酒; 开胃酒</t>
    </r>
  </si>
  <si>
    <r>
      <t>博来</t>
    </r>
    <r>
      <rPr>
        <sz val="11"/>
        <color theme="1"/>
        <rFont val="ＭＳ Ｐゴシック"/>
        <family val="3"/>
        <charset val="134"/>
        <scheme val="minor"/>
      </rPr>
      <t>纳润</t>
    </r>
  </si>
  <si>
    <r>
      <t>浙江博来</t>
    </r>
    <r>
      <rPr>
        <sz val="11"/>
        <color theme="1"/>
        <rFont val="ＭＳ Ｐゴシック"/>
        <family val="3"/>
        <charset val="134"/>
        <scheme val="minor"/>
      </rPr>
      <t>纳润电</t>
    </r>
    <r>
      <rPr>
        <sz val="11"/>
        <color theme="1"/>
        <rFont val="ＭＳ Ｐゴシック"/>
        <family val="3"/>
        <charset val="128"/>
        <scheme val="minor"/>
      </rPr>
      <t>子材料有限公司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</si>
  <si>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</si>
  <si>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r>
      <t>全球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</si>
  <si>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海餐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</si>
  <si>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米酒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</si>
  <si>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自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</si>
  <si>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艺轩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</si>
  <si>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白酒;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</si>
  <si>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信</t>
    </r>
    <r>
      <rPr>
        <sz val="11"/>
        <color theme="1"/>
        <rFont val="ＭＳ Ｐゴシック"/>
        <family val="3"/>
        <charset val="134"/>
        <scheme val="minor"/>
      </rPr>
      <t>为贵</t>
    </r>
  </si>
  <si>
    <t>阳明来</t>
  </si>
  <si>
    <r>
      <t xml:space="preserve">葡萄酒; 烈酒;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黄酒; 清酒; 白酒</t>
    </r>
  </si>
  <si>
    <t>每的</t>
  </si>
  <si>
    <t>李保安</t>
  </si>
  <si>
    <t>开胃酒; 甜酒; 食用酒精; 果酒; 清酒; 白酒; 葡萄酒; 黄酒; 汽酒; 米酒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</si>
  <si>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</si>
  <si>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围</t>
    </r>
    <r>
      <rPr>
        <sz val="11"/>
        <color theme="1"/>
        <rFont val="ＭＳ Ｐゴシック"/>
        <family val="3"/>
        <charset val="128"/>
        <scheme val="minor"/>
      </rPr>
      <t>鹿倌</t>
    </r>
  </si>
  <si>
    <t>吉林立鹿生物科技有限公司</t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</si>
  <si>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威士忌</t>
    </r>
  </si>
  <si>
    <r>
      <t>绿</t>
    </r>
    <r>
      <rPr>
        <sz val="11"/>
        <color theme="1"/>
        <rFont val="ＭＳ Ｐゴシック"/>
        <family val="3"/>
        <charset val="129"/>
        <scheme val="minor"/>
      </rPr>
      <t>啵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</si>
  <si>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青稞酒;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果酒（含酒精）</t>
    </r>
  </si>
  <si>
    <t>赤彩河</t>
  </si>
  <si>
    <r>
      <t>烈酒;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葡萄酒; 清酒</t>
    </r>
  </si>
  <si>
    <t>开小森</t>
  </si>
  <si>
    <r>
      <t>甜酒; 白酒; 果酒（含酒精）;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</t>
    </r>
  </si>
  <si>
    <t>晟郁香</t>
  </si>
  <si>
    <r>
      <t xml:space="preserve">果酒（含酒精）; 朗姆酒;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</si>
  <si>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添九茗臣</t>
  </si>
  <si>
    <r>
      <t>湖南哆朗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</si>
  <si>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果酒;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</si>
  <si>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t>庞鹏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</si>
  <si>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露酒; 烈酒; 果酒; 威士忌</t>
    </r>
  </si>
  <si>
    <t>墨彝</t>
  </si>
  <si>
    <t>李国平</t>
  </si>
  <si>
    <r>
      <t>葡萄酒; 汽酒; 刺五加酒; 甜果酒;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</si>
  <si>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29"/>
        <scheme val="minor"/>
      </rPr>
      <t>屾</t>
    </r>
  </si>
  <si>
    <r>
      <t>段迎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</si>
  <si>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葡萄酒; 利口酒; 梨酒; 开胃酒; 黄酒;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</si>
  <si>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气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千秋</t>
    </r>
  </si>
  <si>
    <r>
      <t>山西百年晋喜酒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</si>
  <si>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清酒（日本米酒）; 葡萄酒; 米酒; 黄酒; 开胃酒;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</si>
  <si>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州吾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</si>
  <si>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清酒; 白酒;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</si>
  <si>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绵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</si>
  <si>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 xml:space="preserve">苦味酒;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柑香酒;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</si>
  <si>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春阳美</t>
  </si>
  <si>
    <t>李春阳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</si>
  <si>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</si>
  <si>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和仙森</t>
  </si>
  <si>
    <r>
      <t>朱金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</si>
  <si>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</si>
  <si>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t>众世台</t>
  </si>
  <si>
    <r>
      <t xml:space="preserve">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</si>
  <si>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世情台</t>
  </si>
  <si>
    <r>
      <t>葡萄酒; 甘蔗制烈酒;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</si>
  <si>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GUBELONG</t>
  </si>
  <si>
    <r>
      <t>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含酒精蛋奶酒;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</si>
  <si>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冬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妃舞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</si>
  <si>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</si>
  <si>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空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</si>
  <si>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宿迁市金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</si>
  <si>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黄酒; 烈酒;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高粱酒</t>
    </r>
  </si>
  <si>
    <r>
      <t>喜吉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</si>
  <si>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州</t>
    </r>
  </si>
  <si>
    <r>
      <t>薄荷酒;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日本梅子酒;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</si>
  <si>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红颜</t>
    </r>
    <r>
      <rPr>
        <sz val="11"/>
        <color theme="1"/>
        <rFont val="ＭＳ Ｐゴシック"/>
        <family val="3"/>
        <charset val="128"/>
        <scheme val="minor"/>
      </rPr>
      <t>西施</t>
    </r>
  </si>
  <si>
    <r>
      <t>钱义兴</t>
    </r>
    <r>
      <rPr>
        <sz val="11"/>
        <color theme="1"/>
        <rFont val="ＭＳ Ｐゴシック"/>
        <family val="3"/>
        <charset val="128"/>
        <scheme val="minor"/>
      </rPr>
      <t>科技江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</si>
  <si>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梅酒; 青梅酒;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黄酒; 白酒; 果酒; 葡萄酒</t>
    </r>
  </si>
  <si>
    <t>鹿栢年</t>
  </si>
  <si>
    <r>
      <t>王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渤</t>
    </r>
  </si>
  <si>
    <t>甜酒; 米酒; 葡萄酒; 开胃酒; 清酒; 果酒; 汽酒; 白酒; 黄酒; 食用酒精</t>
  </si>
  <si>
    <r>
      <t>铭</t>
    </r>
    <r>
      <rPr>
        <sz val="11"/>
        <color theme="1"/>
        <rFont val="ＭＳ Ｐゴシック"/>
        <family val="3"/>
        <charset val="128"/>
        <scheme val="minor"/>
      </rPr>
      <t>君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</si>
  <si>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福州市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山区珺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食品商行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</si>
  <si>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高粱酒</t>
    </r>
  </si>
  <si>
    <r>
      <t>易小</t>
    </r>
    <r>
      <rPr>
        <sz val="11"/>
        <color theme="1"/>
        <rFont val="ＭＳ Ｐゴシック"/>
        <family val="3"/>
        <charset val="134"/>
        <scheme val="minor"/>
      </rPr>
      <t>调</t>
    </r>
  </si>
  <si>
    <t>百邦有限公司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</si>
  <si>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餐后酒（利口酒和烈酒）;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</si>
  <si>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南思享会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</si>
  <si>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镇传统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</si>
  <si>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利口酒; 烈酒</t>
    </r>
  </si>
  <si>
    <r>
      <t>忲禾</t>
    </r>
    <r>
      <rPr>
        <sz val="11"/>
        <color theme="1"/>
        <rFont val="ＭＳ Ｐゴシック"/>
        <family val="3"/>
        <charset val="134"/>
        <scheme val="minor"/>
      </rPr>
      <t>红</t>
    </r>
  </si>
  <si>
    <t>江西倍得力生物工程有限公司</t>
  </si>
  <si>
    <r>
      <t>米酒;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</si>
  <si>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尖峰馨茗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</si>
  <si>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州馨茗茶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</si>
  <si>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</si>
  <si>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黄淮金谷春</t>
  </si>
  <si>
    <r>
      <t>河南五谷春酒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</si>
  <si>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</si>
  <si>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黄淮河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</si>
  <si>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</si>
  <si>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醉美黄淮河</t>
  </si>
  <si>
    <r>
      <t xml:space="preserve">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</si>
  <si>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r>
      <t>野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牧夏</t>
    </r>
  </si>
  <si>
    <t>宁夏夏木葡萄酒有限公司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</si>
  <si>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</si>
  <si>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长轻</t>
    </r>
    <r>
      <rPr>
        <sz val="11"/>
        <color theme="1"/>
        <rFont val="ＭＳ Ｐゴシック"/>
        <family val="3"/>
        <charset val="128"/>
        <scheme val="minor"/>
      </rPr>
      <t>到家</t>
    </r>
  </si>
  <si>
    <r>
      <t>天津美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</si>
  <si>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</si>
  <si>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蕊山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</si>
  <si>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岛凤</t>
    </r>
    <r>
      <rPr>
        <sz val="11"/>
        <color theme="1"/>
        <rFont val="ＭＳ Ｐゴシック"/>
        <family val="3"/>
        <charset val="128"/>
        <scheme val="minor"/>
      </rPr>
      <t>蕊健康管理服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</si>
  <si>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</si>
  <si>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晋天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</si>
  <si>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井开区霍</t>
    </r>
    <r>
      <rPr>
        <sz val="11"/>
        <color theme="1"/>
        <rFont val="ＭＳ Ｐゴシック"/>
        <family val="3"/>
        <charset val="134"/>
        <scheme val="minor"/>
      </rPr>
      <t>姗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</si>
  <si>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清酒（日本米酒）; 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</si>
  <si>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艾馨</t>
  </si>
  <si>
    <t>株式会社麹醇堂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</si>
  <si>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米酒; 开胃酒</t>
    </r>
  </si>
  <si>
    <t>安府千百味</t>
  </si>
  <si>
    <r>
      <t>安</t>
    </r>
    <r>
      <rPr>
        <sz val="11"/>
        <color theme="1"/>
        <rFont val="ＭＳ Ｐゴシック"/>
        <family val="3"/>
        <charset val="134"/>
        <scheme val="minor"/>
      </rPr>
      <t>泽县</t>
    </r>
    <r>
      <rPr>
        <sz val="11"/>
        <color theme="1"/>
        <rFont val="ＭＳ Ｐゴシック"/>
        <family val="3"/>
        <charset val="128"/>
        <scheme val="minor"/>
      </rPr>
      <t>千百味熏醋坊（个人独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</si>
  <si>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薄荷酒; 果酒（含酒精）; 苦味酒; 茴芹酒（利口酒）;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白酒</t>
    </r>
  </si>
  <si>
    <r>
      <t>歌娃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</si>
  <si>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宏葡（上海）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</si>
  <si>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葡萄酒; 果酒（含酒精）</t>
    </r>
  </si>
  <si>
    <r>
      <t>湃耐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</si>
  <si>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湃耐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（黑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江）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</si>
  <si>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果酒（含酒精）; 利口酒; 蜂蜜酒;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</si>
  <si>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溪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象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</si>
  <si>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尔鲜贸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</si>
  <si>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食用酒精;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</si>
  <si>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r>
      <t>悠稻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</si>
  <si>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内黄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</si>
  <si>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开胃酒; 果酒（含酒精）</t>
    </r>
  </si>
  <si>
    <t>每添挺</t>
  </si>
  <si>
    <r>
      <t>郑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东</t>
    </r>
  </si>
  <si>
    <t>食用酒精; 米酒; 葡萄酒; 开胃酒; 甜酒; 白酒; 黄酒; 汽酒; 清酒; 果酒</t>
  </si>
  <si>
    <t>黄淮醉美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</si>
  <si>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</si>
  <si>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侦</t>
    </r>
    <r>
      <rPr>
        <sz val="11"/>
        <color theme="1"/>
        <rFont val="ＭＳ Ｐゴシック"/>
        <family val="3"/>
        <charset val="128"/>
        <scheme val="minor"/>
      </rPr>
      <t>探</t>
    </r>
  </si>
  <si>
    <t>郑凯鹏</t>
  </si>
  <si>
    <t>开胃酒; 汽酒; 食用酒精; 白酒; 黄酒; 甜酒; 果酒; 米酒; 葡萄酒; 清酒</t>
  </si>
  <si>
    <r>
      <t>鹿校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</si>
  <si>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光年</t>
    </r>
  </si>
  <si>
    <t>清酒; 米酒; 葡萄酒; 食用酒精; 甜酒; 果酒; 白酒; 开胃酒; 汽酒; 黄酒</t>
  </si>
  <si>
    <r>
      <t>赣济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</si>
  <si>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交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</si>
  <si>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</si>
  <si>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观隐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</si>
  <si>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</si>
  <si>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清酒; 威士忌; 露酒;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</si>
  <si>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四川梵境木生文化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</si>
  <si>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伏特加酒; 白酒;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</si>
  <si>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散花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</si>
  <si>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</si>
  <si>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葡萄酒;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</si>
  <si>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芈琼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</si>
  <si>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江老汗酒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</si>
  <si>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露酒; 开胃酒; 果酒;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</si>
  <si>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壹只豹</t>
  </si>
  <si>
    <r>
      <t>广州市巨</t>
    </r>
    <r>
      <rPr>
        <sz val="11"/>
        <color theme="1"/>
        <rFont val="ＭＳ Ｐゴシック"/>
        <family val="3"/>
        <charset val="134"/>
        <scheme val="minor"/>
      </rPr>
      <t>鹰贸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</si>
  <si>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食用酒精; 蜂蜜酒; 餐后酒（利口酒和烈酒）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</si>
  <si>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</si>
  <si>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州君岳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</si>
  <si>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薄荷酒;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</si>
  <si>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邔</t>
  </si>
  <si>
    <r>
      <t>卢</t>
    </r>
    <r>
      <rPr>
        <sz val="11"/>
        <color theme="1"/>
        <rFont val="ＭＳ Ｐゴシック"/>
        <family val="3"/>
        <charset val="128"/>
        <scheme val="minor"/>
      </rPr>
      <t>江彬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</si>
  <si>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黄酒; 米酒; 烈酒;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</si>
  <si>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福初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</si>
  <si>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</si>
  <si>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开胃酒; 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</si>
  <si>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健一元亨</t>
  </si>
  <si>
    <t>元亨大健康科技（宁波）中心（有限合伙）</t>
  </si>
  <si>
    <r>
      <t xml:space="preserve">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</si>
  <si>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酌粮都</t>
    </r>
  </si>
  <si>
    <r>
      <t>富肴餐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</si>
  <si>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</si>
  <si>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北漠</t>
    </r>
  </si>
  <si>
    <r>
      <t>杨帅</t>
    </r>
    <r>
      <rPr>
        <sz val="11"/>
        <color theme="1"/>
        <rFont val="ＭＳ Ｐゴシック"/>
        <family val="3"/>
        <charset val="128"/>
        <scheme val="minor"/>
      </rPr>
      <t>印</t>
    </r>
  </si>
  <si>
    <r>
      <t xml:space="preserve">葡萄酒; 开胃酒;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清酒（日本米酒）</t>
    </r>
  </si>
  <si>
    <r>
      <t>大礼包（厦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</si>
  <si>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果酒（含酒精）; 食用酒精; 朗姆酒;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</si>
  <si>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莜稻</t>
  </si>
  <si>
    <r>
      <t xml:space="preserve">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</si>
  <si>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兆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醉美</t>
    </r>
  </si>
  <si>
    <t>刘可新</t>
  </si>
  <si>
    <r>
      <t xml:space="preserve">食用酒精; 黄酒; 米酒;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清酒; 果酒</t>
    </r>
  </si>
  <si>
    <t>TIKALION</t>
  </si>
  <si>
    <r>
      <t>李</t>
    </r>
    <r>
      <rPr>
        <sz val="11"/>
        <color theme="1"/>
        <rFont val="ＭＳ Ｐゴシック"/>
        <family val="3"/>
        <charset val="134"/>
        <scheme val="minor"/>
      </rPr>
      <t>红伟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</si>
  <si>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利口酒; 黄酒; 米酒</t>
    </r>
  </si>
  <si>
    <t>盈养公式</t>
  </si>
  <si>
    <t>戴之祥</t>
  </si>
  <si>
    <t>食用酒精; 果酒; 甜酒; 开胃酒; 黄酒; 米酒; 清酒; 白酒; 葡萄酒; 汽酒</t>
  </si>
  <si>
    <r>
      <t>杉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湾古窖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</si>
  <si>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</si>
  <si>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</si>
  <si>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云川匠</t>
  </si>
  <si>
    <r>
      <t>卢</t>
    </r>
    <r>
      <rPr>
        <sz val="11"/>
        <color theme="1"/>
        <rFont val="ＭＳ Ｐゴシック"/>
        <family val="3"/>
        <charset val="128"/>
        <scheme val="minor"/>
      </rPr>
      <t>湘丰*****************X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</si>
  <si>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葡萄酒; 果酒; 白酒; 米酒; 烈酒;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</si>
  <si>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静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</si>
  <si>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</si>
  <si>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米酒; 汽酒;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</si>
  <si>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LUOHELIWU</t>
  </si>
  <si>
    <t>万孝睿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</si>
  <si>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黄酒; 高粱酒; 苹果酒; 米酒; 薄荷酒</t>
    </r>
  </si>
  <si>
    <r>
      <t>秉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号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</si>
  <si>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簕</t>
    </r>
    <r>
      <rPr>
        <sz val="11"/>
        <color theme="1"/>
        <rFont val="ＭＳ Ｐゴシック"/>
        <family val="3"/>
        <charset val="128"/>
        <scheme val="minor"/>
      </rPr>
      <t>杜</t>
    </r>
    <r>
      <rPr>
        <sz val="11"/>
        <color theme="1"/>
        <rFont val="ＭＳ Ｐゴシック"/>
        <family val="3"/>
        <charset val="134"/>
        <scheme val="minor"/>
      </rPr>
      <t>鹃</t>
    </r>
    <r>
      <rPr>
        <sz val="11"/>
        <color theme="1"/>
        <rFont val="ＭＳ Ｐゴシック"/>
        <family val="3"/>
        <charset val="128"/>
        <scheme val="minor"/>
      </rPr>
      <t>基金管理有限公司</t>
    </r>
  </si>
  <si>
    <r>
      <t xml:space="preserve">果酒;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</si>
  <si>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莞市金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源企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</si>
  <si>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白酒; 清酒（日本米酒）; 苦味酒; 开胃酒;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</si>
  <si>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芙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</si>
  <si>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坊泉灵商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</si>
  <si>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餐后酒（利口酒和烈酒）;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</si>
  <si>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圳三十</t>
  </si>
  <si>
    <r>
      <t>圳酒(深圳)酒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</si>
  <si>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食用酒精;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</si>
  <si>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</si>
  <si>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张绍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</si>
  <si>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葡萄酒; 梨酒; 烈酒; 蜂蜜酒; 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</si>
  <si>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益森</t>
    </r>
    <r>
      <rPr>
        <sz val="11"/>
        <color theme="1"/>
        <rFont val="ＭＳ Ｐゴシック"/>
        <family val="3"/>
        <charset val="134"/>
        <scheme val="minor"/>
      </rPr>
      <t>顺</t>
    </r>
  </si>
  <si>
    <t>宋元成</t>
  </si>
  <si>
    <r>
      <t>葡萄酒;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</si>
  <si>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r>
      <t>乌龙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</si>
  <si>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黄酒; 果酒（含酒精）</t>
    </r>
  </si>
  <si>
    <r>
      <t>海豚</t>
    </r>
    <r>
      <rPr>
        <sz val="11"/>
        <color theme="1"/>
        <rFont val="ＭＳ Ｐゴシック"/>
        <family val="3"/>
        <charset val="134"/>
        <scheme val="minor"/>
      </rPr>
      <t>买买</t>
    </r>
  </si>
  <si>
    <r>
      <t>民高（天津）文化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</si>
  <si>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</si>
  <si>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t>觥井</t>
  </si>
  <si>
    <r>
      <t>美味希奇食品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</si>
  <si>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</t>
    </r>
  </si>
  <si>
    <r>
      <t>八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塔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</si>
  <si>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</si>
  <si>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果酒; 葡萄酒; 米酒; 汽酒;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</si>
  <si>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潼</t>
    </r>
    <r>
      <rPr>
        <sz val="11"/>
        <color theme="1"/>
        <rFont val="ＭＳ Ｐゴシック"/>
        <family val="3"/>
        <charset val="134"/>
        <scheme val="minor"/>
      </rPr>
      <t>华</t>
    </r>
  </si>
  <si>
    <t>刘建</t>
  </si>
  <si>
    <r>
      <t>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高粱酒;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</si>
  <si>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芊瑶</t>
    </r>
  </si>
  <si>
    <t>李先佳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</si>
  <si>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</si>
  <si>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锋</t>
    </r>
    <r>
      <rPr>
        <sz val="11"/>
        <color theme="1"/>
        <rFont val="ＭＳ Ｐゴシック"/>
        <family val="3"/>
        <charset val="128"/>
        <scheme val="minor"/>
      </rPr>
      <t>琴无限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</si>
  <si>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雨同舟医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信息有限公司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</si>
  <si>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青稞酒; 清酒（日本米酒）; 果酒（含酒精）</t>
    </r>
  </si>
  <si>
    <t>蜀格局</t>
  </si>
  <si>
    <r>
      <t>李宝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</si>
  <si>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高粱酒; 烈酒</t>
    </r>
  </si>
  <si>
    <t>海河云帆</t>
  </si>
  <si>
    <r>
      <t>开胃酒; 露酒; 葡萄酒; 白酒;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</si>
  <si>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浣</t>
    </r>
    <r>
      <rPr>
        <sz val="11"/>
        <color theme="1"/>
        <rFont val="ＭＳ Ｐゴシック"/>
        <family val="3"/>
        <charset val="134"/>
        <scheme val="minor"/>
      </rPr>
      <t>樱</t>
    </r>
  </si>
  <si>
    <r>
      <t>河南抖悦商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</si>
  <si>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苹果酒;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汽酒</t>
    </r>
  </si>
  <si>
    <t>擎尚台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</si>
  <si>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仅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</si>
  <si>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</si>
  <si>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集德嘉</t>
  </si>
  <si>
    <r>
      <t>陈</t>
    </r>
    <r>
      <rPr>
        <sz val="11"/>
        <color theme="1"/>
        <rFont val="ＭＳ Ｐゴシック"/>
        <family val="3"/>
        <charset val="128"/>
        <scheme val="minor"/>
      </rPr>
      <t>河利</t>
    </r>
  </si>
  <si>
    <r>
      <t>果酒（含酒精）;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白酒; 开胃酒; 葡萄酒</t>
    </r>
  </si>
  <si>
    <t>茗香鎏醉</t>
  </si>
  <si>
    <r>
      <t>福州鎏金保</t>
    </r>
    <r>
      <rPr>
        <sz val="11"/>
        <color theme="1"/>
        <rFont val="ＭＳ Ｐゴシック"/>
        <family val="3"/>
        <charset val="134"/>
        <scheme val="minor"/>
      </rPr>
      <t>险</t>
    </r>
    <r>
      <rPr>
        <sz val="11"/>
        <color theme="1"/>
        <rFont val="ＭＳ Ｐゴシック"/>
        <family val="3"/>
        <charset val="128"/>
        <scheme val="minor"/>
      </rPr>
      <t>代理有限公司</t>
    </r>
  </si>
  <si>
    <r>
      <t>白酒;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米酒; 葡萄酒;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</si>
  <si>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</si>
  <si>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孟</t>
    </r>
    <r>
      <rPr>
        <sz val="11"/>
        <color theme="1"/>
        <rFont val="ＭＳ Ｐゴシック"/>
        <family val="3"/>
        <charset val="134"/>
        <scheme val="minor"/>
      </rPr>
      <t>宪伟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</si>
  <si>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</si>
  <si>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TAJAS</t>
  </si>
  <si>
    <t>中山市佰草香健康科技有限公司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</si>
  <si>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薄荷酒; 威士忌; 青稞酒; 黄酒; 茴香酒（利口酒）;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</si>
  <si>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华选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</si>
  <si>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东辉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</si>
  <si>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</si>
  <si>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皇施</t>
  </si>
  <si>
    <r>
      <t>威士忌;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</si>
  <si>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樽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</si>
  <si>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白酒; 果酒（含酒精）; 米酒</t>
    </r>
  </si>
  <si>
    <r>
      <t>龙罗</t>
    </r>
    <r>
      <rPr>
        <sz val="11"/>
        <color theme="1"/>
        <rFont val="ＭＳ Ｐゴシック"/>
        <family val="3"/>
        <charset val="128"/>
        <scheme val="minor"/>
      </rPr>
      <t>散</t>
    </r>
  </si>
  <si>
    <t>亳州市喜上多生物科技有限公司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</si>
  <si>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清酒（日本米酒）; 薄荷酒;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</si>
  <si>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r>
      <t>眷茶臻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</si>
  <si>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</t>
    </r>
  </si>
  <si>
    <t>OKDOQI</t>
  </si>
  <si>
    <r>
      <t>郭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影</t>
    </r>
  </si>
  <si>
    <r>
      <t>葡萄酒;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</si>
  <si>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普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梵霖</t>
    </r>
  </si>
  <si>
    <r>
      <t>浙江自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区希</t>
    </r>
    <r>
      <rPr>
        <sz val="11"/>
        <color theme="1"/>
        <rFont val="ＭＳ Ｐゴシック"/>
        <family val="3"/>
        <charset val="134"/>
        <scheme val="minor"/>
      </rPr>
      <t>诺赛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</si>
  <si>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米酒; 葡萄酒; 黄酒;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</si>
  <si>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吉新美</t>
  </si>
  <si>
    <t>蔡美</t>
  </si>
  <si>
    <r>
      <t xml:space="preserve">果酒（含酒精）; 葡萄酒;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</si>
  <si>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旱海明珠</t>
  </si>
  <si>
    <r>
      <t>宁夏醉心醉葡萄酒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</si>
  <si>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白葡萄酒;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不起泡葡萄酒;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</si>
  <si>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鑫玉九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一号</t>
    </r>
  </si>
  <si>
    <r>
      <t>金玉国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播（广州）有限公司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</si>
  <si>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</si>
  <si>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福宁寨祥康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</si>
  <si>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蔡壮</t>
    </r>
    <r>
      <rPr>
        <sz val="11"/>
        <color theme="1"/>
        <rFont val="ＭＳ Ｐゴシック"/>
        <family val="3"/>
        <charset val="134"/>
        <scheme val="minor"/>
      </rPr>
      <t>铄</t>
    </r>
  </si>
  <si>
    <r>
      <t>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青稞酒; 米酒; 葡萄酒;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</si>
  <si>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同源藏堂</t>
  </si>
  <si>
    <r>
      <t>陈银</t>
    </r>
    <r>
      <rPr>
        <sz val="11"/>
        <color theme="1"/>
        <rFont val="ＭＳ Ｐゴシック"/>
        <family val="3"/>
        <charset val="128"/>
        <scheme val="minor"/>
      </rPr>
      <t>旺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</si>
  <si>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</si>
  <si>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福鼎市卓掌柜茶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</si>
  <si>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</si>
  <si>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迪奥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</si>
  <si>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</si>
  <si>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菁品控</t>
  </si>
  <si>
    <r>
      <t>阚龙</t>
    </r>
    <r>
      <rPr>
        <sz val="11"/>
        <color theme="1"/>
        <rFont val="ＭＳ Ｐゴシック"/>
        <family val="3"/>
        <charset val="128"/>
        <scheme val="minor"/>
      </rPr>
      <t>尾</t>
    </r>
  </si>
  <si>
    <t>葡萄酒; 汽酒; 清酒; 甜酒; 食用酒精; 果酒; 黄酒; 白酒; 米酒; 开胃酒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</si>
  <si>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清酒（日本米酒）; 黄酒; 白酒; 米酒</t>
    </r>
  </si>
  <si>
    <r>
      <t>今回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洲</t>
    </r>
  </si>
  <si>
    <t>郭冰</t>
  </si>
  <si>
    <t>食用酒精; 白酒; 汽酒; 甜酒; 米酒; 开胃酒; 果酒; 清酒; 黄酒; 葡萄酒</t>
  </si>
  <si>
    <r>
      <t>吴</t>
    </r>
    <r>
      <rPr>
        <sz val="11"/>
        <color theme="1"/>
        <rFont val="ＭＳ Ｐゴシック"/>
        <family val="3"/>
        <charset val="134"/>
        <scheme val="minor"/>
      </rPr>
      <t>伲</t>
    </r>
  </si>
  <si>
    <t>袁玉林******************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</si>
  <si>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</si>
  <si>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</si>
  <si>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果酒; 白酒; 米酒; 葡萄酒</t>
    </r>
  </si>
  <si>
    <r>
      <t>双禾</t>
    </r>
    <r>
      <rPr>
        <sz val="11"/>
        <color theme="1"/>
        <rFont val="ＭＳ Ｐゴシック"/>
        <family val="3"/>
        <charset val="134"/>
        <scheme val="minor"/>
      </rPr>
      <t>芗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</si>
  <si>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国善******************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</si>
  <si>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露酒; 白干酒（中国白酒）</t>
    </r>
  </si>
  <si>
    <r>
      <t>晗春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</si>
  <si>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</si>
  <si>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舒士</t>
    </r>
  </si>
  <si>
    <t>孔祥安</t>
  </si>
  <si>
    <t>开胃酒; 果酒; 汽酒; 甜酒; 清酒; 食用酒精; 黄酒; 白酒; 葡萄酒; 米酒</t>
  </si>
  <si>
    <r>
      <t>冠</t>
    </r>
    <r>
      <rPr>
        <sz val="11"/>
        <color theme="1"/>
        <rFont val="ＭＳ Ｐゴシック"/>
        <family val="3"/>
        <charset val="134"/>
        <scheme val="minor"/>
      </rPr>
      <t>门</t>
    </r>
  </si>
  <si>
    <t>江燕</t>
  </si>
  <si>
    <r>
      <t xml:space="preserve">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</si>
  <si>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</si>
  <si>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</si>
  <si>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</t>
    </r>
  </si>
  <si>
    <t>SORBY ADAMS</t>
  </si>
  <si>
    <t>索彼雅当斯酒庄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</si>
  <si>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利口酒;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</t>
    </r>
  </si>
  <si>
    <t>十九仙</t>
  </si>
  <si>
    <t>缪进红</t>
  </si>
  <si>
    <r>
      <t xml:space="preserve">白酒; 黄酒; 葡萄酒;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</t>
    </r>
  </si>
  <si>
    <t>大鹿畔</t>
  </si>
  <si>
    <t>刘元芳</t>
  </si>
  <si>
    <r>
      <t xml:space="preserve">利口酒; 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</si>
  <si>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邑食之地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</si>
  <si>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市邑家人餐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</si>
  <si>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清酒;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</si>
  <si>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</si>
  <si>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 xml:space="preserve">苹果酒;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</si>
  <si>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越山川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</si>
  <si>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州天越生物制品有限公司</t>
    </r>
  </si>
  <si>
    <r>
      <t xml:space="preserve">烈酒; 葡萄酒; 白酒; 高粱酒;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苹果酒; 米酒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</si>
  <si>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护卫</t>
    </r>
  </si>
  <si>
    <t>费欢乐</t>
  </si>
  <si>
    <t>黄酒; 开胃酒; 食用酒精; 清酒; 白酒; 葡萄酒; 汽酒; 米酒; 果酒; 甜酒</t>
  </si>
  <si>
    <t>螺子坡</t>
  </si>
  <si>
    <r>
      <t>眉山市正好醇酒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</si>
  <si>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</si>
  <si>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百将丰</t>
  </si>
  <si>
    <r>
      <t>杨</t>
    </r>
    <r>
      <rPr>
        <sz val="11"/>
        <color theme="1"/>
        <rFont val="ＭＳ Ｐゴシック"/>
        <family val="3"/>
        <charset val="128"/>
        <scheme val="minor"/>
      </rPr>
      <t>陶利</t>
    </r>
  </si>
  <si>
    <t>JIN JIANG YI LU</t>
  </si>
  <si>
    <r>
      <t>洪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</si>
  <si>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威士忌;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</si>
  <si>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安多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唐古拉牧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</si>
  <si>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苹果酒; 葡萄酒; 白酒;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</si>
  <si>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笑吉</t>
    </r>
    <r>
      <rPr>
        <sz val="11"/>
        <color theme="1"/>
        <rFont val="ＭＳ Ｐゴシック"/>
        <family val="3"/>
        <charset val="134"/>
        <scheme val="minor"/>
      </rPr>
      <t>亿</t>
    </r>
  </si>
  <si>
    <t>郭学平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</si>
  <si>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</si>
  <si>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>哲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</si>
  <si>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州尚上教育科技有限公司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</si>
  <si>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</si>
  <si>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盈万世</t>
  </si>
  <si>
    <r>
      <t>佳康食品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</si>
  <si>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葡萄酒</t>
    </r>
  </si>
  <si>
    <t>泰海泉</t>
  </si>
  <si>
    <t>李景新</t>
  </si>
  <si>
    <r>
      <t>朗姆酒; 伏特加酒; 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</si>
  <si>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洛小</t>
    </r>
    <r>
      <rPr>
        <sz val="11"/>
        <color theme="1"/>
        <rFont val="ＭＳ Ｐゴシック"/>
        <family val="3"/>
        <charset val="134"/>
        <scheme val="minor"/>
      </rPr>
      <t>樱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</si>
  <si>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樱红实业发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</si>
  <si>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</si>
  <si>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立客富品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</si>
  <si>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曼尼酒庄（广州）有限公司</t>
    </r>
  </si>
  <si>
    <r>
      <t>葡萄酒; 清酒; 朗姆酒;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利口酒; 汽酒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</si>
  <si>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钰缘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</si>
  <si>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宁鹿</t>
    </r>
    <r>
      <rPr>
        <sz val="11"/>
        <color theme="1"/>
        <rFont val="ＭＳ Ｐゴシック"/>
        <family val="3"/>
        <charset val="134"/>
        <scheme val="minor"/>
      </rPr>
      <t>钰缘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</si>
  <si>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米酒; 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</si>
  <si>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九喜猴</t>
  </si>
  <si>
    <r>
      <t>内蒙古云上草原科技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</si>
  <si>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</si>
  <si>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益</t>
    </r>
    <r>
      <rPr>
        <sz val="11"/>
        <color theme="1"/>
        <rFont val="ＭＳ Ｐゴシック"/>
        <family val="3"/>
        <charset val="134"/>
        <scheme val="minor"/>
      </rPr>
      <t>颗树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</si>
  <si>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飞龙</t>
    </r>
  </si>
  <si>
    <t>开胃酒; 白酒; 米酒; 食用酒精; 汽酒; 果酒; 清酒; 甜酒; 黄酒; 葡萄酒</t>
  </si>
  <si>
    <t>久机</t>
  </si>
  <si>
    <r>
      <t>邓</t>
    </r>
    <r>
      <rPr>
        <sz val="11"/>
        <color theme="1"/>
        <rFont val="ＭＳ Ｐゴシック"/>
        <family val="3"/>
        <charset val="128"/>
        <scheme val="minor"/>
      </rPr>
      <t>景威</t>
    </r>
  </si>
  <si>
    <r>
      <t>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</si>
  <si>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京典</t>
    </r>
  </si>
  <si>
    <t>左德利</t>
  </si>
  <si>
    <r>
      <t>黄酒; 白酒; 清酒（日本米酒）; 威士忌;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</t>
    </r>
  </si>
  <si>
    <t>萄逍遥</t>
  </si>
  <si>
    <t>刘勇</t>
  </si>
  <si>
    <r>
      <t>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蒸煮提取物（利口酒和烈酒）; 汽酒;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</si>
  <si>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嵩百味</t>
  </si>
  <si>
    <r>
      <t>洛阳火山文化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</si>
  <si>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果酒;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</t>
    </r>
  </si>
  <si>
    <r>
      <t>今古同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</si>
  <si>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明博</t>
    </r>
  </si>
  <si>
    <t>果酒; 汽酒; 清酒; 甜酒; 食用酒精; 黄酒; 开胃酒; 米酒; 葡萄酒; 白酒</t>
  </si>
  <si>
    <r>
      <t>嗨</t>
    </r>
    <r>
      <rPr>
        <sz val="11"/>
        <color theme="1"/>
        <rFont val="ＭＳ Ｐゴシック"/>
        <family val="3"/>
        <charset val="128"/>
        <scheme val="minor"/>
      </rPr>
      <t>特尚品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</si>
  <si>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州金秋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</si>
  <si>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苹果酒; 葡萄酒; 果酒（含酒精）</t>
    </r>
  </si>
  <si>
    <t>椹宝王</t>
  </si>
  <si>
    <r>
      <t>北京广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</si>
  <si>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果酒</t>
    </r>
  </si>
  <si>
    <r>
      <t>翠融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</si>
  <si>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翠供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</si>
  <si>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果酒（含酒精）; 苦味酒; 食用酒精; 米酒</t>
    </r>
  </si>
  <si>
    <t>方遒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</si>
  <si>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徽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</si>
  <si>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伏特加酒;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食用酒精; 白酒; 茴芹酒（利口酒）;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</si>
  <si>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欧舒宝</t>
  </si>
  <si>
    <r>
      <t>杨</t>
    </r>
    <r>
      <rPr>
        <sz val="11"/>
        <color theme="1"/>
        <rFont val="ＭＳ Ｐゴシック"/>
        <family val="3"/>
        <charset val="128"/>
        <scheme val="minor"/>
      </rPr>
      <t>虎</t>
    </r>
  </si>
  <si>
    <t>汽酒; 开胃酒; 甜酒; 葡萄酒; 黄酒; 食用酒精; 果酒; 白酒; 米酒; 清酒</t>
  </si>
  <si>
    <r>
      <t>镇</t>
    </r>
    <r>
      <rPr>
        <sz val="11"/>
        <color theme="1"/>
        <rFont val="ＭＳ Ｐゴシック"/>
        <family val="3"/>
        <charset val="128"/>
        <scheme val="minor"/>
      </rPr>
      <t>杏运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</si>
  <si>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梦科技有限公司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</si>
  <si>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果酒（含酒精）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</si>
  <si>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巅</t>
    </r>
    <r>
      <rPr>
        <sz val="11"/>
        <color theme="1"/>
        <rFont val="ＭＳ Ｐゴシック"/>
        <family val="3"/>
        <charset val="128"/>
        <scheme val="minor"/>
      </rPr>
      <t>峰</t>
    </r>
  </si>
  <si>
    <t>徐波</t>
  </si>
  <si>
    <t>开胃酒; 白酒; 葡萄酒; 甜酒; 清酒; 食用酒精; 果酒; 汽酒; 黄酒; 米酒</t>
  </si>
  <si>
    <r>
      <t>井晋</t>
    </r>
    <r>
      <rPr>
        <sz val="11"/>
        <color theme="1"/>
        <rFont val="ＭＳ Ｐゴシック"/>
        <family val="3"/>
        <charset val="134"/>
        <scheme val="minor"/>
      </rPr>
      <t>头锅</t>
    </r>
  </si>
  <si>
    <t>方明亮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</si>
  <si>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</si>
  <si>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NAHPOLEONE RHOBES PIERE</t>
  </si>
  <si>
    <r>
      <t>美第奇集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</si>
  <si>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开胃酒; 白酒; 果酒; 米酒</t>
    </r>
  </si>
  <si>
    <t>江湾城</t>
  </si>
  <si>
    <t>代南</t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</si>
  <si>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汽酒; 黄酒;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</si>
  <si>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豫上宁</t>
  </si>
  <si>
    <r>
      <t>河南今幸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</si>
  <si>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</si>
  <si>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泰大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</si>
  <si>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州匠彰酒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</si>
  <si>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黄酒; 蒸煮提取物（利口酒和烈酒）;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利口酒; 白酒</t>
    </r>
  </si>
  <si>
    <t>渝你相遇</t>
  </si>
  <si>
    <r>
      <t>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</si>
  <si>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</si>
  <si>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社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</si>
  <si>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和友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</si>
  <si>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葡萄酒; 薄荷酒; 米酒</t>
    </r>
  </si>
  <si>
    <t>两汪</t>
  </si>
  <si>
    <r>
      <t>中酒汾控（山西）集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</si>
  <si>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白酒</t>
    </r>
  </si>
  <si>
    <t>岩口井古窖</t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</si>
  <si>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</t>
    </r>
  </si>
  <si>
    <t>路易古斯特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</si>
  <si>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</si>
  <si>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礼拓德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</si>
  <si>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沙礼拓德生物科技有限公司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</si>
  <si>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蜂蜜酒; 白酒; 果酒（含酒精）;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</si>
  <si>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度关山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</si>
  <si>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青稞酒;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</si>
  <si>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越娄山</t>
  </si>
  <si>
    <r>
      <t xml:space="preserve">葡萄酒; 黄酒; 苹果酒; 高粱酒; 烈酒; 米酒;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</si>
  <si>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务</t>
    </r>
    <r>
      <rPr>
        <sz val="11"/>
        <color theme="1"/>
        <rFont val="ＭＳ Ｐゴシック"/>
        <family val="3"/>
        <charset val="128"/>
        <scheme val="minor"/>
      </rPr>
      <t>本小清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</si>
  <si>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本招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</si>
  <si>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白酒; 果酒</t>
    </r>
  </si>
  <si>
    <t>小粮君</t>
  </si>
  <si>
    <r>
      <t>杨泽</t>
    </r>
    <r>
      <rPr>
        <sz val="11"/>
        <color theme="1"/>
        <rFont val="ＭＳ Ｐゴシック"/>
        <family val="3"/>
        <charset val="128"/>
        <scheme val="minor"/>
      </rPr>
      <t>吉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</si>
  <si>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开胃酒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</si>
  <si>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晴汰玖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</si>
  <si>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</si>
  <si>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小彬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</si>
  <si>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</t>
    </r>
  </si>
  <si>
    <t>小小么酒庄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</si>
  <si>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江成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</si>
  <si>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</si>
  <si>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</si>
  <si>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甜酒; 果酒（含酒精）;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</si>
  <si>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漳州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相逢酒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</si>
  <si>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葡萄酒; 米酒</t>
    </r>
  </si>
  <si>
    <t>健佳人</t>
  </si>
  <si>
    <r>
      <t>健之佳医</t>
    </r>
    <r>
      <rPr>
        <sz val="11"/>
        <color theme="1"/>
        <rFont val="ＭＳ Ｐゴシック"/>
        <family val="3"/>
        <charset val="134"/>
        <scheme val="minor"/>
      </rPr>
      <t>药连锁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</si>
  <si>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</t>
    </r>
  </si>
  <si>
    <r>
      <t>鹿探</t>
    </r>
    <r>
      <rPr>
        <sz val="11"/>
        <color theme="1"/>
        <rFont val="ＭＳ Ｐゴシック"/>
        <family val="3"/>
        <charset val="134"/>
        <scheme val="minor"/>
      </rPr>
      <t>长</t>
    </r>
  </si>
  <si>
    <t>王广俊</t>
  </si>
  <si>
    <t>汽酒; 甜酒; 米酒; 果酒; 食用酒精; 葡萄酒; 黄酒; 开胃酒; 白酒; 清酒</t>
  </si>
  <si>
    <r>
      <t>众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久久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</si>
  <si>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汽酒</t>
    </r>
  </si>
  <si>
    <t>GUDILLY</t>
  </si>
  <si>
    <r>
      <t>利口酒;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酸酒（低等葡萄酒）;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</si>
  <si>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金豆老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</si>
  <si>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普新材料科技有限公司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</si>
  <si>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汽酒;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</si>
  <si>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便捷蜂</t>
  </si>
  <si>
    <r>
      <t>深圳聚悠米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</si>
  <si>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</t>
    </r>
  </si>
  <si>
    <t>趣味和</t>
  </si>
  <si>
    <r>
      <t>宋献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</si>
  <si>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</si>
  <si>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紧</t>
    </r>
    <r>
      <rPr>
        <sz val="11"/>
        <color theme="1"/>
        <rFont val="ＭＳ Ｐゴシック"/>
        <family val="3"/>
        <charset val="128"/>
        <scheme val="minor"/>
      </rPr>
      <t>鞍</t>
    </r>
  </si>
  <si>
    <r>
      <t>徐州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</si>
  <si>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黄酒; 米酒; 清酒; 烈酒;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</si>
  <si>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布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卡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</si>
  <si>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逊图</t>
    </r>
    <r>
      <rPr>
        <sz val="11"/>
        <color theme="1"/>
        <rFont val="ＭＳ Ｐゴシック"/>
        <family val="3"/>
        <charset val="128"/>
        <scheme val="minor"/>
      </rPr>
      <t>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</si>
  <si>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蒸煮提取物（利口酒和烈酒）;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</t>
    </r>
  </si>
  <si>
    <t>德摹勒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</si>
  <si>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</si>
  <si>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喜曼桂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</si>
  <si>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州喜曼桂礼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</si>
  <si>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</si>
  <si>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醉稀流</t>
  </si>
  <si>
    <r>
      <t>湖北硒恩城市建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</si>
  <si>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开胃酒;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</si>
  <si>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合小星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</si>
  <si>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上合之珠投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</si>
  <si>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开胃酒; 白酒; 黄酒;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高粱酒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</si>
  <si>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翁莱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</si>
  <si>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</si>
  <si>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觥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</si>
  <si>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葡萄酒;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</si>
  <si>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德林之声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</si>
  <si>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开胃酒; 葡萄酒; 果酒（含酒精）</t>
    </r>
  </si>
  <si>
    <r>
      <t>芈</t>
    </r>
    <r>
      <rPr>
        <sz val="11"/>
        <color theme="1"/>
        <rFont val="ＭＳ Ｐゴシック"/>
        <family val="3"/>
        <charset val="128"/>
        <scheme val="minor"/>
      </rPr>
      <t>祖</t>
    </r>
  </si>
  <si>
    <r>
      <t xml:space="preserve">开胃酒;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</si>
  <si>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浆</t>
    </r>
    <r>
      <rPr>
        <sz val="11"/>
        <color theme="1"/>
        <rFont val="ＭＳ Ｐゴシック"/>
        <family val="3"/>
        <charset val="128"/>
        <scheme val="minor"/>
      </rPr>
      <t>圣</t>
    </r>
  </si>
  <si>
    <r>
      <t>黄国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</si>
  <si>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白酒; 葡萄酒; 蒸煮提取物（利口酒和烈酒）;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</si>
  <si>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</si>
  <si>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客食品集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</si>
  <si>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白酒;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</si>
  <si>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彩虹年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</si>
  <si>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秋</t>
    </r>
    <r>
      <rPr>
        <sz val="11"/>
        <color theme="1"/>
        <rFont val="ＭＳ Ｐゴシック"/>
        <family val="3"/>
        <charset val="134"/>
        <scheme val="minor"/>
      </rPr>
      <t>圆</t>
    </r>
  </si>
  <si>
    <t>果酒; 甜酒; 黄酒; 清酒; 食用酒精; 米酒; 葡萄酒; 开胃酒; 汽酒; 白酒</t>
  </si>
  <si>
    <t>瀞礼</t>
  </si>
  <si>
    <r>
      <t>漳州瀞度企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</si>
  <si>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青稞酒; 清酒（日本米酒）;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</si>
  <si>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风蓝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</si>
  <si>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</si>
  <si>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果酒（含酒精）; 开胃酒; 餐后酒（利口酒和烈酒）</t>
    </r>
  </si>
  <si>
    <t>似宝</t>
  </si>
  <si>
    <r>
      <t>杨</t>
    </r>
    <r>
      <rPr>
        <sz val="11"/>
        <color theme="1"/>
        <rFont val="ＭＳ Ｐゴシック"/>
        <family val="3"/>
        <charset val="128"/>
        <scheme val="minor"/>
      </rPr>
      <t>川</t>
    </r>
  </si>
  <si>
    <t>果酒; 清酒; 白酒; 汽酒; 开胃酒; 葡萄酒; 食用酒精; 黄酒; 米酒; 甜酒</t>
  </si>
  <si>
    <t>杭州冠鼎市政工程有限公司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</si>
  <si>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高粱酒;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</si>
  <si>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凰河梦</t>
  </si>
  <si>
    <t>熊巍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</si>
  <si>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</si>
  <si>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夏杉酒庄</t>
  </si>
  <si>
    <r>
      <t>美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文化（北京）有限公司</t>
    </r>
  </si>
  <si>
    <r>
      <t>米酒; 葡萄酒; 蜂蜜酒;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果酒; 青稞酒;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</si>
  <si>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</si>
  <si>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广州天梓商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</si>
  <si>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威士忌; 白酒; 苹果酒; 甜果酒;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梨酒;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</si>
  <si>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匠御心品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</si>
  <si>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市恒新商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</si>
  <si>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青稞酒; 威士忌</t>
    </r>
  </si>
  <si>
    <t>良雪佳儿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</si>
  <si>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州市管城回族区中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保健品商行</t>
    </r>
  </si>
  <si>
    <r>
      <t>利口酒; 米酒;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含酒精蛋奶酒; 苹果酒;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</si>
  <si>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疆塞</t>
    </r>
    <r>
      <rPr>
        <sz val="11"/>
        <color theme="1"/>
        <rFont val="ＭＳ Ｐゴシック"/>
        <family val="3"/>
        <charset val="134"/>
        <scheme val="minor"/>
      </rPr>
      <t>红</t>
    </r>
  </si>
  <si>
    <t>王福珍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</si>
  <si>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果酒; 露酒; 汽酒; 甜果酒;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</si>
  <si>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佰未醉</t>
    </r>
    <r>
      <rPr>
        <sz val="11"/>
        <color theme="1"/>
        <rFont val="ＭＳ Ｐゴシック"/>
        <family val="3"/>
        <charset val="134"/>
        <scheme val="minor"/>
      </rPr>
      <t>风蓝</t>
    </r>
  </si>
  <si>
    <r>
      <t>餐后酒（利口酒和烈酒）; 开胃酒;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</si>
  <si>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烟雨秦淮河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</si>
  <si>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露酒;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</si>
  <si>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悦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</si>
  <si>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清酒;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高粱酒; 果酒</t>
    </r>
  </si>
  <si>
    <r>
      <t>薇多里</t>
    </r>
    <r>
      <rPr>
        <sz val="11"/>
        <color theme="1"/>
        <rFont val="ＭＳ Ｐゴシック"/>
        <family val="3"/>
        <charset val="134"/>
        <scheme val="minor"/>
      </rPr>
      <t>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</si>
  <si>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黄酒; 白酒; 果酒（含酒精）; 威士忌</t>
    </r>
  </si>
  <si>
    <t>名耕</t>
  </si>
  <si>
    <t>吴国彬</t>
  </si>
  <si>
    <t>汽酒; 清酒; 白酒; 米酒; 食用酒精; 开胃酒; 甜酒; 黄酒; 果酒; 葡萄酒</t>
  </si>
  <si>
    <t>炎年</t>
  </si>
  <si>
    <t>李碧蓉</t>
  </si>
  <si>
    <r>
      <t>白酒; 葡萄酒;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</si>
  <si>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令曲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</si>
  <si>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令堂食品有限公司</t>
    </r>
  </si>
  <si>
    <r>
      <t>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</si>
  <si>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手班定制</t>
  </si>
  <si>
    <r>
      <t>黄酒; 露酒; 清酒;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威士忌;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</si>
  <si>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公牛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</si>
  <si>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加烈葡萄酒; 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</si>
  <si>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探季</t>
  </si>
  <si>
    <t>董月莉</t>
  </si>
  <si>
    <t>开胃酒; 甜酒; 清酒; 汽酒; 食用酒精; 黄酒; 果酒; 白酒; 葡萄酒; 米酒</t>
  </si>
  <si>
    <t>佬五粱</t>
  </si>
  <si>
    <r>
      <t>慕森酒店管理邯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</si>
  <si>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酸酒（低等葡萄酒）;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</t>
    </r>
  </si>
  <si>
    <r>
      <t>CHATEAU DE LA VALLEE DU DESIR 黛斯</t>
    </r>
    <r>
      <rPr>
        <sz val="11"/>
        <color theme="1"/>
        <rFont val="ＭＳ Ｐゴシック"/>
        <family val="3"/>
        <charset val="134"/>
        <scheme val="minor"/>
      </rPr>
      <t>维丽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</si>
  <si>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蜂蜜酒; 米酒; 果酒; 青稞酒;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</si>
  <si>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青稞酒; 清酒（日本米酒）; 威士忌; 伏特加酒;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白酒</t>
    </r>
  </si>
  <si>
    <r>
      <t>黄景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</si>
  <si>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薄荷酒; 果酒（含酒精）; 葡萄酒; 苹果酒;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甜果酒</t>
    </r>
  </si>
  <si>
    <t>格林古斯特</t>
  </si>
  <si>
    <r>
      <t xml:space="preserve">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开胃酒</t>
    </r>
  </si>
  <si>
    <r>
      <t>枫</t>
    </r>
    <r>
      <rPr>
        <sz val="11"/>
        <color theme="1"/>
        <rFont val="ＭＳ Ｐゴシック"/>
        <family val="3"/>
        <charset val="128"/>
        <scheme val="minor"/>
      </rPr>
      <t>槐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</si>
  <si>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槐文化科技有限公司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</si>
  <si>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苹果酒; 黄酒; 白酒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</si>
  <si>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</si>
  <si>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手拉手互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</si>
  <si>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蜂蜜酒;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</si>
  <si>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漫池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</si>
  <si>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盘龙</t>
    </r>
    <r>
      <rPr>
        <sz val="11"/>
        <color theme="1"/>
        <rFont val="ＭＳ Ｐゴシック"/>
        <family val="3"/>
        <charset val="128"/>
        <scheme val="minor"/>
      </rPr>
      <t>石科技有限公司</t>
    </r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</si>
  <si>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苹果酒; 朗姆酒; 白酒; 烈酒</t>
    </r>
  </si>
  <si>
    <r>
      <t>福方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瑄</t>
    </r>
  </si>
  <si>
    <t>刘芳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</si>
  <si>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甜酒; 蒸煮提取物（利口酒和烈酒）;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汽酒; 白酒</t>
    </r>
  </si>
  <si>
    <t>MGRID</t>
  </si>
  <si>
    <t>宋永林</t>
  </si>
  <si>
    <r>
      <t xml:space="preserve">清酒（日本米酒）; 葡萄酒; 蜂蜜酒;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汽酒; 白酒; 苹果酒</t>
    </r>
  </si>
  <si>
    <r>
      <t>玲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愿</t>
    </r>
  </si>
  <si>
    <t>梁章帆</t>
  </si>
  <si>
    <r>
      <t xml:space="preserve">清酒;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烈酒; 黄酒</t>
    </r>
  </si>
  <si>
    <t>曲清竹</t>
  </si>
  <si>
    <t>李丹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</si>
  <si>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果酒（含酒精）;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</si>
  <si>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大街小巷</t>
  </si>
  <si>
    <r>
      <t>大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市泉富酒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</si>
  <si>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高粱酒;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甜酒; 米酒;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清酒; 白酒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</si>
  <si>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方百世</t>
    </r>
  </si>
  <si>
    <r>
      <t>上海有趣酒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</si>
  <si>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黄酒; 烈性干酒;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</si>
  <si>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始祖之源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</si>
  <si>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</si>
  <si>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黄酒; 食用酒精; 甜酒</t>
    </r>
  </si>
  <si>
    <r>
      <t>妵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</si>
  <si>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 xml:space="preserve">黄酒; 白酒; 食用酒精;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</si>
  <si>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窖天下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</si>
  <si>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</si>
  <si>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</si>
  <si>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商邑大殷</t>
  </si>
  <si>
    <t>黄合川</t>
  </si>
  <si>
    <r>
      <t>朗姆酒; 苹果酒; 餐后酒（利口酒和烈酒）; 威士忌; 伏特加酒;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</si>
  <si>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醉老阿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</si>
  <si>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州和至盛酒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</si>
  <si>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朗姆酒; 白酒</t>
    </r>
  </si>
  <si>
    <t>升合聚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</si>
  <si>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帕商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</si>
  <si>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米酒; 食用酒精</t>
    </r>
  </si>
  <si>
    <r>
      <t>幸福</t>
    </r>
    <r>
      <rPr>
        <sz val="11"/>
        <color theme="1"/>
        <rFont val="ＭＳ Ｐゴシック"/>
        <family val="3"/>
        <charset val="129"/>
        <scheme val="minor"/>
      </rPr>
      <t>嘟嘟</t>
    </r>
  </si>
  <si>
    <r>
      <t>成都海成荔椰商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</si>
  <si>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</si>
  <si>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宴酒尚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</si>
  <si>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大周酒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</si>
  <si>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青稞酒;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</si>
  <si>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叶卜家酒</t>
  </si>
  <si>
    <r>
      <t>曾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岭</t>
    </r>
  </si>
  <si>
    <r>
      <t xml:space="preserve">伏特加酒; 白酒; 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</si>
  <si>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坚</t>
    </r>
    <r>
      <rPr>
        <sz val="11"/>
        <color theme="1"/>
        <rFont val="ＭＳ Ｐゴシック"/>
        <family val="3"/>
        <charset val="128"/>
        <scheme val="minor"/>
      </rPr>
      <t>盾</t>
    </r>
  </si>
  <si>
    <t>彭小松</t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</si>
  <si>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混合威士忌酒; 佐餐酒;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</si>
  <si>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t>口粮王子</t>
  </si>
  <si>
    <t>田思宇</t>
  </si>
  <si>
    <r>
      <t>白酒;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</si>
  <si>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船湾</t>
    </r>
  </si>
  <si>
    <r>
      <t>宁波北洲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</si>
  <si>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烈酒; 果酒（含酒精）; 葡萄酒; 黄酒; 甜酒</t>
    </r>
  </si>
  <si>
    <t>湘丞</t>
  </si>
  <si>
    <r>
      <t xml:space="preserve">黄酒;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白酒;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</si>
  <si>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</si>
  <si>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江西南塘酒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</si>
  <si>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</si>
  <si>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t>西疆漠都</t>
  </si>
  <si>
    <r>
      <t>马</t>
    </r>
    <r>
      <rPr>
        <sz val="11"/>
        <color theme="1"/>
        <rFont val="ＭＳ Ｐゴシック"/>
        <family val="3"/>
        <charset val="128"/>
        <scheme val="minor"/>
      </rPr>
      <t>彩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</si>
  <si>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</si>
  <si>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潮井丰</t>
  </si>
  <si>
    <r>
      <t>李兆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</si>
  <si>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</si>
  <si>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请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</si>
  <si>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省世遵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</si>
  <si>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烈酒; 葡萄酒; 食用酒精;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高粱酒</t>
    </r>
  </si>
  <si>
    <t>游子山</t>
  </si>
  <si>
    <r>
      <t>南京市高淳区茶叶行</t>
    </r>
    <r>
      <rPr>
        <sz val="11"/>
        <color theme="1"/>
        <rFont val="ＭＳ Ｐゴシック"/>
        <family val="3"/>
        <charset val="134"/>
        <scheme val="minor"/>
      </rPr>
      <t>业协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</si>
  <si>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 xml:space="preserve">苹果酒; 米酒;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果酒（含酒精）; 梅酒; 草莓酒; 青梅酒</t>
    </r>
  </si>
  <si>
    <t>衡昌典范</t>
  </si>
  <si>
    <r>
      <t>白酒; 葡萄酒; 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白干酒（中国白酒）</t>
    </r>
  </si>
  <si>
    <t>笛雅</t>
  </si>
  <si>
    <r>
      <t>烟台笛雅珍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</si>
  <si>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白干酒（中国白酒）;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</si>
  <si>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咏江候</t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</si>
  <si>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</si>
  <si>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白酒</t>
    </r>
  </si>
  <si>
    <r>
      <t>盛裕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</si>
  <si>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盛裕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</si>
  <si>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威士忌; 青稞酒</t>
    </r>
  </si>
  <si>
    <r>
      <t>波波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</si>
  <si>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浙江科睿特文化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</si>
  <si>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</t>
    </r>
  </si>
  <si>
    <t>斐然</t>
  </si>
  <si>
    <r>
      <t>邓</t>
    </r>
    <r>
      <rPr>
        <sz val="11"/>
        <color theme="1"/>
        <rFont val="ＭＳ Ｐゴシック"/>
        <family val="3"/>
        <charset val="128"/>
        <scheme val="minor"/>
      </rPr>
      <t>全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</si>
  <si>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 xml:space="preserve">葡萄酒; 黄酒; 白酒; 露酒; 威士忌; 高粱酒; 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</si>
  <si>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致同和</t>
  </si>
  <si>
    <r>
      <t>中山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</si>
  <si>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</si>
  <si>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碧山</t>
    </r>
    <r>
      <rPr>
        <sz val="11"/>
        <color theme="1"/>
        <rFont val="ＭＳ Ｐゴシック"/>
        <family val="3"/>
        <charset val="134"/>
        <scheme val="minor"/>
      </rPr>
      <t>银罗</t>
    </r>
    <r>
      <rPr>
        <sz val="11"/>
        <color theme="1"/>
        <rFont val="ＭＳ Ｐゴシック"/>
        <family val="3"/>
        <charset val="128"/>
        <scheme val="minor"/>
      </rPr>
      <t>寨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</si>
  <si>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平山街道碧山股份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</si>
  <si>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>白酒; 伏特加酒; 清酒; 果酒（含酒精）; 威士忌;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葡萄酒; 米酒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</si>
  <si>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愿人</t>
    </r>
  </si>
  <si>
    <r>
      <t>深圳豪瑞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</si>
  <si>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汽酒</t>
    </r>
  </si>
  <si>
    <r>
      <t>终</t>
    </r>
    <r>
      <rPr>
        <sz val="11"/>
        <color theme="1"/>
        <rFont val="ＭＳ Ｐゴシック"/>
        <family val="3"/>
        <charset val="128"/>
        <scheme val="minor"/>
      </rPr>
      <t>极者</t>
    </r>
  </si>
  <si>
    <r>
      <t>内蒙古呼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元世祖畜牧</t>
    </r>
    <r>
      <rPr>
        <sz val="11"/>
        <color theme="1"/>
        <rFont val="ＭＳ Ｐゴシック"/>
        <family val="3"/>
        <charset val="134"/>
        <scheme val="minor"/>
      </rPr>
      <t>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</si>
  <si>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</t>
    </r>
  </si>
  <si>
    <t>莱·比克多 LE PICTEAU</t>
  </si>
  <si>
    <r>
      <t>河北潮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</si>
  <si>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伏特加酒; 威士忌; 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</si>
  <si>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t>瑞新仕爵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</si>
  <si>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威士忌; 汽酒;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</si>
  <si>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䞪星呈酔 JIANGXINCHENZUI</t>
  </si>
  <si>
    <r>
      <t>酒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储</t>
    </r>
    <r>
      <rPr>
        <sz val="11"/>
        <color theme="1"/>
        <rFont val="ＭＳ Ｐゴシック"/>
        <family val="3"/>
        <charset val="128"/>
        <scheme val="minor"/>
      </rP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</si>
  <si>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</si>
  <si>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江溢</t>
    </r>
    <r>
      <rPr>
        <sz val="11"/>
        <color theme="1"/>
        <rFont val="ＭＳ Ｐゴシック"/>
        <family val="3"/>
        <charset val="134"/>
        <scheme val="minor"/>
      </rPr>
      <t>诚满</t>
    </r>
  </si>
  <si>
    <t>薛晶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</si>
  <si>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刺五加酒;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五加皮酒（中国混合烈酒）</t>
    </r>
  </si>
  <si>
    <t>旦嘴</t>
  </si>
  <si>
    <r>
      <t>谭</t>
    </r>
    <r>
      <rPr>
        <sz val="11"/>
        <color theme="1"/>
        <rFont val="ＭＳ Ｐゴシック"/>
        <family val="3"/>
        <charset val="128"/>
        <scheme val="minor"/>
      </rPr>
      <t>伯虎</t>
    </r>
  </si>
  <si>
    <r>
      <t>蜂蜜酒;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</si>
  <si>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圳十五</t>
  </si>
  <si>
    <r>
      <t>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</si>
  <si>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普拉塔</t>
  </si>
  <si>
    <r>
      <t>福建拉曼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</si>
  <si>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果酒;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威士忌; 葡萄酒; 白酒</t>
    </r>
  </si>
  <si>
    <t>梅口笑</t>
  </si>
  <si>
    <r>
      <t>李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</si>
  <si>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</si>
  <si>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因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知美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</si>
  <si>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</si>
  <si>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烈酒;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果酒（含酒精）;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</si>
  <si>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哈拉炫</t>
  </si>
  <si>
    <r>
      <t>资</t>
    </r>
    <r>
      <rPr>
        <sz val="11"/>
        <color theme="1"/>
        <rFont val="ＭＳ Ｐゴシック"/>
        <family val="3"/>
        <charset val="128"/>
        <scheme val="minor"/>
      </rPr>
      <t>阳市雁江区丰裕趣放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</si>
  <si>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开胃酒; 果酒（含酒精）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</si>
  <si>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晖诺</t>
    </r>
    <r>
      <rPr>
        <sz val="11"/>
        <color theme="1"/>
        <rFont val="ＭＳ Ｐゴシック"/>
        <family val="3"/>
        <charset val="128"/>
        <scheme val="minor"/>
      </rPr>
      <t>言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</si>
  <si>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</si>
  <si>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 xml:space="preserve">葡萄酒; 果酒（含酒精）; 酸酒（低等葡萄酒）;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</si>
  <si>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凯丽</t>
    </r>
    <r>
      <rPr>
        <sz val="11"/>
        <color theme="1"/>
        <rFont val="ＭＳ Ｐゴシック"/>
        <family val="3"/>
        <charset val="128"/>
        <scheme val="minor"/>
      </rPr>
      <t>科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</si>
  <si>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飞扬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</si>
  <si>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伏特加酒; 威士忌</t>
    </r>
  </si>
  <si>
    <r>
      <t>粱大侠神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窖主</t>
    </r>
  </si>
  <si>
    <r>
      <t>北京地心引力网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</si>
  <si>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</si>
  <si>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三千老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</si>
  <si>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玖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捌捌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</si>
  <si>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</si>
  <si>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云海</t>
    </r>
    <r>
      <rPr>
        <sz val="11"/>
        <color theme="1"/>
        <rFont val="ＭＳ Ｐゴシック"/>
        <family val="3"/>
        <charset val="134"/>
        <scheme val="minor"/>
      </rPr>
      <t>庐</t>
    </r>
  </si>
  <si>
    <r>
      <t>淮北市云海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</si>
  <si>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威士忌; 白酒; 黄酒</t>
    </r>
  </si>
  <si>
    <r>
      <t>妙小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</si>
  <si>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深圳市妙工坊工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礼品有限公司</t>
    </r>
  </si>
  <si>
    <r>
      <t>米酒;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</si>
  <si>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玲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兔</t>
    </r>
  </si>
  <si>
    <r>
      <t>保定市</t>
    </r>
    <r>
      <rPr>
        <sz val="11"/>
        <color theme="1"/>
        <rFont val="ＭＳ Ｐゴシック"/>
        <family val="3"/>
        <charset val="134"/>
        <scheme val="minor"/>
      </rPr>
      <t>华伟</t>
    </r>
    <r>
      <rPr>
        <sz val="11"/>
        <color theme="1"/>
        <rFont val="ＭＳ Ｐゴシック"/>
        <family val="3"/>
        <charset val="128"/>
        <scheme val="minor"/>
      </rPr>
      <t>梁行商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</si>
  <si>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梅酒; 食用酒精; 白酒;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</si>
  <si>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竺</t>
    </r>
    <r>
      <rPr>
        <sz val="11"/>
        <color theme="1"/>
        <rFont val="ＭＳ Ｐゴシック"/>
        <family val="3"/>
        <charset val="134"/>
        <scheme val="minor"/>
      </rPr>
      <t>宾</t>
    </r>
  </si>
  <si>
    <t>何振禧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</si>
  <si>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清酒;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</si>
  <si>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</si>
  <si>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市夜</t>
    </r>
    <r>
      <rPr>
        <sz val="11"/>
        <color theme="1"/>
        <rFont val="ＭＳ Ｐゴシック"/>
        <family val="3"/>
        <charset val="134"/>
        <scheme val="minor"/>
      </rPr>
      <t>阑</t>
    </r>
    <r>
      <rPr>
        <sz val="11"/>
        <color theme="1"/>
        <rFont val="ＭＳ Ｐゴシック"/>
        <family val="3"/>
        <charset val="128"/>
        <scheme val="minor"/>
      </rPr>
      <t>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</si>
  <si>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果酒（含酒精）; 黄酒; 米酒</t>
    </r>
  </si>
  <si>
    <r>
      <t>常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君品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</si>
  <si>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州黔晟悦宇酒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</si>
  <si>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</si>
  <si>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螭首</t>
  </si>
  <si>
    <r>
      <t>徐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</si>
  <si>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葡萄酒; 果酒（含酒精）; 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</si>
  <si>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事宏达</t>
  </si>
  <si>
    <r>
      <t>陈权</t>
    </r>
    <r>
      <rPr>
        <sz val="11"/>
        <color theme="1"/>
        <rFont val="ＭＳ Ｐゴシック"/>
        <family val="3"/>
        <charset val="128"/>
        <scheme val="minor"/>
      </rPr>
      <t>宏</t>
    </r>
  </si>
  <si>
    <r>
      <t>露酒; 青稞酒;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梨酒; 白酒; 果酒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</si>
  <si>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唐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</si>
  <si>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中茶盟(珠海)健康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</si>
  <si>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</t>
    </r>
  </si>
  <si>
    <r>
      <t>北京呆萌餐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</si>
  <si>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果酒（含酒精）; 葡萄酒; 黄酒; 杜松子酒; 混合威士忌酒;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</si>
  <si>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福聚良辰</t>
  </si>
  <si>
    <r>
      <t>吕</t>
    </r>
    <r>
      <rPr>
        <sz val="11"/>
        <color theme="1"/>
        <rFont val="ＭＳ Ｐゴシック"/>
        <family val="3"/>
        <charset val="128"/>
        <scheme val="minor"/>
      </rPr>
      <t>璐</t>
    </r>
  </si>
  <si>
    <r>
      <t>白酒; 黄酒; 米酒; 果酒; 利口酒;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</si>
  <si>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宁府</t>
    </r>
  </si>
  <si>
    <r>
      <t>南京多享投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</si>
  <si>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伏特加酒; 米酒; 汽酒;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</si>
  <si>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荣耀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煌</t>
    </r>
  </si>
  <si>
    <r>
      <t>北京中合聚源投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</si>
  <si>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汽酒; 高粱酒; 白酒; 青稞酒; 开胃酒</t>
    </r>
  </si>
  <si>
    <r>
      <t>鹿</t>
    </r>
    <r>
      <rPr>
        <sz val="11"/>
        <color theme="1"/>
        <rFont val="ＭＳ Ｐゴシック"/>
        <family val="3"/>
        <charset val="129"/>
        <scheme val="minor"/>
      </rPr>
      <t>硐</t>
    </r>
    <r>
      <rPr>
        <sz val="11"/>
        <color theme="1"/>
        <rFont val="ＭＳ Ｐゴシック"/>
        <family val="3"/>
        <charset val="128"/>
        <scheme val="minor"/>
      </rPr>
      <t>丁二</t>
    </r>
    <r>
      <rPr>
        <sz val="11"/>
        <color theme="1"/>
        <rFont val="ＭＳ Ｐゴシック"/>
        <family val="3"/>
        <charset val="134"/>
        <scheme val="minor"/>
      </rPr>
      <t>俩</t>
    </r>
  </si>
  <si>
    <t>丁由金</t>
  </si>
  <si>
    <r>
      <t>黄酒; 烈酒; 果酒; 利口酒; 葡萄酒; 佐餐酒;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</t>
    </r>
  </si>
  <si>
    <t>逢知遇</t>
  </si>
  <si>
    <t>王堃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</si>
  <si>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餐后酒（利口酒和烈酒）; 米酒; 葡萄酒; 苹果酒</t>
    </r>
  </si>
  <si>
    <r>
      <t>痴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</si>
  <si>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露酒; 葡萄酒; 米酒; 黄酒; 烈酒; 果酒（含酒精）</t>
    </r>
  </si>
  <si>
    <t>莱·卡比奥 LE CABIO</t>
  </si>
  <si>
    <r>
      <t>葡萄酒; 伏特加酒;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果酒</t>
    </r>
  </si>
  <si>
    <t>儒月</t>
  </si>
  <si>
    <t>李富安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</si>
  <si>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</t>
    </r>
  </si>
  <si>
    <r>
      <t>圣洛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</si>
  <si>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江仁合堂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</si>
  <si>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蜂蜜酒;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</si>
  <si>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琥瑰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玢</t>
    </r>
  </si>
  <si>
    <t>山西国青玢花酒文化有限公司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</si>
  <si>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食用酒精</t>
    </r>
  </si>
  <si>
    <t>蟹小野</t>
  </si>
  <si>
    <t>苗旭城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</si>
  <si>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汽酒</t>
    </r>
  </si>
  <si>
    <r>
      <t xml:space="preserve">葡萄酒; 开胃酒; 蜂蜜酒;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</t>
    </r>
  </si>
  <si>
    <r>
      <t>醉不</t>
    </r>
    <r>
      <rPr>
        <sz val="11"/>
        <color theme="1"/>
        <rFont val="ＭＳ Ｐゴシック"/>
        <family val="3"/>
        <charset val="134"/>
        <scheme val="minor"/>
      </rPr>
      <t>让</t>
    </r>
  </si>
  <si>
    <r>
      <t>南宁市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之点科技有限公司</t>
    </r>
  </si>
  <si>
    <r>
      <t xml:space="preserve">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</si>
  <si>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</si>
  <si>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酸酒（低等葡萄酒）;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</si>
  <si>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擎淮</t>
  </si>
  <si>
    <r>
      <t>淮安市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翔</t>
    </r>
    <r>
      <rPr>
        <sz val="11"/>
        <color theme="1"/>
        <rFont val="ＭＳ Ｐゴシック"/>
        <family val="3"/>
        <charset val="134"/>
        <scheme val="minor"/>
      </rPr>
      <t>农贸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</si>
  <si>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威士忌; 米酒; 葡萄酒; 黄酒;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</si>
  <si>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安可汪</t>
  </si>
  <si>
    <r>
      <t>成都高新麦佛企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</si>
  <si>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蜂蜜酒;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</si>
  <si>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睿疆</t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</si>
  <si>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</si>
  <si>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羽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</si>
  <si>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州春羽田园生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</si>
  <si>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蜂蜜酒;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梨酒</t>
    </r>
  </si>
  <si>
    <r>
      <t>妈妈</t>
    </r>
    <r>
      <rPr>
        <sz val="11"/>
        <color theme="1"/>
        <rFont val="ＭＳ Ｐゴシック"/>
        <family val="3"/>
        <charset val="128"/>
        <scheme val="minor"/>
      </rPr>
      <t>果 ORG.MAMA</t>
    </r>
  </si>
  <si>
    <t>北京正安品致科技有限公司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</si>
  <si>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</si>
  <si>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拜月媋</t>
    </r>
    <r>
      <rPr>
        <sz val="11"/>
        <color theme="1"/>
        <rFont val="ＭＳ Ｐゴシック"/>
        <family val="3"/>
        <charset val="134"/>
        <scheme val="minor"/>
      </rPr>
      <t>汤</t>
    </r>
  </si>
  <si>
    <t>傅孝文</t>
  </si>
  <si>
    <r>
      <t xml:space="preserve">米酒; 果酒（含酒精）; 黄酒; 苦味酒; 杜松子酒;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</t>
    </r>
  </si>
  <si>
    <r>
      <t>匠誉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</si>
  <si>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州年礼酒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</si>
  <si>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食用酒精;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</si>
  <si>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r>
      <t>庐</t>
    </r>
    <r>
      <rPr>
        <sz val="11"/>
        <color theme="1"/>
        <rFont val="ＭＳ Ｐゴシック"/>
        <family val="3"/>
        <charset val="128"/>
        <scheme val="minor"/>
      </rPr>
      <t>川山</t>
    </r>
  </si>
  <si>
    <r>
      <t>段欣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</si>
  <si>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葡萄酒; 清酒（日本米酒）; 黄酒; 烈酒; 白酒; 开胃酒;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</si>
  <si>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匠水台</t>
  </si>
  <si>
    <t>叶育广</t>
  </si>
  <si>
    <r>
      <t>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</si>
  <si>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周先雨</t>
  </si>
  <si>
    <r>
      <t>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</si>
  <si>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花叶渡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</si>
  <si>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礼文化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</si>
  <si>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高粱酒; 烈酒;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</si>
  <si>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首唯</t>
  </si>
  <si>
    <r>
      <t>北京首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</si>
  <si>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葡萄酒; 甜果酒; 伏特加酒;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</si>
  <si>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游熹</t>
  </si>
  <si>
    <r>
      <t>柒</t>
    </r>
    <r>
      <rPr>
        <sz val="11"/>
        <color theme="1"/>
        <rFont val="ＭＳ Ｐゴシック"/>
        <family val="3"/>
        <charset val="134"/>
        <scheme val="minor"/>
      </rPr>
      <t>荚</t>
    </r>
    <r>
      <rPr>
        <sz val="11"/>
        <color theme="1"/>
        <rFont val="ＭＳ Ｐゴシック"/>
        <family val="3"/>
        <charset val="128"/>
        <scheme val="minor"/>
      </rPr>
      <t>咦（北京）餐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</si>
  <si>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果酒</t>
    </r>
  </si>
  <si>
    <t>慕晴雪</t>
  </si>
  <si>
    <t>李魁</t>
  </si>
  <si>
    <r>
      <t>薄荷酒; 伏特加酒;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</si>
  <si>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</si>
  <si>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</si>
  <si>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JAYME'S CHOICE</t>
  </si>
  <si>
    <r>
      <t>觉</t>
    </r>
    <r>
      <rPr>
        <sz val="11"/>
        <color theme="1"/>
        <rFont val="ＭＳ Ｐゴシック"/>
        <family val="3"/>
        <charset val="128"/>
        <scheme val="minor"/>
      </rPr>
      <t>美臻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（深圳）科技有限公司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</si>
  <si>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佐餐酒;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</t>
    </r>
  </si>
  <si>
    <t>ZUNVO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</si>
  <si>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</si>
  <si>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巧雅</t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</si>
  <si>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汽酒; 果酒（含酒精）;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</si>
  <si>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江坊情</t>
  </si>
  <si>
    <r>
      <t>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威士忌</t>
    </r>
  </si>
  <si>
    <t>瑶寨村姑</t>
  </si>
  <si>
    <r>
      <t>李先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</si>
  <si>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米酒; 威士忌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</si>
  <si>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状元坊</t>
    </r>
  </si>
  <si>
    <r>
      <t>成都乾隆状元坊酒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</si>
  <si>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</si>
  <si>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遵尚博</t>
  </si>
  <si>
    <r>
      <t>葡萄酒; 烈酒; 白酒; 米酒; 蒸煮提取物（利口酒和烈酒）; 高粱酒;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</si>
  <si>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好拾光</t>
    </r>
  </si>
  <si>
    <r>
      <t>常熟市日禾成餐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</si>
  <si>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苦味酒; 茴芹酒（利口酒）; 食用酒精; 白酒; 葡萄酒; 果酒（含酒精）; 青稞酒; 汽酒; 黄酒; 薄荷酒</t>
  </si>
  <si>
    <r>
      <t>莱·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克多 LE BECHDOT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</si>
  <si>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果酒; 烈酒; 利口酒;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</si>
  <si>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咚咚</t>
    </r>
    <r>
      <rPr>
        <sz val="11"/>
        <color theme="1"/>
        <rFont val="ＭＳ Ｐゴシック"/>
        <family val="3"/>
        <charset val="128"/>
        <scheme val="minor"/>
      </rPr>
      <t>虎</t>
    </r>
  </si>
  <si>
    <t>合肥谷耀食品有限公司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</si>
  <si>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</si>
  <si>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方十五</t>
    </r>
  </si>
  <si>
    <r>
      <t>白酒; 葡萄酒;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高粱酒;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</si>
  <si>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酌瀚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</si>
  <si>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北京卓翰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</si>
  <si>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白酒; 苦味酒; 茴香酒（利口酒）;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茴芹酒（利口酒）; 薄荷酒</t>
    </r>
  </si>
  <si>
    <t>BURNT SHIP BAY</t>
  </si>
  <si>
    <r>
      <t xml:space="preserve">果酒（含酒精）; 米酒; 黄酒; 开胃酒;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甜酒; 高粱酒; 白酒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</si>
  <si>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</si>
  <si>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</si>
  <si>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情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</si>
  <si>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酸酒（低等葡萄酒）;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</si>
  <si>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钱东</t>
    </r>
    <r>
      <rPr>
        <sz val="11"/>
        <color theme="1"/>
        <rFont val="ＭＳ Ｐゴシック"/>
        <family val="3"/>
        <charset val="128"/>
        <scheme val="minor"/>
      </rPr>
      <t>南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</si>
  <si>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明江</t>
    </r>
  </si>
  <si>
    <r>
      <t>烈酒;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含酒精蛋奶酒;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开胃酒</t>
    </r>
  </si>
  <si>
    <r>
      <t>揽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</si>
  <si>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杜松子酒; 白酒; 伏特加酒; 黄酒</t>
    </r>
  </si>
  <si>
    <t>巍麒邦酒庄</t>
  </si>
  <si>
    <t>巍麒邦酒庄有限公司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</si>
  <si>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汽酒; 果酒（含酒精）</t>
    </r>
  </si>
  <si>
    <t>伯奇金兔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</si>
  <si>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莞市帕克酒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</si>
  <si>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白酒; 葡萄酒; 开胃酒;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清酒（日本米酒）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</si>
  <si>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运酒尚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</si>
  <si>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青稞酒; 果酒（含酒精）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</si>
  <si>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知源</t>
    </r>
  </si>
  <si>
    <r>
      <t>新疆春思秋雨餐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</si>
  <si>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</si>
  <si>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格瓴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</si>
  <si>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格瓴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（上海）商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</si>
  <si>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</si>
  <si>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熙</t>
    </r>
  </si>
  <si>
    <r>
      <t>东营</t>
    </r>
    <r>
      <rPr>
        <sz val="11"/>
        <color theme="1"/>
        <rFont val="ＭＳ Ｐゴシック"/>
        <family val="3"/>
        <charset val="128"/>
        <scheme val="minor"/>
      </rPr>
      <t>勇昇奇商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</si>
  <si>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露酒; 甜酒; 果酒; 开胃酒;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</si>
  <si>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窖真祥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</si>
  <si>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</si>
  <si>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白酒; 利口酒; 威士忌</t>
    </r>
  </si>
  <si>
    <r>
      <t>庄河市仙人洞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兄弟餐</t>
    </r>
    <r>
      <rPr>
        <sz val="11"/>
        <color theme="1"/>
        <rFont val="ＭＳ Ｐゴシック"/>
        <family val="3"/>
        <charset val="134"/>
        <scheme val="minor"/>
      </rPr>
      <t>厅</t>
    </r>
  </si>
  <si>
    <r>
      <t>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</si>
  <si>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宝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</si>
  <si>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宝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</si>
  <si>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朗姆酒; 烈酒; 白酒; 白干酒（中国白酒）</t>
    </r>
  </si>
  <si>
    <r>
      <t xml:space="preserve">果酒; 黄酒; 白酒; 白葡萄酒;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清酒</t>
    </r>
  </si>
  <si>
    <t>朋羲客</t>
  </si>
  <si>
    <t>何文峰</t>
  </si>
  <si>
    <r>
      <t xml:space="preserve">蜂蜜酒;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</si>
  <si>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沣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</si>
  <si>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海蓉（海南）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</si>
  <si>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黄酒</t>
    </r>
  </si>
  <si>
    <t>冉阳</t>
  </si>
  <si>
    <r>
      <t>钦</t>
    </r>
    <r>
      <rPr>
        <sz val="11"/>
        <color theme="1"/>
        <rFont val="ＭＳ Ｐゴシック"/>
        <family val="3"/>
        <charset val="128"/>
        <scheme val="minor"/>
      </rPr>
      <t>州市福悦餐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</si>
  <si>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苦味酒;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白干酒（中国白酒）;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</si>
  <si>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</si>
  <si>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岛华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</si>
  <si>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伏特加酒; 青稞酒; 白酒; 黄酒; 苹果酒</t>
    </r>
  </si>
  <si>
    <r>
      <t>终</t>
    </r>
    <r>
      <rPr>
        <sz val="11"/>
        <color theme="1"/>
        <rFont val="ＭＳ Ｐゴシック"/>
        <family val="3"/>
        <charset val="128"/>
        <scheme val="minor"/>
      </rPr>
      <t>冕者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</si>
  <si>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开胃酒; 利口酒; 威士忌</t>
    </r>
  </si>
  <si>
    <t>拾魁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</si>
  <si>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</si>
  <si>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灵阳棒</t>
  </si>
  <si>
    <t>赫占</t>
  </si>
  <si>
    <r>
      <t xml:space="preserve">开胃酒; 黄酒; 利口酒;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</si>
  <si>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t>FAIRE UN VOEU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</si>
  <si>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开胃酒</t>
    </r>
  </si>
  <si>
    <t>五五奎河</t>
  </si>
  <si>
    <r>
      <t>新疆五五酒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</si>
  <si>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</si>
  <si>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璟</t>
    </r>
    <r>
      <rPr>
        <sz val="11"/>
        <color theme="1"/>
        <rFont val="ＭＳ Ｐゴシック"/>
        <family val="3"/>
        <charset val="134"/>
        <scheme val="minor"/>
      </rPr>
      <t>颢</t>
    </r>
    <r>
      <rPr>
        <sz val="11"/>
        <color theme="1"/>
        <rFont val="ＭＳ Ｐゴシック"/>
        <family val="3"/>
        <charset val="128"/>
        <scheme val="minor"/>
      </rPr>
      <t>潮富</t>
    </r>
  </si>
  <si>
    <t>黄潮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</si>
  <si>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果酒; 白酒; 清酒（日本米酒）;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</si>
  <si>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方三十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</si>
  <si>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高粱酒; 葡萄酒; 烈性干酒;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白酒</t>
    </r>
  </si>
  <si>
    <t>酌瀚</t>
  </si>
  <si>
    <r>
      <t xml:space="preserve">白酒; 薄荷酒; 果酒（含酒精）; 茴香酒（利口酒）; 茴芹酒（利口酒）;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苦味酒; 开胃酒</t>
    </r>
  </si>
  <si>
    <t>灼爚</t>
  </si>
  <si>
    <t>岳平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</si>
  <si>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</si>
  <si>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台兆丰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</si>
  <si>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俪蓝贸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</si>
  <si>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果酒（含酒精）;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威士忌; 蜂蜜酒</t>
    </r>
  </si>
  <si>
    <t>口天罒正</t>
  </si>
  <si>
    <r>
      <t>德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康文化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</si>
  <si>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</si>
  <si>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滔能</t>
  </si>
  <si>
    <t>梁加彬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</si>
  <si>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开胃酒; 烈酒; 黄酒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</si>
  <si>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人客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</si>
  <si>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人客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</si>
  <si>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蜂蜜酒;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</si>
  <si>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首祥</t>
  </si>
  <si>
    <r>
      <t>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葡萄酒;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</si>
  <si>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威斯特灵</t>
    </r>
  </si>
  <si>
    <r>
      <t>河南省万誉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</si>
  <si>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葡萄酒;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</si>
  <si>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泥淀</t>
  </si>
  <si>
    <t>字光明</t>
  </si>
  <si>
    <r>
      <t>餐后酒（利口酒和烈酒）; 果酒（含酒精）; 清酒（日本米酒）;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</si>
  <si>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洅</t>
    </r>
    <r>
      <rPr>
        <sz val="11"/>
        <color theme="1"/>
        <rFont val="ＭＳ Ｐゴシック"/>
        <family val="3"/>
        <charset val="128"/>
        <scheme val="minor"/>
      </rPr>
      <t>碧</t>
    </r>
  </si>
  <si>
    <r>
      <t>四川省岳池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泰投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（控股）有限公司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</si>
  <si>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烈酒;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</si>
  <si>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青青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人香</t>
    </r>
  </si>
  <si>
    <r>
      <t>北京醉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</si>
  <si>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朗姆酒; 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米酒; 葡萄酒; 白酒</t>
    </r>
  </si>
  <si>
    <t>雍正状元坊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</si>
  <si>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</si>
  <si>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A6</t>
  </si>
  <si>
    <r>
      <t>西咸新区空港新城隆盼百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</si>
  <si>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蜂蜜酒; 黄酒; 米酒; 葡萄酒; 威士忌</t>
    </r>
  </si>
  <si>
    <r>
      <t>新疆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拉慕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莱思商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</si>
  <si>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薄荷酒; 白酒; 黄酒</t>
    </r>
  </si>
  <si>
    <t>徐小渡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</si>
  <si>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时时发</t>
    </r>
    <r>
      <rPr>
        <sz val="11"/>
        <color theme="1"/>
        <rFont val="ＭＳ Ｐゴシック"/>
        <family val="3"/>
        <charset val="128"/>
        <scheme val="minor"/>
      </rPr>
      <t>数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印刷有限公司</t>
    </r>
  </si>
  <si>
    <r>
      <t>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</si>
  <si>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MINGYI FRUITINDUSTRY</t>
  </si>
  <si>
    <r>
      <t>广西名一果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</si>
  <si>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</si>
  <si>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爚之韵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</si>
  <si>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</si>
  <si>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衡酷祥</t>
  </si>
  <si>
    <r>
      <t>武邑中泰</t>
    </r>
    <r>
      <rPr>
        <sz val="11"/>
        <color theme="1"/>
        <rFont val="ＭＳ Ｐゴシック"/>
        <family val="3"/>
        <charset val="134"/>
        <scheme val="minor"/>
      </rPr>
      <t>办</t>
    </r>
    <r>
      <rPr>
        <sz val="11"/>
        <color theme="1"/>
        <rFont val="ＭＳ Ｐゴシック"/>
        <family val="3"/>
        <charset val="128"/>
        <scheme val="minor"/>
      </rPr>
      <t>公家具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</si>
  <si>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</si>
  <si>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赢时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</si>
  <si>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星之韵供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</si>
  <si>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白酒; 葡萄酒; 果酒（含酒精）;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</si>
  <si>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将湖梦</t>
  </si>
  <si>
    <r>
      <t>曾昭</t>
    </r>
    <r>
      <rPr>
        <sz val="11"/>
        <color theme="1"/>
        <rFont val="ＭＳ Ｐゴシック"/>
        <family val="3"/>
        <charset val="134"/>
        <scheme val="minor"/>
      </rPr>
      <t>骏</t>
    </r>
  </si>
  <si>
    <r>
      <t>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开胃酒; 黄酒; 白酒; 葡萄酒</t>
    </r>
  </si>
  <si>
    <r>
      <t>斟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</si>
  <si>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甜酒; 果酒（含酒精）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</si>
  <si>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使者</t>
    </r>
  </si>
  <si>
    <r>
      <t>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</si>
  <si>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晋享竹</t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</si>
  <si>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</si>
  <si>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湖北陵丰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</si>
  <si>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高粱酒;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</si>
  <si>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陵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楚味</t>
    </r>
  </si>
  <si>
    <r>
      <t>葡萄酒;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高粱酒;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</si>
  <si>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疆蓬</t>
  </si>
  <si>
    <r>
      <t>铁门</t>
    </r>
    <r>
      <rPr>
        <sz val="11"/>
        <color theme="1"/>
        <rFont val="ＭＳ Ｐゴシック"/>
        <family val="3"/>
        <charset val="128"/>
        <scheme val="minor"/>
      </rPr>
      <t>关市疆来已来生物科技有限公司</t>
    </r>
  </si>
  <si>
    <r>
      <t>白酒;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</si>
  <si>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极案</t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</si>
  <si>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果酒（含酒精）; 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</si>
  <si>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秀君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</si>
  <si>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甘蔗制烈酒;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</si>
  <si>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醺美娘</t>
  </si>
  <si>
    <r>
      <t>四川曾广酒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</si>
  <si>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高粱酒; 白干酒（中国白酒）; 葡萄酒;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</si>
  <si>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丽华</t>
    </r>
    <r>
      <rPr>
        <sz val="11"/>
        <color theme="1"/>
        <rFont val="ＭＳ Ｐゴシック"/>
        <family val="3"/>
        <charset val="128"/>
        <scheme val="minor"/>
      </rPr>
      <t>大酒店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</si>
  <si>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杜松子酒; 清酒（日本米酒）;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</si>
  <si>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鹿百家</t>
  </si>
  <si>
    <t>周建明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</si>
  <si>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</si>
  <si>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庄春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</si>
  <si>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沂裕丰商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</si>
  <si>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</si>
  <si>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淮然</t>
  </si>
  <si>
    <r>
      <t>安徽淮</t>
    </r>
    <r>
      <rPr>
        <sz val="11"/>
        <color theme="1"/>
        <rFont val="ＭＳ Ｐゴシック"/>
        <family val="3"/>
        <charset val="134"/>
        <scheme val="minor"/>
      </rPr>
      <t>东农产</t>
    </r>
    <r>
      <rPr>
        <sz val="11"/>
        <color theme="1"/>
        <rFont val="ＭＳ Ｐゴシック"/>
        <family val="3"/>
        <charset val="128"/>
        <scheme val="minor"/>
      </rPr>
      <t>品市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</si>
  <si>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</si>
  <si>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田园</t>
    </r>
    <r>
      <rPr>
        <sz val="11"/>
        <color theme="1"/>
        <rFont val="ＭＳ Ｐゴシック"/>
        <family val="3"/>
        <charset val="134"/>
        <scheme val="minor"/>
      </rPr>
      <t>农赋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</si>
  <si>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多斯市惠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种养殖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</si>
  <si>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利口酒</t>
    </r>
  </si>
  <si>
    <r>
      <t>巨</t>
    </r>
    <r>
      <rPr>
        <sz val="11"/>
        <color theme="1"/>
        <rFont val="ＭＳ Ｐゴシック"/>
        <family val="3"/>
        <charset val="134"/>
        <scheme val="minor"/>
      </rPr>
      <t>银</t>
    </r>
  </si>
  <si>
    <t>梁健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</si>
  <si>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</t>
    </r>
  </si>
  <si>
    <t>桶听笑</t>
  </si>
  <si>
    <r>
      <t>周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</si>
  <si>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 xml:space="preserve">葡萄酒; 伏特加酒;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朗姆酒;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</si>
  <si>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步岭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</si>
  <si>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南市汶水</t>
    </r>
    <r>
      <rPr>
        <sz val="11"/>
        <color theme="1"/>
        <rFont val="ＭＳ Ｐゴシック"/>
        <family val="3"/>
        <charset val="134"/>
        <scheme val="minor"/>
      </rPr>
      <t>谣农</t>
    </r>
    <r>
      <rPr>
        <sz val="11"/>
        <color theme="1"/>
        <rFont val="ＭＳ Ｐゴシック"/>
        <family val="3"/>
        <charset val="128"/>
        <scheme val="minor"/>
      </rPr>
      <t>牧有限公司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</si>
  <si>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</si>
  <si>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煲</t>
    </r>
    <r>
      <rPr>
        <sz val="11"/>
        <color theme="1"/>
        <rFont val="ＭＳ Ｐゴシック"/>
        <family val="3"/>
        <charset val="128"/>
        <scheme val="minor"/>
      </rPr>
      <t>甄香</t>
    </r>
  </si>
  <si>
    <t>周光海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</si>
  <si>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葡萄酒; 清酒（日本米酒）; 黄酒</t>
    </r>
  </si>
  <si>
    <r>
      <t>好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一世</t>
    </r>
  </si>
  <si>
    <r>
      <t>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</si>
  <si>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亿蔺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</si>
  <si>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州洪梦酒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</si>
  <si>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</si>
  <si>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馀庆</t>
    </r>
    <r>
      <rPr>
        <sz val="11"/>
        <color theme="1"/>
        <rFont val="ＭＳ Ｐゴシック"/>
        <family val="3"/>
        <charset val="128"/>
        <scheme val="minor"/>
      </rPr>
      <t>佬</t>
    </r>
  </si>
  <si>
    <t>李德洪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</si>
  <si>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</si>
  <si>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义</t>
    </r>
  </si>
  <si>
    <t>何四芳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</si>
  <si>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</si>
  <si>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t>秉衡令</t>
  </si>
  <si>
    <t>吴正松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</si>
  <si>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梨酒; 开胃酒; 清酒（日本米酒）</t>
    </r>
  </si>
  <si>
    <t>双凰台</t>
  </si>
  <si>
    <r>
      <t>胡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</si>
  <si>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</si>
  <si>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酒品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</si>
  <si>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惠君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</si>
  <si>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高粱酒; 烈酒;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</si>
  <si>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骏</t>
    </r>
  </si>
  <si>
    <r>
      <t>西安一桐春坊商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</si>
  <si>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黄酒; 葡萄酒; 汽酒; 白酒</t>
    </r>
  </si>
  <si>
    <r>
      <t>晓风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</si>
  <si>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温州</t>
    </r>
    <r>
      <rPr>
        <sz val="11"/>
        <color theme="1"/>
        <rFont val="ＭＳ Ｐゴシック"/>
        <family val="3"/>
        <charset val="134"/>
        <scheme val="minor"/>
      </rPr>
      <t>萨为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</si>
  <si>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葡萄酒; 清酒（日本米酒）;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</si>
  <si>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祝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</si>
  <si>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祖生物科技有限公司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</si>
  <si>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苦味酒;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</si>
  <si>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力的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妙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</si>
  <si>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州金源野生物医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</si>
  <si>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葡萄酒; 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</si>
  <si>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艾广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</si>
  <si>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>湖北材杰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</si>
  <si>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烈性干酒;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苦艾酒;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</t>
    </r>
  </si>
  <si>
    <t>星博源</t>
  </si>
  <si>
    <r>
      <t>包建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</si>
  <si>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黄酒;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</si>
  <si>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香博源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</si>
  <si>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青稞酒;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</si>
  <si>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朝味家</t>
  </si>
  <si>
    <r>
      <t>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</si>
  <si>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果酒（含酒精）;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天然汽酒;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白干酒（中国白酒）;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葡萄酒; 蜂蜜酒; 米酒</t>
    </r>
  </si>
  <si>
    <t>和瓴</t>
  </si>
  <si>
    <t>夕昂咖啡（北京）有限公司</t>
  </si>
  <si>
    <r>
      <t xml:space="preserve">杜松子酒; 茴香酒（利口酒）;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朗姆酒; 薄荷酒;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</si>
  <si>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孔侯酒</t>
  </si>
  <si>
    <r>
      <t>李</t>
    </r>
    <r>
      <rPr>
        <sz val="11"/>
        <color theme="1"/>
        <rFont val="ＭＳ Ｐゴシック"/>
        <family val="3"/>
        <charset val="134"/>
        <scheme val="minor"/>
      </rPr>
      <t>鉴辉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</si>
  <si>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烈酒; 葡萄酒; 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</si>
  <si>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恒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</si>
  <si>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高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</si>
  <si>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黄酒; 甜酒; 白干酒（中国白酒）;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</si>
  <si>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翁嘉酒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</si>
  <si>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</si>
  <si>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心境</t>
    </r>
    <r>
      <rPr>
        <sz val="11"/>
        <color theme="1"/>
        <rFont val="ＭＳ Ｐゴシック"/>
        <family val="3"/>
        <charset val="134"/>
        <scheme val="minor"/>
      </rPr>
      <t>访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</si>
  <si>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</si>
  <si>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开胃酒; 威士忌; 食用酒精</t>
    </r>
  </si>
  <si>
    <r>
      <t>百旨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</si>
  <si>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唐山白福酒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</si>
  <si>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</si>
  <si>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神叶青牧</t>
  </si>
  <si>
    <r>
      <t>神叶（北京）茶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</si>
  <si>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</si>
  <si>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方牌</t>
    </r>
  </si>
  <si>
    <r>
      <t>食用酒精;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</si>
  <si>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向一</t>
  </si>
  <si>
    <r>
      <t>柳州市星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</si>
  <si>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</si>
  <si>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SUIIKR</t>
  </si>
  <si>
    <t>上海笑涵品牌管理有限公司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</si>
  <si>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葡萄酒;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</si>
  <si>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LEAOPTTLE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</si>
  <si>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米酒; 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葡萄酒</t>
    </r>
  </si>
  <si>
    <t>LOF’S</t>
  </si>
  <si>
    <r>
      <t>广州市中浪装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</si>
  <si>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</si>
  <si>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支云富杰</t>
  </si>
  <si>
    <r>
      <t>广西澳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</si>
  <si>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黄酒; 葡萄酒;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</si>
  <si>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曲尊荣</t>
    </r>
  </si>
  <si>
    <r>
      <t>洪湖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</si>
  <si>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 xml:space="preserve">烈酒;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</si>
  <si>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醉瑶越</t>
  </si>
  <si>
    <t>吴邦耀******************</t>
  </si>
  <si>
    <r>
      <t>葡萄酒;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黄酒; 果酒;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</si>
  <si>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池</t>
    </r>
    <r>
      <rPr>
        <sz val="11"/>
        <color theme="1"/>
        <rFont val="ＭＳ Ｐゴシック"/>
        <family val="3"/>
        <charset val="134"/>
        <scheme val="minor"/>
      </rPr>
      <t>农务</t>
    </r>
    <r>
      <rPr>
        <sz val="11"/>
        <color theme="1"/>
        <rFont val="ＭＳ Ｐゴシック"/>
        <family val="3"/>
        <charset val="128"/>
        <scheme val="minor"/>
      </rPr>
      <t>本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</si>
  <si>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州池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</si>
  <si>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</si>
  <si>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岳州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</si>
  <si>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孙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</si>
  <si>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白葡萄酒;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</si>
  <si>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轩图</t>
    </r>
  </si>
  <si>
    <r>
      <t>福州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</si>
  <si>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</si>
  <si>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七德福</t>
  </si>
  <si>
    <r>
      <t>文山小婷家商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</si>
  <si>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</si>
  <si>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小田云醉</t>
  </si>
  <si>
    <r>
      <t>云南杞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</si>
  <si>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青稞酒; 食用酒精; 白干酒（中国白酒）; 白酒</t>
    </r>
  </si>
  <si>
    <r>
      <t>滘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</si>
  <si>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远发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</si>
  <si>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烈酒; 清酒（日本米酒）; 威士忌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</si>
  <si>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大荒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</si>
  <si>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江关里关外酒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</si>
  <si>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食用酒精; 白酒; 葡萄酒; 高粱酒; 露酒;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</si>
  <si>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立尊</t>
  </si>
  <si>
    <r>
      <t xml:space="preserve">清酒（日本米酒）;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葡萄酒</t>
    </r>
  </si>
  <si>
    <t>潮承壹芯</t>
  </si>
  <si>
    <r>
      <t>深圳一芯酒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</si>
  <si>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</si>
  <si>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伟</t>
    </r>
    <r>
      <rPr>
        <sz val="11"/>
        <color theme="1"/>
        <rFont val="ＭＳ Ｐゴシック"/>
        <family val="3"/>
        <charset val="128"/>
        <scheme val="minor"/>
      </rPr>
      <t>林森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</si>
  <si>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帝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</si>
  <si>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青稞酒;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</si>
  <si>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福寿百宝鹿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</si>
  <si>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仁堂参茸土特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</si>
  <si>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</si>
  <si>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SHIH CHI</t>
  </si>
  <si>
    <r>
      <t>深圳市光喜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</si>
  <si>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</si>
  <si>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博味亨</t>
  </si>
  <si>
    <t>杭州博亨食品有限公司</t>
  </si>
  <si>
    <r>
      <t>露酒; 黄酒; 果酒（含酒精）;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</si>
  <si>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讯</t>
    </r>
    <r>
      <rPr>
        <sz val="11"/>
        <color theme="1"/>
        <rFont val="ＭＳ Ｐゴシック"/>
        <family val="3"/>
        <charset val="128"/>
        <scheme val="minor"/>
      </rPr>
      <t>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</si>
  <si>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深圳市通恒</t>
    </r>
    <r>
      <rPr>
        <sz val="11"/>
        <color theme="1"/>
        <rFont val="ＭＳ Ｐゴシック"/>
        <family val="3"/>
        <charset val="134"/>
        <scheme val="minor"/>
      </rPr>
      <t>伟创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</si>
  <si>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</si>
  <si>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氿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麦</t>
    </r>
  </si>
  <si>
    <r>
      <t>云南鼎</t>
    </r>
    <r>
      <rPr>
        <sz val="11"/>
        <color theme="1"/>
        <rFont val="ＭＳ Ｐゴシック"/>
        <family val="3"/>
        <charset val="134"/>
        <scheme val="minor"/>
      </rPr>
      <t>创营销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</si>
  <si>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水果汽酒;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汽酒</t>
    </r>
  </si>
  <si>
    <r>
      <t>姜小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</si>
  <si>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</si>
  <si>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汶瑶樽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</si>
  <si>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蜂蜜酒; 米酒;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</si>
  <si>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公韵</t>
    </r>
  </si>
  <si>
    <r>
      <t>安阳市三</t>
    </r>
    <r>
      <rPr>
        <sz val="11"/>
        <color theme="1"/>
        <rFont val="ＭＳ Ｐゴシック"/>
        <family val="3"/>
        <charset val="134"/>
        <scheme val="minor"/>
      </rPr>
      <t>联农业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</si>
  <si>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青稞酒; 葡萄酒; 梨酒; 黄酒; 白酒; 薄荷酒;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</si>
  <si>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苗韵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康</t>
    </r>
  </si>
  <si>
    <t>袁丹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</si>
  <si>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露酒; 果酒（含酒精）; 食用酒精; 高粱酒; 白干酒（中国白酒）;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</si>
  <si>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柏</t>
    </r>
  </si>
  <si>
    <r>
      <t>北京御掌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</si>
  <si>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果酒（含酒精）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</si>
</sst>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177" fontId="0" fillId="0" borderId="1" xfId="0" applyNumberFormat="1" applyBorder="1" applyAlignment="1">
      <alignment vertical="top" wrapText="1"/>
    </xf>
    <xf numFmtId="176" fontId="0" fillId="0" borderId="1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177" fontId="2" fillId="0" borderId="1" xfId="1" applyNumberFormat="1" applyFill="1" applyBorder="1" applyAlignment="1">
      <alignment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1696"/>
  <sheetViews>
    <sheetView tabSelected="1" workbookViewId="0"/>
  </sheetViews>
  <sheetFormatPr defaultRowHeight="13.5" x14ac:dyDescent="0.15"/>
  <cols>
    <col min="1" max="1" width="9" style="5"/>
    <col min="2" max="2" width="9" style="10"/>
    <col min="3" max="3" width="9" style="11"/>
    <col min="4" max="4" width="11.625" style="12" customWidth="1"/>
    <col min="5" max="5" width="10.625" style="11" bestFit="1" customWidth="1"/>
    <col min="6" max="6" width="28.375" style="10" customWidth="1"/>
    <col min="7" max="7" width="31.375" style="10" customWidth="1"/>
    <col min="8" max="8" width="100.625" style="10" customWidth="1"/>
    <col min="9" max="9" width="11.625" style="12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6">
        <v>1</v>
      </c>
      <c r="B2" s="7" t="s">
        <v>9</v>
      </c>
      <c r="C2" s="8">
        <v>1889</v>
      </c>
      <c r="D2" s="9">
        <v>45439</v>
      </c>
      <c r="E2" s="13" t="str">
        <f>+HYPERLINK("http://trademark.i-assist.jp/data/china/image_1889th/51593173.pdf","51593173")</f>
        <v>51593173</v>
      </c>
      <c r="F2" s="7" t="s">
        <v>11</v>
      </c>
      <c r="G2" s="7" t="s">
        <v>12</v>
      </c>
      <c r="H2" s="7" t="s">
        <v>13</v>
      </c>
      <c r="I2" s="9">
        <v>44160</v>
      </c>
    </row>
    <row r="3" spans="1:9" ht="27" x14ac:dyDescent="0.15">
      <c r="A3" s="6">
        <v>2</v>
      </c>
      <c r="B3" s="7" t="s">
        <v>9</v>
      </c>
      <c r="C3" s="8">
        <v>1889</v>
      </c>
      <c r="D3" s="9">
        <v>45439</v>
      </c>
      <c r="E3" s="13" t="str">
        <f>+HYPERLINK("http://trademark.i-assist.jp/data/china/image_1889th/52117891.pdf","52117891")</f>
        <v>52117891</v>
      </c>
      <c r="F3" s="7" t="s">
        <v>14</v>
      </c>
      <c r="G3" s="7" t="s">
        <v>12</v>
      </c>
      <c r="H3" s="7" t="s">
        <v>15</v>
      </c>
      <c r="I3" s="9">
        <v>44177</v>
      </c>
    </row>
    <row r="4" spans="1:9" x14ac:dyDescent="0.15">
      <c r="A4" s="6">
        <v>3</v>
      </c>
      <c r="B4" s="7" t="s">
        <v>9</v>
      </c>
      <c r="C4" s="8">
        <v>1889</v>
      </c>
      <c r="D4" s="9">
        <v>45439</v>
      </c>
      <c r="E4" s="13" t="str">
        <f>+HYPERLINK("http://trademark.i-assist.jp/data/china/image_1889th/56974659.pdf","56974659")</f>
        <v>56974659</v>
      </c>
      <c r="F4" s="7" t="s">
        <v>16</v>
      </c>
      <c r="G4" s="7" t="s">
        <v>17</v>
      </c>
      <c r="H4" s="7" t="s">
        <v>18</v>
      </c>
      <c r="I4" s="9">
        <v>44364</v>
      </c>
    </row>
    <row r="5" spans="1:9" x14ac:dyDescent="0.15">
      <c r="A5" s="6">
        <v>4</v>
      </c>
      <c r="B5" s="7" t="s">
        <v>9</v>
      </c>
      <c r="C5" s="8">
        <v>1889</v>
      </c>
      <c r="D5" s="9">
        <v>45439</v>
      </c>
      <c r="E5" s="13" t="str">
        <f>+HYPERLINK("http://trademark.i-assist.jp/data/china/image_1889th/61343394.pdf","61343394")</f>
        <v>61343394</v>
      </c>
      <c r="F5" s="7" t="s">
        <v>19</v>
      </c>
      <c r="G5" s="7" t="s">
        <v>20</v>
      </c>
      <c r="H5" s="7" t="s">
        <v>21</v>
      </c>
      <c r="I5" s="9">
        <v>44543</v>
      </c>
    </row>
    <row r="6" spans="1:9" ht="27" x14ac:dyDescent="0.15">
      <c r="A6" s="6">
        <v>5</v>
      </c>
      <c r="B6" s="7" t="s">
        <v>9</v>
      </c>
      <c r="C6" s="8">
        <v>1889</v>
      </c>
      <c r="D6" s="9">
        <v>45439</v>
      </c>
      <c r="E6" s="13" t="str">
        <f>+HYPERLINK("http://trademark.i-assist.jp/data/china/image_1889th/61585916.pdf","61585916")</f>
        <v>61585916</v>
      </c>
      <c r="F6" s="7" t="s">
        <v>22</v>
      </c>
      <c r="G6" s="7" t="s">
        <v>23</v>
      </c>
      <c r="H6" s="7" t="s">
        <v>24</v>
      </c>
      <c r="I6" s="9">
        <v>44551</v>
      </c>
    </row>
    <row r="7" spans="1:9" x14ac:dyDescent="0.15">
      <c r="A7" s="6">
        <v>6</v>
      </c>
      <c r="B7" s="7" t="s">
        <v>9</v>
      </c>
      <c r="C7" s="8">
        <v>1889</v>
      </c>
      <c r="D7" s="9">
        <v>45439</v>
      </c>
      <c r="E7" s="13" t="str">
        <f>+HYPERLINK("http://trademark.i-assist.jp/data/china/image_1889th/63020474.pdf","63020474")</f>
        <v>63020474</v>
      </c>
      <c r="F7" s="7" t="s">
        <v>25</v>
      </c>
      <c r="G7" s="7" t="s">
        <v>26</v>
      </c>
      <c r="H7" s="7" t="s">
        <v>27</v>
      </c>
      <c r="I7" s="9">
        <v>44624</v>
      </c>
    </row>
    <row r="8" spans="1:9" x14ac:dyDescent="0.15">
      <c r="A8" s="6">
        <v>7</v>
      </c>
      <c r="B8" s="7" t="s">
        <v>9</v>
      </c>
      <c r="C8" s="8">
        <v>1889</v>
      </c>
      <c r="D8" s="9">
        <v>45439</v>
      </c>
      <c r="E8" s="13" t="str">
        <f>+HYPERLINK("http://trademark.i-assist.jp/data/china/image_1889th/64330877.pdf","64330877")</f>
        <v>64330877</v>
      </c>
      <c r="F8" s="7" t="s">
        <v>28</v>
      </c>
      <c r="G8" s="7" t="s">
        <v>29</v>
      </c>
      <c r="H8" s="7" t="s">
        <v>30</v>
      </c>
      <c r="I8" s="9">
        <v>44679</v>
      </c>
    </row>
    <row r="9" spans="1:9" x14ac:dyDescent="0.15">
      <c r="A9" s="6">
        <v>8</v>
      </c>
      <c r="B9" s="7" t="s">
        <v>9</v>
      </c>
      <c r="C9" s="8">
        <v>1889</v>
      </c>
      <c r="D9" s="9">
        <v>45439</v>
      </c>
      <c r="E9" s="13" t="str">
        <f>+HYPERLINK("http://trademark.i-assist.jp/data/china/image_1889th/64544355.pdf","64544355")</f>
        <v>64544355</v>
      </c>
      <c r="F9" s="7" t="s">
        <v>31</v>
      </c>
      <c r="G9" s="7" t="s">
        <v>32</v>
      </c>
      <c r="H9" s="7" t="s">
        <v>33</v>
      </c>
      <c r="I9" s="9">
        <v>44692</v>
      </c>
    </row>
    <row r="10" spans="1:9" x14ac:dyDescent="0.15">
      <c r="A10" s="6">
        <v>9</v>
      </c>
      <c r="B10" s="7" t="s">
        <v>9</v>
      </c>
      <c r="C10" s="8">
        <v>1889</v>
      </c>
      <c r="D10" s="9">
        <v>45439</v>
      </c>
      <c r="E10" s="13" t="str">
        <f>+HYPERLINK("http://trademark.i-assist.jp/data/china/image_1889th/66262468.pdf","66262468")</f>
        <v>66262468</v>
      </c>
      <c r="F10" s="7" t="s">
        <v>34</v>
      </c>
      <c r="G10" s="7" t="s">
        <v>35</v>
      </c>
      <c r="H10" s="7" t="s">
        <v>36</v>
      </c>
      <c r="I10" s="9">
        <v>44771</v>
      </c>
    </row>
    <row r="11" spans="1:9" ht="27" x14ac:dyDescent="0.15">
      <c r="A11" s="6">
        <v>10</v>
      </c>
      <c r="B11" s="7" t="s">
        <v>9</v>
      </c>
      <c r="C11" s="8">
        <v>1889</v>
      </c>
      <c r="D11" s="9">
        <v>45439</v>
      </c>
      <c r="E11" s="13" t="str">
        <f>+HYPERLINK("http://trademark.i-assist.jp/data/china/image_1889th/66343593.pdf","66343593")</f>
        <v>66343593</v>
      </c>
      <c r="F11" s="7" t="s">
        <v>37</v>
      </c>
      <c r="G11" s="7" t="s">
        <v>38</v>
      </c>
      <c r="H11" s="7" t="s">
        <v>39</v>
      </c>
      <c r="I11" s="9">
        <v>44775</v>
      </c>
    </row>
    <row r="12" spans="1:9" x14ac:dyDescent="0.15">
      <c r="A12" s="6">
        <v>11</v>
      </c>
      <c r="B12" s="7" t="s">
        <v>9</v>
      </c>
      <c r="C12" s="8">
        <v>1889</v>
      </c>
      <c r="D12" s="9">
        <v>45439</v>
      </c>
      <c r="E12" s="13" t="str">
        <f>+HYPERLINK("http://trademark.i-assist.jp/data/china/image_1889th/67354933.pdf","67354933")</f>
        <v>67354933</v>
      </c>
      <c r="F12" s="7" t="s">
        <v>40</v>
      </c>
      <c r="G12" s="7" t="s">
        <v>41</v>
      </c>
      <c r="H12" s="7" t="s">
        <v>42</v>
      </c>
      <c r="I12" s="9">
        <v>44826</v>
      </c>
    </row>
    <row r="13" spans="1:9" x14ac:dyDescent="0.15">
      <c r="A13" s="6">
        <v>12</v>
      </c>
      <c r="B13" s="7" t="s">
        <v>9</v>
      </c>
      <c r="C13" s="8">
        <v>1889</v>
      </c>
      <c r="D13" s="9">
        <v>45439</v>
      </c>
      <c r="E13" s="13" t="str">
        <f>+HYPERLINK("http://trademark.i-assist.jp/data/china/image_1889th/67500066.pdf","67500066")</f>
        <v>67500066</v>
      </c>
      <c r="F13" s="7" t="s">
        <v>43</v>
      </c>
      <c r="G13" s="7" t="s">
        <v>44</v>
      </c>
      <c r="H13" s="7" t="s">
        <v>45</v>
      </c>
      <c r="I13" s="9">
        <v>44833</v>
      </c>
    </row>
    <row r="14" spans="1:9" x14ac:dyDescent="0.15">
      <c r="A14" s="6">
        <v>13</v>
      </c>
      <c r="B14" s="7" t="s">
        <v>9</v>
      </c>
      <c r="C14" s="8">
        <v>1889</v>
      </c>
      <c r="D14" s="9">
        <v>45439</v>
      </c>
      <c r="E14" s="13" t="str">
        <f>+HYPERLINK("http://trademark.i-assist.jp/data/china/image_1889th/68093405.pdf","68093405")</f>
        <v>68093405</v>
      </c>
      <c r="F14" s="7" t="s">
        <v>46</v>
      </c>
      <c r="G14" s="7" t="s">
        <v>47</v>
      </c>
      <c r="H14" s="7" t="s">
        <v>48</v>
      </c>
      <c r="I14" s="9">
        <v>44867</v>
      </c>
    </row>
    <row r="15" spans="1:9" x14ac:dyDescent="0.15">
      <c r="A15" s="6">
        <v>14</v>
      </c>
      <c r="B15" s="7" t="s">
        <v>9</v>
      </c>
      <c r="C15" s="8">
        <v>1889</v>
      </c>
      <c r="D15" s="9">
        <v>45439</v>
      </c>
      <c r="E15" s="13" t="str">
        <f>+HYPERLINK("http://trademark.i-assist.jp/data/china/image_1889th/68945322.pdf","68945322")</f>
        <v>68945322</v>
      </c>
      <c r="F15" s="7" t="s">
        <v>49</v>
      </c>
      <c r="G15" s="7" t="s">
        <v>50</v>
      </c>
      <c r="H15" s="7" t="s">
        <v>51</v>
      </c>
      <c r="I15" s="9">
        <v>44916</v>
      </c>
    </row>
    <row r="16" spans="1:9" x14ac:dyDescent="0.15">
      <c r="A16" s="6">
        <v>15</v>
      </c>
      <c r="B16" s="7" t="s">
        <v>9</v>
      </c>
      <c r="C16" s="8">
        <v>1889</v>
      </c>
      <c r="D16" s="9">
        <v>45439</v>
      </c>
      <c r="E16" s="13" t="str">
        <f>+HYPERLINK("http://trademark.i-assist.jp/data/china/image_1889th/69099642.pdf","69099642")</f>
        <v>69099642</v>
      </c>
      <c r="F16" s="7" t="s">
        <v>52</v>
      </c>
      <c r="G16" s="7" t="s">
        <v>53</v>
      </c>
      <c r="H16" s="7" t="s">
        <v>54</v>
      </c>
      <c r="I16" s="9">
        <v>44930</v>
      </c>
    </row>
    <row r="17" spans="1:9" x14ac:dyDescent="0.15">
      <c r="A17" s="6">
        <v>16</v>
      </c>
      <c r="B17" s="7" t="s">
        <v>9</v>
      </c>
      <c r="C17" s="8">
        <v>1889</v>
      </c>
      <c r="D17" s="9">
        <v>45439</v>
      </c>
      <c r="E17" s="13" t="str">
        <f>+HYPERLINK("http://trademark.i-assist.jp/data/china/image_1889th/69367580.pdf","69367580")</f>
        <v>69367580</v>
      </c>
      <c r="F17" s="7" t="s">
        <v>55</v>
      </c>
      <c r="G17" s="7" t="s">
        <v>56</v>
      </c>
      <c r="H17" s="7" t="s">
        <v>57</v>
      </c>
      <c r="I17" s="9">
        <v>44959</v>
      </c>
    </row>
    <row r="18" spans="1:9" x14ac:dyDescent="0.15">
      <c r="A18" s="6">
        <v>17</v>
      </c>
      <c r="B18" s="7" t="s">
        <v>9</v>
      </c>
      <c r="C18" s="8">
        <v>1889</v>
      </c>
      <c r="D18" s="9">
        <v>45439</v>
      </c>
      <c r="E18" s="13" t="str">
        <f>+HYPERLINK("http://trademark.i-assist.jp/data/china/image_1889th/69439758.pdf","69439758")</f>
        <v>69439758</v>
      </c>
      <c r="F18" s="7" t="s">
        <v>58</v>
      </c>
      <c r="G18" s="7" t="s">
        <v>59</v>
      </c>
      <c r="H18" s="7" t="s">
        <v>60</v>
      </c>
      <c r="I18" s="9">
        <v>44964</v>
      </c>
    </row>
    <row r="19" spans="1:9" x14ac:dyDescent="0.15">
      <c r="A19" s="6">
        <v>18</v>
      </c>
      <c r="B19" s="7" t="s">
        <v>9</v>
      </c>
      <c r="C19" s="8">
        <v>1889</v>
      </c>
      <c r="D19" s="9">
        <v>45439</v>
      </c>
      <c r="E19" s="13" t="str">
        <f>+HYPERLINK("http://trademark.i-assist.jp/data/china/image_1889th/69731831.pdf","69731831")</f>
        <v>69731831</v>
      </c>
      <c r="F19" s="7" t="s">
        <v>61</v>
      </c>
      <c r="G19" s="7" t="s">
        <v>62</v>
      </c>
      <c r="H19" s="7" t="s">
        <v>63</v>
      </c>
      <c r="I19" s="9">
        <v>44979</v>
      </c>
    </row>
    <row r="20" spans="1:9" ht="27" x14ac:dyDescent="0.15">
      <c r="A20" s="6">
        <v>19</v>
      </c>
      <c r="B20" s="7" t="s">
        <v>9</v>
      </c>
      <c r="C20" s="8">
        <v>1889</v>
      </c>
      <c r="D20" s="9">
        <v>45439</v>
      </c>
      <c r="E20" s="13" t="str">
        <f>+HYPERLINK("http://trademark.i-assist.jp/data/china/image_1889th/69754694.pdf","69754694")</f>
        <v>69754694</v>
      </c>
      <c r="F20" s="7" t="s">
        <v>64</v>
      </c>
      <c r="G20" s="7" t="s">
        <v>65</v>
      </c>
      <c r="H20" s="7" t="s">
        <v>66</v>
      </c>
      <c r="I20" s="9">
        <v>44980</v>
      </c>
    </row>
    <row r="21" spans="1:9" ht="27" x14ac:dyDescent="0.15">
      <c r="A21" s="6">
        <v>20</v>
      </c>
      <c r="B21" s="7" t="s">
        <v>9</v>
      </c>
      <c r="C21" s="8">
        <v>1889</v>
      </c>
      <c r="D21" s="9">
        <v>45439</v>
      </c>
      <c r="E21" s="13" t="str">
        <f>+HYPERLINK("http://trademark.i-assist.jp/data/china/image_1889th/69762482.pdf","69762482")</f>
        <v>69762482</v>
      </c>
      <c r="F21" s="7" t="s">
        <v>67</v>
      </c>
      <c r="G21" s="7" t="s">
        <v>68</v>
      </c>
      <c r="H21" s="7" t="s">
        <v>69</v>
      </c>
      <c r="I21" s="9">
        <v>44980</v>
      </c>
    </row>
    <row r="22" spans="1:9" x14ac:dyDescent="0.15">
      <c r="A22" s="6">
        <v>21</v>
      </c>
      <c r="B22" s="7" t="s">
        <v>9</v>
      </c>
      <c r="C22" s="8">
        <v>1889</v>
      </c>
      <c r="D22" s="9">
        <v>45439</v>
      </c>
      <c r="E22" s="13" t="str">
        <f>+HYPERLINK("http://trademark.i-assist.jp/data/china/image_1889th/70035559.pdf","70035559")</f>
        <v>70035559</v>
      </c>
      <c r="F22" s="7" t="s">
        <v>70</v>
      </c>
      <c r="G22" s="7" t="s">
        <v>71</v>
      </c>
      <c r="H22" s="7" t="s">
        <v>72</v>
      </c>
      <c r="I22" s="9">
        <v>44993</v>
      </c>
    </row>
    <row r="23" spans="1:9" x14ac:dyDescent="0.15">
      <c r="A23" s="6">
        <v>22</v>
      </c>
      <c r="B23" s="7" t="s">
        <v>9</v>
      </c>
      <c r="C23" s="8">
        <v>1889</v>
      </c>
      <c r="D23" s="9">
        <v>45439</v>
      </c>
      <c r="E23" s="13" t="str">
        <f>+HYPERLINK("http://trademark.i-assist.jp/data/china/image_1889th/70187941.pdf","70187941")</f>
        <v>70187941</v>
      </c>
      <c r="F23" s="7" t="s">
        <v>11</v>
      </c>
      <c r="G23" s="7" t="s">
        <v>12</v>
      </c>
      <c r="H23" s="7" t="s">
        <v>73</v>
      </c>
      <c r="I23" s="9">
        <v>44999</v>
      </c>
    </row>
    <row r="24" spans="1:9" x14ac:dyDescent="0.15">
      <c r="A24" s="6">
        <v>23</v>
      </c>
      <c r="B24" s="7" t="s">
        <v>9</v>
      </c>
      <c r="C24" s="8">
        <v>1889</v>
      </c>
      <c r="D24" s="9">
        <v>45439</v>
      </c>
      <c r="E24" s="13" t="str">
        <f>+HYPERLINK("http://trademark.i-assist.jp/data/china/image_1889th/70190570.pdf","70190570")</f>
        <v>70190570</v>
      </c>
      <c r="F24" s="7" t="s">
        <v>74</v>
      </c>
      <c r="G24" s="7" t="s">
        <v>75</v>
      </c>
      <c r="H24" s="7" t="s">
        <v>76</v>
      </c>
      <c r="I24" s="9">
        <v>44999</v>
      </c>
    </row>
    <row r="25" spans="1:9" x14ac:dyDescent="0.15">
      <c r="A25" s="6">
        <v>24</v>
      </c>
      <c r="B25" s="7" t="s">
        <v>9</v>
      </c>
      <c r="C25" s="8">
        <v>1889</v>
      </c>
      <c r="D25" s="9">
        <v>45439</v>
      </c>
      <c r="E25" s="13" t="str">
        <f>+HYPERLINK("http://trademark.i-assist.jp/data/china/image_1889th/70302553.pdf","70302553")</f>
        <v>70302553</v>
      </c>
      <c r="F25" s="7" t="s">
        <v>77</v>
      </c>
      <c r="G25" s="7" t="s">
        <v>78</v>
      </c>
      <c r="H25" s="7" t="s">
        <v>79</v>
      </c>
      <c r="I25" s="9">
        <v>45005</v>
      </c>
    </row>
    <row r="26" spans="1:9" x14ac:dyDescent="0.15">
      <c r="A26" s="6">
        <v>25</v>
      </c>
      <c r="B26" s="7" t="s">
        <v>9</v>
      </c>
      <c r="C26" s="8">
        <v>1889</v>
      </c>
      <c r="D26" s="9">
        <v>45439</v>
      </c>
      <c r="E26" s="13" t="str">
        <f>+HYPERLINK("http://trademark.i-assist.jp/data/china/image_1889th/70422243.pdf","70422243")</f>
        <v>70422243</v>
      </c>
      <c r="F26" s="7" t="s">
        <v>80</v>
      </c>
      <c r="G26" s="7" t="s">
        <v>81</v>
      </c>
      <c r="H26" s="7" t="s">
        <v>82</v>
      </c>
      <c r="I26" s="9">
        <v>45009</v>
      </c>
    </row>
    <row r="27" spans="1:9" x14ac:dyDescent="0.15">
      <c r="A27" s="6">
        <v>26</v>
      </c>
      <c r="B27" s="7" t="s">
        <v>9</v>
      </c>
      <c r="C27" s="8">
        <v>1889</v>
      </c>
      <c r="D27" s="9">
        <v>45439</v>
      </c>
      <c r="E27" s="13" t="str">
        <f>+HYPERLINK("http://trademark.i-assist.jp/data/china/image_1889th/70455735.pdf","70455735")</f>
        <v>70455735</v>
      </c>
      <c r="F27" s="7" t="s">
        <v>83</v>
      </c>
      <c r="G27" s="7" t="s">
        <v>84</v>
      </c>
      <c r="H27" s="7" t="s">
        <v>85</v>
      </c>
      <c r="I27" s="9">
        <v>45010</v>
      </c>
    </row>
    <row r="28" spans="1:9" x14ac:dyDescent="0.15">
      <c r="A28" s="6">
        <v>27</v>
      </c>
      <c r="B28" s="7" t="s">
        <v>9</v>
      </c>
      <c r="C28" s="8">
        <v>1889</v>
      </c>
      <c r="D28" s="9">
        <v>45439</v>
      </c>
      <c r="E28" s="13" t="str">
        <f>+HYPERLINK("http://trademark.i-assist.jp/data/china/image_1889th/70657984.pdf","70657984")</f>
        <v>70657984</v>
      </c>
      <c r="F28" s="7" t="s">
        <v>86</v>
      </c>
      <c r="G28" s="7" t="s">
        <v>87</v>
      </c>
      <c r="H28" s="7" t="s">
        <v>88</v>
      </c>
      <c r="I28" s="9">
        <v>45019</v>
      </c>
    </row>
    <row r="29" spans="1:9" x14ac:dyDescent="0.15">
      <c r="A29" s="6">
        <v>28</v>
      </c>
      <c r="B29" s="7" t="s">
        <v>9</v>
      </c>
      <c r="C29" s="8">
        <v>1889</v>
      </c>
      <c r="D29" s="9">
        <v>45439</v>
      </c>
      <c r="E29" s="13" t="str">
        <f>+HYPERLINK("http://trademark.i-assist.jp/data/china/image_1889th/71032773.pdf","71032773")</f>
        <v>71032773</v>
      </c>
      <c r="F29" s="7" t="s">
        <v>89</v>
      </c>
      <c r="G29" s="7" t="s">
        <v>90</v>
      </c>
      <c r="H29" s="7" t="s">
        <v>91</v>
      </c>
      <c r="I29" s="9">
        <v>45036</v>
      </c>
    </row>
    <row r="30" spans="1:9" x14ac:dyDescent="0.15">
      <c r="A30" s="6">
        <v>29</v>
      </c>
      <c r="B30" s="7" t="s">
        <v>9</v>
      </c>
      <c r="C30" s="8">
        <v>1889</v>
      </c>
      <c r="D30" s="9">
        <v>45439</v>
      </c>
      <c r="E30" s="13" t="str">
        <f>+HYPERLINK("http://trademark.i-assist.jp/data/china/image_1889th/71040514.pdf","71040514")</f>
        <v>71040514</v>
      </c>
      <c r="F30" s="7" t="s">
        <v>92</v>
      </c>
      <c r="G30" s="7" t="s">
        <v>35</v>
      </c>
      <c r="H30" s="7" t="s">
        <v>93</v>
      </c>
      <c r="I30" s="9">
        <v>45036</v>
      </c>
    </row>
    <row r="31" spans="1:9" x14ac:dyDescent="0.15">
      <c r="A31" s="6">
        <v>30</v>
      </c>
      <c r="B31" s="7" t="s">
        <v>9</v>
      </c>
      <c r="C31" s="8">
        <v>1889</v>
      </c>
      <c r="D31" s="9">
        <v>45439</v>
      </c>
      <c r="E31" s="13" t="str">
        <f>+HYPERLINK("http://trademark.i-assist.jp/data/china/image_1889th/71056915.pdf","71056915")</f>
        <v>71056915</v>
      </c>
      <c r="F31" s="7" t="s">
        <v>94</v>
      </c>
      <c r="G31" s="7" t="s">
        <v>35</v>
      </c>
      <c r="H31" s="7" t="s">
        <v>95</v>
      </c>
      <c r="I31" s="9">
        <v>45036</v>
      </c>
    </row>
    <row r="32" spans="1:9" ht="27" x14ac:dyDescent="0.15">
      <c r="A32" s="6">
        <v>31</v>
      </c>
      <c r="B32" s="7" t="s">
        <v>9</v>
      </c>
      <c r="C32" s="8">
        <v>1889</v>
      </c>
      <c r="D32" s="9">
        <v>45439</v>
      </c>
      <c r="E32" s="13" t="str">
        <f>+HYPERLINK("http://trademark.i-assist.jp/data/china/image_1889th/71060274.pdf","71060274")</f>
        <v>71060274</v>
      </c>
      <c r="F32" s="7" t="s">
        <v>96</v>
      </c>
      <c r="G32" s="7" t="s">
        <v>97</v>
      </c>
      <c r="H32" s="7" t="s">
        <v>98</v>
      </c>
      <c r="I32" s="9">
        <v>45037</v>
      </c>
    </row>
    <row r="33" spans="1:9" x14ac:dyDescent="0.15">
      <c r="A33" s="6">
        <v>32</v>
      </c>
      <c r="B33" s="7" t="s">
        <v>9</v>
      </c>
      <c r="C33" s="8">
        <v>1889</v>
      </c>
      <c r="D33" s="9">
        <v>45439</v>
      </c>
      <c r="E33" s="13" t="str">
        <f>+HYPERLINK("http://trademark.i-assist.jp/data/china/image_1889th/71215419.pdf","71215419")</f>
        <v>71215419</v>
      </c>
      <c r="F33" s="7" t="s">
        <v>99</v>
      </c>
      <c r="G33" s="7" t="s">
        <v>100</v>
      </c>
      <c r="H33" s="7" t="s">
        <v>101</v>
      </c>
      <c r="I33" s="9">
        <v>45043</v>
      </c>
    </row>
    <row r="34" spans="1:9" x14ac:dyDescent="0.15">
      <c r="A34" s="6">
        <v>33</v>
      </c>
      <c r="B34" s="7" t="s">
        <v>9</v>
      </c>
      <c r="C34" s="8">
        <v>1889</v>
      </c>
      <c r="D34" s="9">
        <v>45439</v>
      </c>
      <c r="E34" s="13" t="str">
        <f>+HYPERLINK("http://trademark.i-assist.jp/data/china/image_1889th/71225978.pdf","71225978")</f>
        <v>71225978</v>
      </c>
      <c r="F34" s="7" t="s">
        <v>102</v>
      </c>
      <c r="G34" s="7" t="s">
        <v>100</v>
      </c>
      <c r="H34" s="7" t="s">
        <v>103</v>
      </c>
      <c r="I34" s="9">
        <v>45043</v>
      </c>
    </row>
    <row r="35" spans="1:9" x14ac:dyDescent="0.15">
      <c r="A35" s="6">
        <v>34</v>
      </c>
      <c r="B35" s="7" t="s">
        <v>9</v>
      </c>
      <c r="C35" s="8">
        <v>1889</v>
      </c>
      <c r="D35" s="9">
        <v>45439</v>
      </c>
      <c r="E35" s="13" t="str">
        <f>+HYPERLINK("http://trademark.i-assist.jp/data/china/image_1889th/71322580.pdf","71322580")</f>
        <v>71322580</v>
      </c>
      <c r="F35" s="7" t="s">
        <v>104</v>
      </c>
      <c r="G35" s="7" t="s">
        <v>105</v>
      </c>
      <c r="H35" s="7" t="s">
        <v>106</v>
      </c>
      <c r="I35" s="9">
        <v>45051</v>
      </c>
    </row>
    <row r="36" spans="1:9" ht="27" x14ac:dyDescent="0.15">
      <c r="A36" s="6">
        <v>35</v>
      </c>
      <c r="B36" s="7" t="s">
        <v>9</v>
      </c>
      <c r="C36" s="8">
        <v>1889</v>
      </c>
      <c r="D36" s="9">
        <v>45439</v>
      </c>
      <c r="E36" s="13" t="str">
        <f>+HYPERLINK("http://trademark.i-assist.jp/data/china/image_1889th/71481247.pdf","71481247")</f>
        <v>71481247</v>
      </c>
      <c r="F36" s="7" t="s">
        <v>107</v>
      </c>
      <c r="G36" s="7" t="s">
        <v>108</v>
      </c>
      <c r="H36" s="7" t="s">
        <v>109</v>
      </c>
      <c r="I36" s="9">
        <v>45057</v>
      </c>
    </row>
    <row r="37" spans="1:9" x14ac:dyDescent="0.15">
      <c r="A37" s="6">
        <v>36</v>
      </c>
      <c r="B37" s="7" t="s">
        <v>9</v>
      </c>
      <c r="C37" s="8">
        <v>1889</v>
      </c>
      <c r="D37" s="9">
        <v>45439</v>
      </c>
      <c r="E37" s="13" t="str">
        <f>+HYPERLINK("http://trademark.i-assist.jp/data/china/image_1889th/71590036.pdf","71590036")</f>
        <v>71590036</v>
      </c>
      <c r="F37" s="7" t="s">
        <v>110</v>
      </c>
      <c r="G37" s="7" t="s">
        <v>111</v>
      </c>
      <c r="H37" s="7" t="s">
        <v>112</v>
      </c>
      <c r="I37" s="9">
        <v>45062</v>
      </c>
    </row>
    <row r="38" spans="1:9" ht="27" x14ac:dyDescent="0.15">
      <c r="A38" s="6">
        <v>37</v>
      </c>
      <c r="B38" s="7" t="s">
        <v>9</v>
      </c>
      <c r="C38" s="8">
        <v>1889</v>
      </c>
      <c r="D38" s="9">
        <v>45439</v>
      </c>
      <c r="E38" s="13" t="str">
        <f>+HYPERLINK("http://trademark.i-assist.jp/data/china/image_1889th/71621835.pdf","71621835")</f>
        <v>71621835</v>
      </c>
      <c r="F38" s="7" t="s">
        <v>113</v>
      </c>
      <c r="G38" s="7" t="s">
        <v>114</v>
      </c>
      <c r="H38" s="7" t="s">
        <v>115</v>
      </c>
      <c r="I38" s="9">
        <v>45063</v>
      </c>
    </row>
    <row r="39" spans="1:9" ht="27" x14ac:dyDescent="0.15">
      <c r="A39" s="6">
        <v>38</v>
      </c>
      <c r="B39" s="7" t="s">
        <v>9</v>
      </c>
      <c r="C39" s="8">
        <v>1889</v>
      </c>
      <c r="D39" s="9">
        <v>45439</v>
      </c>
      <c r="E39" s="13" t="str">
        <f>+HYPERLINK("http://trademark.i-assist.jp/data/china/image_1889th/71962247.pdf","71962247")</f>
        <v>71962247</v>
      </c>
      <c r="F39" s="7" t="s">
        <v>116</v>
      </c>
      <c r="G39" s="7" t="s">
        <v>117</v>
      </c>
      <c r="H39" s="7" t="s">
        <v>118</v>
      </c>
      <c r="I39" s="9">
        <v>45078</v>
      </c>
    </row>
    <row r="40" spans="1:9" x14ac:dyDescent="0.15">
      <c r="A40" s="6">
        <v>39</v>
      </c>
      <c r="B40" s="7" t="s">
        <v>9</v>
      </c>
      <c r="C40" s="8">
        <v>1889</v>
      </c>
      <c r="D40" s="9">
        <v>45439</v>
      </c>
      <c r="E40" s="13" t="str">
        <f>+HYPERLINK("http://trademark.i-assist.jp/data/china/image_1889th/71983885.pdf","71983885")</f>
        <v>71983885</v>
      </c>
      <c r="F40" s="7" t="s">
        <v>119</v>
      </c>
      <c r="G40" s="7" t="s">
        <v>120</v>
      </c>
      <c r="H40" s="7" t="s">
        <v>121</v>
      </c>
      <c r="I40" s="9">
        <v>45079</v>
      </c>
    </row>
    <row r="41" spans="1:9" ht="27" x14ac:dyDescent="0.15">
      <c r="A41" s="6">
        <v>40</v>
      </c>
      <c r="B41" s="7" t="s">
        <v>9</v>
      </c>
      <c r="C41" s="8">
        <v>1889</v>
      </c>
      <c r="D41" s="9">
        <v>45439</v>
      </c>
      <c r="E41" s="13" t="str">
        <f>+HYPERLINK("http://trademark.i-assist.jp/data/china/image_1889th/71987848.pdf","71987848")</f>
        <v>71987848</v>
      </c>
      <c r="F41" s="7" t="s">
        <v>122</v>
      </c>
      <c r="G41" s="7" t="s">
        <v>123</v>
      </c>
      <c r="H41" s="7" t="s">
        <v>124</v>
      </c>
      <c r="I41" s="9">
        <v>45079</v>
      </c>
    </row>
    <row r="42" spans="1:9" x14ac:dyDescent="0.15">
      <c r="A42" s="6">
        <v>41</v>
      </c>
      <c r="B42" s="7" t="s">
        <v>9</v>
      </c>
      <c r="C42" s="8">
        <v>1889</v>
      </c>
      <c r="D42" s="9">
        <v>45439</v>
      </c>
      <c r="E42" s="13" t="str">
        <f>+HYPERLINK("http://trademark.i-assist.jp/data/china/image_1889th/71992923.pdf","71992923")</f>
        <v>71992923</v>
      </c>
      <c r="F42" s="7" t="s">
        <v>125</v>
      </c>
      <c r="G42" s="7" t="s">
        <v>120</v>
      </c>
      <c r="H42" s="7" t="s">
        <v>126</v>
      </c>
      <c r="I42" s="9">
        <v>45079</v>
      </c>
    </row>
    <row r="43" spans="1:9" x14ac:dyDescent="0.15">
      <c r="A43" s="6">
        <v>42</v>
      </c>
      <c r="B43" s="7" t="s">
        <v>9</v>
      </c>
      <c r="C43" s="8">
        <v>1889</v>
      </c>
      <c r="D43" s="9">
        <v>45439</v>
      </c>
      <c r="E43" s="13" t="str">
        <f>+HYPERLINK("http://trademark.i-assist.jp/data/china/image_1889th/72117778.pdf","72117778")</f>
        <v>72117778</v>
      </c>
      <c r="F43" s="7" t="s">
        <v>127</v>
      </c>
      <c r="G43" s="7" t="s">
        <v>128</v>
      </c>
      <c r="H43" s="7" t="s">
        <v>129</v>
      </c>
      <c r="I43" s="9">
        <v>45086</v>
      </c>
    </row>
    <row r="44" spans="1:9" x14ac:dyDescent="0.15">
      <c r="A44" s="6">
        <v>43</v>
      </c>
      <c r="B44" s="7" t="s">
        <v>9</v>
      </c>
      <c r="C44" s="8">
        <v>1889</v>
      </c>
      <c r="D44" s="9">
        <v>45439</v>
      </c>
      <c r="E44" s="13" t="str">
        <f>+HYPERLINK("http://trademark.i-assist.jp/data/china/image_1889th/72136760.pdf","72136760")</f>
        <v>72136760</v>
      </c>
      <c r="F44" s="7" t="s">
        <v>127</v>
      </c>
      <c r="G44" s="7" t="s">
        <v>128</v>
      </c>
      <c r="H44" s="7" t="s">
        <v>130</v>
      </c>
      <c r="I44" s="9">
        <v>45086</v>
      </c>
    </row>
    <row r="45" spans="1:9" x14ac:dyDescent="0.15">
      <c r="A45" s="6">
        <v>44</v>
      </c>
      <c r="B45" s="7" t="s">
        <v>9</v>
      </c>
      <c r="C45" s="8">
        <v>1889</v>
      </c>
      <c r="D45" s="9">
        <v>45439</v>
      </c>
      <c r="E45" s="13" t="str">
        <f>+HYPERLINK("http://trademark.i-assist.jp/data/china/image_1889th/72169344.pdf","72169344")</f>
        <v>72169344</v>
      </c>
      <c r="F45" s="7" t="s">
        <v>131</v>
      </c>
      <c r="G45" s="7" t="s">
        <v>132</v>
      </c>
      <c r="H45" s="7" t="s">
        <v>133</v>
      </c>
      <c r="I45" s="9">
        <v>45089</v>
      </c>
    </row>
    <row r="46" spans="1:9" ht="27" x14ac:dyDescent="0.15">
      <c r="A46" s="6">
        <v>45</v>
      </c>
      <c r="B46" s="7" t="s">
        <v>9</v>
      </c>
      <c r="C46" s="8">
        <v>1889</v>
      </c>
      <c r="D46" s="9">
        <v>45439</v>
      </c>
      <c r="E46" s="13" t="str">
        <f>+HYPERLINK("http://trademark.i-assist.jp/data/china/image_1889th/72454890.pdf","72454890")</f>
        <v>72454890</v>
      </c>
      <c r="F46" s="7" t="s">
        <v>134</v>
      </c>
      <c r="G46" s="7" t="s">
        <v>135</v>
      </c>
      <c r="H46" s="7" t="s">
        <v>136</v>
      </c>
      <c r="I46" s="9">
        <v>45103</v>
      </c>
    </row>
    <row r="47" spans="1:9" x14ac:dyDescent="0.15">
      <c r="A47" s="6">
        <v>46</v>
      </c>
      <c r="B47" s="7" t="s">
        <v>9</v>
      </c>
      <c r="C47" s="8">
        <v>1889</v>
      </c>
      <c r="D47" s="9">
        <v>45439</v>
      </c>
      <c r="E47" s="13" t="str">
        <f>+HYPERLINK("http://trademark.i-assist.jp/data/china/image_1889th/72471586.pdf","72471586")</f>
        <v>72471586</v>
      </c>
      <c r="F47" s="7" t="s">
        <v>137</v>
      </c>
      <c r="G47" s="7" t="s">
        <v>138</v>
      </c>
      <c r="H47" s="7" t="s">
        <v>139</v>
      </c>
      <c r="I47" s="9">
        <v>45104</v>
      </c>
    </row>
    <row r="48" spans="1:9" ht="27" x14ac:dyDescent="0.15">
      <c r="A48" s="6">
        <v>47</v>
      </c>
      <c r="B48" s="7" t="s">
        <v>9</v>
      </c>
      <c r="C48" s="8">
        <v>1889</v>
      </c>
      <c r="D48" s="9">
        <v>45439</v>
      </c>
      <c r="E48" s="13" t="str">
        <f>+HYPERLINK("http://trademark.i-assist.jp/data/china/image_1889th/72577009.pdf","72577009")</f>
        <v>72577009</v>
      </c>
      <c r="F48" s="7" t="s">
        <v>140</v>
      </c>
      <c r="G48" s="7" t="s">
        <v>141</v>
      </c>
      <c r="H48" s="7" t="s">
        <v>142</v>
      </c>
      <c r="I48" s="9">
        <v>45109</v>
      </c>
    </row>
    <row r="49" spans="1:9" x14ac:dyDescent="0.15">
      <c r="A49" s="6">
        <v>48</v>
      </c>
      <c r="B49" s="7" t="s">
        <v>9</v>
      </c>
      <c r="C49" s="8">
        <v>1889</v>
      </c>
      <c r="D49" s="9">
        <v>45439</v>
      </c>
      <c r="E49" s="13" t="str">
        <f>+HYPERLINK("http://trademark.i-assist.jp/data/china/image_1889th/72837469.pdf","72837469")</f>
        <v>72837469</v>
      </c>
      <c r="F49" s="7" t="s">
        <v>143</v>
      </c>
      <c r="G49" s="7" t="s">
        <v>144</v>
      </c>
      <c r="H49" s="7" t="s">
        <v>145</v>
      </c>
      <c r="I49" s="9">
        <v>45121</v>
      </c>
    </row>
    <row r="50" spans="1:9" x14ac:dyDescent="0.15">
      <c r="A50" s="6">
        <v>49</v>
      </c>
      <c r="B50" s="7" t="s">
        <v>9</v>
      </c>
      <c r="C50" s="8">
        <v>1889</v>
      </c>
      <c r="D50" s="9">
        <v>45439</v>
      </c>
      <c r="E50" s="13" t="str">
        <f>+HYPERLINK("http://trademark.i-assist.jp/data/china/image_1889th/73418593.pdf","73418593")</f>
        <v>73418593</v>
      </c>
      <c r="F50" s="7" t="s">
        <v>134</v>
      </c>
      <c r="G50" s="7" t="s">
        <v>146</v>
      </c>
      <c r="H50" s="7" t="s">
        <v>147</v>
      </c>
      <c r="I50" s="9">
        <v>45149</v>
      </c>
    </row>
    <row r="51" spans="1:9" ht="27" x14ac:dyDescent="0.15">
      <c r="A51" s="6">
        <v>50</v>
      </c>
      <c r="B51" s="7" t="s">
        <v>9</v>
      </c>
      <c r="C51" s="8">
        <v>1889</v>
      </c>
      <c r="D51" s="9">
        <v>45439</v>
      </c>
      <c r="E51" s="13" t="str">
        <f>+HYPERLINK("http://trademark.i-assist.jp/data/china/image_1889th/73640604.pdf","73640604")</f>
        <v>73640604</v>
      </c>
      <c r="F51" s="7" t="s">
        <v>148</v>
      </c>
      <c r="G51" s="7" t="s">
        <v>149</v>
      </c>
      <c r="H51" s="7" t="s">
        <v>150</v>
      </c>
      <c r="I51" s="9">
        <v>45161</v>
      </c>
    </row>
    <row r="52" spans="1:9" ht="27" x14ac:dyDescent="0.15">
      <c r="A52" s="6">
        <v>51</v>
      </c>
      <c r="B52" s="7" t="s">
        <v>9</v>
      </c>
      <c r="C52" s="8">
        <v>1889</v>
      </c>
      <c r="D52" s="9">
        <v>45439</v>
      </c>
      <c r="E52" s="13" t="str">
        <f>+HYPERLINK("http://trademark.i-assist.jp/data/china/image_1889th/73654290.pdf","73654290")</f>
        <v>73654290</v>
      </c>
      <c r="F52" s="7" t="s">
        <v>151</v>
      </c>
      <c r="G52" s="7" t="s">
        <v>149</v>
      </c>
      <c r="H52" s="7" t="s">
        <v>152</v>
      </c>
      <c r="I52" s="9">
        <v>45161</v>
      </c>
    </row>
    <row r="53" spans="1:9" x14ac:dyDescent="0.15">
      <c r="A53" s="6">
        <v>52</v>
      </c>
      <c r="B53" s="7" t="s">
        <v>9</v>
      </c>
      <c r="C53" s="8">
        <v>1889</v>
      </c>
      <c r="D53" s="9">
        <v>45439</v>
      </c>
      <c r="E53" s="13" t="str">
        <f>+HYPERLINK("http://trademark.i-assist.jp/data/china/image_1889th/73696767.pdf","73696767")</f>
        <v>73696767</v>
      </c>
      <c r="F53" s="7" t="s">
        <v>153</v>
      </c>
      <c r="G53" s="7" t="s">
        <v>154</v>
      </c>
      <c r="H53" s="7" t="s">
        <v>155</v>
      </c>
      <c r="I53" s="9">
        <v>45163</v>
      </c>
    </row>
    <row r="54" spans="1:9" x14ac:dyDescent="0.15">
      <c r="A54" s="6">
        <v>53</v>
      </c>
      <c r="B54" s="7" t="s">
        <v>9</v>
      </c>
      <c r="C54" s="8">
        <v>1889</v>
      </c>
      <c r="D54" s="9">
        <v>45439</v>
      </c>
      <c r="E54" s="13" t="str">
        <f>+HYPERLINK("http://trademark.i-assist.jp/data/china/image_1889th/74062397.pdf","74062397")</f>
        <v>74062397</v>
      </c>
      <c r="F54" s="7" t="s">
        <v>156</v>
      </c>
      <c r="G54" s="7" t="s">
        <v>157</v>
      </c>
      <c r="H54" s="7" t="s">
        <v>158</v>
      </c>
      <c r="I54" s="9">
        <v>45182</v>
      </c>
    </row>
    <row r="55" spans="1:9" x14ac:dyDescent="0.15">
      <c r="A55" s="6">
        <v>54</v>
      </c>
      <c r="B55" s="7" t="s">
        <v>9</v>
      </c>
      <c r="C55" s="8">
        <v>1889</v>
      </c>
      <c r="D55" s="9">
        <v>45439</v>
      </c>
      <c r="E55" s="13" t="str">
        <f>+HYPERLINK("http://trademark.i-assist.jp/data/china/image_1889th/74173650.pdf","74173650")</f>
        <v>74173650</v>
      </c>
      <c r="F55" s="7" t="s">
        <v>159</v>
      </c>
      <c r="G55" s="7" t="s">
        <v>160</v>
      </c>
      <c r="H55" s="7" t="s">
        <v>161</v>
      </c>
      <c r="I55" s="9">
        <v>45188</v>
      </c>
    </row>
    <row r="56" spans="1:9" x14ac:dyDescent="0.15">
      <c r="A56" s="6">
        <v>55</v>
      </c>
      <c r="B56" s="7" t="s">
        <v>9</v>
      </c>
      <c r="C56" s="8">
        <v>1889</v>
      </c>
      <c r="D56" s="9">
        <v>45439</v>
      </c>
      <c r="E56" s="13" t="str">
        <f>+HYPERLINK("http://trademark.i-assist.jp/data/china/image_1889th/74477639.pdf","74477639")</f>
        <v>74477639</v>
      </c>
      <c r="F56" s="7" t="s">
        <v>162</v>
      </c>
      <c r="G56" s="7" t="s">
        <v>163</v>
      </c>
      <c r="H56" s="7" t="s">
        <v>164</v>
      </c>
      <c r="I56" s="9">
        <v>45209</v>
      </c>
    </row>
    <row r="57" spans="1:9" ht="27" x14ac:dyDescent="0.15">
      <c r="A57" s="6">
        <v>56</v>
      </c>
      <c r="B57" s="7" t="s">
        <v>9</v>
      </c>
      <c r="C57" s="8">
        <v>1889</v>
      </c>
      <c r="D57" s="9">
        <v>45439</v>
      </c>
      <c r="E57" s="13" t="str">
        <f>+HYPERLINK("http://trademark.i-assist.jp/data/china/image_1889th/74566469.pdf","74566469")</f>
        <v>74566469</v>
      </c>
      <c r="F57" s="7" t="s">
        <v>165</v>
      </c>
      <c r="G57" s="7" t="s">
        <v>166</v>
      </c>
      <c r="H57" s="7" t="s">
        <v>167</v>
      </c>
      <c r="I57" s="9">
        <v>45213</v>
      </c>
    </row>
    <row r="58" spans="1:9" x14ac:dyDescent="0.15">
      <c r="A58" s="6">
        <v>57</v>
      </c>
      <c r="B58" s="7" t="s">
        <v>9</v>
      </c>
      <c r="C58" s="8">
        <v>1889</v>
      </c>
      <c r="D58" s="9">
        <v>45439</v>
      </c>
      <c r="E58" s="13" t="str">
        <f>+HYPERLINK("http://trademark.i-assist.jp/data/china/image_1889th/74871300.pdf","74871300")</f>
        <v>74871300</v>
      </c>
      <c r="F58" s="7" t="s">
        <v>134</v>
      </c>
      <c r="G58" s="7" t="s">
        <v>168</v>
      </c>
      <c r="H58" s="7" t="s">
        <v>169</v>
      </c>
      <c r="I58" s="9">
        <v>45229</v>
      </c>
    </row>
    <row r="59" spans="1:9" x14ac:dyDescent="0.15">
      <c r="A59" s="6">
        <v>58</v>
      </c>
      <c r="B59" s="7" t="s">
        <v>9</v>
      </c>
      <c r="C59" s="8">
        <v>1889</v>
      </c>
      <c r="D59" s="9">
        <v>45439</v>
      </c>
      <c r="E59" s="13" t="str">
        <f>+HYPERLINK("http://trademark.i-assist.jp/data/china/image_1889th/75032900.pdf","75032900")</f>
        <v>75032900</v>
      </c>
      <c r="F59" s="7" t="s">
        <v>170</v>
      </c>
      <c r="G59" s="7" t="s">
        <v>171</v>
      </c>
      <c r="H59" s="7" t="s">
        <v>172</v>
      </c>
      <c r="I59" s="9">
        <v>45237</v>
      </c>
    </row>
    <row r="60" spans="1:9" ht="27" x14ac:dyDescent="0.15">
      <c r="A60" s="6">
        <v>59</v>
      </c>
      <c r="B60" s="7" t="s">
        <v>9</v>
      </c>
      <c r="C60" s="8">
        <v>1889</v>
      </c>
      <c r="D60" s="9">
        <v>45439</v>
      </c>
      <c r="E60" s="13" t="str">
        <f>+HYPERLINK("http://trademark.i-assist.jp/data/china/image_1889th/75492784.pdf","75492784")</f>
        <v>75492784</v>
      </c>
      <c r="F60" s="7" t="s">
        <v>173</v>
      </c>
      <c r="G60" s="7" t="s">
        <v>174</v>
      </c>
      <c r="H60" s="7" t="s">
        <v>175</v>
      </c>
      <c r="I60" s="9">
        <v>45259</v>
      </c>
    </row>
    <row r="61" spans="1:9" x14ac:dyDescent="0.15">
      <c r="A61" s="6">
        <v>60</v>
      </c>
      <c r="B61" s="7" t="s">
        <v>9</v>
      </c>
      <c r="C61" s="8">
        <v>1889</v>
      </c>
      <c r="D61" s="9">
        <v>45439</v>
      </c>
      <c r="E61" s="13" t="str">
        <f>+HYPERLINK("http://trademark.i-assist.jp/data/china/image_1889th/75516450.pdf","75516450")</f>
        <v>75516450</v>
      </c>
      <c r="F61" s="7" t="s">
        <v>176</v>
      </c>
      <c r="G61" s="7" t="s">
        <v>177</v>
      </c>
      <c r="H61" s="7" t="s">
        <v>178</v>
      </c>
      <c r="I61" s="9">
        <v>45260</v>
      </c>
    </row>
    <row r="62" spans="1:9" x14ac:dyDescent="0.15">
      <c r="A62" s="6">
        <v>61</v>
      </c>
      <c r="B62" s="7" t="s">
        <v>9</v>
      </c>
      <c r="C62" s="8">
        <v>1889</v>
      </c>
      <c r="D62" s="9">
        <v>45439</v>
      </c>
      <c r="E62" s="13" t="str">
        <f>+HYPERLINK("http://trademark.i-assist.jp/data/china/image_1889th/75569495.pdf","75569495")</f>
        <v>75569495</v>
      </c>
      <c r="F62" s="7" t="s">
        <v>179</v>
      </c>
      <c r="G62" s="7" t="s">
        <v>180</v>
      </c>
      <c r="H62" s="7" t="s">
        <v>181</v>
      </c>
      <c r="I62" s="9">
        <v>45264</v>
      </c>
    </row>
    <row r="63" spans="1:9" x14ac:dyDescent="0.15">
      <c r="A63" s="6">
        <v>62</v>
      </c>
      <c r="B63" s="7" t="s">
        <v>9</v>
      </c>
      <c r="C63" s="8">
        <v>1889</v>
      </c>
      <c r="D63" s="9">
        <v>45439</v>
      </c>
      <c r="E63" s="13" t="str">
        <f>+HYPERLINK("http://trademark.i-assist.jp/data/china/image_1889th/75626598.pdf","75626598")</f>
        <v>75626598</v>
      </c>
      <c r="F63" s="7" t="s">
        <v>182</v>
      </c>
      <c r="G63" s="7" t="s">
        <v>183</v>
      </c>
      <c r="H63" s="7" t="s">
        <v>184</v>
      </c>
      <c r="I63" s="9">
        <v>45266</v>
      </c>
    </row>
    <row r="64" spans="1:9" x14ac:dyDescent="0.15">
      <c r="A64" s="6">
        <v>63</v>
      </c>
      <c r="B64" s="7" t="s">
        <v>9</v>
      </c>
      <c r="C64" s="8">
        <v>1889</v>
      </c>
      <c r="D64" s="9">
        <v>45439</v>
      </c>
      <c r="E64" s="13" t="str">
        <f>+HYPERLINK("http://trademark.i-assist.jp/data/china/image_1889th/75722846.pdf","75722846")</f>
        <v>75722846</v>
      </c>
      <c r="F64" s="7" t="s">
        <v>185</v>
      </c>
      <c r="G64" s="7" t="s">
        <v>186</v>
      </c>
      <c r="H64" s="7" t="s">
        <v>187</v>
      </c>
      <c r="I64" s="9">
        <v>45271</v>
      </c>
    </row>
    <row r="65" spans="1:9" x14ac:dyDescent="0.15">
      <c r="A65" s="6">
        <v>64</v>
      </c>
      <c r="B65" s="7" t="s">
        <v>9</v>
      </c>
      <c r="C65" s="8">
        <v>1889</v>
      </c>
      <c r="D65" s="9">
        <v>45439</v>
      </c>
      <c r="E65" s="13" t="str">
        <f>+HYPERLINK("http://trademark.i-assist.jp/data/china/image_1889th/75750686.pdf","75750686")</f>
        <v>75750686</v>
      </c>
      <c r="F65" s="7" t="s">
        <v>188</v>
      </c>
      <c r="G65" s="7" t="s">
        <v>189</v>
      </c>
      <c r="H65" s="7" t="s">
        <v>190</v>
      </c>
      <c r="I65" s="9">
        <v>45272</v>
      </c>
    </row>
    <row r="66" spans="1:9" x14ac:dyDescent="0.15">
      <c r="A66" s="6">
        <v>65</v>
      </c>
      <c r="B66" s="7" t="s">
        <v>9</v>
      </c>
      <c r="C66" s="8">
        <v>1889</v>
      </c>
      <c r="D66" s="9">
        <v>45439</v>
      </c>
      <c r="E66" s="13" t="str">
        <f>+HYPERLINK("http://trademark.i-assist.jp/data/china/image_1889th/75792269.pdf","75792269")</f>
        <v>75792269</v>
      </c>
      <c r="F66" s="7" t="s">
        <v>191</v>
      </c>
      <c r="G66" s="7" t="s">
        <v>192</v>
      </c>
      <c r="H66" s="7" t="s">
        <v>193</v>
      </c>
      <c r="I66" s="9">
        <v>45274</v>
      </c>
    </row>
    <row r="67" spans="1:9" ht="27" x14ac:dyDescent="0.15">
      <c r="A67" s="6">
        <v>66</v>
      </c>
      <c r="B67" s="7" t="s">
        <v>9</v>
      </c>
      <c r="C67" s="8">
        <v>1889</v>
      </c>
      <c r="D67" s="9">
        <v>45439</v>
      </c>
      <c r="E67" s="13" t="str">
        <f>+HYPERLINK("http://trademark.i-assist.jp/data/china/image_1889th/75793645.pdf","75793645")</f>
        <v>75793645</v>
      </c>
      <c r="F67" s="7" t="s">
        <v>194</v>
      </c>
      <c r="G67" s="7" t="s">
        <v>195</v>
      </c>
      <c r="H67" s="7" t="s">
        <v>196</v>
      </c>
      <c r="I67" s="9">
        <v>45274</v>
      </c>
    </row>
    <row r="68" spans="1:9" x14ac:dyDescent="0.15">
      <c r="A68" s="6">
        <v>67</v>
      </c>
      <c r="B68" s="7" t="s">
        <v>9</v>
      </c>
      <c r="C68" s="8">
        <v>1889</v>
      </c>
      <c r="D68" s="9">
        <v>45439</v>
      </c>
      <c r="E68" s="13" t="str">
        <f>+HYPERLINK("http://trademark.i-assist.jp/data/china/image_1889th/75818111.pdf","75818111")</f>
        <v>75818111</v>
      </c>
      <c r="F68" s="7" t="s">
        <v>197</v>
      </c>
      <c r="G68" s="7" t="s">
        <v>198</v>
      </c>
      <c r="H68" s="7" t="s">
        <v>199</v>
      </c>
      <c r="I68" s="9">
        <v>45275</v>
      </c>
    </row>
    <row r="69" spans="1:9" x14ac:dyDescent="0.15">
      <c r="A69" s="6">
        <v>68</v>
      </c>
      <c r="B69" s="7" t="s">
        <v>9</v>
      </c>
      <c r="C69" s="8">
        <v>1889</v>
      </c>
      <c r="D69" s="9">
        <v>45439</v>
      </c>
      <c r="E69" s="13" t="str">
        <f>+HYPERLINK("http://trademark.i-assist.jp/data/china/image_1889th/75916939A.pdf","75916939A")</f>
        <v>75916939A</v>
      </c>
      <c r="F69" s="7" t="s">
        <v>200</v>
      </c>
      <c r="G69" s="7" t="s">
        <v>201</v>
      </c>
      <c r="H69" s="7" t="s">
        <v>202</v>
      </c>
      <c r="I69" s="9">
        <v>45280</v>
      </c>
    </row>
    <row r="70" spans="1:9" x14ac:dyDescent="0.15">
      <c r="A70" s="6">
        <v>69</v>
      </c>
      <c r="B70" s="7" t="s">
        <v>9</v>
      </c>
      <c r="C70" s="8">
        <v>1889</v>
      </c>
      <c r="D70" s="9">
        <v>45439</v>
      </c>
      <c r="E70" s="13" t="str">
        <f>+HYPERLINK("http://trademark.i-assist.jp/data/china/image_1889th/75930391.pdf","75930391")</f>
        <v>75930391</v>
      </c>
      <c r="F70" s="7" t="s">
        <v>134</v>
      </c>
      <c r="G70" s="7" t="s">
        <v>203</v>
      </c>
      <c r="H70" s="7" t="s">
        <v>204</v>
      </c>
      <c r="I70" s="9">
        <v>45281</v>
      </c>
    </row>
    <row r="71" spans="1:9" x14ac:dyDescent="0.15">
      <c r="A71" s="6">
        <v>70</v>
      </c>
      <c r="B71" s="7" t="s">
        <v>9</v>
      </c>
      <c r="C71" s="8">
        <v>1889</v>
      </c>
      <c r="D71" s="9">
        <v>45439</v>
      </c>
      <c r="E71" s="13" t="str">
        <f>+HYPERLINK("http://trademark.i-assist.jp/data/china/image_1889th/75991872.pdf","75991872")</f>
        <v>75991872</v>
      </c>
      <c r="F71" s="7" t="s">
        <v>205</v>
      </c>
      <c r="G71" s="7" t="s">
        <v>206</v>
      </c>
      <c r="H71" s="7" t="s">
        <v>207</v>
      </c>
      <c r="I71" s="9">
        <v>45285</v>
      </c>
    </row>
    <row r="72" spans="1:9" ht="27" x14ac:dyDescent="0.15">
      <c r="A72" s="6">
        <v>71</v>
      </c>
      <c r="B72" s="7" t="s">
        <v>9</v>
      </c>
      <c r="C72" s="8">
        <v>1889</v>
      </c>
      <c r="D72" s="9">
        <v>45439</v>
      </c>
      <c r="E72" s="13" t="str">
        <f>+HYPERLINK("http://trademark.i-assist.jp/data/china/image_1889th/75994223.pdf","75994223")</f>
        <v>75994223</v>
      </c>
      <c r="F72" s="7" t="s">
        <v>208</v>
      </c>
      <c r="G72" s="7" t="s">
        <v>209</v>
      </c>
      <c r="H72" s="7" t="s">
        <v>210</v>
      </c>
      <c r="I72" s="9">
        <v>45286</v>
      </c>
    </row>
    <row r="73" spans="1:9" x14ac:dyDescent="0.15">
      <c r="A73" s="6">
        <v>72</v>
      </c>
      <c r="B73" s="7" t="s">
        <v>9</v>
      </c>
      <c r="C73" s="8">
        <v>1889</v>
      </c>
      <c r="D73" s="9">
        <v>45439</v>
      </c>
      <c r="E73" s="13" t="str">
        <f>+HYPERLINK("http://trademark.i-assist.jp/data/china/image_1889th/76020946.pdf","76020946")</f>
        <v>76020946</v>
      </c>
      <c r="F73" s="7" t="s">
        <v>211</v>
      </c>
      <c r="G73" s="7" t="s">
        <v>212</v>
      </c>
      <c r="H73" s="7" t="s">
        <v>213</v>
      </c>
      <c r="I73" s="9">
        <v>45285</v>
      </c>
    </row>
    <row r="74" spans="1:9" x14ac:dyDescent="0.15">
      <c r="A74" s="6">
        <v>73</v>
      </c>
      <c r="B74" s="7" t="s">
        <v>9</v>
      </c>
      <c r="C74" s="8">
        <v>1889</v>
      </c>
      <c r="D74" s="9">
        <v>45439</v>
      </c>
      <c r="E74" s="13" t="str">
        <f>+HYPERLINK("http://trademark.i-assist.jp/data/china/image_1889th/76029164.pdf","76029164")</f>
        <v>76029164</v>
      </c>
      <c r="F74" s="7" t="s">
        <v>214</v>
      </c>
      <c r="G74" s="7" t="s">
        <v>215</v>
      </c>
      <c r="H74" s="7" t="s">
        <v>216</v>
      </c>
      <c r="I74" s="9">
        <v>45286</v>
      </c>
    </row>
    <row r="75" spans="1:9" x14ac:dyDescent="0.15">
      <c r="A75" s="6">
        <v>74</v>
      </c>
      <c r="B75" s="7" t="s">
        <v>9</v>
      </c>
      <c r="C75" s="8">
        <v>1889</v>
      </c>
      <c r="D75" s="9">
        <v>45439</v>
      </c>
      <c r="E75" s="13" t="str">
        <f>+HYPERLINK("http://trademark.i-assist.jp/data/china/image_1889th/76044576.pdf","76044576")</f>
        <v>76044576</v>
      </c>
      <c r="F75" s="7" t="s">
        <v>217</v>
      </c>
      <c r="G75" s="7" t="s">
        <v>218</v>
      </c>
      <c r="H75" s="7" t="s">
        <v>219</v>
      </c>
      <c r="I75" s="9">
        <v>45287</v>
      </c>
    </row>
    <row r="76" spans="1:9" x14ac:dyDescent="0.15">
      <c r="A76" s="6">
        <v>75</v>
      </c>
      <c r="B76" s="7" t="s">
        <v>9</v>
      </c>
      <c r="C76" s="8">
        <v>1889</v>
      </c>
      <c r="D76" s="9">
        <v>45439</v>
      </c>
      <c r="E76" s="13" t="str">
        <f>+HYPERLINK("http://trademark.i-assist.jp/data/china/image_1889th/76048358.pdf","76048358")</f>
        <v>76048358</v>
      </c>
      <c r="F76" s="7" t="s">
        <v>220</v>
      </c>
      <c r="G76" s="7" t="s">
        <v>218</v>
      </c>
      <c r="H76" s="7" t="s">
        <v>221</v>
      </c>
      <c r="I76" s="9">
        <v>45287</v>
      </c>
    </row>
    <row r="77" spans="1:9" x14ac:dyDescent="0.15">
      <c r="A77" s="6">
        <v>76</v>
      </c>
      <c r="B77" s="7" t="s">
        <v>9</v>
      </c>
      <c r="C77" s="8">
        <v>1889</v>
      </c>
      <c r="D77" s="9">
        <v>45439</v>
      </c>
      <c r="E77" s="13" t="str">
        <f>+HYPERLINK("http://trademark.i-assist.jp/data/china/image_1889th/76054476.pdf","76054476")</f>
        <v>76054476</v>
      </c>
      <c r="F77" s="7" t="s">
        <v>222</v>
      </c>
      <c r="G77" s="7" t="s">
        <v>223</v>
      </c>
      <c r="H77" s="7" t="s">
        <v>224</v>
      </c>
      <c r="I77" s="9">
        <v>45287</v>
      </c>
    </row>
    <row r="78" spans="1:9" x14ac:dyDescent="0.15">
      <c r="A78" s="6">
        <v>77</v>
      </c>
      <c r="B78" s="7" t="s">
        <v>9</v>
      </c>
      <c r="C78" s="8">
        <v>1889</v>
      </c>
      <c r="D78" s="9">
        <v>45439</v>
      </c>
      <c r="E78" s="13" t="str">
        <f>+HYPERLINK("http://trademark.i-assist.jp/data/china/image_1889th/76070376.pdf","76070376")</f>
        <v>76070376</v>
      </c>
      <c r="F78" s="7" t="s">
        <v>225</v>
      </c>
      <c r="G78" s="7" t="s">
        <v>226</v>
      </c>
      <c r="H78" s="7" t="s">
        <v>227</v>
      </c>
      <c r="I78" s="9">
        <v>45288</v>
      </c>
    </row>
    <row r="79" spans="1:9" x14ac:dyDescent="0.15">
      <c r="A79" s="6">
        <v>78</v>
      </c>
      <c r="B79" s="7" t="s">
        <v>9</v>
      </c>
      <c r="C79" s="8">
        <v>1889</v>
      </c>
      <c r="D79" s="9">
        <v>45439</v>
      </c>
      <c r="E79" s="13" t="str">
        <f>+HYPERLINK("http://trademark.i-assist.jp/data/china/image_1889th/76108609.pdf","76108609")</f>
        <v>76108609</v>
      </c>
      <c r="F79" s="7" t="s">
        <v>228</v>
      </c>
      <c r="G79" s="7" t="s">
        <v>229</v>
      </c>
      <c r="H79" s="7" t="s">
        <v>230</v>
      </c>
      <c r="I79" s="9">
        <v>45289</v>
      </c>
    </row>
    <row r="80" spans="1:9" x14ac:dyDescent="0.15">
      <c r="A80" s="6">
        <v>79</v>
      </c>
      <c r="B80" s="7" t="s">
        <v>9</v>
      </c>
      <c r="C80" s="8">
        <v>1889</v>
      </c>
      <c r="D80" s="9">
        <v>45439</v>
      </c>
      <c r="E80" s="13" t="str">
        <f>+HYPERLINK("http://trademark.i-assist.jp/data/china/image_1889th/76146979.pdf","76146979")</f>
        <v>76146979</v>
      </c>
      <c r="F80" s="7" t="s">
        <v>231</v>
      </c>
      <c r="G80" s="7" t="s">
        <v>232</v>
      </c>
      <c r="H80" s="7" t="s">
        <v>233</v>
      </c>
      <c r="I80" s="9">
        <v>45293</v>
      </c>
    </row>
    <row r="81" spans="1:9" x14ac:dyDescent="0.15">
      <c r="A81" s="6">
        <v>80</v>
      </c>
      <c r="B81" s="7" t="s">
        <v>9</v>
      </c>
      <c r="C81" s="8">
        <v>1889</v>
      </c>
      <c r="D81" s="9">
        <v>45439</v>
      </c>
      <c r="E81" s="13" t="str">
        <f>+HYPERLINK("http://trademark.i-assist.jp/data/china/image_1889th/76163969.pdf","76163969")</f>
        <v>76163969</v>
      </c>
      <c r="F81" s="7" t="s">
        <v>234</v>
      </c>
      <c r="G81" s="7" t="s">
        <v>235</v>
      </c>
      <c r="H81" s="7" t="s">
        <v>236</v>
      </c>
      <c r="I81" s="9">
        <v>45294</v>
      </c>
    </row>
    <row r="82" spans="1:9" x14ac:dyDescent="0.15">
      <c r="A82" s="6">
        <v>81</v>
      </c>
      <c r="B82" s="7" t="s">
        <v>9</v>
      </c>
      <c r="C82" s="8">
        <v>1889</v>
      </c>
      <c r="D82" s="9">
        <v>45439</v>
      </c>
      <c r="E82" s="13" t="str">
        <f>+HYPERLINK("http://trademark.i-assist.jp/data/china/image_1889th/76164414.pdf","76164414")</f>
        <v>76164414</v>
      </c>
      <c r="F82" s="7" t="s">
        <v>237</v>
      </c>
      <c r="G82" s="7" t="s">
        <v>238</v>
      </c>
      <c r="H82" s="7" t="s">
        <v>239</v>
      </c>
      <c r="I82" s="9">
        <v>45294</v>
      </c>
    </row>
    <row r="83" spans="1:9" x14ac:dyDescent="0.15">
      <c r="A83" s="6">
        <v>82</v>
      </c>
      <c r="B83" s="7" t="s">
        <v>9</v>
      </c>
      <c r="C83" s="8">
        <v>1889</v>
      </c>
      <c r="D83" s="9">
        <v>45439</v>
      </c>
      <c r="E83" s="13" t="str">
        <f>+HYPERLINK("http://trademark.i-assist.jp/data/china/image_1889th/76171286.pdf","76171286")</f>
        <v>76171286</v>
      </c>
      <c r="F83" s="7" t="s">
        <v>240</v>
      </c>
      <c r="G83" s="7" t="s">
        <v>241</v>
      </c>
      <c r="H83" s="7" t="s">
        <v>242</v>
      </c>
      <c r="I83" s="9">
        <v>45294</v>
      </c>
    </row>
    <row r="84" spans="1:9" ht="27" x14ac:dyDescent="0.15">
      <c r="A84" s="6">
        <v>83</v>
      </c>
      <c r="B84" s="7" t="s">
        <v>9</v>
      </c>
      <c r="C84" s="8">
        <v>1889</v>
      </c>
      <c r="D84" s="9">
        <v>45439</v>
      </c>
      <c r="E84" s="13" t="str">
        <f>+HYPERLINK("http://trademark.i-assist.jp/data/china/image_1889th/76201457.pdf","76201457")</f>
        <v>76201457</v>
      </c>
      <c r="F84" s="7" t="s">
        <v>243</v>
      </c>
      <c r="G84" s="7" t="s">
        <v>244</v>
      </c>
      <c r="H84" s="7" t="s">
        <v>245</v>
      </c>
      <c r="I84" s="9">
        <v>45295</v>
      </c>
    </row>
    <row r="85" spans="1:9" x14ac:dyDescent="0.15">
      <c r="A85" s="6">
        <v>84</v>
      </c>
      <c r="B85" s="7" t="s">
        <v>9</v>
      </c>
      <c r="C85" s="8">
        <v>1889</v>
      </c>
      <c r="D85" s="9">
        <v>45439</v>
      </c>
      <c r="E85" s="13" t="str">
        <f>+HYPERLINK("http://trademark.i-assist.jp/data/china/image_1889th/76217801.pdf","76217801")</f>
        <v>76217801</v>
      </c>
      <c r="F85" s="7" t="s">
        <v>246</v>
      </c>
      <c r="G85" s="7" t="s">
        <v>247</v>
      </c>
      <c r="H85" s="7" t="s">
        <v>248</v>
      </c>
      <c r="I85" s="9">
        <v>45296</v>
      </c>
    </row>
    <row r="86" spans="1:9" x14ac:dyDescent="0.15">
      <c r="A86" s="6">
        <v>85</v>
      </c>
      <c r="B86" s="7" t="s">
        <v>9</v>
      </c>
      <c r="C86" s="8">
        <v>1889</v>
      </c>
      <c r="D86" s="9">
        <v>45439</v>
      </c>
      <c r="E86" s="13" t="str">
        <f>+HYPERLINK("http://trademark.i-assist.jp/data/china/image_1889th/76246227.pdf","76246227")</f>
        <v>76246227</v>
      </c>
      <c r="F86" s="7" t="s">
        <v>249</v>
      </c>
      <c r="G86" s="7" t="s">
        <v>250</v>
      </c>
      <c r="H86" s="7" t="s">
        <v>251</v>
      </c>
      <c r="I86" s="9">
        <v>45299</v>
      </c>
    </row>
    <row r="87" spans="1:9" x14ac:dyDescent="0.15">
      <c r="A87" s="6">
        <v>86</v>
      </c>
      <c r="B87" s="7" t="s">
        <v>9</v>
      </c>
      <c r="C87" s="8">
        <v>1889</v>
      </c>
      <c r="D87" s="9">
        <v>45439</v>
      </c>
      <c r="E87" s="13" t="str">
        <f>+HYPERLINK("http://trademark.i-assist.jp/data/china/image_1889th/76271651.pdf","76271651")</f>
        <v>76271651</v>
      </c>
      <c r="F87" s="7" t="s">
        <v>252</v>
      </c>
      <c r="G87" s="7" t="s">
        <v>253</v>
      </c>
      <c r="H87" s="7" t="s">
        <v>254</v>
      </c>
      <c r="I87" s="9">
        <v>45300</v>
      </c>
    </row>
    <row r="88" spans="1:9" x14ac:dyDescent="0.15">
      <c r="A88" s="6">
        <v>87</v>
      </c>
      <c r="B88" s="7" t="s">
        <v>9</v>
      </c>
      <c r="C88" s="8">
        <v>1889</v>
      </c>
      <c r="D88" s="9">
        <v>45439</v>
      </c>
      <c r="E88" s="13" t="str">
        <f>+HYPERLINK("http://trademark.i-assist.jp/data/china/image_1889th/76290647.pdf","76290647")</f>
        <v>76290647</v>
      </c>
      <c r="F88" s="7" t="s">
        <v>252</v>
      </c>
      <c r="G88" s="7" t="s">
        <v>253</v>
      </c>
      <c r="H88" s="7" t="s">
        <v>255</v>
      </c>
      <c r="I88" s="9">
        <v>45300</v>
      </c>
    </row>
    <row r="89" spans="1:9" x14ac:dyDescent="0.15">
      <c r="A89" s="6">
        <v>88</v>
      </c>
      <c r="B89" s="7" t="s">
        <v>9</v>
      </c>
      <c r="C89" s="8">
        <v>1889</v>
      </c>
      <c r="D89" s="9">
        <v>45439</v>
      </c>
      <c r="E89" s="13" t="str">
        <f>+HYPERLINK("http://trademark.i-assist.jp/data/china/image_1889th/76295791.pdf","76295791")</f>
        <v>76295791</v>
      </c>
      <c r="F89" s="7" t="s">
        <v>256</v>
      </c>
      <c r="G89" s="7" t="s">
        <v>257</v>
      </c>
      <c r="H89" s="7" t="s">
        <v>258</v>
      </c>
      <c r="I89" s="9">
        <v>45301</v>
      </c>
    </row>
    <row r="90" spans="1:9" ht="27" x14ac:dyDescent="0.15">
      <c r="A90" s="6">
        <v>89</v>
      </c>
      <c r="B90" s="7" t="s">
        <v>9</v>
      </c>
      <c r="C90" s="8">
        <v>1889</v>
      </c>
      <c r="D90" s="9">
        <v>45439</v>
      </c>
      <c r="E90" s="13" t="str">
        <f>+HYPERLINK("http://trademark.i-assist.jp/data/china/image_1889th/76320898.pdf","76320898")</f>
        <v>76320898</v>
      </c>
      <c r="F90" s="7" t="s">
        <v>259</v>
      </c>
      <c r="G90" s="7" t="s">
        <v>260</v>
      </c>
      <c r="H90" s="7" t="s">
        <v>261</v>
      </c>
      <c r="I90" s="9">
        <v>45302</v>
      </c>
    </row>
    <row r="91" spans="1:9" x14ac:dyDescent="0.15">
      <c r="A91" s="6">
        <v>90</v>
      </c>
      <c r="B91" s="7" t="s">
        <v>9</v>
      </c>
      <c r="C91" s="8">
        <v>1889</v>
      </c>
      <c r="D91" s="9">
        <v>45439</v>
      </c>
      <c r="E91" s="13" t="str">
        <f>+HYPERLINK("http://trademark.i-assist.jp/data/china/image_1889th/76329287.pdf","76329287")</f>
        <v>76329287</v>
      </c>
      <c r="F91" s="7" t="s">
        <v>262</v>
      </c>
      <c r="G91" s="7" t="s">
        <v>263</v>
      </c>
      <c r="H91" s="7" t="s">
        <v>264</v>
      </c>
      <c r="I91" s="9">
        <v>45302</v>
      </c>
    </row>
    <row r="92" spans="1:9" x14ac:dyDescent="0.15">
      <c r="A92" s="6">
        <v>91</v>
      </c>
      <c r="B92" s="7" t="s">
        <v>9</v>
      </c>
      <c r="C92" s="8">
        <v>1889</v>
      </c>
      <c r="D92" s="9">
        <v>45439</v>
      </c>
      <c r="E92" s="13" t="str">
        <f>+HYPERLINK("http://trademark.i-assist.jp/data/china/image_1889th/76335055.pdf","76335055")</f>
        <v>76335055</v>
      </c>
      <c r="F92" s="7" t="s">
        <v>134</v>
      </c>
      <c r="G92" s="7" t="s">
        <v>265</v>
      </c>
      <c r="H92" s="7" t="s">
        <v>266</v>
      </c>
      <c r="I92" s="9">
        <v>45302</v>
      </c>
    </row>
    <row r="93" spans="1:9" x14ac:dyDescent="0.15">
      <c r="A93" s="6">
        <v>92</v>
      </c>
      <c r="B93" s="7" t="s">
        <v>9</v>
      </c>
      <c r="C93" s="8">
        <v>1889</v>
      </c>
      <c r="D93" s="9">
        <v>45439</v>
      </c>
      <c r="E93" s="13" t="str">
        <f>+HYPERLINK("http://trademark.i-assist.jp/data/china/image_1889th/76338870.pdf","76338870")</f>
        <v>76338870</v>
      </c>
      <c r="F93" s="7" t="s">
        <v>267</v>
      </c>
      <c r="G93" s="7" t="s">
        <v>268</v>
      </c>
      <c r="H93" s="7" t="s">
        <v>269</v>
      </c>
      <c r="I93" s="9">
        <v>45302</v>
      </c>
    </row>
    <row r="94" spans="1:9" x14ac:dyDescent="0.15">
      <c r="A94" s="6">
        <v>93</v>
      </c>
      <c r="B94" s="7" t="s">
        <v>9</v>
      </c>
      <c r="C94" s="8">
        <v>1889</v>
      </c>
      <c r="D94" s="9">
        <v>45439</v>
      </c>
      <c r="E94" s="13" t="str">
        <f>+HYPERLINK("http://trademark.i-assist.jp/data/china/image_1889th/76339530.pdf","76339530")</f>
        <v>76339530</v>
      </c>
      <c r="F94" s="7" t="s">
        <v>262</v>
      </c>
      <c r="G94" s="7" t="s">
        <v>263</v>
      </c>
      <c r="H94" s="7" t="s">
        <v>270</v>
      </c>
      <c r="I94" s="9">
        <v>45302</v>
      </c>
    </row>
    <row r="95" spans="1:9" x14ac:dyDescent="0.15">
      <c r="A95" s="6">
        <v>94</v>
      </c>
      <c r="B95" s="7" t="s">
        <v>9</v>
      </c>
      <c r="C95" s="8">
        <v>1889</v>
      </c>
      <c r="D95" s="9">
        <v>45439</v>
      </c>
      <c r="E95" s="13" t="str">
        <f>+HYPERLINK("http://trademark.i-assist.jp/data/china/image_1889th/76352945.pdf","76352945")</f>
        <v>76352945</v>
      </c>
      <c r="F95" s="7" t="s">
        <v>271</v>
      </c>
      <c r="G95" s="7" t="s">
        <v>272</v>
      </c>
      <c r="H95" s="7" t="s">
        <v>273</v>
      </c>
      <c r="I95" s="9">
        <v>45303</v>
      </c>
    </row>
    <row r="96" spans="1:9" ht="27" x14ac:dyDescent="0.15">
      <c r="A96" s="6">
        <v>95</v>
      </c>
      <c r="B96" s="7" t="s">
        <v>9</v>
      </c>
      <c r="C96" s="8">
        <v>1889</v>
      </c>
      <c r="D96" s="9">
        <v>45439</v>
      </c>
      <c r="E96" s="13" t="str">
        <f>+HYPERLINK("http://trademark.i-assist.jp/data/china/image_1889th/76356909.pdf","76356909")</f>
        <v>76356909</v>
      </c>
      <c r="F96" s="7" t="s">
        <v>274</v>
      </c>
      <c r="G96" s="7" t="s">
        <v>275</v>
      </c>
      <c r="H96" s="7" t="s">
        <v>276</v>
      </c>
      <c r="I96" s="9">
        <v>45303</v>
      </c>
    </row>
    <row r="97" spans="1:9" x14ac:dyDescent="0.15">
      <c r="A97" s="6">
        <v>96</v>
      </c>
      <c r="B97" s="7" t="s">
        <v>9</v>
      </c>
      <c r="C97" s="8">
        <v>1889</v>
      </c>
      <c r="D97" s="9">
        <v>45439</v>
      </c>
      <c r="E97" s="13" t="str">
        <f>+HYPERLINK("http://trademark.i-assist.jp/data/china/image_1889th/76369330.pdf","76369330")</f>
        <v>76369330</v>
      </c>
      <c r="F97" s="7" t="s">
        <v>134</v>
      </c>
      <c r="G97" s="7" t="s">
        <v>277</v>
      </c>
      <c r="H97" s="7" t="s">
        <v>278</v>
      </c>
      <c r="I97" s="9">
        <v>45304</v>
      </c>
    </row>
    <row r="98" spans="1:9" x14ac:dyDescent="0.15">
      <c r="A98" s="6">
        <v>97</v>
      </c>
      <c r="B98" s="7" t="s">
        <v>9</v>
      </c>
      <c r="C98" s="8">
        <v>1889</v>
      </c>
      <c r="D98" s="9">
        <v>45439</v>
      </c>
      <c r="E98" s="13" t="str">
        <f>+HYPERLINK("http://trademark.i-assist.jp/data/china/image_1889th/76371045.pdf","76371045")</f>
        <v>76371045</v>
      </c>
      <c r="F98" s="7" t="s">
        <v>279</v>
      </c>
      <c r="G98" s="7" t="s">
        <v>280</v>
      </c>
      <c r="H98" s="7" t="s">
        <v>281</v>
      </c>
      <c r="I98" s="9">
        <v>45304</v>
      </c>
    </row>
    <row r="99" spans="1:9" x14ac:dyDescent="0.15">
      <c r="A99" s="6">
        <v>98</v>
      </c>
      <c r="B99" s="7" t="s">
        <v>9</v>
      </c>
      <c r="C99" s="8">
        <v>1889</v>
      </c>
      <c r="D99" s="9">
        <v>45439</v>
      </c>
      <c r="E99" s="13" t="str">
        <f>+HYPERLINK("http://trademark.i-assist.jp/data/china/image_1889th/76377033.pdf","76377033")</f>
        <v>76377033</v>
      </c>
      <c r="F99" s="7" t="s">
        <v>282</v>
      </c>
      <c r="G99" s="7" t="s">
        <v>283</v>
      </c>
      <c r="H99" s="7" t="s">
        <v>284</v>
      </c>
      <c r="I99" s="9">
        <v>45305</v>
      </c>
    </row>
    <row r="100" spans="1:9" x14ac:dyDescent="0.15">
      <c r="A100" s="6">
        <v>99</v>
      </c>
      <c r="B100" s="7" t="s">
        <v>9</v>
      </c>
      <c r="C100" s="8">
        <v>1889</v>
      </c>
      <c r="D100" s="9">
        <v>45439</v>
      </c>
      <c r="E100" s="13" t="str">
        <f>+HYPERLINK("http://trademark.i-assist.jp/data/china/image_1889th/76440544.pdf","76440544")</f>
        <v>76440544</v>
      </c>
      <c r="F100" s="7" t="s">
        <v>285</v>
      </c>
      <c r="G100" s="7" t="s">
        <v>286</v>
      </c>
      <c r="H100" s="7" t="s">
        <v>287</v>
      </c>
      <c r="I100" s="9">
        <v>45308</v>
      </c>
    </row>
    <row r="101" spans="1:9" ht="27" x14ac:dyDescent="0.15">
      <c r="A101" s="6">
        <v>100</v>
      </c>
      <c r="B101" s="7" t="s">
        <v>9</v>
      </c>
      <c r="C101" s="8">
        <v>1889</v>
      </c>
      <c r="D101" s="9">
        <v>45439</v>
      </c>
      <c r="E101" s="13" t="str">
        <f>+HYPERLINK("http://trademark.i-assist.jp/data/china/image_1889th/76442750.pdf","76442750")</f>
        <v>76442750</v>
      </c>
      <c r="F101" s="7" t="s">
        <v>288</v>
      </c>
      <c r="G101" s="7" t="s">
        <v>289</v>
      </c>
      <c r="H101" s="7" t="s">
        <v>290</v>
      </c>
      <c r="I101" s="9">
        <v>45308</v>
      </c>
    </row>
    <row r="102" spans="1:9" x14ac:dyDescent="0.15">
      <c r="A102" s="6">
        <v>101</v>
      </c>
      <c r="B102" s="7" t="s">
        <v>9</v>
      </c>
      <c r="C102" s="8">
        <v>1889</v>
      </c>
      <c r="D102" s="9">
        <v>45439</v>
      </c>
      <c r="E102" s="13" t="str">
        <f>+HYPERLINK("http://trademark.i-assist.jp/data/china/image_1889th/76446926.pdf","76446926")</f>
        <v>76446926</v>
      </c>
      <c r="F102" s="7" t="s">
        <v>291</v>
      </c>
      <c r="G102" s="7" t="s">
        <v>292</v>
      </c>
      <c r="H102" s="7" t="s">
        <v>293</v>
      </c>
      <c r="I102" s="9">
        <v>45308</v>
      </c>
    </row>
    <row r="103" spans="1:9" x14ac:dyDescent="0.15">
      <c r="A103" s="6">
        <v>102</v>
      </c>
      <c r="B103" s="7" t="s">
        <v>9</v>
      </c>
      <c r="C103" s="8">
        <v>1889</v>
      </c>
      <c r="D103" s="9">
        <v>45439</v>
      </c>
      <c r="E103" s="13" t="str">
        <f>+HYPERLINK("http://trademark.i-assist.jp/data/china/image_1889th/76447971.pdf","76447971")</f>
        <v>76447971</v>
      </c>
      <c r="F103" s="7" t="s">
        <v>294</v>
      </c>
      <c r="G103" s="7" t="s">
        <v>295</v>
      </c>
      <c r="H103" s="7" t="s">
        <v>296</v>
      </c>
      <c r="I103" s="9">
        <v>45308</v>
      </c>
    </row>
    <row r="104" spans="1:9" x14ac:dyDescent="0.15">
      <c r="A104" s="6">
        <v>103</v>
      </c>
      <c r="B104" s="7" t="s">
        <v>9</v>
      </c>
      <c r="C104" s="8">
        <v>1889</v>
      </c>
      <c r="D104" s="9">
        <v>45439</v>
      </c>
      <c r="E104" s="13" t="str">
        <f>+HYPERLINK("http://trademark.i-assist.jp/data/china/image_1889th/76448706.pdf","76448706")</f>
        <v>76448706</v>
      </c>
      <c r="F104" s="7" t="s">
        <v>285</v>
      </c>
      <c r="G104" s="7" t="s">
        <v>286</v>
      </c>
      <c r="H104" s="7" t="s">
        <v>297</v>
      </c>
      <c r="I104" s="9">
        <v>45308</v>
      </c>
    </row>
    <row r="105" spans="1:9" x14ac:dyDescent="0.15">
      <c r="A105" s="6">
        <v>104</v>
      </c>
      <c r="B105" s="7" t="s">
        <v>9</v>
      </c>
      <c r="C105" s="8">
        <v>1889</v>
      </c>
      <c r="D105" s="9">
        <v>45439</v>
      </c>
      <c r="E105" s="13" t="str">
        <f>+HYPERLINK("http://trademark.i-assist.jp/data/china/image_1889th/76453174.pdf","76453174")</f>
        <v>76453174</v>
      </c>
      <c r="F105" s="7" t="s">
        <v>298</v>
      </c>
      <c r="G105" s="7" t="s">
        <v>299</v>
      </c>
      <c r="H105" s="7" t="s">
        <v>300</v>
      </c>
      <c r="I105" s="9">
        <v>45308</v>
      </c>
    </row>
    <row r="106" spans="1:9" ht="27" x14ac:dyDescent="0.15">
      <c r="A106" s="6">
        <v>105</v>
      </c>
      <c r="B106" s="7" t="s">
        <v>9</v>
      </c>
      <c r="C106" s="8">
        <v>1889</v>
      </c>
      <c r="D106" s="9">
        <v>45439</v>
      </c>
      <c r="E106" s="13" t="str">
        <f>+HYPERLINK("http://trademark.i-assist.jp/data/china/image_1889th/76456647.pdf","76456647")</f>
        <v>76456647</v>
      </c>
      <c r="F106" s="7" t="s">
        <v>301</v>
      </c>
      <c r="G106" s="7" t="s">
        <v>302</v>
      </c>
      <c r="H106" s="7" t="s">
        <v>303</v>
      </c>
      <c r="I106" s="9">
        <v>45308</v>
      </c>
    </row>
    <row r="107" spans="1:9" ht="27" x14ac:dyDescent="0.15">
      <c r="A107" s="6">
        <v>106</v>
      </c>
      <c r="B107" s="7" t="s">
        <v>9</v>
      </c>
      <c r="C107" s="8">
        <v>1889</v>
      </c>
      <c r="D107" s="9">
        <v>45439</v>
      </c>
      <c r="E107" s="13" t="str">
        <f>+HYPERLINK("http://trademark.i-assist.jp/data/china/image_1889th/76468172.pdf","76468172")</f>
        <v>76468172</v>
      </c>
      <c r="F107" s="7" t="s">
        <v>304</v>
      </c>
      <c r="G107" s="7" t="s">
        <v>305</v>
      </c>
      <c r="H107" s="7" t="s">
        <v>306</v>
      </c>
      <c r="I107" s="9">
        <v>45310</v>
      </c>
    </row>
    <row r="108" spans="1:9" x14ac:dyDescent="0.15">
      <c r="A108" s="6">
        <v>107</v>
      </c>
      <c r="B108" s="7" t="s">
        <v>9</v>
      </c>
      <c r="C108" s="8">
        <v>1889</v>
      </c>
      <c r="D108" s="9">
        <v>45439</v>
      </c>
      <c r="E108" s="13" t="str">
        <f>+HYPERLINK("http://trademark.i-assist.jp/data/china/image_1889th/76478941.pdf","76478941")</f>
        <v>76478941</v>
      </c>
      <c r="F108" s="7" t="s">
        <v>307</v>
      </c>
      <c r="G108" s="7" t="s">
        <v>308</v>
      </c>
      <c r="H108" s="7" t="s">
        <v>309</v>
      </c>
      <c r="I108" s="9">
        <v>45310</v>
      </c>
    </row>
    <row r="109" spans="1:9" x14ac:dyDescent="0.15">
      <c r="A109" s="6">
        <v>108</v>
      </c>
      <c r="B109" s="7" t="s">
        <v>9</v>
      </c>
      <c r="C109" s="8">
        <v>1889</v>
      </c>
      <c r="D109" s="9">
        <v>45439</v>
      </c>
      <c r="E109" s="13" t="str">
        <f>+HYPERLINK("http://trademark.i-assist.jp/data/china/image_1889th/76488882.pdf","76488882")</f>
        <v>76488882</v>
      </c>
      <c r="F109" s="7" t="s">
        <v>310</v>
      </c>
      <c r="G109" s="7" t="s">
        <v>311</v>
      </c>
      <c r="H109" s="7" t="s">
        <v>312</v>
      </c>
      <c r="I109" s="9">
        <v>45310</v>
      </c>
    </row>
    <row r="110" spans="1:9" x14ac:dyDescent="0.15">
      <c r="A110" s="6">
        <v>109</v>
      </c>
      <c r="B110" s="7" t="s">
        <v>9</v>
      </c>
      <c r="C110" s="8">
        <v>1889</v>
      </c>
      <c r="D110" s="9">
        <v>45439</v>
      </c>
      <c r="E110" s="13" t="str">
        <f>+HYPERLINK("http://trademark.i-assist.jp/data/china/image_1889th/76496565.pdf","76496565")</f>
        <v>76496565</v>
      </c>
      <c r="F110" s="7" t="s">
        <v>313</v>
      </c>
      <c r="G110" s="7" t="s">
        <v>314</v>
      </c>
      <c r="H110" s="7" t="s">
        <v>315</v>
      </c>
      <c r="I110" s="9">
        <v>45310</v>
      </c>
    </row>
    <row r="111" spans="1:9" x14ac:dyDescent="0.15">
      <c r="A111" s="6">
        <v>110</v>
      </c>
      <c r="B111" s="7" t="s">
        <v>9</v>
      </c>
      <c r="C111" s="8">
        <v>1889</v>
      </c>
      <c r="D111" s="9">
        <v>45439</v>
      </c>
      <c r="E111" s="13" t="str">
        <f>+HYPERLINK("http://trademark.i-assist.jp/data/china/image_1889th/76502917.pdf","76502917")</f>
        <v>76502917</v>
      </c>
      <c r="F111" s="7" t="s">
        <v>316</v>
      </c>
      <c r="G111" s="7" t="s">
        <v>317</v>
      </c>
      <c r="H111" s="7" t="s">
        <v>318</v>
      </c>
      <c r="I111" s="9">
        <v>45310</v>
      </c>
    </row>
    <row r="112" spans="1:9" x14ac:dyDescent="0.15">
      <c r="A112" s="6">
        <v>111</v>
      </c>
      <c r="B112" s="7" t="s">
        <v>9</v>
      </c>
      <c r="C112" s="8">
        <v>1889</v>
      </c>
      <c r="D112" s="9">
        <v>45439</v>
      </c>
      <c r="E112" s="13" t="str">
        <f>+HYPERLINK("http://trademark.i-assist.jp/data/china/image_1889th/76504589.pdf","76504589")</f>
        <v>76504589</v>
      </c>
      <c r="F112" s="7" t="s">
        <v>134</v>
      </c>
      <c r="G112" s="7" t="s">
        <v>319</v>
      </c>
      <c r="H112" s="7" t="s">
        <v>42</v>
      </c>
      <c r="I112" s="9">
        <v>45310</v>
      </c>
    </row>
    <row r="113" spans="1:9" x14ac:dyDescent="0.15">
      <c r="A113" s="6">
        <v>112</v>
      </c>
      <c r="B113" s="7" t="s">
        <v>9</v>
      </c>
      <c r="C113" s="8">
        <v>1889</v>
      </c>
      <c r="D113" s="9">
        <v>45439</v>
      </c>
      <c r="E113" s="13" t="str">
        <f>+HYPERLINK("http://trademark.i-assist.jp/data/china/image_1889th/76514940.pdf","76514940")</f>
        <v>76514940</v>
      </c>
      <c r="F113" s="7" t="s">
        <v>320</v>
      </c>
      <c r="G113" s="7" t="s">
        <v>321</v>
      </c>
      <c r="H113" s="7" t="s">
        <v>322</v>
      </c>
      <c r="I113" s="9">
        <v>45311</v>
      </c>
    </row>
    <row r="114" spans="1:9" x14ac:dyDescent="0.15">
      <c r="A114" s="6">
        <v>113</v>
      </c>
      <c r="B114" s="7" t="s">
        <v>9</v>
      </c>
      <c r="C114" s="8">
        <v>1889</v>
      </c>
      <c r="D114" s="9">
        <v>45439</v>
      </c>
      <c r="E114" s="13" t="str">
        <f>+HYPERLINK("http://trademark.i-assist.jp/data/china/image_1889th/76517093.pdf","76517093")</f>
        <v>76517093</v>
      </c>
      <c r="F114" s="7" t="s">
        <v>323</v>
      </c>
      <c r="G114" s="7" t="s">
        <v>324</v>
      </c>
      <c r="H114" s="7" t="s">
        <v>325</v>
      </c>
      <c r="I114" s="9">
        <v>45312</v>
      </c>
    </row>
    <row r="115" spans="1:9" ht="27" x14ac:dyDescent="0.15">
      <c r="A115" s="6">
        <v>114</v>
      </c>
      <c r="B115" s="7" t="s">
        <v>9</v>
      </c>
      <c r="C115" s="8">
        <v>1889</v>
      </c>
      <c r="D115" s="9">
        <v>45439</v>
      </c>
      <c r="E115" s="13" t="str">
        <f>+HYPERLINK("http://trademark.i-assist.jp/data/china/image_1889th/76520573.pdf","76520573")</f>
        <v>76520573</v>
      </c>
      <c r="F115" s="7" t="s">
        <v>326</v>
      </c>
      <c r="G115" s="7" t="s">
        <v>327</v>
      </c>
      <c r="H115" s="7" t="s">
        <v>328</v>
      </c>
      <c r="I115" s="9">
        <v>45313</v>
      </c>
    </row>
    <row r="116" spans="1:9" ht="27" x14ac:dyDescent="0.15">
      <c r="A116" s="6">
        <v>115</v>
      </c>
      <c r="B116" s="7" t="s">
        <v>9</v>
      </c>
      <c r="C116" s="8">
        <v>1889</v>
      </c>
      <c r="D116" s="9">
        <v>45439</v>
      </c>
      <c r="E116" s="13" t="str">
        <f>+HYPERLINK("http://trademark.i-assist.jp/data/china/image_1889th/76526018.pdf","76526018")</f>
        <v>76526018</v>
      </c>
      <c r="F116" s="7" t="s">
        <v>329</v>
      </c>
      <c r="G116" s="7" t="s">
        <v>330</v>
      </c>
      <c r="H116" s="7" t="s">
        <v>331</v>
      </c>
      <c r="I116" s="9">
        <v>45313</v>
      </c>
    </row>
    <row r="117" spans="1:9" x14ac:dyDescent="0.15">
      <c r="A117" s="6">
        <v>116</v>
      </c>
      <c r="B117" s="7" t="s">
        <v>9</v>
      </c>
      <c r="C117" s="8">
        <v>1889</v>
      </c>
      <c r="D117" s="9">
        <v>45439</v>
      </c>
      <c r="E117" s="13" t="str">
        <f>+HYPERLINK("http://trademark.i-assist.jp/data/china/image_1889th/76559594.pdf","76559594")</f>
        <v>76559594</v>
      </c>
      <c r="F117" s="7" t="s">
        <v>332</v>
      </c>
      <c r="G117" s="7" t="s">
        <v>333</v>
      </c>
      <c r="H117" s="7" t="s">
        <v>334</v>
      </c>
      <c r="I117" s="9">
        <v>45314</v>
      </c>
    </row>
    <row r="118" spans="1:9" ht="27" x14ac:dyDescent="0.15">
      <c r="A118" s="6">
        <v>117</v>
      </c>
      <c r="B118" s="7" t="s">
        <v>9</v>
      </c>
      <c r="C118" s="8">
        <v>1889</v>
      </c>
      <c r="D118" s="9">
        <v>45439</v>
      </c>
      <c r="E118" s="13" t="str">
        <f>+HYPERLINK("http://trademark.i-assist.jp/data/china/image_1889th/76562487.pdf","76562487")</f>
        <v>76562487</v>
      </c>
      <c r="F118" s="7" t="s">
        <v>335</v>
      </c>
      <c r="G118" s="7" t="s">
        <v>336</v>
      </c>
      <c r="H118" s="7" t="s">
        <v>337</v>
      </c>
      <c r="I118" s="9">
        <v>45314</v>
      </c>
    </row>
    <row r="119" spans="1:9" x14ac:dyDescent="0.15">
      <c r="A119" s="6">
        <v>118</v>
      </c>
      <c r="B119" s="7" t="s">
        <v>9</v>
      </c>
      <c r="C119" s="8">
        <v>1889</v>
      </c>
      <c r="D119" s="9">
        <v>45439</v>
      </c>
      <c r="E119" s="13" t="str">
        <f>+HYPERLINK("http://trademark.i-assist.jp/data/china/image_1889th/76562949.pdf","76562949")</f>
        <v>76562949</v>
      </c>
      <c r="F119" s="7" t="s">
        <v>338</v>
      </c>
      <c r="G119" s="7" t="s">
        <v>339</v>
      </c>
      <c r="H119" s="7" t="s">
        <v>340</v>
      </c>
      <c r="I119" s="9">
        <v>45314</v>
      </c>
    </row>
    <row r="120" spans="1:9" x14ac:dyDescent="0.15">
      <c r="A120" s="6">
        <v>119</v>
      </c>
      <c r="B120" s="7" t="s">
        <v>9</v>
      </c>
      <c r="C120" s="8">
        <v>1889</v>
      </c>
      <c r="D120" s="9">
        <v>45439</v>
      </c>
      <c r="E120" s="13" t="str">
        <f>+HYPERLINK("http://trademark.i-assist.jp/data/china/image_1889th/76567411.pdf","76567411")</f>
        <v>76567411</v>
      </c>
      <c r="F120" s="7" t="s">
        <v>341</v>
      </c>
      <c r="G120" s="7" t="s">
        <v>342</v>
      </c>
      <c r="H120" s="7" t="s">
        <v>343</v>
      </c>
      <c r="I120" s="9">
        <v>45314</v>
      </c>
    </row>
    <row r="121" spans="1:9" x14ac:dyDescent="0.15">
      <c r="A121" s="6">
        <v>120</v>
      </c>
      <c r="B121" s="7" t="s">
        <v>9</v>
      </c>
      <c r="C121" s="8">
        <v>1889</v>
      </c>
      <c r="D121" s="9">
        <v>45439</v>
      </c>
      <c r="E121" s="13" t="str">
        <f>+HYPERLINK("http://trademark.i-assist.jp/data/china/image_1889th/76582095.pdf","76582095")</f>
        <v>76582095</v>
      </c>
      <c r="F121" s="7" t="s">
        <v>344</v>
      </c>
      <c r="G121" s="7" t="s">
        <v>345</v>
      </c>
      <c r="H121" s="7" t="s">
        <v>346</v>
      </c>
      <c r="I121" s="9">
        <v>45315</v>
      </c>
    </row>
    <row r="122" spans="1:9" x14ac:dyDescent="0.15">
      <c r="A122" s="6">
        <v>121</v>
      </c>
      <c r="B122" s="7" t="s">
        <v>9</v>
      </c>
      <c r="C122" s="8">
        <v>1889</v>
      </c>
      <c r="D122" s="9">
        <v>45439</v>
      </c>
      <c r="E122" s="13" t="str">
        <f>+HYPERLINK("http://trademark.i-assist.jp/data/china/image_1889th/76588825.pdf","76588825")</f>
        <v>76588825</v>
      </c>
      <c r="F122" s="7" t="s">
        <v>347</v>
      </c>
      <c r="G122" s="7" t="s">
        <v>348</v>
      </c>
      <c r="H122" s="7" t="s">
        <v>349</v>
      </c>
      <c r="I122" s="9">
        <v>45315</v>
      </c>
    </row>
    <row r="123" spans="1:9" x14ac:dyDescent="0.15">
      <c r="A123" s="6">
        <v>122</v>
      </c>
      <c r="B123" s="7" t="s">
        <v>9</v>
      </c>
      <c r="C123" s="8">
        <v>1889</v>
      </c>
      <c r="D123" s="9">
        <v>45439</v>
      </c>
      <c r="E123" s="13" t="str">
        <f>+HYPERLINK("http://trademark.i-assist.jp/data/china/image_1889th/76593560.pdf","76593560")</f>
        <v>76593560</v>
      </c>
      <c r="F123" s="7" t="s">
        <v>350</v>
      </c>
      <c r="G123" s="7" t="s">
        <v>351</v>
      </c>
      <c r="H123" s="7" t="s">
        <v>352</v>
      </c>
      <c r="I123" s="9">
        <v>45316</v>
      </c>
    </row>
    <row r="124" spans="1:9" x14ac:dyDescent="0.15">
      <c r="A124" s="6">
        <v>123</v>
      </c>
      <c r="B124" s="7" t="s">
        <v>9</v>
      </c>
      <c r="C124" s="8">
        <v>1889</v>
      </c>
      <c r="D124" s="9">
        <v>45439</v>
      </c>
      <c r="E124" s="13" t="str">
        <f>+HYPERLINK("http://trademark.i-assist.jp/data/china/image_1889th/76598370.pdf","76598370")</f>
        <v>76598370</v>
      </c>
      <c r="F124" s="7" t="s">
        <v>353</v>
      </c>
      <c r="G124" s="7" t="s">
        <v>354</v>
      </c>
      <c r="H124" s="7" t="s">
        <v>355</v>
      </c>
      <c r="I124" s="9">
        <v>45316</v>
      </c>
    </row>
    <row r="125" spans="1:9" x14ac:dyDescent="0.15">
      <c r="A125" s="6">
        <v>124</v>
      </c>
      <c r="B125" s="7" t="s">
        <v>9</v>
      </c>
      <c r="C125" s="8">
        <v>1889</v>
      </c>
      <c r="D125" s="9">
        <v>45439</v>
      </c>
      <c r="E125" s="13" t="str">
        <f>+HYPERLINK("http://trademark.i-assist.jp/data/china/image_1889th/76598535.pdf","76598535")</f>
        <v>76598535</v>
      </c>
      <c r="F125" s="7" t="s">
        <v>356</v>
      </c>
      <c r="G125" s="7" t="s">
        <v>357</v>
      </c>
      <c r="H125" s="7" t="s">
        <v>358</v>
      </c>
      <c r="I125" s="9">
        <v>45316</v>
      </c>
    </row>
    <row r="126" spans="1:9" x14ac:dyDescent="0.15">
      <c r="A126" s="6">
        <v>125</v>
      </c>
      <c r="B126" s="7" t="s">
        <v>9</v>
      </c>
      <c r="C126" s="8">
        <v>1889</v>
      </c>
      <c r="D126" s="9">
        <v>45439</v>
      </c>
      <c r="E126" s="13" t="str">
        <f>+HYPERLINK("http://trademark.i-assist.jp/data/china/image_1889th/76603763.pdf","76603763")</f>
        <v>76603763</v>
      </c>
      <c r="F126" s="7" t="s">
        <v>359</v>
      </c>
      <c r="G126" s="7" t="s">
        <v>360</v>
      </c>
      <c r="H126" s="7" t="s">
        <v>361</v>
      </c>
      <c r="I126" s="9">
        <v>45316</v>
      </c>
    </row>
    <row r="127" spans="1:9" ht="27" x14ac:dyDescent="0.15">
      <c r="A127" s="6">
        <v>126</v>
      </c>
      <c r="B127" s="7" t="s">
        <v>9</v>
      </c>
      <c r="C127" s="8">
        <v>1889</v>
      </c>
      <c r="D127" s="9">
        <v>45439</v>
      </c>
      <c r="E127" s="13" t="str">
        <f>+HYPERLINK("http://trademark.i-assist.jp/data/china/image_1889th/76605512.pdf","76605512")</f>
        <v>76605512</v>
      </c>
      <c r="F127" s="7" t="s">
        <v>362</v>
      </c>
      <c r="G127" s="7" t="s">
        <v>363</v>
      </c>
      <c r="H127" s="7" t="s">
        <v>364</v>
      </c>
      <c r="I127" s="9">
        <v>45316</v>
      </c>
    </row>
    <row r="128" spans="1:9" x14ac:dyDescent="0.15">
      <c r="A128" s="6">
        <v>127</v>
      </c>
      <c r="B128" s="7" t="s">
        <v>9</v>
      </c>
      <c r="C128" s="8">
        <v>1889</v>
      </c>
      <c r="D128" s="9">
        <v>45439</v>
      </c>
      <c r="E128" s="13" t="str">
        <f>+HYPERLINK("http://trademark.i-assist.jp/data/china/image_1889th/76607443.pdf","76607443")</f>
        <v>76607443</v>
      </c>
      <c r="F128" s="7" t="s">
        <v>365</v>
      </c>
      <c r="G128" s="7" t="s">
        <v>366</v>
      </c>
      <c r="H128" s="7" t="s">
        <v>367</v>
      </c>
      <c r="I128" s="9">
        <v>45316</v>
      </c>
    </row>
    <row r="129" spans="1:9" x14ac:dyDescent="0.15">
      <c r="A129" s="6">
        <v>128</v>
      </c>
      <c r="B129" s="7" t="s">
        <v>9</v>
      </c>
      <c r="C129" s="8">
        <v>1889</v>
      </c>
      <c r="D129" s="9">
        <v>45439</v>
      </c>
      <c r="E129" s="13" t="str">
        <f>+HYPERLINK("http://trademark.i-assist.jp/data/china/image_1889th/76608237.pdf","76608237")</f>
        <v>76608237</v>
      </c>
      <c r="F129" s="7" t="s">
        <v>368</v>
      </c>
      <c r="G129" s="7" t="s">
        <v>369</v>
      </c>
      <c r="H129" s="7" t="s">
        <v>370</v>
      </c>
      <c r="I129" s="9">
        <v>45316</v>
      </c>
    </row>
    <row r="130" spans="1:9" ht="27" x14ac:dyDescent="0.15">
      <c r="A130" s="6">
        <v>129</v>
      </c>
      <c r="B130" s="7" t="s">
        <v>9</v>
      </c>
      <c r="C130" s="8">
        <v>1889</v>
      </c>
      <c r="D130" s="9">
        <v>45439</v>
      </c>
      <c r="E130" s="13" t="str">
        <f>+HYPERLINK("http://trademark.i-assist.jp/data/china/image_1889th/76626068.pdf","76626068")</f>
        <v>76626068</v>
      </c>
      <c r="F130" s="7" t="s">
        <v>371</v>
      </c>
      <c r="G130" s="7" t="s">
        <v>372</v>
      </c>
      <c r="H130" s="7" t="s">
        <v>373</v>
      </c>
      <c r="I130" s="9">
        <v>45317</v>
      </c>
    </row>
    <row r="131" spans="1:9" x14ac:dyDescent="0.15">
      <c r="A131" s="6">
        <v>130</v>
      </c>
      <c r="B131" s="7" t="s">
        <v>9</v>
      </c>
      <c r="C131" s="8">
        <v>1889</v>
      </c>
      <c r="D131" s="9">
        <v>45439</v>
      </c>
      <c r="E131" s="13" t="str">
        <f>+HYPERLINK("http://trademark.i-assist.jp/data/china/image_1889th/76627546.pdf","76627546")</f>
        <v>76627546</v>
      </c>
      <c r="F131" s="7" t="s">
        <v>374</v>
      </c>
      <c r="G131" s="7" t="s">
        <v>375</v>
      </c>
      <c r="H131" s="7" t="s">
        <v>376</v>
      </c>
      <c r="I131" s="9">
        <v>45317</v>
      </c>
    </row>
    <row r="132" spans="1:9" ht="27" x14ac:dyDescent="0.15">
      <c r="A132" s="6">
        <v>131</v>
      </c>
      <c r="B132" s="7" t="s">
        <v>9</v>
      </c>
      <c r="C132" s="8">
        <v>1889</v>
      </c>
      <c r="D132" s="9">
        <v>45439</v>
      </c>
      <c r="E132" s="13" t="str">
        <f>+HYPERLINK("http://trademark.i-assist.jp/data/china/image_1889th/76634355.pdf","76634355")</f>
        <v>76634355</v>
      </c>
      <c r="F132" s="7" t="s">
        <v>377</v>
      </c>
      <c r="G132" s="7" t="s">
        <v>378</v>
      </c>
      <c r="H132" s="7" t="s">
        <v>379</v>
      </c>
      <c r="I132" s="9">
        <v>45317</v>
      </c>
    </row>
    <row r="133" spans="1:9" x14ac:dyDescent="0.15">
      <c r="A133" s="6">
        <v>132</v>
      </c>
      <c r="B133" s="7" t="s">
        <v>9</v>
      </c>
      <c r="C133" s="8">
        <v>1889</v>
      </c>
      <c r="D133" s="9">
        <v>45439</v>
      </c>
      <c r="E133" s="13" t="str">
        <f>+HYPERLINK("http://trademark.i-assist.jp/data/china/image_1889th/76638654.pdf","76638654")</f>
        <v>76638654</v>
      </c>
      <c r="F133" s="7" t="s">
        <v>380</v>
      </c>
      <c r="G133" s="7" t="s">
        <v>381</v>
      </c>
      <c r="H133" s="7" t="s">
        <v>382</v>
      </c>
      <c r="I133" s="9">
        <v>45317</v>
      </c>
    </row>
    <row r="134" spans="1:9" ht="27" x14ac:dyDescent="0.15">
      <c r="A134" s="6">
        <v>133</v>
      </c>
      <c r="B134" s="7" t="s">
        <v>9</v>
      </c>
      <c r="C134" s="8">
        <v>1889</v>
      </c>
      <c r="D134" s="9">
        <v>45439</v>
      </c>
      <c r="E134" s="13" t="str">
        <f>+HYPERLINK("http://trademark.i-assist.jp/data/china/image_1889th/76646045.pdf","76646045")</f>
        <v>76646045</v>
      </c>
      <c r="F134" s="7" t="s">
        <v>383</v>
      </c>
      <c r="G134" s="7" t="s">
        <v>384</v>
      </c>
      <c r="H134" s="7" t="s">
        <v>385</v>
      </c>
      <c r="I134" s="9">
        <v>45318</v>
      </c>
    </row>
    <row r="135" spans="1:9" x14ac:dyDescent="0.15">
      <c r="A135" s="6">
        <v>134</v>
      </c>
      <c r="B135" s="7" t="s">
        <v>9</v>
      </c>
      <c r="C135" s="8">
        <v>1889</v>
      </c>
      <c r="D135" s="9">
        <v>45439</v>
      </c>
      <c r="E135" s="13" t="str">
        <f>+HYPERLINK("http://trademark.i-assist.jp/data/china/image_1889th/76647754.pdf","76647754")</f>
        <v>76647754</v>
      </c>
      <c r="F135" s="7" t="s">
        <v>386</v>
      </c>
      <c r="G135" s="7" t="s">
        <v>387</v>
      </c>
      <c r="H135" s="7" t="s">
        <v>388</v>
      </c>
      <c r="I135" s="9">
        <v>45319</v>
      </c>
    </row>
    <row r="136" spans="1:9" x14ac:dyDescent="0.15">
      <c r="A136" s="6">
        <v>135</v>
      </c>
      <c r="B136" s="7" t="s">
        <v>9</v>
      </c>
      <c r="C136" s="8">
        <v>1889</v>
      </c>
      <c r="D136" s="9">
        <v>45439</v>
      </c>
      <c r="E136" s="13" t="str">
        <f>+HYPERLINK("http://trademark.i-assist.jp/data/china/image_1889th/76651271.pdf","76651271")</f>
        <v>76651271</v>
      </c>
      <c r="F136" s="7" t="s">
        <v>389</v>
      </c>
      <c r="G136" s="7" t="s">
        <v>390</v>
      </c>
      <c r="H136" s="7" t="s">
        <v>391</v>
      </c>
      <c r="I136" s="9">
        <v>45320</v>
      </c>
    </row>
    <row r="137" spans="1:9" x14ac:dyDescent="0.15">
      <c r="A137" s="6">
        <v>136</v>
      </c>
      <c r="B137" s="7" t="s">
        <v>9</v>
      </c>
      <c r="C137" s="8">
        <v>1889</v>
      </c>
      <c r="D137" s="9">
        <v>45439</v>
      </c>
      <c r="E137" s="13" t="str">
        <f>+HYPERLINK("http://trademark.i-assist.jp/data/china/image_1889th/76656481.pdf","76656481")</f>
        <v>76656481</v>
      </c>
      <c r="F137" s="7" t="s">
        <v>392</v>
      </c>
      <c r="G137" s="7" t="s">
        <v>393</v>
      </c>
      <c r="H137" s="7" t="s">
        <v>394</v>
      </c>
      <c r="I137" s="9">
        <v>45320</v>
      </c>
    </row>
    <row r="138" spans="1:9" x14ac:dyDescent="0.15">
      <c r="A138" s="6">
        <v>137</v>
      </c>
      <c r="B138" s="7" t="s">
        <v>9</v>
      </c>
      <c r="C138" s="8">
        <v>1889</v>
      </c>
      <c r="D138" s="9">
        <v>45439</v>
      </c>
      <c r="E138" s="13" t="str">
        <f>+HYPERLINK("http://trademark.i-assist.jp/data/china/image_1889th/76657529.pdf","76657529")</f>
        <v>76657529</v>
      </c>
      <c r="F138" s="7" t="s">
        <v>395</v>
      </c>
      <c r="G138" s="7" t="s">
        <v>396</v>
      </c>
      <c r="H138" s="7" t="s">
        <v>397</v>
      </c>
      <c r="I138" s="9">
        <v>45320</v>
      </c>
    </row>
    <row r="139" spans="1:9" x14ac:dyDescent="0.15">
      <c r="A139" s="6">
        <v>138</v>
      </c>
      <c r="B139" s="7" t="s">
        <v>9</v>
      </c>
      <c r="C139" s="8">
        <v>1889</v>
      </c>
      <c r="D139" s="9">
        <v>45439</v>
      </c>
      <c r="E139" s="13" t="str">
        <f>+HYPERLINK("http://trademark.i-assist.jp/data/china/image_1889th/76662033A.pdf","76662033A")</f>
        <v>76662033A</v>
      </c>
      <c r="F139" s="7" t="s">
        <v>398</v>
      </c>
      <c r="G139" s="7" t="s">
        <v>399</v>
      </c>
      <c r="H139" s="7" t="s">
        <v>400</v>
      </c>
      <c r="I139" s="9">
        <v>45320</v>
      </c>
    </row>
    <row r="140" spans="1:9" x14ac:dyDescent="0.15">
      <c r="A140" s="6">
        <v>139</v>
      </c>
      <c r="B140" s="7" t="s">
        <v>9</v>
      </c>
      <c r="C140" s="8">
        <v>1889</v>
      </c>
      <c r="D140" s="9">
        <v>45439</v>
      </c>
      <c r="E140" s="13" t="str">
        <f>+HYPERLINK("http://trademark.i-assist.jp/data/china/image_1889th/76667609.pdf","76667609")</f>
        <v>76667609</v>
      </c>
      <c r="F140" s="7" t="s">
        <v>401</v>
      </c>
      <c r="G140" s="7" t="s">
        <v>402</v>
      </c>
      <c r="H140" s="7" t="s">
        <v>403</v>
      </c>
      <c r="I140" s="9">
        <v>45320</v>
      </c>
    </row>
    <row r="141" spans="1:9" x14ac:dyDescent="0.15">
      <c r="A141" s="6">
        <v>140</v>
      </c>
      <c r="B141" s="7" t="s">
        <v>9</v>
      </c>
      <c r="C141" s="8">
        <v>1889</v>
      </c>
      <c r="D141" s="9">
        <v>45439</v>
      </c>
      <c r="E141" s="13" t="str">
        <f>+HYPERLINK("http://trademark.i-assist.jp/data/china/image_1889th/76671527.pdf","76671527")</f>
        <v>76671527</v>
      </c>
      <c r="F141" s="7" t="s">
        <v>404</v>
      </c>
      <c r="G141" s="7" t="s">
        <v>405</v>
      </c>
      <c r="H141" s="7" t="s">
        <v>406</v>
      </c>
      <c r="I141" s="9">
        <v>45320</v>
      </c>
    </row>
    <row r="142" spans="1:9" x14ac:dyDescent="0.15">
      <c r="A142" s="6">
        <v>141</v>
      </c>
      <c r="B142" s="7" t="s">
        <v>9</v>
      </c>
      <c r="C142" s="8">
        <v>1889</v>
      </c>
      <c r="D142" s="9">
        <v>45439</v>
      </c>
      <c r="E142" s="13" t="str">
        <f>+HYPERLINK("http://trademark.i-assist.jp/data/china/image_1889th/76675516.pdf","76675516")</f>
        <v>76675516</v>
      </c>
      <c r="F142" s="7" t="s">
        <v>407</v>
      </c>
      <c r="G142" s="7" t="s">
        <v>408</v>
      </c>
      <c r="H142" s="7" t="s">
        <v>409</v>
      </c>
      <c r="I142" s="9">
        <v>45321</v>
      </c>
    </row>
    <row r="143" spans="1:9" x14ac:dyDescent="0.15">
      <c r="A143" s="6">
        <v>142</v>
      </c>
      <c r="B143" s="7" t="s">
        <v>9</v>
      </c>
      <c r="C143" s="8">
        <v>1889</v>
      </c>
      <c r="D143" s="9">
        <v>45439</v>
      </c>
      <c r="E143" s="13" t="str">
        <f>+HYPERLINK("http://trademark.i-assist.jp/data/china/image_1889th/76681791.pdf","76681791")</f>
        <v>76681791</v>
      </c>
      <c r="F143" s="7" t="s">
        <v>410</v>
      </c>
      <c r="G143" s="7" t="s">
        <v>411</v>
      </c>
      <c r="H143" s="7" t="s">
        <v>412</v>
      </c>
      <c r="I143" s="9">
        <v>45321</v>
      </c>
    </row>
    <row r="144" spans="1:9" x14ac:dyDescent="0.15">
      <c r="A144" s="6">
        <v>143</v>
      </c>
      <c r="B144" s="7" t="s">
        <v>9</v>
      </c>
      <c r="C144" s="8">
        <v>1889</v>
      </c>
      <c r="D144" s="9">
        <v>45439</v>
      </c>
      <c r="E144" s="13" t="str">
        <f>+HYPERLINK("http://trademark.i-assist.jp/data/china/image_1889th/76681807.pdf","76681807")</f>
        <v>76681807</v>
      </c>
      <c r="F144" s="7" t="s">
        <v>413</v>
      </c>
      <c r="G144" s="7" t="s">
        <v>411</v>
      </c>
      <c r="H144" s="7" t="s">
        <v>412</v>
      </c>
      <c r="I144" s="9">
        <v>45321</v>
      </c>
    </row>
    <row r="145" spans="1:9" x14ac:dyDescent="0.15">
      <c r="A145" s="6">
        <v>144</v>
      </c>
      <c r="B145" s="7" t="s">
        <v>9</v>
      </c>
      <c r="C145" s="8">
        <v>1889</v>
      </c>
      <c r="D145" s="9">
        <v>45439</v>
      </c>
      <c r="E145" s="13" t="str">
        <f>+HYPERLINK("http://trademark.i-assist.jp/data/china/image_1889th/76682055.pdf","76682055")</f>
        <v>76682055</v>
      </c>
      <c r="F145" s="7" t="s">
        <v>414</v>
      </c>
      <c r="G145" s="7" t="s">
        <v>415</v>
      </c>
      <c r="H145" s="7" t="s">
        <v>416</v>
      </c>
      <c r="I145" s="9">
        <v>45321</v>
      </c>
    </row>
    <row r="146" spans="1:9" ht="27" x14ac:dyDescent="0.15">
      <c r="A146" s="6">
        <v>145</v>
      </c>
      <c r="B146" s="7" t="s">
        <v>9</v>
      </c>
      <c r="C146" s="8">
        <v>1889</v>
      </c>
      <c r="D146" s="9">
        <v>45439</v>
      </c>
      <c r="E146" s="13" t="str">
        <f>+HYPERLINK("http://trademark.i-assist.jp/data/china/image_1889th/76682328.pdf","76682328")</f>
        <v>76682328</v>
      </c>
      <c r="F146" s="7" t="s">
        <v>134</v>
      </c>
      <c r="G146" s="7" t="s">
        <v>417</v>
      </c>
      <c r="H146" s="7" t="s">
        <v>418</v>
      </c>
      <c r="I146" s="9">
        <v>45321</v>
      </c>
    </row>
    <row r="147" spans="1:9" x14ac:dyDescent="0.15">
      <c r="A147" s="6">
        <v>146</v>
      </c>
      <c r="B147" s="7" t="s">
        <v>9</v>
      </c>
      <c r="C147" s="8">
        <v>1889</v>
      </c>
      <c r="D147" s="9">
        <v>45439</v>
      </c>
      <c r="E147" s="13" t="str">
        <f>+HYPERLINK("http://trademark.i-assist.jp/data/china/image_1889th/76682380.pdf","76682380")</f>
        <v>76682380</v>
      </c>
      <c r="F147" s="7" t="s">
        <v>419</v>
      </c>
      <c r="G147" s="7" t="s">
        <v>415</v>
      </c>
      <c r="H147" s="7" t="s">
        <v>420</v>
      </c>
      <c r="I147" s="9">
        <v>45321</v>
      </c>
    </row>
    <row r="148" spans="1:9" x14ac:dyDescent="0.15">
      <c r="A148" s="6">
        <v>147</v>
      </c>
      <c r="B148" s="7" t="s">
        <v>9</v>
      </c>
      <c r="C148" s="8">
        <v>1889</v>
      </c>
      <c r="D148" s="9">
        <v>45439</v>
      </c>
      <c r="E148" s="13" t="str">
        <f>+HYPERLINK("http://trademark.i-assist.jp/data/china/image_1889th/76685999.pdf","76685999")</f>
        <v>76685999</v>
      </c>
      <c r="F148" s="7" t="s">
        <v>421</v>
      </c>
      <c r="G148" s="7" t="s">
        <v>408</v>
      </c>
      <c r="H148" s="7" t="s">
        <v>422</v>
      </c>
      <c r="I148" s="9">
        <v>45321</v>
      </c>
    </row>
    <row r="149" spans="1:9" x14ac:dyDescent="0.15">
      <c r="A149" s="6">
        <v>148</v>
      </c>
      <c r="B149" s="7" t="s">
        <v>9</v>
      </c>
      <c r="C149" s="8">
        <v>1889</v>
      </c>
      <c r="D149" s="9">
        <v>45439</v>
      </c>
      <c r="E149" s="13" t="str">
        <f>+HYPERLINK("http://trademark.i-assist.jp/data/china/image_1889th/76686107.pdf","76686107")</f>
        <v>76686107</v>
      </c>
      <c r="F149" s="7" t="s">
        <v>423</v>
      </c>
      <c r="G149" s="7" t="s">
        <v>424</v>
      </c>
      <c r="H149" s="7" t="s">
        <v>425</v>
      </c>
      <c r="I149" s="9">
        <v>45321</v>
      </c>
    </row>
    <row r="150" spans="1:9" x14ac:dyDescent="0.15">
      <c r="A150" s="6">
        <v>149</v>
      </c>
      <c r="B150" s="7" t="s">
        <v>9</v>
      </c>
      <c r="C150" s="8">
        <v>1889</v>
      </c>
      <c r="D150" s="9">
        <v>45439</v>
      </c>
      <c r="E150" s="13" t="str">
        <f>+HYPERLINK("http://trademark.i-assist.jp/data/china/image_1889th/76689668.pdf","76689668")</f>
        <v>76689668</v>
      </c>
      <c r="F150" s="7" t="s">
        <v>426</v>
      </c>
      <c r="G150" s="7" t="s">
        <v>415</v>
      </c>
      <c r="H150" s="7" t="s">
        <v>420</v>
      </c>
      <c r="I150" s="9">
        <v>45321</v>
      </c>
    </row>
    <row r="151" spans="1:9" x14ac:dyDescent="0.15">
      <c r="A151" s="6">
        <v>150</v>
      </c>
      <c r="B151" s="7" t="s">
        <v>9</v>
      </c>
      <c r="C151" s="8">
        <v>1889</v>
      </c>
      <c r="D151" s="9">
        <v>45439</v>
      </c>
      <c r="E151" s="13" t="str">
        <f>+HYPERLINK("http://trademark.i-assist.jp/data/china/image_1889th/76690801.pdf","76690801")</f>
        <v>76690801</v>
      </c>
      <c r="F151" s="7" t="s">
        <v>427</v>
      </c>
      <c r="G151" s="7" t="s">
        <v>408</v>
      </c>
      <c r="H151" s="7" t="s">
        <v>428</v>
      </c>
      <c r="I151" s="9">
        <v>45321</v>
      </c>
    </row>
    <row r="152" spans="1:9" x14ac:dyDescent="0.15">
      <c r="A152" s="6">
        <v>151</v>
      </c>
      <c r="B152" s="7" t="s">
        <v>9</v>
      </c>
      <c r="C152" s="8">
        <v>1889</v>
      </c>
      <c r="D152" s="9">
        <v>45439</v>
      </c>
      <c r="E152" s="13" t="str">
        <f>+HYPERLINK("http://trademark.i-assist.jp/data/china/image_1889th/76690841.pdf","76690841")</f>
        <v>76690841</v>
      </c>
      <c r="F152" s="7" t="s">
        <v>429</v>
      </c>
      <c r="G152" s="7" t="s">
        <v>430</v>
      </c>
      <c r="H152" s="7" t="s">
        <v>431</v>
      </c>
      <c r="I152" s="9">
        <v>45321</v>
      </c>
    </row>
    <row r="153" spans="1:9" x14ac:dyDescent="0.15">
      <c r="A153" s="6">
        <v>152</v>
      </c>
      <c r="B153" s="7" t="s">
        <v>9</v>
      </c>
      <c r="C153" s="8">
        <v>1889</v>
      </c>
      <c r="D153" s="9">
        <v>45439</v>
      </c>
      <c r="E153" s="13" t="str">
        <f>+HYPERLINK("http://trademark.i-assist.jp/data/china/image_1889th/76691147.pdf","76691147")</f>
        <v>76691147</v>
      </c>
      <c r="F153" s="7" t="s">
        <v>432</v>
      </c>
      <c r="G153" s="7" t="s">
        <v>433</v>
      </c>
      <c r="H153" s="7" t="s">
        <v>434</v>
      </c>
      <c r="I153" s="9">
        <v>45321</v>
      </c>
    </row>
    <row r="154" spans="1:9" x14ac:dyDescent="0.15">
      <c r="A154" s="6">
        <v>153</v>
      </c>
      <c r="B154" s="7" t="s">
        <v>9</v>
      </c>
      <c r="C154" s="8">
        <v>1889</v>
      </c>
      <c r="D154" s="9">
        <v>45439</v>
      </c>
      <c r="E154" s="13" t="str">
        <f>+HYPERLINK("http://trademark.i-assist.jp/data/china/image_1889th/76692026.pdf","76692026")</f>
        <v>76692026</v>
      </c>
      <c r="F154" s="7" t="s">
        <v>435</v>
      </c>
      <c r="G154" s="7" t="s">
        <v>436</v>
      </c>
      <c r="H154" s="7" t="s">
        <v>437</v>
      </c>
      <c r="I154" s="9">
        <v>45321</v>
      </c>
    </row>
    <row r="155" spans="1:9" x14ac:dyDescent="0.15">
      <c r="A155" s="6">
        <v>154</v>
      </c>
      <c r="B155" s="7" t="s">
        <v>9</v>
      </c>
      <c r="C155" s="8">
        <v>1889</v>
      </c>
      <c r="D155" s="9">
        <v>45439</v>
      </c>
      <c r="E155" s="13" t="str">
        <f>+HYPERLINK("http://trademark.i-assist.jp/data/china/image_1889th/76694569.pdf","76694569")</f>
        <v>76694569</v>
      </c>
      <c r="F155" s="7" t="s">
        <v>438</v>
      </c>
      <c r="G155" s="7" t="s">
        <v>439</v>
      </c>
      <c r="H155" s="7" t="s">
        <v>440</v>
      </c>
      <c r="I155" s="9">
        <v>45321</v>
      </c>
    </row>
    <row r="156" spans="1:9" x14ac:dyDescent="0.15">
      <c r="A156" s="6">
        <v>155</v>
      </c>
      <c r="B156" s="7" t="s">
        <v>9</v>
      </c>
      <c r="C156" s="8">
        <v>1889</v>
      </c>
      <c r="D156" s="9">
        <v>45439</v>
      </c>
      <c r="E156" s="13" t="str">
        <f>+HYPERLINK("http://trademark.i-assist.jp/data/china/image_1889th/76695517.pdf","76695517")</f>
        <v>76695517</v>
      </c>
      <c r="F156" s="7" t="s">
        <v>441</v>
      </c>
      <c r="G156" s="7" t="s">
        <v>415</v>
      </c>
      <c r="H156" s="7" t="s">
        <v>420</v>
      </c>
      <c r="I156" s="9">
        <v>45321</v>
      </c>
    </row>
    <row r="157" spans="1:9" ht="40.5" x14ac:dyDescent="0.15">
      <c r="A157" s="6">
        <v>156</v>
      </c>
      <c r="B157" s="7" t="s">
        <v>9</v>
      </c>
      <c r="C157" s="8">
        <v>1889</v>
      </c>
      <c r="D157" s="9">
        <v>45439</v>
      </c>
      <c r="E157" s="13" t="str">
        <f>+HYPERLINK("http://trademark.i-assist.jp/data/china/image_1889th/76695813.pdf","76695813")</f>
        <v>76695813</v>
      </c>
      <c r="F157" s="7" t="s">
        <v>442</v>
      </c>
      <c r="G157" s="7" t="s">
        <v>443</v>
      </c>
      <c r="H157" s="7" t="s">
        <v>444</v>
      </c>
      <c r="I157" s="9">
        <v>45321</v>
      </c>
    </row>
    <row r="158" spans="1:9" x14ac:dyDescent="0.15">
      <c r="A158" s="6">
        <v>157</v>
      </c>
      <c r="B158" s="7" t="s">
        <v>9</v>
      </c>
      <c r="C158" s="8">
        <v>1889</v>
      </c>
      <c r="D158" s="9">
        <v>45439</v>
      </c>
      <c r="E158" s="13" t="str">
        <f>+HYPERLINK("http://trademark.i-assist.jp/data/china/image_1889th/76701578.pdf","76701578")</f>
        <v>76701578</v>
      </c>
      <c r="F158" s="7" t="s">
        <v>445</v>
      </c>
      <c r="G158" s="7" t="s">
        <v>446</v>
      </c>
      <c r="H158" s="7" t="s">
        <v>447</v>
      </c>
      <c r="I158" s="9">
        <v>45322</v>
      </c>
    </row>
    <row r="159" spans="1:9" x14ac:dyDescent="0.15">
      <c r="A159" s="6">
        <v>158</v>
      </c>
      <c r="B159" s="7" t="s">
        <v>9</v>
      </c>
      <c r="C159" s="8">
        <v>1889</v>
      </c>
      <c r="D159" s="9">
        <v>45439</v>
      </c>
      <c r="E159" s="13" t="str">
        <f>+HYPERLINK("http://trademark.i-assist.jp/data/china/image_1889th/76704685.pdf","76704685")</f>
        <v>76704685</v>
      </c>
      <c r="F159" s="7" t="s">
        <v>448</v>
      </c>
      <c r="G159" s="7" t="s">
        <v>449</v>
      </c>
      <c r="H159" s="7" t="s">
        <v>450</v>
      </c>
      <c r="I159" s="9">
        <v>45322</v>
      </c>
    </row>
    <row r="160" spans="1:9" x14ac:dyDescent="0.15">
      <c r="A160" s="6">
        <v>159</v>
      </c>
      <c r="B160" s="7" t="s">
        <v>9</v>
      </c>
      <c r="C160" s="8">
        <v>1889</v>
      </c>
      <c r="D160" s="9">
        <v>45439</v>
      </c>
      <c r="E160" s="13" t="str">
        <f>+HYPERLINK("http://trademark.i-assist.jp/data/china/image_1889th/76706734.pdf","76706734")</f>
        <v>76706734</v>
      </c>
      <c r="F160" s="7" t="s">
        <v>451</v>
      </c>
      <c r="G160" s="7" t="s">
        <v>452</v>
      </c>
      <c r="H160" s="7" t="s">
        <v>453</v>
      </c>
      <c r="I160" s="9">
        <v>45322</v>
      </c>
    </row>
    <row r="161" spans="1:9" ht="27" x14ac:dyDescent="0.15">
      <c r="A161" s="6">
        <v>160</v>
      </c>
      <c r="B161" s="7" t="s">
        <v>9</v>
      </c>
      <c r="C161" s="8">
        <v>1889</v>
      </c>
      <c r="D161" s="9">
        <v>45439</v>
      </c>
      <c r="E161" s="13" t="str">
        <f>+HYPERLINK("http://trademark.i-assist.jp/data/china/image_1889th/76710077.pdf","76710077")</f>
        <v>76710077</v>
      </c>
      <c r="F161" s="7" t="s">
        <v>454</v>
      </c>
      <c r="G161" s="7" t="s">
        <v>455</v>
      </c>
      <c r="H161" s="7" t="s">
        <v>456</v>
      </c>
      <c r="I161" s="9">
        <v>45322</v>
      </c>
    </row>
    <row r="162" spans="1:9" x14ac:dyDescent="0.15">
      <c r="A162" s="6">
        <v>161</v>
      </c>
      <c r="B162" s="7" t="s">
        <v>9</v>
      </c>
      <c r="C162" s="8">
        <v>1889</v>
      </c>
      <c r="D162" s="9">
        <v>45439</v>
      </c>
      <c r="E162" s="13" t="str">
        <f>+HYPERLINK("http://trademark.i-assist.jp/data/china/image_1889th/76722427.pdf","76722427")</f>
        <v>76722427</v>
      </c>
      <c r="F162" s="7" t="s">
        <v>457</v>
      </c>
      <c r="G162" s="7" t="s">
        <v>458</v>
      </c>
      <c r="H162" s="7" t="s">
        <v>459</v>
      </c>
      <c r="I162" s="9">
        <v>45323</v>
      </c>
    </row>
    <row r="163" spans="1:9" ht="27" x14ac:dyDescent="0.15">
      <c r="A163" s="6">
        <v>162</v>
      </c>
      <c r="B163" s="7" t="s">
        <v>9</v>
      </c>
      <c r="C163" s="8">
        <v>1889</v>
      </c>
      <c r="D163" s="9">
        <v>45439</v>
      </c>
      <c r="E163" s="13" t="str">
        <f>+HYPERLINK("http://trademark.i-assist.jp/data/china/image_1889th/76723063.pdf","76723063")</f>
        <v>76723063</v>
      </c>
      <c r="F163" s="7" t="s">
        <v>460</v>
      </c>
      <c r="G163" s="7" t="s">
        <v>461</v>
      </c>
      <c r="H163" s="7" t="s">
        <v>462</v>
      </c>
      <c r="I163" s="9">
        <v>45323</v>
      </c>
    </row>
    <row r="164" spans="1:9" x14ac:dyDescent="0.15">
      <c r="A164" s="6">
        <v>163</v>
      </c>
      <c r="B164" s="7" t="s">
        <v>9</v>
      </c>
      <c r="C164" s="8">
        <v>1889</v>
      </c>
      <c r="D164" s="9">
        <v>45439</v>
      </c>
      <c r="E164" s="13" t="str">
        <f>+HYPERLINK("http://trademark.i-assist.jp/data/china/image_1889th/76723072.pdf","76723072")</f>
        <v>76723072</v>
      </c>
      <c r="F164" s="7" t="s">
        <v>463</v>
      </c>
      <c r="G164" s="7" t="s">
        <v>464</v>
      </c>
      <c r="H164" s="7" t="s">
        <v>465</v>
      </c>
      <c r="I164" s="9">
        <v>45323</v>
      </c>
    </row>
    <row r="165" spans="1:9" x14ac:dyDescent="0.15">
      <c r="A165" s="6">
        <v>164</v>
      </c>
      <c r="B165" s="7" t="s">
        <v>9</v>
      </c>
      <c r="C165" s="8">
        <v>1889</v>
      </c>
      <c r="D165" s="9">
        <v>45439</v>
      </c>
      <c r="E165" s="13" t="str">
        <f>+HYPERLINK("http://trademark.i-assist.jp/data/china/image_1889th/76725271.pdf","76725271")</f>
        <v>76725271</v>
      </c>
      <c r="F165" s="7" t="s">
        <v>466</v>
      </c>
      <c r="G165" s="7" t="s">
        <v>467</v>
      </c>
      <c r="H165" s="7" t="s">
        <v>468</v>
      </c>
      <c r="I165" s="9">
        <v>45323</v>
      </c>
    </row>
    <row r="166" spans="1:9" x14ac:dyDescent="0.15">
      <c r="A166" s="6">
        <v>165</v>
      </c>
      <c r="B166" s="7" t="s">
        <v>9</v>
      </c>
      <c r="C166" s="8">
        <v>1889</v>
      </c>
      <c r="D166" s="9">
        <v>45439</v>
      </c>
      <c r="E166" s="13" t="str">
        <f>+HYPERLINK("http://trademark.i-assist.jp/data/china/image_1889th/76730437.pdf","76730437")</f>
        <v>76730437</v>
      </c>
      <c r="F166" s="7" t="s">
        <v>469</v>
      </c>
      <c r="G166" s="7" t="s">
        <v>470</v>
      </c>
      <c r="H166" s="7" t="s">
        <v>471</v>
      </c>
      <c r="I166" s="9">
        <v>45323</v>
      </c>
    </row>
    <row r="167" spans="1:9" x14ac:dyDescent="0.15">
      <c r="A167" s="6">
        <v>166</v>
      </c>
      <c r="B167" s="7" t="s">
        <v>9</v>
      </c>
      <c r="C167" s="8">
        <v>1889</v>
      </c>
      <c r="D167" s="9">
        <v>45439</v>
      </c>
      <c r="E167" s="13" t="str">
        <f>+HYPERLINK("http://trademark.i-assist.jp/data/china/image_1889th/76731927.pdf","76731927")</f>
        <v>76731927</v>
      </c>
      <c r="F167" s="7" t="s">
        <v>472</v>
      </c>
      <c r="G167" s="7" t="s">
        <v>458</v>
      </c>
      <c r="H167" s="7" t="s">
        <v>459</v>
      </c>
      <c r="I167" s="9">
        <v>45323</v>
      </c>
    </row>
    <row r="168" spans="1:9" x14ac:dyDescent="0.15">
      <c r="A168" s="6">
        <v>167</v>
      </c>
      <c r="B168" s="7" t="s">
        <v>9</v>
      </c>
      <c r="C168" s="8">
        <v>1889</v>
      </c>
      <c r="D168" s="9">
        <v>45439</v>
      </c>
      <c r="E168" s="13" t="str">
        <f>+HYPERLINK("http://trademark.i-assist.jp/data/china/image_1889th/76733309.pdf","76733309")</f>
        <v>76733309</v>
      </c>
      <c r="F168" s="7" t="s">
        <v>473</v>
      </c>
      <c r="G168" s="7" t="s">
        <v>474</v>
      </c>
      <c r="H168" s="7" t="s">
        <v>475</v>
      </c>
      <c r="I168" s="9">
        <v>45323</v>
      </c>
    </row>
    <row r="169" spans="1:9" x14ac:dyDescent="0.15">
      <c r="A169" s="6">
        <v>168</v>
      </c>
      <c r="B169" s="7" t="s">
        <v>9</v>
      </c>
      <c r="C169" s="8">
        <v>1889</v>
      </c>
      <c r="D169" s="9">
        <v>45439</v>
      </c>
      <c r="E169" s="13" t="str">
        <f>+HYPERLINK("http://trademark.i-assist.jp/data/china/image_1889th/76733533.pdf","76733533")</f>
        <v>76733533</v>
      </c>
      <c r="F169" s="7" t="s">
        <v>476</v>
      </c>
      <c r="G169" s="7" t="s">
        <v>458</v>
      </c>
      <c r="H169" s="7" t="s">
        <v>459</v>
      </c>
      <c r="I169" s="9">
        <v>45323</v>
      </c>
    </row>
    <row r="170" spans="1:9" x14ac:dyDescent="0.15">
      <c r="A170" s="6">
        <v>169</v>
      </c>
      <c r="B170" s="7" t="s">
        <v>9</v>
      </c>
      <c r="C170" s="8">
        <v>1889</v>
      </c>
      <c r="D170" s="9">
        <v>45439</v>
      </c>
      <c r="E170" s="13" t="str">
        <f>+HYPERLINK("http://trademark.i-assist.jp/data/china/image_1889th/76733974.pdf","76733974")</f>
        <v>76733974</v>
      </c>
      <c r="F170" s="7" t="s">
        <v>134</v>
      </c>
      <c r="G170" s="7" t="s">
        <v>477</v>
      </c>
      <c r="H170" s="7" t="s">
        <v>478</v>
      </c>
      <c r="I170" s="9">
        <v>45323</v>
      </c>
    </row>
    <row r="171" spans="1:9" ht="27" x14ac:dyDescent="0.15">
      <c r="A171" s="6">
        <v>170</v>
      </c>
      <c r="B171" s="7" t="s">
        <v>9</v>
      </c>
      <c r="C171" s="8">
        <v>1889</v>
      </c>
      <c r="D171" s="9">
        <v>45439</v>
      </c>
      <c r="E171" s="13" t="str">
        <f>+HYPERLINK("http://trademark.i-assist.jp/data/china/image_1889th/76734007.pdf","76734007")</f>
        <v>76734007</v>
      </c>
      <c r="F171" s="7" t="s">
        <v>479</v>
      </c>
      <c r="G171" s="7" t="s">
        <v>480</v>
      </c>
      <c r="H171" s="7" t="s">
        <v>481</v>
      </c>
      <c r="I171" s="9">
        <v>45323</v>
      </c>
    </row>
    <row r="172" spans="1:9" x14ac:dyDescent="0.15">
      <c r="A172" s="6">
        <v>171</v>
      </c>
      <c r="B172" s="7" t="s">
        <v>9</v>
      </c>
      <c r="C172" s="8">
        <v>1889</v>
      </c>
      <c r="D172" s="9">
        <v>45439</v>
      </c>
      <c r="E172" s="13" t="str">
        <f>+HYPERLINK("http://trademark.i-assist.jp/data/china/image_1889th/76736271.pdf","76736271")</f>
        <v>76736271</v>
      </c>
      <c r="F172" s="7" t="s">
        <v>482</v>
      </c>
      <c r="G172" s="7" t="s">
        <v>483</v>
      </c>
      <c r="H172" s="7" t="s">
        <v>484</v>
      </c>
      <c r="I172" s="9">
        <v>45323</v>
      </c>
    </row>
    <row r="173" spans="1:9" x14ac:dyDescent="0.15">
      <c r="A173" s="6">
        <v>172</v>
      </c>
      <c r="B173" s="7" t="s">
        <v>9</v>
      </c>
      <c r="C173" s="8">
        <v>1889</v>
      </c>
      <c r="D173" s="9">
        <v>45439</v>
      </c>
      <c r="E173" s="13" t="str">
        <f>+HYPERLINK("http://trademark.i-assist.jp/data/china/image_1889th/76738152.pdf","76738152")</f>
        <v>76738152</v>
      </c>
      <c r="F173" s="7" t="s">
        <v>485</v>
      </c>
      <c r="G173" s="7" t="s">
        <v>486</v>
      </c>
      <c r="H173" s="7" t="s">
        <v>487</v>
      </c>
      <c r="I173" s="9">
        <v>45323</v>
      </c>
    </row>
    <row r="174" spans="1:9" x14ac:dyDescent="0.15">
      <c r="A174" s="6">
        <v>173</v>
      </c>
      <c r="B174" s="7" t="s">
        <v>9</v>
      </c>
      <c r="C174" s="8">
        <v>1889</v>
      </c>
      <c r="D174" s="9">
        <v>45439</v>
      </c>
      <c r="E174" s="13" t="str">
        <f>+HYPERLINK("http://trademark.i-assist.jp/data/china/image_1889th/76738527.pdf","76738527")</f>
        <v>76738527</v>
      </c>
      <c r="F174" s="7" t="s">
        <v>488</v>
      </c>
      <c r="G174" s="7" t="s">
        <v>489</v>
      </c>
      <c r="H174" s="7" t="s">
        <v>490</v>
      </c>
      <c r="I174" s="9">
        <v>45323</v>
      </c>
    </row>
    <row r="175" spans="1:9" x14ac:dyDescent="0.15">
      <c r="A175" s="6">
        <v>174</v>
      </c>
      <c r="B175" s="7" t="s">
        <v>9</v>
      </c>
      <c r="C175" s="8">
        <v>1889</v>
      </c>
      <c r="D175" s="9">
        <v>45439</v>
      </c>
      <c r="E175" s="13" t="str">
        <f>+HYPERLINK("http://trademark.i-assist.jp/data/china/image_1889th/76738606.pdf","76738606")</f>
        <v>76738606</v>
      </c>
      <c r="F175" s="7" t="s">
        <v>491</v>
      </c>
      <c r="G175" s="7" t="s">
        <v>458</v>
      </c>
      <c r="H175" s="7" t="s">
        <v>459</v>
      </c>
      <c r="I175" s="9">
        <v>45323</v>
      </c>
    </row>
    <row r="176" spans="1:9" ht="27" x14ac:dyDescent="0.15">
      <c r="A176" s="6">
        <v>175</v>
      </c>
      <c r="B176" s="7" t="s">
        <v>9</v>
      </c>
      <c r="C176" s="8">
        <v>1889</v>
      </c>
      <c r="D176" s="9">
        <v>45439</v>
      </c>
      <c r="E176" s="13" t="str">
        <f>+HYPERLINK("http://trademark.i-assist.jp/data/china/image_1889th/76739129.pdf","76739129")</f>
        <v>76739129</v>
      </c>
      <c r="F176" s="7" t="s">
        <v>492</v>
      </c>
      <c r="G176" s="7" t="s">
        <v>493</v>
      </c>
      <c r="H176" s="7" t="s">
        <v>494</v>
      </c>
      <c r="I176" s="9">
        <v>45323</v>
      </c>
    </row>
    <row r="177" spans="1:9" ht="27" x14ac:dyDescent="0.15">
      <c r="A177" s="6">
        <v>176</v>
      </c>
      <c r="B177" s="7" t="s">
        <v>9</v>
      </c>
      <c r="C177" s="8">
        <v>1889</v>
      </c>
      <c r="D177" s="9">
        <v>45439</v>
      </c>
      <c r="E177" s="13" t="str">
        <f>+HYPERLINK("http://trademark.i-assist.jp/data/china/image_1889th/76739510.pdf","76739510")</f>
        <v>76739510</v>
      </c>
      <c r="F177" s="7" t="s">
        <v>134</v>
      </c>
      <c r="G177" s="7" t="s">
        <v>495</v>
      </c>
      <c r="H177" s="7" t="s">
        <v>496</v>
      </c>
      <c r="I177" s="9">
        <v>45323</v>
      </c>
    </row>
    <row r="178" spans="1:9" x14ac:dyDescent="0.15">
      <c r="A178" s="6">
        <v>177</v>
      </c>
      <c r="B178" s="7" t="s">
        <v>9</v>
      </c>
      <c r="C178" s="8">
        <v>1889</v>
      </c>
      <c r="D178" s="9">
        <v>45439</v>
      </c>
      <c r="E178" s="13" t="str">
        <f>+HYPERLINK("http://trademark.i-assist.jp/data/china/image_1889th/76740717.pdf","76740717")</f>
        <v>76740717</v>
      </c>
      <c r="F178" s="7" t="s">
        <v>497</v>
      </c>
      <c r="G178" s="7" t="s">
        <v>498</v>
      </c>
      <c r="H178" s="7" t="s">
        <v>499</v>
      </c>
      <c r="I178" s="9">
        <v>45323</v>
      </c>
    </row>
    <row r="179" spans="1:9" x14ac:dyDescent="0.15">
      <c r="A179" s="6">
        <v>178</v>
      </c>
      <c r="B179" s="7" t="s">
        <v>9</v>
      </c>
      <c r="C179" s="8">
        <v>1889</v>
      </c>
      <c r="D179" s="9">
        <v>45439</v>
      </c>
      <c r="E179" s="13" t="str">
        <f>+HYPERLINK("http://trademark.i-assist.jp/data/china/image_1889th/76741012.pdf","76741012")</f>
        <v>76741012</v>
      </c>
      <c r="F179" s="7" t="s">
        <v>500</v>
      </c>
      <c r="G179" s="7" t="s">
        <v>501</v>
      </c>
      <c r="H179" s="7" t="s">
        <v>502</v>
      </c>
      <c r="I179" s="9">
        <v>45323</v>
      </c>
    </row>
    <row r="180" spans="1:9" x14ac:dyDescent="0.15">
      <c r="A180" s="6">
        <v>179</v>
      </c>
      <c r="B180" s="7" t="s">
        <v>9</v>
      </c>
      <c r="C180" s="8">
        <v>1889</v>
      </c>
      <c r="D180" s="9">
        <v>45439</v>
      </c>
      <c r="E180" s="13" t="str">
        <f>+HYPERLINK("http://trademark.i-assist.jp/data/china/image_1889th/76743402.pdf","76743402")</f>
        <v>76743402</v>
      </c>
      <c r="F180" s="7" t="s">
        <v>503</v>
      </c>
      <c r="G180" s="7" t="s">
        <v>144</v>
      </c>
      <c r="H180" s="7" t="s">
        <v>504</v>
      </c>
      <c r="I180" s="9">
        <v>45324</v>
      </c>
    </row>
    <row r="181" spans="1:9" x14ac:dyDescent="0.15">
      <c r="A181" s="6">
        <v>180</v>
      </c>
      <c r="B181" s="7" t="s">
        <v>9</v>
      </c>
      <c r="C181" s="8">
        <v>1889</v>
      </c>
      <c r="D181" s="9">
        <v>45439</v>
      </c>
      <c r="E181" s="13" t="str">
        <f>+HYPERLINK("http://trademark.i-assist.jp/data/china/image_1889th/76743491.pdf","76743491")</f>
        <v>76743491</v>
      </c>
      <c r="F181" s="7" t="s">
        <v>505</v>
      </c>
      <c r="G181" s="7" t="s">
        <v>506</v>
      </c>
      <c r="H181" s="7" t="s">
        <v>507</v>
      </c>
      <c r="I181" s="9">
        <v>45324</v>
      </c>
    </row>
    <row r="182" spans="1:9" x14ac:dyDescent="0.15">
      <c r="A182" s="6">
        <v>181</v>
      </c>
      <c r="B182" s="7" t="s">
        <v>9</v>
      </c>
      <c r="C182" s="8">
        <v>1889</v>
      </c>
      <c r="D182" s="9">
        <v>45439</v>
      </c>
      <c r="E182" s="13" t="str">
        <f>+HYPERLINK("http://trademark.i-assist.jp/data/china/image_1889th/76747630.pdf","76747630")</f>
        <v>76747630</v>
      </c>
      <c r="F182" s="7" t="s">
        <v>508</v>
      </c>
      <c r="G182" s="7" t="s">
        <v>144</v>
      </c>
      <c r="H182" s="7" t="s">
        <v>504</v>
      </c>
      <c r="I182" s="9">
        <v>45324</v>
      </c>
    </row>
    <row r="183" spans="1:9" x14ac:dyDescent="0.15">
      <c r="A183" s="6">
        <v>182</v>
      </c>
      <c r="B183" s="7" t="s">
        <v>9</v>
      </c>
      <c r="C183" s="8">
        <v>1889</v>
      </c>
      <c r="D183" s="9">
        <v>45439</v>
      </c>
      <c r="E183" s="13" t="str">
        <f>+HYPERLINK("http://trademark.i-assist.jp/data/china/image_1889th/76747887.pdf","76747887")</f>
        <v>76747887</v>
      </c>
      <c r="F183" s="7" t="s">
        <v>509</v>
      </c>
      <c r="G183" s="7" t="s">
        <v>510</v>
      </c>
      <c r="H183" s="7" t="s">
        <v>511</v>
      </c>
      <c r="I183" s="9">
        <v>45324</v>
      </c>
    </row>
    <row r="184" spans="1:9" ht="27" x14ac:dyDescent="0.15">
      <c r="A184" s="6">
        <v>183</v>
      </c>
      <c r="B184" s="7" t="s">
        <v>9</v>
      </c>
      <c r="C184" s="8">
        <v>1889</v>
      </c>
      <c r="D184" s="9">
        <v>45439</v>
      </c>
      <c r="E184" s="13" t="str">
        <f>+HYPERLINK("http://trademark.i-assist.jp/data/china/image_1889th/76752223.pdf","76752223")</f>
        <v>76752223</v>
      </c>
      <c r="F184" s="7" t="s">
        <v>512</v>
      </c>
      <c r="G184" s="7" t="s">
        <v>513</v>
      </c>
      <c r="H184" s="7" t="s">
        <v>514</v>
      </c>
      <c r="I184" s="9">
        <v>45324</v>
      </c>
    </row>
    <row r="185" spans="1:9" x14ac:dyDescent="0.15">
      <c r="A185" s="6">
        <v>184</v>
      </c>
      <c r="B185" s="7" t="s">
        <v>9</v>
      </c>
      <c r="C185" s="8">
        <v>1889</v>
      </c>
      <c r="D185" s="9">
        <v>45439</v>
      </c>
      <c r="E185" s="13" t="str">
        <f>+HYPERLINK("http://trademark.i-assist.jp/data/china/image_1889th/76755496.pdf","76755496")</f>
        <v>76755496</v>
      </c>
      <c r="F185" s="7" t="s">
        <v>515</v>
      </c>
      <c r="G185" s="7" t="s">
        <v>516</v>
      </c>
      <c r="H185" s="7" t="s">
        <v>517</v>
      </c>
      <c r="I185" s="9">
        <v>45324</v>
      </c>
    </row>
    <row r="186" spans="1:9" x14ac:dyDescent="0.15">
      <c r="A186" s="6">
        <v>185</v>
      </c>
      <c r="B186" s="7" t="s">
        <v>9</v>
      </c>
      <c r="C186" s="8">
        <v>1889</v>
      </c>
      <c r="D186" s="9">
        <v>45439</v>
      </c>
      <c r="E186" s="13" t="str">
        <f>+HYPERLINK("http://trademark.i-assist.jp/data/china/image_1889th/76756953.pdf","76756953")</f>
        <v>76756953</v>
      </c>
      <c r="F186" s="7" t="s">
        <v>518</v>
      </c>
      <c r="G186" s="7" t="s">
        <v>519</v>
      </c>
      <c r="H186" s="7" t="s">
        <v>520</v>
      </c>
      <c r="I186" s="9">
        <v>45324</v>
      </c>
    </row>
    <row r="187" spans="1:9" ht="27" x14ac:dyDescent="0.15">
      <c r="A187" s="6">
        <v>186</v>
      </c>
      <c r="B187" s="7" t="s">
        <v>9</v>
      </c>
      <c r="C187" s="8">
        <v>1889</v>
      </c>
      <c r="D187" s="9">
        <v>45439</v>
      </c>
      <c r="E187" s="13" t="str">
        <f>+HYPERLINK("http://trademark.i-assist.jp/data/china/image_1889th/76757354.pdf","76757354")</f>
        <v>76757354</v>
      </c>
      <c r="F187" s="7" t="s">
        <v>521</v>
      </c>
      <c r="G187" s="7" t="s">
        <v>522</v>
      </c>
      <c r="H187" s="7" t="s">
        <v>523</v>
      </c>
      <c r="I187" s="9">
        <v>45324</v>
      </c>
    </row>
    <row r="188" spans="1:9" x14ac:dyDescent="0.15">
      <c r="A188" s="6">
        <v>187</v>
      </c>
      <c r="B188" s="7" t="s">
        <v>9</v>
      </c>
      <c r="C188" s="8">
        <v>1889</v>
      </c>
      <c r="D188" s="9">
        <v>45439</v>
      </c>
      <c r="E188" s="13" t="str">
        <f>+HYPERLINK("http://trademark.i-assist.jp/data/china/image_1889th/76758901.pdf","76758901")</f>
        <v>76758901</v>
      </c>
      <c r="F188" s="7" t="s">
        <v>524</v>
      </c>
      <c r="G188" s="7" t="s">
        <v>525</v>
      </c>
      <c r="H188" s="7" t="s">
        <v>526</v>
      </c>
      <c r="I188" s="9">
        <v>45324</v>
      </c>
    </row>
    <row r="189" spans="1:9" ht="27" x14ac:dyDescent="0.15">
      <c r="A189" s="6">
        <v>188</v>
      </c>
      <c r="B189" s="7" t="s">
        <v>9</v>
      </c>
      <c r="C189" s="8">
        <v>1889</v>
      </c>
      <c r="D189" s="9">
        <v>45439</v>
      </c>
      <c r="E189" s="13" t="str">
        <f>+HYPERLINK("http://trademark.i-assist.jp/data/china/image_1889th/76760248.pdf","76760248")</f>
        <v>76760248</v>
      </c>
      <c r="F189" s="7" t="s">
        <v>527</v>
      </c>
      <c r="G189" s="7" t="s">
        <v>528</v>
      </c>
      <c r="H189" s="7" t="s">
        <v>529</v>
      </c>
      <c r="I189" s="9">
        <v>45324</v>
      </c>
    </row>
    <row r="190" spans="1:9" x14ac:dyDescent="0.15">
      <c r="A190" s="6">
        <v>189</v>
      </c>
      <c r="B190" s="7" t="s">
        <v>9</v>
      </c>
      <c r="C190" s="8">
        <v>1889</v>
      </c>
      <c r="D190" s="9">
        <v>45439</v>
      </c>
      <c r="E190" s="13" t="str">
        <f>+HYPERLINK("http://trademark.i-assist.jp/data/china/image_1889th/76762454.pdf","76762454")</f>
        <v>76762454</v>
      </c>
      <c r="F190" s="7" t="s">
        <v>530</v>
      </c>
      <c r="G190" s="7" t="s">
        <v>531</v>
      </c>
      <c r="H190" s="7" t="s">
        <v>532</v>
      </c>
      <c r="I190" s="9">
        <v>45324</v>
      </c>
    </row>
    <row r="191" spans="1:9" x14ac:dyDescent="0.15">
      <c r="A191" s="6">
        <v>190</v>
      </c>
      <c r="B191" s="7" t="s">
        <v>9</v>
      </c>
      <c r="C191" s="8">
        <v>1889</v>
      </c>
      <c r="D191" s="9">
        <v>45439</v>
      </c>
      <c r="E191" s="13" t="str">
        <f>+HYPERLINK("http://trademark.i-assist.jp/data/china/image_1889th/76767430.pdf","76767430")</f>
        <v>76767430</v>
      </c>
      <c r="F191" s="7" t="s">
        <v>533</v>
      </c>
      <c r="G191" s="7" t="s">
        <v>534</v>
      </c>
      <c r="H191" s="7" t="s">
        <v>535</v>
      </c>
      <c r="I191" s="9">
        <v>45325</v>
      </c>
    </row>
    <row r="192" spans="1:9" x14ac:dyDescent="0.15">
      <c r="A192" s="6">
        <v>191</v>
      </c>
      <c r="B192" s="7" t="s">
        <v>9</v>
      </c>
      <c r="C192" s="8">
        <v>1889</v>
      </c>
      <c r="D192" s="9">
        <v>45439</v>
      </c>
      <c r="E192" s="13" t="str">
        <f>+HYPERLINK("http://trademark.i-assist.jp/data/china/image_1889th/76768615.pdf","76768615")</f>
        <v>76768615</v>
      </c>
      <c r="F192" s="7" t="s">
        <v>536</v>
      </c>
      <c r="G192" s="7" t="s">
        <v>537</v>
      </c>
      <c r="H192" s="7" t="s">
        <v>538</v>
      </c>
      <c r="I192" s="9">
        <v>45325</v>
      </c>
    </row>
    <row r="193" spans="1:9" x14ac:dyDescent="0.15">
      <c r="A193" s="6">
        <v>192</v>
      </c>
      <c r="B193" s="7" t="s">
        <v>9</v>
      </c>
      <c r="C193" s="8">
        <v>1889</v>
      </c>
      <c r="D193" s="9">
        <v>45439</v>
      </c>
      <c r="E193" s="13" t="str">
        <f>+HYPERLINK("http://trademark.i-assist.jp/data/china/image_1889th/76771100.pdf","76771100")</f>
        <v>76771100</v>
      </c>
      <c r="F193" s="7" t="s">
        <v>539</v>
      </c>
      <c r="G193" s="7" t="s">
        <v>540</v>
      </c>
      <c r="H193" s="7" t="s">
        <v>541</v>
      </c>
      <c r="I193" s="9">
        <v>45326</v>
      </c>
    </row>
    <row r="194" spans="1:9" x14ac:dyDescent="0.15">
      <c r="A194" s="6">
        <v>193</v>
      </c>
      <c r="B194" s="7" t="s">
        <v>9</v>
      </c>
      <c r="C194" s="8">
        <v>1889</v>
      </c>
      <c r="D194" s="9">
        <v>45439</v>
      </c>
      <c r="E194" s="13" t="str">
        <f>+HYPERLINK("http://trademark.i-assist.jp/data/china/image_1889th/76775356.pdf","76775356")</f>
        <v>76775356</v>
      </c>
      <c r="F194" s="7" t="s">
        <v>542</v>
      </c>
      <c r="G194" s="7" t="s">
        <v>543</v>
      </c>
      <c r="H194" s="7" t="s">
        <v>544</v>
      </c>
      <c r="I194" s="9">
        <v>45326</v>
      </c>
    </row>
    <row r="195" spans="1:9" x14ac:dyDescent="0.15">
      <c r="A195" s="6">
        <v>194</v>
      </c>
      <c r="B195" s="7" t="s">
        <v>9</v>
      </c>
      <c r="C195" s="8">
        <v>1889</v>
      </c>
      <c r="D195" s="9">
        <v>45439</v>
      </c>
      <c r="E195" s="13" t="str">
        <f>+HYPERLINK("http://trademark.i-assist.jp/data/china/image_1889th/76775363.pdf","76775363")</f>
        <v>76775363</v>
      </c>
      <c r="F195" s="7" t="s">
        <v>545</v>
      </c>
      <c r="G195" s="7" t="s">
        <v>543</v>
      </c>
      <c r="H195" s="7" t="s">
        <v>546</v>
      </c>
      <c r="I195" s="9">
        <v>45326</v>
      </c>
    </row>
    <row r="196" spans="1:9" x14ac:dyDescent="0.15">
      <c r="A196" s="6">
        <v>195</v>
      </c>
      <c r="B196" s="7" t="s">
        <v>9</v>
      </c>
      <c r="C196" s="8">
        <v>1889</v>
      </c>
      <c r="D196" s="9">
        <v>45439</v>
      </c>
      <c r="E196" s="13" t="str">
        <f>+HYPERLINK("http://trademark.i-assist.jp/data/china/image_1889th/76779157.pdf","76779157")</f>
        <v>76779157</v>
      </c>
      <c r="F196" s="7" t="s">
        <v>547</v>
      </c>
      <c r="G196" s="7" t="s">
        <v>548</v>
      </c>
      <c r="H196" s="7" t="s">
        <v>549</v>
      </c>
      <c r="I196" s="9">
        <v>45326</v>
      </c>
    </row>
    <row r="197" spans="1:9" x14ac:dyDescent="0.15">
      <c r="A197" s="6">
        <v>196</v>
      </c>
      <c r="B197" s="7" t="s">
        <v>9</v>
      </c>
      <c r="C197" s="8">
        <v>1889</v>
      </c>
      <c r="D197" s="9">
        <v>45439</v>
      </c>
      <c r="E197" s="13" t="str">
        <f>+HYPERLINK("http://trademark.i-assist.jp/data/china/image_1889th/76779243.pdf","76779243")</f>
        <v>76779243</v>
      </c>
      <c r="F197" s="7" t="s">
        <v>550</v>
      </c>
      <c r="G197" s="7" t="s">
        <v>551</v>
      </c>
      <c r="H197" s="7" t="s">
        <v>552</v>
      </c>
      <c r="I197" s="9">
        <v>45326</v>
      </c>
    </row>
    <row r="198" spans="1:9" ht="27" x14ac:dyDescent="0.15">
      <c r="A198" s="6">
        <v>197</v>
      </c>
      <c r="B198" s="7" t="s">
        <v>9</v>
      </c>
      <c r="C198" s="8">
        <v>1889</v>
      </c>
      <c r="D198" s="9">
        <v>45439</v>
      </c>
      <c r="E198" s="13" t="str">
        <f>+HYPERLINK("http://trademark.i-assist.jp/data/china/image_1889th/76780530.pdf","76780530")</f>
        <v>76780530</v>
      </c>
      <c r="F198" s="7" t="s">
        <v>553</v>
      </c>
      <c r="G198" s="7" t="s">
        <v>554</v>
      </c>
      <c r="H198" s="7" t="s">
        <v>555</v>
      </c>
      <c r="I198" s="9">
        <v>45326</v>
      </c>
    </row>
    <row r="199" spans="1:9" x14ac:dyDescent="0.15">
      <c r="A199" s="6">
        <v>198</v>
      </c>
      <c r="B199" s="7" t="s">
        <v>9</v>
      </c>
      <c r="C199" s="8">
        <v>1889</v>
      </c>
      <c r="D199" s="9">
        <v>45439</v>
      </c>
      <c r="E199" s="13" t="str">
        <f>+HYPERLINK("http://trademark.i-assist.jp/data/china/image_1889th/76780749.pdf","76780749")</f>
        <v>76780749</v>
      </c>
      <c r="F199" s="7" t="s">
        <v>550</v>
      </c>
      <c r="G199" s="7" t="s">
        <v>551</v>
      </c>
      <c r="H199" s="7" t="s">
        <v>556</v>
      </c>
      <c r="I199" s="9">
        <v>45326</v>
      </c>
    </row>
    <row r="200" spans="1:9" x14ac:dyDescent="0.15">
      <c r="A200" s="6">
        <v>199</v>
      </c>
      <c r="B200" s="7" t="s">
        <v>9</v>
      </c>
      <c r="C200" s="8">
        <v>1889</v>
      </c>
      <c r="D200" s="9">
        <v>45439</v>
      </c>
      <c r="E200" s="13" t="str">
        <f>+HYPERLINK("http://trademark.i-assist.jp/data/china/image_1889th/76781201.pdf","76781201")</f>
        <v>76781201</v>
      </c>
      <c r="F200" s="7" t="s">
        <v>557</v>
      </c>
      <c r="G200" s="7" t="s">
        <v>543</v>
      </c>
      <c r="H200" s="7" t="s">
        <v>558</v>
      </c>
      <c r="I200" s="9">
        <v>45326</v>
      </c>
    </row>
    <row r="201" spans="1:9" x14ac:dyDescent="0.15">
      <c r="A201" s="6">
        <v>200</v>
      </c>
      <c r="B201" s="7" t="s">
        <v>9</v>
      </c>
      <c r="C201" s="8">
        <v>1889</v>
      </c>
      <c r="D201" s="9">
        <v>45439</v>
      </c>
      <c r="E201" s="13" t="str">
        <f>+HYPERLINK("http://trademark.i-assist.jp/data/china/image_1889th/76781648.pdf","76781648")</f>
        <v>76781648</v>
      </c>
      <c r="F201" s="7" t="s">
        <v>559</v>
      </c>
      <c r="G201" s="7" t="s">
        <v>560</v>
      </c>
      <c r="H201" s="7" t="s">
        <v>561</v>
      </c>
      <c r="I201" s="9">
        <v>45326</v>
      </c>
    </row>
    <row r="202" spans="1:9" x14ac:dyDescent="0.15">
      <c r="A202" s="6">
        <v>201</v>
      </c>
      <c r="B202" s="7" t="s">
        <v>9</v>
      </c>
      <c r="C202" s="8">
        <v>1889</v>
      </c>
      <c r="D202" s="9">
        <v>45439</v>
      </c>
      <c r="E202" s="13" t="str">
        <f>+HYPERLINK("http://trademark.i-assist.jp/data/china/image_1889th/76781813.pdf","76781813")</f>
        <v>76781813</v>
      </c>
      <c r="F202" s="7" t="s">
        <v>562</v>
      </c>
      <c r="G202" s="7" t="s">
        <v>563</v>
      </c>
      <c r="H202" s="7" t="s">
        <v>564</v>
      </c>
      <c r="I202" s="9">
        <v>45326</v>
      </c>
    </row>
    <row r="203" spans="1:9" x14ac:dyDescent="0.15">
      <c r="A203" s="6">
        <v>202</v>
      </c>
      <c r="B203" s="7" t="s">
        <v>9</v>
      </c>
      <c r="C203" s="8">
        <v>1889</v>
      </c>
      <c r="D203" s="9">
        <v>45439</v>
      </c>
      <c r="E203" s="13" t="str">
        <f>+HYPERLINK("http://trademark.i-assist.jp/data/china/image_1889th/76782004.pdf","76782004")</f>
        <v>76782004</v>
      </c>
      <c r="F203" s="7" t="s">
        <v>565</v>
      </c>
      <c r="G203" s="7" t="s">
        <v>566</v>
      </c>
      <c r="H203" s="7" t="s">
        <v>567</v>
      </c>
      <c r="I203" s="9">
        <v>45326</v>
      </c>
    </row>
    <row r="204" spans="1:9" ht="27" x14ac:dyDescent="0.15">
      <c r="A204" s="6">
        <v>203</v>
      </c>
      <c r="B204" s="7" t="s">
        <v>9</v>
      </c>
      <c r="C204" s="8">
        <v>1889</v>
      </c>
      <c r="D204" s="9">
        <v>45439</v>
      </c>
      <c r="E204" s="13" t="str">
        <f>+HYPERLINK("http://trademark.i-assist.jp/data/china/image_1889th/76783348.pdf","76783348")</f>
        <v>76783348</v>
      </c>
      <c r="F204" s="7" t="s">
        <v>568</v>
      </c>
      <c r="G204" s="7" t="s">
        <v>569</v>
      </c>
      <c r="H204" s="7" t="s">
        <v>570</v>
      </c>
      <c r="I204" s="9">
        <v>45326</v>
      </c>
    </row>
    <row r="205" spans="1:9" x14ac:dyDescent="0.15">
      <c r="A205" s="6">
        <v>204</v>
      </c>
      <c r="B205" s="7" t="s">
        <v>9</v>
      </c>
      <c r="C205" s="8">
        <v>1889</v>
      </c>
      <c r="D205" s="9">
        <v>45439</v>
      </c>
      <c r="E205" s="13" t="str">
        <f>+HYPERLINK("http://trademark.i-assist.jp/data/china/image_1889th/76783819.pdf","76783819")</f>
        <v>76783819</v>
      </c>
      <c r="F205" s="7" t="s">
        <v>571</v>
      </c>
      <c r="G205" s="7" t="s">
        <v>292</v>
      </c>
      <c r="H205" s="7" t="s">
        <v>572</v>
      </c>
      <c r="I205" s="9">
        <v>45326</v>
      </c>
    </row>
    <row r="206" spans="1:9" ht="27" x14ac:dyDescent="0.15">
      <c r="A206" s="6">
        <v>205</v>
      </c>
      <c r="B206" s="7" t="s">
        <v>9</v>
      </c>
      <c r="C206" s="8">
        <v>1889</v>
      </c>
      <c r="D206" s="9">
        <v>45439</v>
      </c>
      <c r="E206" s="13" t="str">
        <f>+HYPERLINK("http://trademark.i-assist.jp/data/china/image_1889th/76788120.pdf","76788120")</f>
        <v>76788120</v>
      </c>
      <c r="F206" s="7" t="s">
        <v>573</v>
      </c>
      <c r="G206" s="7" t="s">
        <v>574</v>
      </c>
      <c r="H206" s="7" t="s">
        <v>575</v>
      </c>
      <c r="I206" s="9">
        <v>45327</v>
      </c>
    </row>
    <row r="207" spans="1:9" ht="27" x14ac:dyDescent="0.15">
      <c r="A207" s="6">
        <v>206</v>
      </c>
      <c r="B207" s="7" t="s">
        <v>9</v>
      </c>
      <c r="C207" s="8">
        <v>1889</v>
      </c>
      <c r="D207" s="9">
        <v>45439</v>
      </c>
      <c r="E207" s="13" t="str">
        <f>+HYPERLINK("http://trademark.i-assist.jp/data/china/image_1889th/76788134.pdf","76788134")</f>
        <v>76788134</v>
      </c>
      <c r="F207" s="7" t="s">
        <v>576</v>
      </c>
      <c r="G207" s="7" t="s">
        <v>574</v>
      </c>
      <c r="H207" s="7" t="s">
        <v>577</v>
      </c>
      <c r="I207" s="9">
        <v>45327</v>
      </c>
    </row>
    <row r="208" spans="1:9" x14ac:dyDescent="0.15">
      <c r="A208" s="6">
        <v>207</v>
      </c>
      <c r="B208" s="7" t="s">
        <v>9</v>
      </c>
      <c r="C208" s="8">
        <v>1889</v>
      </c>
      <c r="D208" s="9">
        <v>45439</v>
      </c>
      <c r="E208" s="13" t="str">
        <f>+HYPERLINK("http://trademark.i-assist.jp/data/china/image_1889th/76789519.pdf","76789519")</f>
        <v>76789519</v>
      </c>
      <c r="F208" s="7" t="s">
        <v>578</v>
      </c>
      <c r="G208" s="7" t="s">
        <v>579</v>
      </c>
      <c r="H208" s="7" t="s">
        <v>580</v>
      </c>
      <c r="I208" s="9">
        <v>45327</v>
      </c>
    </row>
    <row r="209" spans="1:9" x14ac:dyDescent="0.15">
      <c r="A209" s="6">
        <v>208</v>
      </c>
      <c r="B209" s="7" t="s">
        <v>9</v>
      </c>
      <c r="C209" s="8">
        <v>1889</v>
      </c>
      <c r="D209" s="9">
        <v>45439</v>
      </c>
      <c r="E209" s="13" t="str">
        <f>+HYPERLINK("http://trademark.i-assist.jp/data/china/image_1889th/76789759.pdf","76789759")</f>
        <v>76789759</v>
      </c>
      <c r="F209" s="7" t="s">
        <v>581</v>
      </c>
      <c r="G209" s="7" t="s">
        <v>582</v>
      </c>
      <c r="H209" s="7" t="s">
        <v>583</v>
      </c>
      <c r="I209" s="9">
        <v>45327</v>
      </c>
    </row>
    <row r="210" spans="1:9" ht="27" x14ac:dyDescent="0.15">
      <c r="A210" s="6">
        <v>209</v>
      </c>
      <c r="B210" s="7" t="s">
        <v>9</v>
      </c>
      <c r="C210" s="8">
        <v>1889</v>
      </c>
      <c r="D210" s="9">
        <v>45439</v>
      </c>
      <c r="E210" s="13" t="str">
        <f>+HYPERLINK("http://trademark.i-assist.jp/data/china/image_1889th/76790990.pdf","76790990")</f>
        <v>76790990</v>
      </c>
      <c r="F210" s="7" t="s">
        <v>584</v>
      </c>
      <c r="G210" s="7" t="s">
        <v>574</v>
      </c>
      <c r="H210" s="7" t="s">
        <v>585</v>
      </c>
      <c r="I210" s="9">
        <v>45327</v>
      </c>
    </row>
    <row r="211" spans="1:9" ht="27" x14ac:dyDescent="0.15">
      <c r="A211" s="6">
        <v>210</v>
      </c>
      <c r="B211" s="7" t="s">
        <v>9</v>
      </c>
      <c r="C211" s="8">
        <v>1889</v>
      </c>
      <c r="D211" s="9">
        <v>45439</v>
      </c>
      <c r="E211" s="13" t="str">
        <f>+HYPERLINK("http://trademark.i-assist.jp/data/china/image_1889th/76791000.pdf","76791000")</f>
        <v>76791000</v>
      </c>
      <c r="F211" s="7" t="s">
        <v>586</v>
      </c>
      <c r="G211" s="7" t="s">
        <v>574</v>
      </c>
      <c r="H211" s="7" t="s">
        <v>587</v>
      </c>
      <c r="I211" s="9">
        <v>45327</v>
      </c>
    </row>
    <row r="212" spans="1:9" ht="27" x14ac:dyDescent="0.15">
      <c r="A212" s="6">
        <v>211</v>
      </c>
      <c r="B212" s="7" t="s">
        <v>9</v>
      </c>
      <c r="C212" s="8">
        <v>1889</v>
      </c>
      <c r="D212" s="9">
        <v>45439</v>
      </c>
      <c r="E212" s="13" t="str">
        <f>+HYPERLINK("http://trademark.i-assist.jp/data/china/image_1889th/76791780.pdf","76791780")</f>
        <v>76791780</v>
      </c>
      <c r="F212" s="7" t="s">
        <v>588</v>
      </c>
      <c r="G212" s="7" t="s">
        <v>574</v>
      </c>
      <c r="H212" s="7" t="s">
        <v>589</v>
      </c>
      <c r="I212" s="9">
        <v>45327</v>
      </c>
    </row>
    <row r="213" spans="1:9" x14ac:dyDescent="0.15">
      <c r="A213" s="6">
        <v>212</v>
      </c>
      <c r="B213" s="7" t="s">
        <v>9</v>
      </c>
      <c r="C213" s="8">
        <v>1889</v>
      </c>
      <c r="D213" s="9">
        <v>45439</v>
      </c>
      <c r="E213" s="13" t="str">
        <f>+HYPERLINK("http://trademark.i-assist.jp/data/china/image_1889th/76791983.pdf","76791983")</f>
        <v>76791983</v>
      </c>
      <c r="F213" s="7" t="s">
        <v>590</v>
      </c>
      <c r="G213" s="7" t="s">
        <v>591</v>
      </c>
      <c r="H213" s="7" t="s">
        <v>592</v>
      </c>
      <c r="I213" s="9">
        <v>45327</v>
      </c>
    </row>
    <row r="214" spans="1:9" x14ac:dyDescent="0.15">
      <c r="A214" s="6">
        <v>213</v>
      </c>
      <c r="B214" s="7" t="s">
        <v>9</v>
      </c>
      <c r="C214" s="8">
        <v>1889</v>
      </c>
      <c r="D214" s="9">
        <v>45439</v>
      </c>
      <c r="E214" s="13" t="str">
        <f>+HYPERLINK("http://trademark.i-assist.jp/data/china/image_1889th/76795063.pdf","76795063")</f>
        <v>76795063</v>
      </c>
      <c r="F214" s="7" t="s">
        <v>593</v>
      </c>
      <c r="G214" s="7" t="s">
        <v>594</v>
      </c>
      <c r="H214" s="7" t="s">
        <v>595</v>
      </c>
      <c r="I214" s="9">
        <v>45327</v>
      </c>
    </row>
    <row r="215" spans="1:9" x14ac:dyDescent="0.15">
      <c r="A215" s="6">
        <v>214</v>
      </c>
      <c r="B215" s="7" t="s">
        <v>9</v>
      </c>
      <c r="C215" s="8">
        <v>1889</v>
      </c>
      <c r="D215" s="9">
        <v>45439</v>
      </c>
      <c r="E215" s="13" t="str">
        <f>+HYPERLINK("http://trademark.i-assist.jp/data/china/image_1889th/76797055.pdf","76797055")</f>
        <v>76797055</v>
      </c>
      <c r="F215" s="7" t="s">
        <v>596</v>
      </c>
      <c r="G215" s="7" t="s">
        <v>597</v>
      </c>
      <c r="H215" s="7" t="s">
        <v>598</v>
      </c>
      <c r="I215" s="9">
        <v>45327</v>
      </c>
    </row>
    <row r="216" spans="1:9" x14ac:dyDescent="0.15">
      <c r="A216" s="6">
        <v>215</v>
      </c>
      <c r="B216" s="7" t="s">
        <v>9</v>
      </c>
      <c r="C216" s="8">
        <v>1889</v>
      </c>
      <c r="D216" s="9">
        <v>45439</v>
      </c>
      <c r="E216" s="13" t="str">
        <f>+HYPERLINK("http://trademark.i-assist.jp/data/china/image_1889th/76797256.pdf","76797256")</f>
        <v>76797256</v>
      </c>
      <c r="F216" s="7" t="s">
        <v>134</v>
      </c>
      <c r="G216" s="7" t="s">
        <v>599</v>
      </c>
      <c r="H216" s="7" t="s">
        <v>600</v>
      </c>
      <c r="I216" s="9">
        <v>45327</v>
      </c>
    </row>
    <row r="217" spans="1:9" x14ac:dyDescent="0.15">
      <c r="A217" s="6">
        <v>216</v>
      </c>
      <c r="B217" s="7" t="s">
        <v>9</v>
      </c>
      <c r="C217" s="8">
        <v>1889</v>
      </c>
      <c r="D217" s="9">
        <v>45439</v>
      </c>
      <c r="E217" s="13" t="str">
        <f>+HYPERLINK("http://trademark.i-assist.jp/data/china/image_1889th/76797740.pdf","76797740")</f>
        <v>76797740</v>
      </c>
      <c r="F217" s="7" t="s">
        <v>601</v>
      </c>
      <c r="G217" s="7" t="s">
        <v>602</v>
      </c>
      <c r="H217" s="7" t="s">
        <v>603</v>
      </c>
      <c r="I217" s="9">
        <v>45327</v>
      </c>
    </row>
    <row r="218" spans="1:9" x14ac:dyDescent="0.15">
      <c r="A218" s="6">
        <v>217</v>
      </c>
      <c r="B218" s="7" t="s">
        <v>9</v>
      </c>
      <c r="C218" s="8">
        <v>1889</v>
      </c>
      <c r="D218" s="9">
        <v>45439</v>
      </c>
      <c r="E218" s="13" t="str">
        <f>+HYPERLINK("http://trademark.i-assist.jp/data/china/image_1889th/76798613.pdf","76798613")</f>
        <v>76798613</v>
      </c>
      <c r="F218" s="7" t="s">
        <v>604</v>
      </c>
      <c r="G218" s="7" t="s">
        <v>605</v>
      </c>
      <c r="H218" s="7" t="s">
        <v>606</v>
      </c>
      <c r="I218" s="9">
        <v>45327</v>
      </c>
    </row>
    <row r="219" spans="1:9" x14ac:dyDescent="0.15">
      <c r="A219" s="6">
        <v>218</v>
      </c>
      <c r="B219" s="7" t="s">
        <v>9</v>
      </c>
      <c r="C219" s="8">
        <v>1889</v>
      </c>
      <c r="D219" s="9">
        <v>45439</v>
      </c>
      <c r="E219" s="13" t="str">
        <f>+HYPERLINK("http://trademark.i-assist.jp/data/china/image_1889th/76799101.pdf","76799101")</f>
        <v>76799101</v>
      </c>
      <c r="F219" s="7" t="s">
        <v>607</v>
      </c>
      <c r="G219" s="7" t="s">
        <v>608</v>
      </c>
      <c r="H219" s="7" t="s">
        <v>609</v>
      </c>
      <c r="I219" s="9">
        <v>45327</v>
      </c>
    </row>
    <row r="220" spans="1:9" x14ac:dyDescent="0.15">
      <c r="A220" s="6">
        <v>219</v>
      </c>
      <c r="B220" s="7" t="s">
        <v>9</v>
      </c>
      <c r="C220" s="8">
        <v>1889</v>
      </c>
      <c r="D220" s="9">
        <v>45439</v>
      </c>
      <c r="E220" s="13" t="str">
        <f>+HYPERLINK("http://trademark.i-assist.jp/data/china/image_1889th/76799817A.pdf","76799817A")</f>
        <v>76799817A</v>
      </c>
      <c r="F220" s="7" t="s">
        <v>610</v>
      </c>
      <c r="G220" s="7" t="s">
        <v>611</v>
      </c>
      <c r="H220" s="7" t="s">
        <v>612</v>
      </c>
      <c r="I220" s="9">
        <v>45328</v>
      </c>
    </row>
    <row r="221" spans="1:9" x14ac:dyDescent="0.15">
      <c r="A221" s="6">
        <v>220</v>
      </c>
      <c r="B221" s="7" t="s">
        <v>9</v>
      </c>
      <c r="C221" s="8">
        <v>1889</v>
      </c>
      <c r="D221" s="9">
        <v>45439</v>
      </c>
      <c r="E221" s="13" t="str">
        <f>+HYPERLINK("http://trademark.i-assist.jp/data/china/image_1889th/76800352.pdf","76800352")</f>
        <v>76800352</v>
      </c>
      <c r="F221" s="7" t="s">
        <v>613</v>
      </c>
      <c r="G221" s="7" t="s">
        <v>614</v>
      </c>
      <c r="H221" s="7" t="s">
        <v>615</v>
      </c>
      <c r="I221" s="9">
        <v>45328</v>
      </c>
    </row>
    <row r="222" spans="1:9" x14ac:dyDescent="0.15">
      <c r="A222" s="6">
        <v>221</v>
      </c>
      <c r="B222" s="7" t="s">
        <v>9</v>
      </c>
      <c r="C222" s="8">
        <v>1889</v>
      </c>
      <c r="D222" s="9">
        <v>45439</v>
      </c>
      <c r="E222" s="13" t="str">
        <f>+HYPERLINK("http://trademark.i-assist.jp/data/china/image_1889th/76800570.pdf","76800570")</f>
        <v>76800570</v>
      </c>
      <c r="F222" s="7" t="s">
        <v>616</v>
      </c>
      <c r="G222" s="7" t="s">
        <v>617</v>
      </c>
      <c r="H222" s="7" t="s">
        <v>618</v>
      </c>
      <c r="I222" s="9">
        <v>45328</v>
      </c>
    </row>
    <row r="223" spans="1:9" x14ac:dyDescent="0.15">
      <c r="A223" s="6">
        <v>222</v>
      </c>
      <c r="B223" s="7" t="s">
        <v>9</v>
      </c>
      <c r="C223" s="8">
        <v>1889</v>
      </c>
      <c r="D223" s="9">
        <v>45439</v>
      </c>
      <c r="E223" s="13" t="str">
        <f>+HYPERLINK("http://trademark.i-assist.jp/data/china/image_1889th/76800942.pdf","76800942")</f>
        <v>76800942</v>
      </c>
      <c r="F223" s="7" t="s">
        <v>619</v>
      </c>
      <c r="G223" s="7" t="s">
        <v>620</v>
      </c>
      <c r="H223" s="7" t="s">
        <v>621</v>
      </c>
      <c r="I223" s="9">
        <v>45328</v>
      </c>
    </row>
    <row r="224" spans="1:9" x14ac:dyDescent="0.15">
      <c r="A224" s="6">
        <v>223</v>
      </c>
      <c r="B224" s="7" t="s">
        <v>9</v>
      </c>
      <c r="C224" s="8">
        <v>1889</v>
      </c>
      <c r="D224" s="9">
        <v>45439</v>
      </c>
      <c r="E224" s="13" t="str">
        <f>+HYPERLINK("http://trademark.i-assist.jp/data/china/image_1889th/76801938.pdf","76801938")</f>
        <v>76801938</v>
      </c>
      <c r="F224" s="7" t="s">
        <v>622</v>
      </c>
      <c r="G224" s="7" t="s">
        <v>623</v>
      </c>
      <c r="H224" s="7" t="s">
        <v>624</v>
      </c>
      <c r="I224" s="9">
        <v>45328</v>
      </c>
    </row>
    <row r="225" spans="1:9" x14ac:dyDescent="0.15">
      <c r="A225" s="6">
        <v>224</v>
      </c>
      <c r="B225" s="7" t="s">
        <v>9</v>
      </c>
      <c r="C225" s="8">
        <v>1889</v>
      </c>
      <c r="D225" s="9">
        <v>45439</v>
      </c>
      <c r="E225" s="13" t="str">
        <f>+HYPERLINK("http://trademark.i-assist.jp/data/china/image_1889th/76803400.pdf","76803400")</f>
        <v>76803400</v>
      </c>
      <c r="F225" s="7" t="s">
        <v>625</v>
      </c>
      <c r="G225" s="7" t="s">
        <v>617</v>
      </c>
      <c r="H225" s="7" t="s">
        <v>626</v>
      </c>
      <c r="I225" s="9">
        <v>45328</v>
      </c>
    </row>
    <row r="226" spans="1:9" x14ac:dyDescent="0.15">
      <c r="A226" s="6">
        <v>225</v>
      </c>
      <c r="B226" s="7" t="s">
        <v>9</v>
      </c>
      <c r="C226" s="8">
        <v>1889</v>
      </c>
      <c r="D226" s="9">
        <v>45439</v>
      </c>
      <c r="E226" s="13" t="str">
        <f>+HYPERLINK("http://trademark.i-assist.jp/data/china/image_1889th/76807917.pdf","76807917")</f>
        <v>76807917</v>
      </c>
      <c r="F226" s="7" t="s">
        <v>627</v>
      </c>
      <c r="G226" s="7" t="s">
        <v>597</v>
      </c>
      <c r="H226" s="7" t="s">
        <v>628</v>
      </c>
      <c r="I226" s="9">
        <v>45328</v>
      </c>
    </row>
    <row r="227" spans="1:9" x14ac:dyDescent="0.15">
      <c r="A227" s="6">
        <v>226</v>
      </c>
      <c r="B227" s="7" t="s">
        <v>9</v>
      </c>
      <c r="C227" s="8">
        <v>1889</v>
      </c>
      <c r="D227" s="9">
        <v>45439</v>
      </c>
      <c r="E227" s="13" t="str">
        <f>+HYPERLINK("http://trademark.i-assist.jp/data/china/image_1889th/76810123.pdf","76810123")</f>
        <v>76810123</v>
      </c>
      <c r="F227" s="7" t="s">
        <v>629</v>
      </c>
      <c r="G227" s="7" t="s">
        <v>617</v>
      </c>
      <c r="H227" s="7" t="s">
        <v>630</v>
      </c>
      <c r="I227" s="9">
        <v>45328</v>
      </c>
    </row>
    <row r="228" spans="1:9" x14ac:dyDescent="0.15">
      <c r="A228" s="6">
        <v>227</v>
      </c>
      <c r="B228" s="7" t="s">
        <v>9</v>
      </c>
      <c r="C228" s="8">
        <v>1889</v>
      </c>
      <c r="D228" s="9">
        <v>45439</v>
      </c>
      <c r="E228" s="13" t="str">
        <f>+HYPERLINK("http://trademark.i-assist.jp/data/china/image_1889th/76810143.pdf","76810143")</f>
        <v>76810143</v>
      </c>
      <c r="F228" s="7" t="s">
        <v>631</v>
      </c>
      <c r="G228" s="7" t="s">
        <v>632</v>
      </c>
      <c r="H228" s="7" t="s">
        <v>633</v>
      </c>
      <c r="I228" s="9">
        <v>45328</v>
      </c>
    </row>
    <row r="229" spans="1:9" x14ac:dyDescent="0.15">
      <c r="A229" s="6">
        <v>228</v>
      </c>
      <c r="B229" s="7" t="s">
        <v>9</v>
      </c>
      <c r="C229" s="8">
        <v>1889</v>
      </c>
      <c r="D229" s="9">
        <v>45439</v>
      </c>
      <c r="E229" s="13" t="str">
        <f>+HYPERLINK("http://trademark.i-assist.jp/data/china/image_1889th/76812033.pdf","76812033")</f>
        <v>76812033</v>
      </c>
      <c r="F229" s="7" t="s">
        <v>634</v>
      </c>
      <c r="G229" s="7" t="s">
        <v>597</v>
      </c>
      <c r="H229" s="7" t="s">
        <v>635</v>
      </c>
      <c r="I229" s="9">
        <v>45328</v>
      </c>
    </row>
    <row r="230" spans="1:9" x14ac:dyDescent="0.15">
      <c r="A230" s="6">
        <v>229</v>
      </c>
      <c r="B230" s="7" t="s">
        <v>9</v>
      </c>
      <c r="C230" s="8">
        <v>1889</v>
      </c>
      <c r="D230" s="9">
        <v>45439</v>
      </c>
      <c r="E230" s="13" t="str">
        <f>+HYPERLINK("http://trademark.i-assist.jp/data/china/image_1889th/76814077.pdf","76814077")</f>
        <v>76814077</v>
      </c>
      <c r="F230" s="7" t="s">
        <v>636</v>
      </c>
      <c r="G230" s="7" t="s">
        <v>637</v>
      </c>
      <c r="H230" s="7" t="s">
        <v>638</v>
      </c>
      <c r="I230" s="9">
        <v>45329</v>
      </c>
    </row>
    <row r="231" spans="1:9" x14ac:dyDescent="0.15">
      <c r="A231" s="6">
        <v>230</v>
      </c>
      <c r="B231" s="7" t="s">
        <v>9</v>
      </c>
      <c r="C231" s="8">
        <v>1889</v>
      </c>
      <c r="D231" s="9">
        <v>45439</v>
      </c>
      <c r="E231" s="13" t="str">
        <f>+HYPERLINK("http://trademark.i-assist.jp/data/china/image_1889th/76814338.pdf","76814338")</f>
        <v>76814338</v>
      </c>
      <c r="F231" s="7" t="s">
        <v>639</v>
      </c>
      <c r="G231" s="7" t="s">
        <v>640</v>
      </c>
      <c r="H231" s="7" t="s">
        <v>641</v>
      </c>
      <c r="I231" s="9">
        <v>45329</v>
      </c>
    </row>
    <row r="232" spans="1:9" x14ac:dyDescent="0.15">
      <c r="A232" s="6">
        <v>231</v>
      </c>
      <c r="B232" s="7" t="s">
        <v>9</v>
      </c>
      <c r="C232" s="8">
        <v>1889</v>
      </c>
      <c r="D232" s="9">
        <v>45439</v>
      </c>
      <c r="E232" s="13" t="str">
        <f>+HYPERLINK("http://trademark.i-assist.jp/data/china/image_1889th/76814647.pdf","76814647")</f>
        <v>76814647</v>
      </c>
      <c r="F232" s="7" t="s">
        <v>642</v>
      </c>
      <c r="G232" s="7" t="s">
        <v>643</v>
      </c>
      <c r="H232" s="7" t="s">
        <v>644</v>
      </c>
      <c r="I232" s="9">
        <v>45329</v>
      </c>
    </row>
    <row r="233" spans="1:9" x14ac:dyDescent="0.15">
      <c r="A233" s="6">
        <v>232</v>
      </c>
      <c r="B233" s="7" t="s">
        <v>9</v>
      </c>
      <c r="C233" s="8">
        <v>1889</v>
      </c>
      <c r="D233" s="9">
        <v>45439</v>
      </c>
      <c r="E233" s="13" t="str">
        <f>+HYPERLINK("http://trademark.i-assist.jp/data/china/image_1889th/76817014.pdf","76817014")</f>
        <v>76817014</v>
      </c>
      <c r="F233" s="7" t="s">
        <v>645</v>
      </c>
      <c r="G233" s="7" t="s">
        <v>646</v>
      </c>
      <c r="H233" s="7" t="s">
        <v>647</v>
      </c>
      <c r="I233" s="9">
        <v>45329</v>
      </c>
    </row>
    <row r="234" spans="1:9" x14ac:dyDescent="0.15">
      <c r="A234" s="6">
        <v>233</v>
      </c>
      <c r="B234" s="7" t="s">
        <v>9</v>
      </c>
      <c r="C234" s="8">
        <v>1889</v>
      </c>
      <c r="D234" s="9">
        <v>45439</v>
      </c>
      <c r="E234" s="13" t="str">
        <f>+HYPERLINK("http://trademark.i-assist.jp/data/china/image_1889th/76817546.pdf","76817546")</f>
        <v>76817546</v>
      </c>
      <c r="F234" s="7" t="s">
        <v>648</v>
      </c>
      <c r="G234" s="7" t="s">
        <v>649</v>
      </c>
      <c r="H234" s="7" t="s">
        <v>650</v>
      </c>
      <c r="I234" s="9">
        <v>45329</v>
      </c>
    </row>
    <row r="235" spans="1:9" x14ac:dyDescent="0.15">
      <c r="A235" s="6">
        <v>234</v>
      </c>
      <c r="B235" s="7" t="s">
        <v>9</v>
      </c>
      <c r="C235" s="8">
        <v>1889</v>
      </c>
      <c r="D235" s="9">
        <v>45439</v>
      </c>
      <c r="E235" s="13" t="str">
        <f>+HYPERLINK("http://trademark.i-assist.jp/data/china/image_1889th/76819298.pdf","76819298")</f>
        <v>76819298</v>
      </c>
      <c r="F235" s="7" t="s">
        <v>651</v>
      </c>
      <c r="G235" s="7" t="s">
        <v>652</v>
      </c>
      <c r="H235" s="7" t="s">
        <v>653</v>
      </c>
      <c r="I235" s="9">
        <v>45329</v>
      </c>
    </row>
    <row r="236" spans="1:9" x14ac:dyDescent="0.15">
      <c r="A236" s="6">
        <v>235</v>
      </c>
      <c r="B236" s="7" t="s">
        <v>9</v>
      </c>
      <c r="C236" s="8">
        <v>1889</v>
      </c>
      <c r="D236" s="9">
        <v>45439</v>
      </c>
      <c r="E236" s="13" t="str">
        <f>+HYPERLINK("http://trademark.i-assist.jp/data/china/image_1889th/76819740.pdf","76819740")</f>
        <v>76819740</v>
      </c>
      <c r="F236" s="7" t="s">
        <v>654</v>
      </c>
      <c r="G236" s="7" t="s">
        <v>655</v>
      </c>
      <c r="H236" s="7" t="s">
        <v>656</v>
      </c>
      <c r="I236" s="9">
        <v>45329</v>
      </c>
    </row>
    <row r="237" spans="1:9" x14ac:dyDescent="0.15">
      <c r="A237" s="6">
        <v>236</v>
      </c>
      <c r="B237" s="7" t="s">
        <v>9</v>
      </c>
      <c r="C237" s="8">
        <v>1889</v>
      </c>
      <c r="D237" s="9">
        <v>45439</v>
      </c>
      <c r="E237" s="13" t="str">
        <f>+HYPERLINK("http://trademark.i-assist.jp/data/china/image_1889th/76822183.pdf","76822183")</f>
        <v>76822183</v>
      </c>
      <c r="F237" s="7" t="s">
        <v>657</v>
      </c>
      <c r="G237" s="7" t="s">
        <v>658</v>
      </c>
      <c r="H237" s="7" t="s">
        <v>659</v>
      </c>
      <c r="I237" s="9">
        <v>45330</v>
      </c>
    </row>
    <row r="238" spans="1:9" x14ac:dyDescent="0.15">
      <c r="A238" s="6">
        <v>237</v>
      </c>
      <c r="B238" s="7" t="s">
        <v>9</v>
      </c>
      <c r="C238" s="8">
        <v>1889</v>
      </c>
      <c r="D238" s="9">
        <v>45439</v>
      </c>
      <c r="E238" s="13" t="str">
        <f>+HYPERLINK("http://trademark.i-assist.jp/data/china/image_1889th/76822768.pdf","76822768")</f>
        <v>76822768</v>
      </c>
      <c r="F238" s="7" t="s">
        <v>660</v>
      </c>
      <c r="G238" s="7" t="s">
        <v>661</v>
      </c>
      <c r="H238" s="7" t="s">
        <v>662</v>
      </c>
      <c r="I238" s="9">
        <v>45330</v>
      </c>
    </row>
    <row r="239" spans="1:9" x14ac:dyDescent="0.15">
      <c r="A239" s="6">
        <v>238</v>
      </c>
      <c r="B239" s="7" t="s">
        <v>9</v>
      </c>
      <c r="C239" s="8">
        <v>1889</v>
      </c>
      <c r="D239" s="9">
        <v>45439</v>
      </c>
      <c r="E239" s="13" t="str">
        <f>+HYPERLINK("http://trademark.i-assist.jp/data/china/image_1889th/76823169.pdf","76823169")</f>
        <v>76823169</v>
      </c>
      <c r="F239" s="7" t="s">
        <v>663</v>
      </c>
      <c r="G239" s="7" t="s">
        <v>664</v>
      </c>
      <c r="H239" s="7" t="s">
        <v>665</v>
      </c>
      <c r="I239" s="9">
        <v>45330</v>
      </c>
    </row>
    <row r="240" spans="1:9" x14ac:dyDescent="0.15">
      <c r="A240" s="6">
        <v>239</v>
      </c>
      <c r="B240" s="7" t="s">
        <v>9</v>
      </c>
      <c r="C240" s="8">
        <v>1889</v>
      </c>
      <c r="D240" s="9">
        <v>45439</v>
      </c>
      <c r="E240" s="13" t="str">
        <f>+HYPERLINK("http://trademark.i-assist.jp/data/china/image_1889th/76823500.pdf","76823500")</f>
        <v>76823500</v>
      </c>
      <c r="F240" s="7" t="s">
        <v>666</v>
      </c>
      <c r="G240" s="7" t="s">
        <v>667</v>
      </c>
      <c r="H240" s="7" t="s">
        <v>668</v>
      </c>
      <c r="I240" s="9">
        <v>45330</v>
      </c>
    </row>
    <row r="241" spans="1:9" x14ac:dyDescent="0.15">
      <c r="A241" s="6">
        <v>240</v>
      </c>
      <c r="B241" s="7" t="s">
        <v>9</v>
      </c>
      <c r="C241" s="8">
        <v>1889</v>
      </c>
      <c r="D241" s="9">
        <v>45439</v>
      </c>
      <c r="E241" s="13" t="str">
        <f>+HYPERLINK("http://trademark.i-assist.jp/data/china/image_1889th/76823757.pdf","76823757")</f>
        <v>76823757</v>
      </c>
      <c r="F241" s="7" t="s">
        <v>134</v>
      </c>
      <c r="G241" s="7" t="s">
        <v>669</v>
      </c>
      <c r="H241" s="7" t="s">
        <v>670</v>
      </c>
      <c r="I241" s="9">
        <v>45330</v>
      </c>
    </row>
    <row r="242" spans="1:9" ht="27" x14ac:dyDescent="0.15">
      <c r="A242" s="6">
        <v>241</v>
      </c>
      <c r="B242" s="7" t="s">
        <v>9</v>
      </c>
      <c r="C242" s="8">
        <v>1889</v>
      </c>
      <c r="D242" s="9">
        <v>45439</v>
      </c>
      <c r="E242" s="13" t="str">
        <f>+HYPERLINK("http://trademark.i-assist.jp/data/china/image_1889th/76824046.pdf","76824046")</f>
        <v>76824046</v>
      </c>
      <c r="F242" s="7" t="s">
        <v>671</v>
      </c>
      <c r="G242" s="7" t="s">
        <v>672</v>
      </c>
      <c r="H242" s="7" t="s">
        <v>673</v>
      </c>
      <c r="I242" s="9">
        <v>45330</v>
      </c>
    </row>
    <row r="243" spans="1:9" x14ac:dyDescent="0.15">
      <c r="A243" s="6">
        <v>242</v>
      </c>
      <c r="B243" s="7" t="s">
        <v>9</v>
      </c>
      <c r="C243" s="8">
        <v>1889</v>
      </c>
      <c r="D243" s="9">
        <v>45439</v>
      </c>
      <c r="E243" s="13" t="str">
        <f>+HYPERLINK("http://trademark.i-assist.jp/data/china/image_1889th/76824097.pdf","76824097")</f>
        <v>76824097</v>
      </c>
      <c r="F243" s="7" t="s">
        <v>674</v>
      </c>
      <c r="G243" s="7" t="s">
        <v>675</v>
      </c>
      <c r="H243" s="7" t="s">
        <v>676</v>
      </c>
      <c r="I243" s="9">
        <v>45330</v>
      </c>
    </row>
    <row r="244" spans="1:9" x14ac:dyDescent="0.15">
      <c r="A244" s="6">
        <v>243</v>
      </c>
      <c r="B244" s="7" t="s">
        <v>9</v>
      </c>
      <c r="C244" s="8">
        <v>1889</v>
      </c>
      <c r="D244" s="9">
        <v>45439</v>
      </c>
      <c r="E244" s="13" t="str">
        <f>+HYPERLINK("http://trademark.i-assist.jp/data/china/image_1889th/76824526.pdf","76824526")</f>
        <v>76824526</v>
      </c>
      <c r="F244" s="7" t="s">
        <v>677</v>
      </c>
      <c r="G244" s="7" t="s">
        <v>678</v>
      </c>
      <c r="H244" s="7" t="s">
        <v>679</v>
      </c>
      <c r="I244" s="9">
        <v>45330</v>
      </c>
    </row>
    <row r="245" spans="1:9" x14ac:dyDescent="0.15">
      <c r="A245" s="6">
        <v>244</v>
      </c>
      <c r="B245" s="7" t="s">
        <v>9</v>
      </c>
      <c r="C245" s="8">
        <v>1889</v>
      </c>
      <c r="D245" s="9">
        <v>45439</v>
      </c>
      <c r="E245" s="13" t="str">
        <f>+HYPERLINK("http://trademark.i-assist.jp/data/china/image_1889th/76825775.pdf","76825775")</f>
        <v>76825775</v>
      </c>
      <c r="F245" s="7" t="s">
        <v>680</v>
      </c>
      <c r="G245" s="7" t="s">
        <v>681</v>
      </c>
      <c r="H245" s="7" t="s">
        <v>682</v>
      </c>
      <c r="I245" s="9">
        <v>45330</v>
      </c>
    </row>
    <row r="246" spans="1:9" x14ac:dyDescent="0.15">
      <c r="A246" s="6">
        <v>245</v>
      </c>
      <c r="B246" s="7" t="s">
        <v>9</v>
      </c>
      <c r="C246" s="8">
        <v>1889</v>
      </c>
      <c r="D246" s="9">
        <v>45439</v>
      </c>
      <c r="E246" s="13" t="str">
        <f>+HYPERLINK("http://trademark.i-assist.jp/data/china/image_1889th/76826673.pdf","76826673")</f>
        <v>76826673</v>
      </c>
      <c r="F246" s="7" t="s">
        <v>683</v>
      </c>
      <c r="G246" s="7" t="s">
        <v>684</v>
      </c>
      <c r="H246" s="7" t="s">
        <v>685</v>
      </c>
      <c r="I246" s="9">
        <v>45330</v>
      </c>
    </row>
    <row r="247" spans="1:9" x14ac:dyDescent="0.15">
      <c r="A247" s="6">
        <v>246</v>
      </c>
      <c r="B247" s="7" t="s">
        <v>9</v>
      </c>
      <c r="C247" s="8">
        <v>1889</v>
      </c>
      <c r="D247" s="9">
        <v>45439</v>
      </c>
      <c r="E247" s="13" t="str">
        <f>+HYPERLINK("http://trademark.i-assist.jp/data/china/image_1889th/76826770.pdf","76826770")</f>
        <v>76826770</v>
      </c>
      <c r="F247" s="7" t="s">
        <v>686</v>
      </c>
      <c r="G247" s="7" t="s">
        <v>661</v>
      </c>
      <c r="H247" s="7" t="s">
        <v>687</v>
      </c>
      <c r="I247" s="9">
        <v>45330</v>
      </c>
    </row>
    <row r="248" spans="1:9" ht="27" x14ac:dyDescent="0.15">
      <c r="A248" s="6">
        <v>247</v>
      </c>
      <c r="B248" s="7" t="s">
        <v>9</v>
      </c>
      <c r="C248" s="8">
        <v>1889</v>
      </c>
      <c r="D248" s="9">
        <v>45439</v>
      </c>
      <c r="E248" s="13" t="str">
        <f>+HYPERLINK("http://trademark.i-assist.jp/data/china/image_1889th/76827621.pdf","76827621")</f>
        <v>76827621</v>
      </c>
      <c r="F248" s="7" t="s">
        <v>688</v>
      </c>
      <c r="G248" s="7" t="s">
        <v>501</v>
      </c>
      <c r="H248" s="7" t="s">
        <v>689</v>
      </c>
      <c r="I248" s="9">
        <v>45331</v>
      </c>
    </row>
    <row r="249" spans="1:9" x14ac:dyDescent="0.15">
      <c r="A249" s="6">
        <v>248</v>
      </c>
      <c r="B249" s="7" t="s">
        <v>9</v>
      </c>
      <c r="C249" s="8">
        <v>1889</v>
      </c>
      <c r="D249" s="9">
        <v>45439</v>
      </c>
      <c r="E249" s="13" t="str">
        <f>+HYPERLINK("http://trademark.i-assist.jp/data/china/image_1889th/76828520.pdf","76828520")</f>
        <v>76828520</v>
      </c>
      <c r="F249" s="7" t="s">
        <v>690</v>
      </c>
      <c r="G249" s="7" t="s">
        <v>691</v>
      </c>
      <c r="H249" s="7" t="s">
        <v>692</v>
      </c>
      <c r="I249" s="9">
        <v>45329</v>
      </c>
    </row>
    <row r="250" spans="1:9" x14ac:dyDescent="0.15">
      <c r="A250" s="6">
        <v>249</v>
      </c>
      <c r="B250" s="7" t="s">
        <v>9</v>
      </c>
      <c r="C250" s="8">
        <v>1889</v>
      </c>
      <c r="D250" s="9">
        <v>45439</v>
      </c>
      <c r="E250" s="13" t="str">
        <f>+HYPERLINK("http://trademark.i-assist.jp/data/china/image_1889th/76829815.pdf","76829815")</f>
        <v>76829815</v>
      </c>
      <c r="F250" s="7" t="s">
        <v>693</v>
      </c>
      <c r="G250" s="7" t="s">
        <v>694</v>
      </c>
      <c r="H250" s="7" t="s">
        <v>695</v>
      </c>
      <c r="I250" s="9">
        <v>45340</v>
      </c>
    </row>
    <row r="251" spans="1:9" x14ac:dyDescent="0.15">
      <c r="A251" s="6">
        <v>250</v>
      </c>
      <c r="B251" s="7" t="s">
        <v>9</v>
      </c>
      <c r="C251" s="8">
        <v>1889</v>
      </c>
      <c r="D251" s="9">
        <v>45439</v>
      </c>
      <c r="E251" s="13" t="str">
        <f>+HYPERLINK("http://trademark.i-assist.jp/data/china/image_1889th/76831557.pdf","76831557")</f>
        <v>76831557</v>
      </c>
      <c r="F251" s="7" t="s">
        <v>696</v>
      </c>
      <c r="G251" s="7" t="s">
        <v>697</v>
      </c>
      <c r="H251" s="7" t="s">
        <v>698</v>
      </c>
      <c r="I251" s="9">
        <v>45340</v>
      </c>
    </row>
    <row r="252" spans="1:9" x14ac:dyDescent="0.15">
      <c r="A252" s="6">
        <v>251</v>
      </c>
      <c r="B252" s="7" t="s">
        <v>9</v>
      </c>
      <c r="C252" s="8">
        <v>1889</v>
      </c>
      <c r="D252" s="9">
        <v>45439</v>
      </c>
      <c r="E252" s="13" t="str">
        <f>+HYPERLINK("http://trademark.i-assist.jp/data/china/image_1889th/76834449.pdf","76834449")</f>
        <v>76834449</v>
      </c>
      <c r="F252" s="7" t="s">
        <v>699</v>
      </c>
      <c r="G252" s="7" t="s">
        <v>700</v>
      </c>
      <c r="H252" s="7" t="s">
        <v>701</v>
      </c>
      <c r="I252" s="9">
        <v>45340</v>
      </c>
    </row>
    <row r="253" spans="1:9" ht="27" x14ac:dyDescent="0.15">
      <c r="A253" s="6">
        <v>252</v>
      </c>
      <c r="B253" s="7" t="s">
        <v>9</v>
      </c>
      <c r="C253" s="8">
        <v>1889</v>
      </c>
      <c r="D253" s="9">
        <v>45439</v>
      </c>
      <c r="E253" s="13" t="str">
        <f>+HYPERLINK("http://trademark.i-assist.jp/data/china/image_1889th/76835842.pdf","76835842")</f>
        <v>76835842</v>
      </c>
      <c r="F253" s="7" t="s">
        <v>702</v>
      </c>
      <c r="G253" s="7" t="s">
        <v>703</v>
      </c>
      <c r="H253" s="7" t="s">
        <v>704</v>
      </c>
      <c r="I253" s="9">
        <v>45340</v>
      </c>
    </row>
    <row r="254" spans="1:9" x14ac:dyDescent="0.15">
      <c r="A254" s="6">
        <v>253</v>
      </c>
      <c r="B254" s="7" t="s">
        <v>9</v>
      </c>
      <c r="C254" s="8">
        <v>1889</v>
      </c>
      <c r="D254" s="9">
        <v>45439</v>
      </c>
      <c r="E254" s="13" t="str">
        <f>+HYPERLINK("http://trademark.i-assist.jp/data/china/image_1889th/76836763.pdf","76836763")</f>
        <v>76836763</v>
      </c>
      <c r="F254" s="7" t="s">
        <v>705</v>
      </c>
      <c r="G254" s="7" t="s">
        <v>706</v>
      </c>
      <c r="H254" s="7" t="s">
        <v>707</v>
      </c>
      <c r="I254" s="9">
        <v>45340</v>
      </c>
    </row>
    <row r="255" spans="1:9" x14ac:dyDescent="0.15">
      <c r="A255" s="6">
        <v>254</v>
      </c>
      <c r="B255" s="7" t="s">
        <v>9</v>
      </c>
      <c r="C255" s="8">
        <v>1889</v>
      </c>
      <c r="D255" s="9">
        <v>45439</v>
      </c>
      <c r="E255" s="13" t="str">
        <f>+HYPERLINK("http://trademark.i-assist.jp/data/china/image_1889th/76837690.pdf","76837690")</f>
        <v>76837690</v>
      </c>
      <c r="F255" s="7" t="s">
        <v>708</v>
      </c>
      <c r="G255" s="7" t="s">
        <v>709</v>
      </c>
      <c r="H255" s="7" t="s">
        <v>710</v>
      </c>
      <c r="I255" s="9">
        <v>45340</v>
      </c>
    </row>
    <row r="256" spans="1:9" x14ac:dyDescent="0.15">
      <c r="A256" s="6">
        <v>255</v>
      </c>
      <c r="B256" s="7" t="s">
        <v>9</v>
      </c>
      <c r="C256" s="8">
        <v>1889</v>
      </c>
      <c r="D256" s="9">
        <v>45439</v>
      </c>
      <c r="E256" s="13" t="str">
        <f>+HYPERLINK("http://trademark.i-assist.jp/data/china/image_1889th/76839537.pdf","76839537")</f>
        <v>76839537</v>
      </c>
      <c r="F256" s="7" t="s">
        <v>711</v>
      </c>
      <c r="G256" s="7" t="s">
        <v>712</v>
      </c>
      <c r="H256" s="7" t="s">
        <v>713</v>
      </c>
      <c r="I256" s="9">
        <v>45340</v>
      </c>
    </row>
    <row r="257" spans="1:9" x14ac:dyDescent="0.15">
      <c r="A257" s="6">
        <v>256</v>
      </c>
      <c r="B257" s="7" t="s">
        <v>9</v>
      </c>
      <c r="C257" s="8">
        <v>1889</v>
      </c>
      <c r="D257" s="9">
        <v>45439</v>
      </c>
      <c r="E257" s="13" t="str">
        <f>+HYPERLINK("http://trademark.i-assist.jp/data/china/image_1889th/76841380.pdf","76841380")</f>
        <v>76841380</v>
      </c>
      <c r="F257" s="7" t="s">
        <v>714</v>
      </c>
      <c r="G257" s="7" t="s">
        <v>715</v>
      </c>
      <c r="H257" s="7" t="s">
        <v>716</v>
      </c>
      <c r="I257" s="9">
        <v>45340</v>
      </c>
    </row>
    <row r="258" spans="1:9" x14ac:dyDescent="0.15">
      <c r="A258" s="6">
        <v>257</v>
      </c>
      <c r="B258" s="7" t="s">
        <v>9</v>
      </c>
      <c r="C258" s="8">
        <v>1889</v>
      </c>
      <c r="D258" s="9">
        <v>45439</v>
      </c>
      <c r="E258" s="13" t="str">
        <f>+HYPERLINK("http://trademark.i-assist.jp/data/china/image_1889th/76841562.pdf","76841562")</f>
        <v>76841562</v>
      </c>
      <c r="F258" s="7" t="s">
        <v>717</v>
      </c>
      <c r="G258" s="7" t="s">
        <v>718</v>
      </c>
      <c r="H258" s="7" t="s">
        <v>719</v>
      </c>
      <c r="I258" s="9">
        <v>45340</v>
      </c>
    </row>
    <row r="259" spans="1:9" x14ac:dyDescent="0.15">
      <c r="A259" s="6">
        <v>258</v>
      </c>
      <c r="B259" s="7" t="s">
        <v>9</v>
      </c>
      <c r="C259" s="8">
        <v>1889</v>
      </c>
      <c r="D259" s="9">
        <v>45439</v>
      </c>
      <c r="E259" s="13" t="str">
        <f>+HYPERLINK("http://trademark.i-assist.jp/data/china/image_1889th/76841884.pdf","76841884")</f>
        <v>76841884</v>
      </c>
      <c r="F259" s="7" t="s">
        <v>720</v>
      </c>
      <c r="G259" s="7" t="s">
        <v>721</v>
      </c>
      <c r="H259" s="7" t="s">
        <v>722</v>
      </c>
      <c r="I259" s="9">
        <v>45340</v>
      </c>
    </row>
    <row r="260" spans="1:9" x14ac:dyDescent="0.15">
      <c r="A260" s="6">
        <v>259</v>
      </c>
      <c r="B260" s="7" t="s">
        <v>9</v>
      </c>
      <c r="C260" s="8">
        <v>1889</v>
      </c>
      <c r="D260" s="9">
        <v>45439</v>
      </c>
      <c r="E260" s="13" t="str">
        <f>+HYPERLINK("http://trademark.i-assist.jp/data/china/image_1889th/76842628.pdf","76842628")</f>
        <v>76842628</v>
      </c>
      <c r="F260" s="7" t="s">
        <v>699</v>
      </c>
      <c r="G260" s="7" t="s">
        <v>700</v>
      </c>
      <c r="H260" s="7" t="s">
        <v>723</v>
      </c>
      <c r="I260" s="9">
        <v>45340</v>
      </c>
    </row>
    <row r="261" spans="1:9" ht="27" x14ac:dyDescent="0.15">
      <c r="A261" s="6">
        <v>260</v>
      </c>
      <c r="B261" s="7" t="s">
        <v>9</v>
      </c>
      <c r="C261" s="8">
        <v>1889</v>
      </c>
      <c r="D261" s="9">
        <v>45439</v>
      </c>
      <c r="E261" s="13" t="str">
        <f>+HYPERLINK("http://trademark.i-assist.jp/data/china/image_1889th/76842909.pdf","76842909")</f>
        <v>76842909</v>
      </c>
      <c r="F261" s="7" t="s">
        <v>724</v>
      </c>
      <c r="G261" s="7" t="s">
        <v>725</v>
      </c>
      <c r="H261" s="7" t="s">
        <v>726</v>
      </c>
      <c r="I261" s="9">
        <v>45340</v>
      </c>
    </row>
    <row r="262" spans="1:9" x14ac:dyDescent="0.15">
      <c r="A262" s="6">
        <v>261</v>
      </c>
      <c r="B262" s="7" t="s">
        <v>9</v>
      </c>
      <c r="C262" s="8">
        <v>1889</v>
      </c>
      <c r="D262" s="9">
        <v>45439</v>
      </c>
      <c r="E262" s="13" t="str">
        <f>+HYPERLINK("http://trademark.i-assist.jp/data/china/image_1889th/76843149.pdf","76843149")</f>
        <v>76843149</v>
      </c>
      <c r="F262" s="7" t="s">
        <v>727</v>
      </c>
      <c r="G262" s="7" t="s">
        <v>728</v>
      </c>
      <c r="H262" s="7" t="s">
        <v>729</v>
      </c>
      <c r="I262" s="9">
        <v>45340</v>
      </c>
    </row>
    <row r="263" spans="1:9" x14ac:dyDescent="0.15">
      <c r="A263" s="6">
        <v>262</v>
      </c>
      <c r="B263" s="7" t="s">
        <v>9</v>
      </c>
      <c r="C263" s="8">
        <v>1889</v>
      </c>
      <c r="D263" s="9">
        <v>45439</v>
      </c>
      <c r="E263" s="13" t="str">
        <f>+HYPERLINK("http://trademark.i-assist.jp/data/china/image_1889th/76843577.pdf","76843577")</f>
        <v>76843577</v>
      </c>
      <c r="F263" s="7" t="s">
        <v>730</v>
      </c>
      <c r="G263" s="7" t="s">
        <v>731</v>
      </c>
      <c r="H263" s="7" t="s">
        <v>732</v>
      </c>
      <c r="I263" s="9">
        <v>45340</v>
      </c>
    </row>
    <row r="264" spans="1:9" x14ac:dyDescent="0.15">
      <c r="A264" s="6">
        <v>263</v>
      </c>
      <c r="B264" s="7" t="s">
        <v>9</v>
      </c>
      <c r="C264" s="8">
        <v>1889</v>
      </c>
      <c r="D264" s="9">
        <v>45439</v>
      </c>
      <c r="E264" s="13" t="str">
        <f>+HYPERLINK("http://trademark.i-assist.jp/data/china/image_1889th/76844337.pdf","76844337")</f>
        <v>76844337</v>
      </c>
      <c r="F264" s="7" t="s">
        <v>733</v>
      </c>
      <c r="G264" s="7" t="s">
        <v>734</v>
      </c>
      <c r="H264" s="7" t="s">
        <v>735</v>
      </c>
      <c r="I264" s="9">
        <v>45340</v>
      </c>
    </row>
    <row r="265" spans="1:9" x14ac:dyDescent="0.15">
      <c r="A265" s="6">
        <v>264</v>
      </c>
      <c r="B265" s="7" t="s">
        <v>9</v>
      </c>
      <c r="C265" s="8">
        <v>1889</v>
      </c>
      <c r="D265" s="9">
        <v>45439</v>
      </c>
      <c r="E265" s="13" t="str">
        <f>+HYPERLINK("http://trademark.i-assist.jp/data/china/image_1889th/76845069.pdf","76845069")</f>
        <v>76845069</v>
      </c>
      <c r="F265" s="7" t="s">
        <v>736</v>
      </c>
      <c r="G265" s="7" t="s">
        <v>737</v>
      </c>
      <c r="H265" s="7" t="s">
        <v>738</v>
      </c>
      <c r="I265" s="9">
        <v>45340</v>
      </c>
    </row>
    <row r="266" spans="1:9" x14ac:dyDescent="0.15">
      <c r="A266" s="6">
        <v>265</v>
      </c>
      <c r="B266" s="7" t="s">
        <v>9</v>
      </c>
      <c r="C266" s="8">
        <v>1889</v>
      </c>
      <c r="D266" s="9">
        <v>45439</v>
      </c>
      <c r="E266" s="13" t="str">
        <f>+HYPERLINK("http://trademark.i-assist.jp/data/china/image_1889th/76852653.pdf","76852653")</f>
        <v>76852653</v>
      </c>
      <c r="F266" s="7" t="s">
        <v>739</v>
      </c>
      <c r="G266" s="7" t="s">
        <v>740</v>
      </c>
      <c r="H266" s="7" t="s">
        <v>741</v>
      </c>
      <c r="I266" s="9">
        <v>45341</v>
      </c>
    </row>
    <row r="267" spans="1:9" x14ac:dyDescent="0.15">
      <c r="A267" s="6">
        <v>266</v>
      </c>
      <c r="B267" s="7" t="s">
        <v>9</v>
      </c>
      <c r="C267" s="8">
        <v>1889</v>
      </c>
      <c r="D267" s="9">
        <v>45439</v>
      </c>
      <c r="E267" s="13" t="str">
        <f>+HYPERLINK("http://trademark.i-assist.jp/data/china/image_1889th/76853657.pdf","76853657")</f>
        <v>76853657</v>
      </c>
      <c r="F267" s="7" t="s">
        <v>742</v>
      </c>
      <c r="G267" s="7" t="s">
        <v>743</v>
      </c>
      <c r="H267" s="7" t="s">
        <v>744</v>
      </c>
      <c r="I267" s="9">
        <v>45341</v>
      </c>
    </row>
    <row r="268" spans="1:9" x14ac:dyDescent="0.15">
      <c r="A268" s="6">
        <v>267</v>
      </c>
      <c r="B268" s="7" t="s">
        <v>9</v>
      </c>
      <c r="C268" s="8">
        <v>1889</v>
      </c>
      <c r="D268" s="9">
        <v>45439</v>
      </c>
      <c r="E268" s="13" t="str">
        <f>+HYPERLINK("http://trademark.i-assist.jp/data/china/image_1889th/76854828.pdf","76854828")</f>
        <v>76854828</v>
      </c>
      <c r="F268" s="7" t="s">
        <v>745</v>
      </c>
      <c r="G268" s="7" t="s">
        <v>746</v>
      </c>
      <c r="H268" s="7" t="s">
        <v>747</v>
      </c>
      <c r="I268" s="9">
        <v>45341</v>
      </c>
    </row>
    <row r="269" spans="1:9" x14ac:dyDescent="0.15">
      <c r="A269" s="6">
        <v>268</v>
      </c>
      <c r="B269" s="7" t="s">
        <v>9</v>
      </c>
      <c r="C269" s="8">
        <v>1889</v>
      </c>
      <c r="D269" s="9">
        <v>45439</v>
      </c>
      <c r="E269" s="13" t="str">
        <f>+HYPERLINK("http://trademark.i-assist.jp/data/china/image_1889th/76855549.pdf","76855549")</f>
        <v>76855549</v>
      </c>
      <c r="F269" s="7" t="s">
        <v>748</v>
      </c>
      <c r="G269" s="7" t="s">
        <v>749</v>
      </c>
      <c r="H269" s="7" t="s">
        <v>750</v>
      </c>
      <c r="I269" s="9">
        <v>45341</v>
      </c>
    </row>
    <row r="270" spans="1:9" x14ac:dyDescent="0.15">
      <c r="A270" s="6">
        <v>269</v>
      </c>
      <c r="B270" s="7" t="s">
        <v>9</v>
      </c>
      <c r="C270" s="8">
        <v>1889</v>
      </c>
      <c r="D270" s="9">
        <v>45439</v>
      </c>
      <c r="E270" s="13" t="str">
        <f>+HYPERLINK("http://trademark.i-assist.jp/data/china/image_1889th/76856500.pdf","76856500")</f>
        <v>76856500</v>
      </c>
      <c r="F270" s="7" t="s">
        <v>751</v>
      </c>
      <c r="G270" s="7" t="s">
        <v>752</v>
      </c>
      <c r="H270" s="7" t="s">
        <v>753</v>
      </c>
      <c r="I270" s="9">
        <v>45341</v>
      </c>
    </row>
    <row r="271" spans="1:9" ht="27" x14ac:dyDescent="0.15">
      <c r="A271" s="6">
        <v>270</v>
      </c>
      <c r="B271" s="7" t="s">
        <v>9</v>
      </c>
      <c r="C271" s="8">
        <v>1889</v>
      </c>
      <c r="D271" s="9">
        <v>45439</v>
      </c>
      <c r="E271" s="13" t="str">
        <f>+HYPERLINK("http://trademark.i-assist.jp/data/china/image_1889th/76856539.pdf","76856539")</f>
        <v>76856539</v>
      </c>
      <c r="F271" s="7" t="s">
        <v>754</v>
      </c>
      <c r="G271" s="7" t="s">
        <v>755</v>
      </c>
      <c r="H271" s="7" t="s">
        <v>756</v>
      </c>
      <c r="I271" s="9">
        <v>45341</v>
      </c>
    </row>
    <row r="272" spans="1:9" x14ac:dyDescent="0.15">
      <c r="A272" s="6">
        <v>271</v>
      </c>
      <c r="B272" s="7" t="s">
        <v>9</v>
      </c>
      <c r="C272" s="8">
        <v>1889</v>
      </c>
      <c r="D272" s="9">
        <v>45439</v>
      </c>
      <c r="E272" s="13" t="str">
        <f>+HYPERLINK("http://trademark.i-assist.jp/data/china/image_1889th/76856582.pdf","76856582")</f>
        <v>76856582</v>
      </c>
      <c r="F272" s="7" t="s">
        <v>757</v>
      </c>
      <c r="G272" s="7" t="s">
        <v>758</v>
      </c>
      <c r="H272" s="7" t="s">
        <v>759</v>
      </c>
      <c r="I272" s="9">
        <v>45341</v>
      </c>
    </row>
    <row r="273" spans="1:9" x14ac:dyDescent="0.15">
      <c r="A273" s="6">
        <v>272</v>
      </c>
      <c r="B273" s="7" t="s">
        <v>9</v>
      </c>
      <c r="C273" s="8">
        <v>1889</v>
      </c>
      <c r="D273" s="9">
        <v>45439</v>
      </c>
      <c r="E273" s="13" t="str">
        <f>+HYPERLINK("http://trademark.i-assist.jp/data/china/image_1889th/76857063.pdf","76857063")</f>
        <v>76857063</v>
      </c>
      <c r="F273" s="7" t="s">
        <v>760</v>
      </c>
      <c r="G273" s="7" t="s">
        <v>761</v>
      </c>
      <c r="H273" s="7" t="s">
        <v>762</v>
      </c>
      <c r="I273" s="9">
        <v>45341</v>
      </c>
    </row>
    <row r="274" spans="1:9" x14ac:dyDescent="0.15">
      <c r="A274" s="6">
        <v>273</v>
      </c>
      <c r="B274" s="7" t="s">
        <v>9</v>
      </c>
      <c r="C274" s="8">
        <v>1889</v>
      </c>
      <c r="D274" s="9">
        <v>45439</v>
      </c>
      <c r="E274" s="13" t="str">
        <f>+HYPERLINK("http://trademark.i-assist.jp/data/china/image_1889th/76857321.pdf","76857321")</f>
        <v>76857321</v>
      </c>
      <c r="F274" s="7" t="s">
        <v>763</v>
      </c>
      <c r="G274" s="7" t="s">
        <v>764</v>
      </c>
      <c r="H274" s="7" t="s">
        <v>765</v>
      </c>
      <c r="I274" s="9">
        <v>45341</v>
      </c>
    </row>
    <row r="275" spans="1:9" x14ac:dyDescent="0.15">
      <c r="A275" s="6">
        <v>274</v>
      </c>
      <c r="B275" s="7" t="s">
        <v>9</v>
      </c>
      <c r="C275" s="8">
        <v>1889</v>
      </c>
      <c r="D275" s="9">
        <v>45439</v>
      </c>
      <c r="E275" s="13" t="str">
        <f>+HYPERLINK("http://trademark.i-assist.jp/data/china/image_1889th/76862303.pdf","76862303")</f>
        <v>76862303</v>
      </c>
      <c r="F275" s="7" t="s">
        <v>766</v>
      </c>
      <c r="G275" s="7" t="s">
        <v>767</v>
      </c>
      <c r="H275" s="7" t="s">
        <v>768</v>
      </c>
      <c r="I275" s="9">
        <v>45341</v>
      </c>
    </row>
    <row r="276" spans="1:9" x14ac:dyDescent="0.15">
      <c r="A276" s="6">
        <v>275</v>
      </c>
      <c r="B276" s="7" t="s">
        <v>9</v>
      </c>
      <c r="C276" s="8">
        <v>1889</v>
      </c>
      <c r="D276" s="9">
        <v>45439</v>
      </c>
      <c r="E276" s="13" t="str">
        <f>+HYPERLINK("http://trademark.i-assist.jp/data/china/image_1889th/76863068.pdf","76863068")</f>
        <v>76863068</v>
      </c>
      <c r="F276" s="7" t="s">
        <v>769</v>
      </c>
      <c r="G276" s="7" t="s">
        <v>770</v>
      </c>
      <c r="H276" s="7" t="s">
        <v>771</v>
      </c>
      <c r="I276" s="9">
        <v>45341</v>
      </c>
    </row>
    <row r="277" spans="1:9" ht="27" x14ac:dyDescent="0.15">
      <c r="A277" s="6">
        <v>276</v>
      </c>
      <c r="B277" s="7" t="s">
        <v>9</v>
      </c>
      <c r="C277" s="8">
        <v>1889</v>
      </c>
      <c r="D277" s="9">
        <v>45439</v>
      </c>
      <c r="E277" s="13" t="str">
        <f>+HYPERLINK("http://trademark.i-assist.jp/data/china/image_1889th/76863246.pdf","76863246")</f>
        <v>76863246</v>
      </c>
      <c r="F277" s="7" t="s">
        <v>772</v>
      </c>
      <c r="G277" s="7" t="s">
        <v>773</v>
      </c>
      <c r="H277" s="7" t="s">
        <v>774</v>
      </c>
      <c r="I277" s="9">
        <v>45342</v>
      </c>
    </row>
    <row r="278" spans="1:9" ht="27" x14ac:dyDescent="0.15">
      <c r="A278" s="6">
        <v>277</v>
      </c>
      <c r="B278" s="7" t="s">
        <v>9</v>
      </c>
      <c r="C278" s="8">
        <v>1889</v>
      </c>
      <c r="D278" s="9">
        <v>45439</v>
      </c>
      <c r="E278" s="13" t="str">
        <f>+HYPERLINK("http://trademark.i-assist.jp/data/china/image_1889th/76863866.pdf","76863866")</f>
        <v>76863866</v>
      </c>
      <c r="F278" s="7" t="s">
        <v>775</v>
      </c>
      <c r="G278" s="7" t="s">
        <v>776</v>
      </c>
      <c r="H278" s="7" t="s">
        <v>777</v>
      </c>
      <c r="I278" s="9">
        <v>45342</v>
      </c>
    </row>
    <row r="279" spans="1:9" x14ac:dyDescent="0.15">
      <c r="A279" s="6">
        <v>278</v>
      </c>
      <c r="B279" s="7" t="s">
        <v>9</v>
      </c>
      <c r="C279" s="8">
        <v>1889</v>
      </c>
      <c r="D279" s="9">
        <v>45439</v>
      </c>
      <c r="E279" s="13" t="str">
        <f>+HYPERLINK("http://trademark.i-assist.jp/data/china/image_1889th/76867812.pdf","76867812")</f>
        <v>76867812</v>
      </c>
      <c r="F279" s="7" t="s">
        <v>778</v>
      </c>
      <c r="G279" s="7" t="s">
        <v>779</v>
      </c>
      <c r="H279" s="7" t="s">
        <v>780</v>
      </c>
      <c r="I279" s="9">
        <v>45342</v>
      </c>
    </row>
    <row r="280" spans="1:9" x14ac:dyDescent="0.15">
      <c r="A280" s="6">
        <v>279</v>
      </c>
      <c r="B280" s="7" t="s">
        <v>9</v>
      </c>
      <c r="C280" s="8">
        <v>1889</v>
      </c>
      <c r="D280" s="9">
        <v>45439</v>
      </c>
      <c r="E280" s="13" t="str">
        <f>+HYPERLINK("http://trademark.i-assist.jp/data/china/image_1889th/76869252.pdf","76869252")</f>
        <v>76869252</v>
      </c>
      <c r="F280" s="7" t="s">
        <v>781</v>
      </c>
      <c r="G280" s="7" t="s">
        <v>782</v>
      </c>
      <c r="H280" s="7" t="s">
        <v>783</v>
      </c>
      <c r="I280" s="9">
        <v>45342</v>
      </c>
    </row>
    <row r="281" spans="1:9" x14ac:dyDescent="0.15">
      <c r="A281" s="6">
        <v>280</v>
      </c>
      <c r="B281" s="7" t="s">
        <v>9</v>
      </c>
      <c r="C281" s="8">
        <v>1889</v>
      </c>
      <c r="D281" s="9">
        <v>45439</v>
      </c>
      <c r="E281" s="13" t="str">
        <f>+HYPERLINK("http://trademark.i-assist.jp/data/china/image_1889th/76873951.pdf","76873951")</f>
        <v>76873951</v>
      </c>
      <c r="F281" s="7" t="s">
        <v>784</v>
      </c>
      <c r="G281" s="7" t="s">
        <v>785</v>
      </c>
      <c r="H281" s="7" t="s">
        <v>786</v>
      </c>
      <c r="I281" s="9">
        <v>45342</v>
      </c>
    </row>
    <row r="282" spans="1:9" ht="27" x14ac:dyDescent="0.15">
      <c r="A282" s="6">
        <v>281</v>
      </c>
      <c r="B282" s="7" t="s">
        <v>9</v>
      </c>
      <c r="C282" s="8">
        <v>1889</v>
      </c>
      <c r="D282" s="9">
        <v>45439</v>
      </c>
      <c r="E282" s="13" t="str">
        <f>+HYPERLINK("http://trademark.i-assist.jp/data/china/image_1889th/76874016.pdf","76874016")</f>
        <v>76874016</v>
      </c>
      <c r="F282" s="7" t="s">
        <v>787</v>
      </c>
      <c r="G282" s="7" t="s">
        <v>788</v>
      </c>
      <c r="H282" s="7" t="s">
        <v>789</v>
      </c>
      <c r="I282" s="9">
        <v>45342</v>
      </c>
    </row>
    <row r="283" spans="1:9" x14ac:dyDescent="0.15">
      <c r="A283" s="6">
        <v>282</v>
      </c>
      <c r="B283" s="7" t="s">
        <v>9</v>
      </c>
      <c r="C283" s="8">
        <v>1889</v>
      </c>
      <c r="D283" s="9">
        <v>45439</v>
      </c>
      <c r="E283" s="13" t="str">
        <f>+HYPERLINK("http://trademark.i-assist.jp/data/china/image_1889th/76874291.pdf","76874291")</f>
        <v>76874291</v>
      </c>
      <c r="F283" s="7" t="s">
        <v>134</v>
      </c>
      <c r="G283" s="7" t="s">
        <v>790</v>
      </c>
      <c r="H283" s="7" t="s">
        <v>791</v>
      </c>
      <c r="I283" s="9">
        <v>45342</v>
      </c>
    </row>
    <row r="284" spans="1:9" x14ac:dyDescent="0.15">
      <c r="A284" s="6">
        <v>283</v>
      </c>
      <c r="B284" s="7" t="s">
        <v>9</v>
      </c>
      <c r="C284" s="8">
        <v>1889</v>
      </c>
      <c r="D284" s="9">
        <v>45439</v>
      </c>
      <c r="E284" s="13" t="str">
        <f>+HYPERLINK("http://trademark.i-assist.jp/data/china/image_1889th/76875064.pdf","76875064")</f>
        <v>76875064</v>
      </c>
      <c r="F284" s="7" t="s">
        <v>792</v>
      </c>
      <c r="G284" s="7" t="s">
        <v>793</v>
      </c>
      <c r="H284" s="7" t="s">
        <v>794</v>
      </c>
      <c r="I284" s="9">
        <v>45342</v>
      </c>
    </row>
    <row r="285" spans="1:9" x14ac:dyDescent="0.15">
      <c r="A285" s="6">
        <v>284</v>
      </c>
      <c r="B285" s="7" t="s">
        <v>9</v>
      </c>
      <c r="C285" s="8">
        <v>1889</v>
      </c>
      <c r="D285" s="9">
        <v>45439</v>
      </c>
      <c r="E285" s="13" t="str">
        <f>+HYPERLINK("http://trademark.i-assist.jp/data/china/image_1889th/76875191.pdf","76875191")</f>
        <v>76875191</v>
      </c>
      <c r="F285" s="7" t="s">
        <v>795</v>
      </c>
      <c r="G285" s="7" t="s">
        <v>796</v>
      </c>
      <c r="H285" s="7" t="s">
        <v>797</v>
      </c>
      <c r="I285" s="9">
        <v>45342</v>
      </c>
    </row>
    <row r="286" spans="1:9" x14ac:dyDescent="0.15">
      <c r="A286" s="6">
        <v>285</v>
      </c>
      <c r="B286" s="7" t="s">
        <v>9</v>
      </c>
      <c r="C286" s="8">
        <v>1889</v>
      </c>
      <c r="D286" s="9">
        <v>45439</v>
      </c>
      <c r="E286" s="13" t="str">
        <f>+HYPERLINK("http://trademark.i-assist.jp/data/china/image_1889th/76875281.pdf","76875281")</f>
        <v>76875281</v>
      </c>
      <c r="F286" s="7" t="s">
        <v>798</v>
      </c>
      <c r="G286" s="7" t="s">
        <v>799</v>
      </c>
      <c r="H286" s="7" t="s">
        <v>800</v>
      </c>
      <c r="I286" s="9">
        <v>45342</v>
      </c>
    </row>
    <row r="287" spans="1:9" x14ac:dyDescent="0.15">
      <c r="A287" s="6">
        <v>286</v>
      </c>
      <c r="B287" s="7" t="s">
        <v>9</v>
      </c>
      <c r="C287" s="8">
        <v>1889</v>
      </c>
      <c r="D287" s="9">
        <v>45439</v>
      </c>
      <c r="E287" s="13" t="str">
        <f>+HYPERLINK("http://trademark.i-assist.jp/data/china/image_1889th/76875866.pdf","76875866")</f>
        <v>76875866</v>
      </c>
      <c r="F287" s="7" t="s">
        <v>801</v>
      </c>
      <c r="G287" s="7" t="s">
        <v>802</v>
      </c>
      <c r="H287" s="7" t="s">
        <v>803</v>
      </c>
      <c r="I287" s="9">
        <v>45342</v>
      </c>
    </row>
    <row r="288" spans="1:9" ht="27" x14ac:dyDescent="0.15">
      <c r="A288" s="6">
        <v>287</v>
      </c>
      <c r="B288" s="7" t="s">
        <v>9</v>
      </c>
      <c r="C288" s="8">
        <v>1889</v>
      </c>
      <c r="D288" s="9">
        <v>45439</v>
      </c>
      <c r="E288" s="13" t="str">
        <f>+HYPERLINK("http://trademark.i-assist.jp/data/china/image_1889th/76877555.pdf","76877555")</f>
        <v>76877555</v>
      </c>
      <c r="F288" s="7" t="s">
        <v>804</v>
      </c>
      <c r="G288" s="7" t="s">
        <v>805</v>
      </c>
      <c r="H288" s="7" t="s">
        <v>806</v>
      </c>
      <c r="I288" s="9">
        <v>45342</v>
      </c>
    </row>
    <row r="289" spans="1:9" x14ac:dyDescent="0.15">
      <c r="A289" s="6">
        <v>288</v>
      </c>
      <c r="B289" s="7" t="s">
        <v>9</v>
      </c>
      <c r="C289" s="8">
        <v>1889</v>
      </c>
      <c r="D289" s="9">
        <v>45439</v>
      </c>
      <c r="E289" s="13" t="str">
        <f>+HYPERLINK("http://trademark.i-assist.jp/data/china/image_1889th/76878647.pdf","76878647")</f>
        <v>76878647</v>
      </c>
      <c r="F289" s="7" t="s">
        <v>807</v>
      </c>
      <c r="G289" s="7" t="s">
        <v>808</v>
      </c>
      <c r="H289" s="7" t="s">
        <v>809</v>
      </c>
      <c r="I289" s="9">
        <v>45342</v>
      </c>
    </row>
    <row r="290" spans="1:9" x14ac:dyDescent="0.15">
      <c r="A290" s="6">
        <v>289</v>
      </c>
      <c r="B290" s="7" t="s">
        <v>9</v>
      </c>
      <c r="C290" s="8">
        <v>1889</v>
      </c>
      <c r="D290" s="9">
        <v>45439</v>
      </c>
      <c r="E290" s="13" t="str">
        <f>+HYPERLINK("http://trademark.i-assist.jp/data/china/image_1889th/76879910.pdf","76879910")</f>
        <v>76879910</v>
      </c>
      <c r="F290" s="7" t="s">
        <v>810</v>
      </c>
      <c r="G290" s="7" t="s">
        <v>811</v>
      </c>
      <c r="H290" s="7" t="s">
        <v>812</v>
      </c>
      <c r="I290" s="9">
        <v>45342</v>
      </c>
    </row>
    <row r="291" spans="1:9" ht="27" x14ac:dyDescent="0.15">
      <c r="A291" s="6">
        <v>290</v>
      </c>
      <c r="B291" s="7" t="s">
        <v>9</v>
      </c>
      <c r="C291" s="8">
        <v>1889</v>
      </c>
      <c r="D291" s="9">
        <v>45439</v>
      </c>
      <c r="E291" s="13" t="str">
        <f>+HYPERLINK("http://trademark.i-assist.jp/data/china/image_1889th/76880405.pdf","76880405")</f>
        <v>76880405</v>
      </c>
      <c r="F291" s="7" t="s">
        <v>813</v>
      </c>
      <c r="G291" s="7" t="s">
        <v>814</v>
      </c>
      <c r="H291" s="7" t="s">
        <v>815</v>
      </c>
      <c r="I291" s="9">
        <v>45342</v>
      </c>
    </row>
    <row r="292" spans="1:9" x14ac:dyDescent="0.15">
      <c r="A292" s="6">
        <v>291</v>
      </c>
      <c r="B292" s="7" t="s">
        <v>9</v>
      </c>
      <c r="C292" s="8">
        <v>1889</v>
      </c>
      <c r="D292" s="9">
        <v>45439</v>
      </c>
      <c r="E292" s="13" t="str">
        <f>+HYPERLINK("http://trademark.i-assist.jp/data/china/image_1889th/76880876.pdf","76880876")</f>
        <v>76880876</v>
      </c>
      <c r="F292" s="7" t="s">
        <v>816</v>
      </c>
      <c r="G292" s="7" t="s">
        <v>817</v>
      </c>
      <c r="H292" s="7" t="s">
        <v>818</v>
      </c>
      <c r="I292" s="9">
        <v>45342</v>
      </c>
    </row>
    <row r="293" spans="1:9" ht="27" x14ac:dyDescent="0.15">
      <c r="A293" s="6">
        <v>292</v>
      </c>
      <c r="B293" s="7" t="s">
        <v>9</v>
      </c>
      <c r="C293" s="8">
        <v>1889</v>
      </c>
      <c r="D293" s="9">
        <v>45439</v>
      </c>
      <c r="E293" s="13" t="str">
        <f>+HYPERLINK("http://trademark.i-assist.jp/data/china/image_1889th/76882272.pdf","76882272")</f>
        <v>76882272</v>
      </c>
      <c r="F293" s="7" t="s">
        <v>819</v>
      </c>
      <c r="G293" s="7" t="s">
        <v>820</v>
      </c>
      <c r="H293" s="7" t="s">
        <v>821</v>
      </c>
      <c r="I293" s="9">
        <v>45343</v>
      </c>
    </row>
    <row r="294" spans="1:9" ht="27" x14ac:dyDescent="0.15">
      <c r="A294" s="6">
        <v>293</v>
      </c>
      <c r="B294" s="7" t="s">
        <v>9</v>
      </c>
      <c r="C294" s="8">
        <v>1889</v>
      </c>
      <c r="D294" s="9">
        <v>45439</v>
      </c>
      <c r="E294" s="13" t="str">
        <f>+HYPERLINK("http://trademark.i-assist.jp/data/china/image_1889th/76882332.pdf","76882332")</f>
        <v>76882332</v>
      </c>
      <c r="F294" s="7" t="s">
        <v>822</v>
      </c>
      <c r="G294" s="7" t="s">
        <v>823</v>
      </c>
      <c r="H294" s="7" t="s">
        <v>824</v>
      </c>
      <c r="I294" s="9">
        <v>45343</v>
      </c>
    </row>
    <row r="295" spans="1:9" x14ac:dyDescent="0.15">
      <c r="A295" s="6">
        <v>294</v>
      </c>
      <c r="B295" s="7" t="s">
        <v>9</v>
      </c>
      <c r="C295" s="8">
        <v>1889</v>
      </c>
      <c r="D295" s="9">
        <v>45439</v>
      </c>
      <c r="E295" s="13" t="str">
        <f>+HYPERLINK("http://trademark.i-assist.jp/data/china/image_1889th/76884480.pdf","76884480")</f>
        <v>76884480</v>
      </c>
      <c r="F295" s="7" t="s">
        <v>825</v>
      </c>
      <c r="G295" s="7" t="s">
        <v>826</v>
      </c>
      <c r="H295" s="7" t="s">
        <v>827</v>
      </c>
      <c r="I295" s="9">
        <v>45343</v>
      </c>
    </row>
    <row r="296" spans="1:9" x14ac:dyDescent="0.15">
      <c r="A296" s="6">
        <v>295</v>
      </c>
      <c r="B296" s="7" t="s">
        <v>9</v>
      </c>
      <c r="C296" s="8">
        <v>1889</v>
      </c>
      <c r="D296" s="9">
        <v>45439</v>
      </c>
      <c r="E296" s="13" t="str">
        <f>+HYPERLINK("http://trademark.i-assist.jp/data/china/image_1889th/76884570.pdf","76884570")</f>
        <v>76884570</v>
      </c>
      <c r="F296" s="7" t="s">
        <v>828</v>
      </c>
      <c r="G296" s="7" t="s">
        <v>829</v>
      </c>
      <c r="H296" s="7" t="s">
        <v>830</v>
      </c>
      <c r="I296" s="9">
        <v>45343</v>
      </c>
    </row>
    <row r="297" spans="1:9" x14ac:dyDescent="0.15">
      <c r="A297" s="6">
        <v>296</v>
      </c>
      <c r="B297" s="7" t="s">
        <v>9</v>
      </c>
      <c r="C297" s="8">
        <v>1889</v>
      </c>
      <c r="D297" s="9">
        <v>45439</v>
      </c>
      <c r="E297" s="13" t="str">
        <f>+HYPERLINK("http://trademark.i-assist.jp/data/china/image_1889th/76884968.pdf","76884968")</f>
        <v>76884968</v>
      </c>
      <c r="F297" s="7" t="s">
        <v>831</v>
      </c>
      <c r="G297" s="7" t="s">
        <v>832</v>
      </c>
      <c r="H297" s="7" t="s">
        <v>833</v>
      </c>
      <c r="I297" s="9">
        <v>45343</v>
      </c>
    </row>
    <row r="298" spans="1:9" x14ac:dyDescent="0.15">
      <c r="A298" s="6">
        <v>297</v>
      </c>
      <c r="B298" s="7" t="s">
        <v>9</v>
      </c>
      <c r="C298" s="8">
        <v>1889</v>
      </c>
      <c r="D298" s="9">
        <v>45439</v>
      </c>
      <c r="E298" s="13" t="str">
        <f>+HYPERLINK("http://trademark.i-assist.jp/data/china/image_1889th/76885033.pdf","76885033")</f>
        <v>76885033</v>
      </c>
      <c r="F298" s="7" t="s">
        <v>834</v>
      </c>
      <c r="G298" s="7" t="s">
        <v>835</v>
      </c>
      <c r="H298" s="7" t="s">
        <v>836</v>
      </c>
      <c r="I298" s="9">
        <v>45343</v>
      </c>
    </row>
    <row r="299" spans="1:9" x14ac:dyDescent="0.15">
      <c r="A299" s="6">
        <v>298</v>
      </c>
      <c r="B299" s="7" t="s">
        <v>9</v>
      </c>
      <c r="C299" s="8">
        <v>1889</v>
      </c>
      <c r="D299" s="9">
        <v>45439</v>
      </c>
      <c r="E299" s="13" t="str">
        <f>+HYPERLINK("http://trademark.i-assist.jp/data/china/image_1889th/76885149.pdf","76885149")</f>
        <v>76885149</v>
      </c>
      <c r="F299" s="7" t="s">
        <v>837</v>
      </c>
      <c r="G299" s="7" t="s">
        <v>838</v>
      </c>
      <c r="H299" s="7" t="s">
        <v>839</v>
      </c>
      <c r="I299" s="9">
        <v>45343</v>
      </c>
    </row>
    <row r="300" spans="1:9" x14ac:dyDescent="0.15">
      <c r="A300" s="6">
        <v>299</v>
      </c>
      <c r="B300" s="7" t="s">
        <v>9</v>
      </c>
      <c r="C300" s="8">
        <v>1889</v>
      </c>
      <c r="D300" s="9">
        <v>45439</v>
      </c>
      <c r="E300" s="13" t="str">
        <f>+HYPERLINK("http://trademark.i-assist.jp/data/china/image_1889th/76887088.pdf","76887088")</f>
        <v>76887088</v>
      </c>
      <c r="F300" s="7" t="e">
        <f>+MAS-TINTO</f>
        <v>#NAME?</v>
      </c>
      <c r="G300" s="7" t="s">
        <v>840</v>
      </c>
      <c r="H300" s="7" t="s">
        <v>10</v>
      </c>
      <c r="I300" s="9">
        <v>45343</v>
      </c>
    </row>
    <row r="301" spans="1:9" x14ac:dyDescent="0.15">
      <c r="A301" s="6">
        <v>300</v>
      </c>
      <c r="B301" s="7" t="s">
        <v>9</v>
      </c>
      <c r="C301" s="8">
        <v>1889</v>
      </c>
      <c r="D301" s="9">
        <v>45439</v>
      </c>
      <c r="E301" s="13" t="str">
        <f>+HYPERLINK("http://trademark.i-assist.jp/data/china/image_1889th/76888070.pdf","76888070")</f>
        <v>76888070</v>
      </c>
      <c r="F301" s="7" t="s">
        <v>841</v>
      </c>
      <c r="G301" s="7" t="s">
        <v>842</v>
      </c>
      <c r="H301" s="7" t="s">
        <v>843</v>
      </c>
      <c r="I301" s="9">
        <v>45343</v>
      </c>
    </row>
    <row r="302" spans="1:9" x14ac:dyDescent="0.15">
      <c r="A302" s="6">
        <v>301</v>
      </c>
      <c r="B302" s="7" t="s">
        <v>9</v>
      </c>
      <c r="C302" s="8">
        <v>1889</v>
      </c>
      <c r="D302" s="9">
        <v>45439</v>
      </c>
      <c r="E302" s="13" t="str">
        <f>+HYPERLINK("http://trademark.i-assist.jp/data/china/image_1889th/76888238.pdf","76888238")</f>
        <v>76888238</v>
      </c>
      <c r="F302" s="7" t="s">
        <v>134</v>
      </c>
      <c r="G302" s="7" t="s">
        <v>844</v>
      </c>
      <c r="H302" s="7" t="s">
        <v>845</v>
      </c>
      <c r="I302" s="9">
        <v>45343</v>
      </c>
    </row>
    <row r="303" spans="1:9" x14ac:dyDescent="0.15">
      <c r="A303" s="6">
        <v>302</v>
      </c>
      <c r="B303" s="7" t="s">
        <v>9</v>
      </c>
      <c r="C303" s="8">
        <v>1889</v>
      </c>
      <c r="D303" s="9">
        <v>45439</v>
      </c>
      <c r="E303" s="13" t="str">
        <f>+HYPERLINK("http://trademark.i-assist.jp/data/china/image_1889th/76889591.pdf","76889591")</f>
        <v>76889591</v>
      </c>
      <c r="F303" s="7" t="s">
        <v>846</v>
      </c>
      <c r="G303" s="7" t="s">
        <v>847</v>
      </c>
      <c r="H303" s="7" t="s">
        <v>848</v>
      </c>
      <c r="I303" s="9">
        <v>45343</v>
      </c>
    </row>
    <row r="304" spans="1:9" x14ac:dyDescent="0.15">
      <c r="A304" s="6">
        <v>303</v>
      </c>
      <c r="B304" s="7" t="s">
        <v>9</v>
      </c>
      <c r="C304" s="8">
        <v>1889</v>
      </c>
      <c r="D304" s="9">
        <v>45439</v>
      </c>
      <c r="E304" s="13" t="str">
        <f>+HYPERLINK("http://trademark.i-assist.jp/data/china/image_1889th/76889783.pdf","76889783")</f>
        <v>76889783</v>
      </c>
      <c r="F304" s="7" t="s">
        <v>849</v>
      </c>
      <c r="G304" s="7" t="s">
        <v>850</v>
      </c>
      <c r="H304" s="7" t="s">
        <v>851</v>
      </c>
      <c r="I304" s="9">
        <v>45343</v>
      </c>
    </row>
    <row r="305" spans="1:9" x14ac:dyDescent="0.15">
      <c r="A305" s="6">
        <v>304</v>
      </c>
      <c r="B305" s="7" t="s">
        <v>9</v>
      </c>
      <c r="C305" s="8">
        <v>1889</v>
      </c>
      <c r="D305" s="9">
        <v>45439</v>
      </c>
      <c r="E305" s="13" t="str">
        <f>+HYPERLINK("http://trademark.i-assist.jp/data/china/image_1889th/76890067.pdf","76890067")</f>
        <v>76890067</v>
      </c>
      <c r="F305" s="7" t="s">
        <v>852</v>
      </c>
      <c r="G305" s="7" t="s">
        <v>853</v>
      </c>
      <c r="H305" s="7" t="s">
        <v>854</v>
      </c>
      <c r="I305" s="9">
        <v>45343</v>
      </c>
    </row>
    <row r="306" spans="1:9" x14ac:dyDescent="0.15">
      <c r="A306" s="6">
        <v>305</v>
      </c>
      <c r="B306" s="7" t="s">
        <v>9</v>
      </c>
      <c r="C306" s="8">
        <v>1889</v>
      </c>
      <c r="D306" s="9">
        <v>45439</v>
      </c>
      <c r="E306" s="13" t="str">
        <f>+HYPERLINK("http://trademark.i-assist.jp/data/china/image_1889th/76890439.pdf","76890439")</f>
        <v>76890439</v>
      </c>
      <c r="F306" s="7" t="s">
        <v>855</v>
      </c>
      <c r="G306" s="7" t="s">
        <v>847</v>
      </c>
      <c r="H306" s="7" t="s">
        <v>856</v>
      </c>
      <c r="I306" s="9">
        <v>45343</v>
      </c>
    </row>
    <row r="307" spans="1:9" x14ac:dyDescent="0.15">
      <c r="A307" s="6">
        <v>306</v>
      </c>
      <c r="B307" s="7" t="s">
        <v>9</v>
      </c>
      <c r="C307" s="8">
        <v>1889</v>
      </c>
      <c r="D307" s="9">
        <v>45439</v>
      </c>
      <c r="E307" s="13" t="str">
        <f>+HYPERLINK("http://trademark.i-assist.jp/data/china/image_1889th/76891406.pdf","76891406")</f>
        <v>76891406</v>
      </c>
      <c r="F307" s="7" t="s">
        <v>857</v>
      </c>
      <c r="G307" s="7" t="s">
        <v>858</v>
      </c>
      <c r="H307" s="7" t="s">
        <v>859</v>
      </c>
      <c r="I307" s="9">
        <v>45343</v>
      </c>
    </row>
    <row r="308" spans="1:9" x14ac:dyDescent="0.15">
      <c r="A308" s="6">
        <v>307</v>
      </c>
      <c r="B308" s="7" t="s">
        <v>9</v>
      </c>
      <c r="C308" s="8">
        <v>1889</v>
      </c>
      <c r="D308" s="9">
        <v>45439</v>
      </c>
      <c r="E308" s="13" t="str">
        <f>+HYPERLINK("http://trademark.i-assist.jp/data/china/image_1889th/76891519.pdf","76891519")</f>
        <v>76891519</v>
      </c>
      <c r="F308" s="7" t="s">
        <v>860</v>
      </c>
      <c r="G308" s="7" t="s">
        <v>861</v>
      </c>
      <c r="H308" s="7" t="s">
        <v>862</v>
      </c>
      <c r="I308" s="9">
        <v>45343</v>
      </c>
    </row>
    <row r="309" spans="1:9" x14ac:dyDescent="0.15">
      <c r="A309" s="6">
        <v>308</v>
      </c>
      <c r="B309" s="7" t="s">
        <v>9</v>
      </c>
      <c r="C309" s="8">
        <v>1889</v>
      </c>
      <c r="D309" s="9">
        <v>45439</v>
      </c>
      <c r="E309" s="13" t="str">
        <f>+HYPERLINK("http://trademark.i-assist.jp/data/china/image_1889th/76891554.pdf","76891554")</f>
        <v>76891554</v>
      </c>
      <c r="F309" s="7" t="s">
        <v>863</v>
      </c>
      <c r="G309" s="7" t="s">
        <v>864</v>
      </c>
      <c r="H309" s="7" t="s">
        <v>865</v>
      </c>
      <c r="I309" s="9">
        <v>45343</v>
      </c>
    </row>
    <row r="310" spans="1:9" x14ac:dyDescent="0.15">
      <c r="A310" s="6">
        <v>309</v>
      </c>
      <c r="B310" s="7" t="s">
        <v>9</v>
      </c>
      <c r="C310" s="8">
        <v>1889</v>
      </c>
      <c r="D310" s="9">
        <v>45439</v>
      </c>
      <c r="E310" s="13" t="str">
        <f>+HYPERLINK("http://trademark.i-assist.jp/data/china/image_1889th/76892869.pdf","76892869")</f>
        <v>76892869</v>
      </c>
      <c r="F310" s="7" t="s">
        <v>866</v>
      </c>
      <c r="G310" s="7" t="s">
        <v>867</v>
      </c>
      <c r="H310" s="7" t="s">
        <v>868</v>
      </c>
      <c r="I310" s="9">
        <v>45343</v>
      </c>
    </row>
    <row r="311" spans="1:9" x14ac:dyDescent="0.15">
      <c r="A311" s="6">
        <v>310</v>
      </c>
      <c r="B311" s="7" t="s">
        <v>9</v>
      </c>
      <c r="C311" s="8">
        <v>1889</v>
      </c>
      <c r="D311" s="9">
        <v>45439</v>
      </c>
      <c r="E311" s="13" t="str">
        <f>+HYPERLINK("http://trademark.i-assist.jp/data/china/image_1889th/76893357.pdf","76893357")</f>
        <v>76893357</v>
      </c>
      <c r="F311" s="7" t="s">
        <v>869</v>
      </c>
      <c r="G311" s="7" t="s">
        <v>847</v>
      </c>
      <c r="H311" s="7" t="s">
        <v>870</v>
      </c>
      <c r="I311" s="9">
        <v>45343</v>
      </c>
    </row>
    <row r="312" spans="1:9" x14ac:dyDescent="0.15">
      <c r="A312" s="6">
        <v>311</v>
      </c>
      <c r="B312" s="7" t="s">
        <v>9</v>
      </c>
      <c r="C312" s="8">
        <v>1889</v>
      </c>
      <c r="D312" s="9">
        <v>45439</v>
      </c>
      <c r="E312" s="13" t="str">
        <f>+HYPERLINK("http://trademark.i-assist.jp/data/china/image_1889th/76893511.pdf","76893511")</f>
        <v>76893511</v>
      </c>
      <c r="F312" s="7" t="s">
        <v>871</v>
      </c>
      <c r="G312" s="7" t="s">
        <v>872</v>
      </c>
      <c r="H312" s="7" t="s">
        <v>873</v>
      </c>
      <c r="I312" s="9">
        <v>45343</v>
      </c>
    </row>
    <row r="313" spans="1:9" x14ac:dyDescent="0.15">
      <c r="A313" s="6">
        <v>312</v>
      </c>
      <c r="B313" s="7" t="s">
        <v>9</v>
      </c>
      <c r="C313" s="8">
        <v>1889</v>
      </c>
      <c r="D313" s="9">
        <v>45439</v>
      </c>
      <c r="E313" s="13" t="str">
        <f>+HYPERLINK("http://trademark.i-assist.jp/data/china/image_1889th/76893868.pdf","76893868")</f>
        <v>76893868</v>
      </c>
      <c r="F313" s="7" t="s">
        <v>134</v>
      </c>
      <c r="G313" s="7" t="s">
        <v>874</v>
      </c>
      <c r="H313" s="7" t="s">
        <v>875</v>
      </c>
      <c r="I313" s="9">
        <v>45343</v>
      </c>
    </row>
    <row r="314" spans="1:9" x14ac:dyDescent="0.15">
      <c r="A314" s="6">
        <v>313</v>
      </c>
      <c r="B314" s="7" t="s">
        <v>9</v>
      </c>
      <c r="C314" s="8">
        <v>1889</v>
      </c>
      <c r="D314" s="9">
        <v>45439</v>
      </c>
      <c r="E314" s="13" t="str">
        <f>+HYPERLINK("http://trademark.i-assist.jp/data/china/image_1889th/76894090.pdf","76894090")</f>
        <v>76894090</v>
      </c>
      <c r="F314" s="7" t="s">
        <v>876</v>
      </c>
      <c r="G314" s="7" t="s">
        <v>877</v>
      </c>
      <c r="H314" s="7" t="s">
        <v>878</v>
      </c>
      <c r="I314" s="9">
        <v>45343</v>
      </c>
    </row>
    <row r="315" spans="1:9" x14ac:dyDescent="0.15">
      <c r="A315" s="6">
        <v>314</v>
      </c>
      <c r="B315" s="7" t="s">
        <v>9</v>
      </c>
      <c r="C315" s="8">
        <v>1889</v>
      </c>
      <c r="D315" s="9">
        <v>45439</v>
      </c>
      <c r="E315" s="13" t="str">
        <f>+HYPERLINK("http://trademark.i-assist.jp/data/china/image_1889th/76894599.pdf","76894599")</f>
        <v>76894599</v>
      </c>
      <c r="F315" s="7" t="s">
        <v>879</v>
      </c>
      <c r="G315" s="7" t="s">
        <v>880</v>
      </c>
      <c r="H315" s="7" t="s">
        <v>881</v>
      </c>
      <c r="I315" s="9">
        <v>45343</v>
      </c>
    </row>
    <row r="316" spans="1:9" x14ac:dyDescent="0.15">
      <c r="A316" s="6">
        <v>315</v>
      </c>
      <c r="B316" s="7" t="s">
        <v>9</v>
      </c>
      <c r="C316" s="8">
        <v>1889</v>
      </c>
      <c r="D316" s="9">
        <v>45439</v>
      </c>
      <c r="E316" s="13" t="str">
        <f>+HYPERLINK("http://trademark.i-assist.jp/data/china/image_1889th/76894615.pdf","76894615")</f>
        <v>76894615</v>
      </c>
      <c r="F316" s="7" t="s">
        <v>882</v>
      </c>
      <c r="G316" s="7" t="s">
        <v>847</v>
      </c>
      <c r="H316" s="7" t="s">
        <v>883</v>
      </c>
      <c r="I316" s="9">
        <v>45343</v>
      </c>
    </row>
    <row r="317" spans="1:9" x14ac:dyDescent="0.15">
      <c r="A317" s="6">
        <v>316</v>
      </c>
      <c r="B317" s="7" t="s">
        <v>9</v>
      </c>
      <c r="C317" s="8">
        <v>1889</v>
      </c>
      <c r="D317" s="9">
        <v>45439</v>
      </c>
      <c r="E317" s="13" t="str">
        <f>+HYPERLINK("http://trademark.i-assist.jp/data/china/image_1889th/76894783.pdf","76894783")</f>
        <v>76894783</v>
      </c>
      <c r="F317" s="7" t="s">
        <v>884</v>
      </c>
      <c r="G317" s="7" t="s">
        <v>885</v>
      </c>
      <c r="H317" s="7" t="s">
        <v>886</v>
      </c>
      <c r="I317" s="9">
        <v>45343</v>
      </c>
    </row>
    <row r="318" spans="1:9" ht="27" x14ac:dyDescent="0.15">
      <c r="A318" s="6">
        <v>317</v>
      </c>
      <c r="B318" s="7" t="s">
        <v>9</v>
      </c>
      <c r="C318" s="8">
        <v>1889</v>
      </c>
      <c r="D318" s="9">
        <v>45439</v>
      </c>
      <c r="E318" s="13" t="str">
        <f>+HYPERLINK("http://trademark.i-assist.jp/data/china/image_1889th/76896379.pdf","76896379")</f>
        <v>76896379</v>
      </c>
      <c r="F318" s="7" t="s">
        <v>887</v>
      </c>
      <c r="G318" s="7" t="s">
        <v>888</v>
      </c>
      <c r="H318" s="7" t="s">
        <v>889</v>
      </c>
      <c r="I318" s="9">
        <v>45343</v>
      </c>
    </row>
    <row r="319" spans="1:9" x14ac:dyDescent="0.15">
      <c r="A319" s="6">
        <v>318</v>
      </c>
      <c r="B319" s="7" t="s">
        <v>9</v>
      </c>
      <c r="C319" s="8">
        <v>1889</v>
      </c>
      <c r="D319" s="9">
        <v>45439</v>
      </c>
      <c r="E319" s="13" t="str">
        <f>+HYPERLINK("http://trademark.i-assist.jp/data/china/image_1889th/76896954.pdf","76896954")</f>
        <v>76896954</v>
      </c>
      <c r="F319" s="7" t="s">
        <v>890</v>
      </c>
      <c r="G319" s="7" t="s">
        <v>891</v>
      </c>
      <c r="H319" s="7" t="s">
        <v>892</v>
      </c>
      <c r="I319" s="9">
        <v>45343</v>
      </c>
    </row>
    <row r="320" spans="1:9" ht="27" x14ac:dyDescent="0.15">
      <c r="A320" s="6">
        <v>319</v>
      </c>
      <c r="B320" s="7" t="s">
        <v>9</v>
      </c>
      <c r="C320" s="8">
        <v>1889</v>
      </c>
      <c r="D320" s="9">
        <v>45439</v>
      </c>
      <c r="E320" s="13" t="str">
        <f>+HYPERLINK("http://trademark.i-assist.jp/data/china/image_1889th/76897199.pdf","76897199")</f>
        <v>76897199</v>
      </c>
      <c r="F320" s="7" t="s">
        <v>893</v>
      </c>
      <c r="G320" s="7" t="s">
        <v>894</v>
      </c>
      <c r="H320" s="7" t="s">
        <v>895</v>
      </c>
      <c r="I320" s="9">
        <v>45343</v>
      </c>
    </row>
    <row r="321" spans="1:9" ht="27" x14ac:dyDescent="0.15">
      <c r="A321" s="6">
        <v>320</v>
      </c>
      <c r="B321" s="7" t="s">
        <v>9</v>
      </c>
      <c r="C321" s="8">
        <v>1889</v>
      </c>
      <c r="D321" s="9">
        <v>45439</v>
      </c>
      <c r="E321" s="13" t="str">
        <f>+HYPERLINK("http://trademark.i-assist.jp/data/china/image_1889th/76898438.pdf","76898438")</f>
        <v>76898438</v>
      </c>
      <c r="F321" s="7" t="s">
        <v>896</v>
      </c>
      <c r="G321" s="7" t="s">
        <v>897</v>
      </c>
      <c r="H321" s="7" t="s">
        <v>898</v>
      </c>
      <c r="I321" s="9">
        <v>45343</v>
      </c>
    </row>
    <row r="322" spans="1:9" x14ac:dyDescent="0.15">
      <c r="A322" s="6">
        <v>321</v>
      </c>
      <c r="B322" s="7" t="s">
        <v>9</v>
      </c>
      <c r="C322" s="8">
        <v>1889</v>
      </c>
      <c r="D322" s="9">
        <v>45439</v>
      </c>
      <c r="E322" s="13" t="str">
        <f>+HYPERLINK("http://trademark.i-assist.jp/data/china/image_1889th/76899168.pdf","76899168")</f>
        <v>76899168</v>
      </c>
      <c r="F322" s="7" t="s">
        <v>899</v>
      </c>
      <c r="G322" s="7" t="s">
        <v>847</v>
      </c>
      <c r="H322" s="7" t="s">
        <v>900</v>
      </c>
      <c r="I322" s="9">
        <v>45343</v>
      </c>
    </row>
    <row r="323" spans="1:9" ht="27" x14ac:dyDescent="0.15">
      <c r="A323" s="6">
        <v>322</v>
      </c>
      <c r="B323" s="7" t="s">
        <v>9</v>
      </c>
      <c r="C323" s="8">
        <v>1889</v>
      </c>
      <c r="D323" s="9">
        <v>45439</v>
      </c>
      <c r="E323" s="13" t="str">
        <f>+HYPERLINK("http://trademark.i-assist.jp/data/china/image_1889th/76899411.pdf","76899411")</f>
        <v>76899411</v>
      </c>
      <c r="F323" s="7" t="s">
        <v>901</v>
      </c>
      <c r="G323" s="7" t="s">
        <v>902</v>
      </c>
      <c r="H323" s="7" t="s">
        <v>903</v>
      </c>
      <c r="I323" s="9">
        <v>45343</v>
      </c>
    </row>
    <row r="324" spans="1:9" x14ac:dyDescent="0.15">
      <c r="A324" s="6">
        <v>323</v>
      </c>
      <c r="B324" s="7" t="s">
        <v>9</v>
      </c>
      <c r="C324" s="8">
        <v>1889</v>
      </c>
      <c r="D324" s="9">
        <v>45439</v>
      </c>
      <c r="E324" s="13" t="str">
        <f>+HYPERLINK("http://trademark.i-assist.jp/data/china/image_1889th/76899425.pdf","76899425")</f>
        <v>76899425</v>
      </c>
      <c r="F324" s="7" t="s">
        <v>904</v>
      </c>
      <c r="G324" s="7" t="s">
        <v>905</v>
      </c>
      <c r="H324" s="7" t="s">
        <v>906</v>
      </c>
      <c r="I324" s="9">
        <v>45343</v>
      </c>
    </row>
    <row r="325" spans="1:9" ht="27" x14ac:dyDescent="0.15">
      <c r="A325" s="6">
        <v>324</v>
      </c>
      <c r="B325" s="7" t="s">
        <v>9</v>
      </c>
      <c r="C325" s="8">
        <v>1889</v>
      </c>
      <c r="D325" s="9">
        <v>45439</v>
      </c>
      <c r="E325" s="13" t="str">
        <f>+HYPERLINK("http://trademark.i-assist.jp/data/china/image_1889th/76901027.pdf","76901027")</f>
        <v>76901027</v>
      </c>
      <c r="F325" s="7" t="s">
        <v>907</v>
      </c>
      <c r="G325" s="7" t="s">
        <v>908</v>
      </c>
      <c r="H325" s="7" t="s">
        <v>909</v>
      </c>
      <c r="I325" s="9">
        <v>45344</v>
      </c>
    </row>
    <row r="326" spans="1:9" x14ac:dyDescent="0.15">
      <c r="A326" s="6">
        <v>325</v>
      </c>
      <c r="B326" s="7" t="s">
        <v>9</v>
      </c>
      <c r="C326" s="8">
        <v>1889</v>
      </c>
      <c r="D326" s="9">
        <v>45439</v>
      </c>
      <c r="E326" s="13" t="str">
        <f>+HYPERLINK("http://trademark.i-assist.jp/data/china/image_1889th/76901261.pdf","76901261")</f>
        <v>76901261</v>
      </c>
      <c r="F326" s="7" t="s">
        <v>910</v>
      </c>
      <c r="G326" s="7" t="s">
        <v>911</v>
      </c>
      <c r="H326" s="7" t="s">
        <v>912</v>
      </c>
      <c r="I326" s="9">
        <v>45344</v>
      </c>
    </row>
    <row r="327" spans="1:9" x14ac:dyDescent="0.15">
      <c r="A327" s="6">
        <v>326</v>
      </c>
      <c r="B327" s="7" t="s">
        <v>9</v>
      </c>
      <c r="C327" s="8">
        <v>1889</v>
      </c>
      <c r="D327" s="9">
        <v>45439</v>
      </c>
      <c r="E327" s="13" t="str">
        <f>+HYPERLINK("http://trademark.i-assist.jp/data/china/image_1889th/76902291.pdf","76902291")</f>
        <v>76902291</v>
      </c>
      <c r="F327" s="7" t="s">
        <v>913</v>
      </c>
      <c r="G327" s="7" t="s">
        <v>914</v>
      </c>
      <c r="H327" s="7" t="s">
        <v>915</v>
      </c>
      <c r="I327" s="9">
        <v>45344</v>
      </c>
    </row>
    <row r="328" spans="1:9" ht="27" x14ac:dyDescent="0.15">
      <c r="A328" s="6">
        <v>327</v>
      </c>
      <c r="B328" s="7" t="s">
        <v>9</v>
      </c>
      <c r="C328" s="8">
        <v>1889</v>
      </c>
      <c r="D328" s="9">
        <v>45439</v>
      </c>
      <c r="E328" s="13" t="str">
        <f>+HYPERLINK("http://trademark.i-assist.jp/data/china/image_1889th/76903406.pdf","76903406")</f>
        <v>76903406</v>
      </c>
      <c r="F328" s="7" t="s">
        <v>916</v>
      </c>
      <c r="G328" s="7" t="s">
        <v>814</v>
      </c>
      <c r="H328" s="7" t="s">
        <v>917</v>
      </c>
      <c r="I328" s="9">
        <v>45344</v>
      </c>
    </row>
    <row r="329" spans="1:9" x14ac:dyDescent="0.15">
      <c r="A329" s="6">
        <v>328</v>
      </c>
      <c r="B329" s="7" t="s">
        <v>9</v>
      </c>
      <c r="C329" s="8">
        <v>1889</v>
      </c>
      <c r="D329" s="9">
        <v>45439</v>
      </c>
      <c r="E329" s="13" t="str">
        <f>+HYPERLINK("http://trademark.i-assist.jp/data/china/image_1889th/76906091.pdf","76906091")</f>
        <v>76906091</v>
      </c>
      <c r="F329" s="7" t="s">
        <v>918</v>
      </c>
      <c r="G329" s="7" t="s">
        <v>144</v>
      </c>
      <c r="H329" s="7" t="s">
        <v>919</v>
      </c>
      <c r="I329" s="9">
        <v>45344</v>
      </c>
    </row>
    <row r="330" spans="1:9" x14ac:dyDescent="0.15">
      <c r="A330" s="6">
        <v>329</v>
      </c>
      <c r="B330" s="7" t="s">
        <v>9</v>
      </c>
      <c r="C330" s="8">
        <v>1889</v>
      </c>
      <c r="D330" s="9">
        <v>45439</v>
      </c>
      <c r="E330" s="13" t="str">
        <f>+HYPERLINK("http://trademark.i-assist.jp/data/china/image_1889th/76909084.pdf","76909084")</f>
        <v>76909084</v>
      </c>
      <c r="F330" s="7" t="s">
        <v>920</v>
      </c>
      <c r="G330" s="7" t="s">
        <v>921</v>
      </c>
      <c r="H330" s="7" t="s">
        <v>922</v>
      </c>
      <c r="I330" s="9">
        <v>45344</v>
      </c>
    </row>
    <row r="331" spans="1:9" x14ac:dyDescent="0.15">
      <c r="A331" s="6">
        <v>330</v>
      </c>
      <c r="B331" s="7" t="s">
        <v>9</v>
      </c>
      <c r="C331" s="8">
        <v>1889</v>
      </c>
      <c r="D331" s="9">
        <v>45439</v>
      </c>
      <c r="E331" s="13" t="str">
        <f>+HYPERLINK("http://trademark.i-assist.jp/data/china/image_1889th/76910527.pdf","76910527")</f>
        <v>76910527</v>
      </c>
      <c r="F331" s="7" t="s">
        <v>923</v>
      </c>
      <c r="G331" s="7" t="s">
        <v>924</v>
      </c>
      <c r="H331" s="7" t="s">
        <v>925</v>
      </c>
      <c r="I331" s="9">
        <v>45344</v>
      </c>
    </row>
    <row r="332" spans="1:9" ht="27" x14ac:dyDescent="0.15">
      <c r="A332" s="6">
        <v>331</v>
      </c>
      <c r="B332" s="7" t="s">
        <v>9</v>
      </c>
      <c r="C332" s="8">
        <v>1889</v>
      </c>
      <c r="D332" s="9">
        <v>45439</v>
      </c>
      <c r="E332" s="13" t="str">
        <f>+HYPERLINK("http://trademark.i-assist.jp/data/china/image_1889th/76910698.pdf","76910698")</f>
        <v>76910698</v>
      </c>
      <c r="F332" s="7" t="s">
        <v>926</v>
      </c>
      <c r="G332" s="7" t="s">
        <v>927</v>
      </c>
      <c r="H332" s="7" t="s">
        <v>928</v>
      </c>
      <c r="I332" s="9">
        <v>45344</v>
      </c>
    </row>
    <row r="333" spans="1:9" ht="27" x14ac:dyDescent="0.15">
      <c r="A333" s="6">
        <v>332</v>
      </c>
      <c r="B333" s="7" t="s">
        <v>9</v>
      </c>
      <c r="C333" s="8">
        <v>1889</v>
      </c>
      <c r="D333" s="9">
        <v>45439</v>
      </c>
      <c r="E333" s="13" t="str">
        <f>+HYPERLINK("http://trademark.i-assist.jp/data/china/image_1889th/76911056.pdf","76911056")</f>
        <v>76911056</v>
      </c>
      <c r="F333" s="7" t="s">
        <v>929</v>
      </c>
      <c r="G333" s="7" t="s">
        <v>930</v>
      </c>
      <c r="H333" s="7" t="s">
        <v>931</v>
      </c>
      <c r="I333" s="9">
        <v>45344</v>
      </c>
    </row>
    <row r="334" spans="1:9" x14ac:dyDescent="0.15">
      <c r="A334" s="6">
        <v>333</v>
      </c>
      <c r="B334" s="7" t="s">
        <v>9</v>
      </c>
      <c r="C334" s="8">
        <v>1889</v>
      </c>
      <c r="D334" s="9">
        <v>45439</v>
      </c>
      <c r="E334" s="13" t="str">
        <f>+HYPERLINK("http://trademark.i-assist.jp/data/china/image_1889th/76911923.pdf","76911923")</f>
        <v>76911923</v>
      </c>
      <c r="F334" s="7" t="s">
        <v>932</v>
      </c>
      <c r="G334" s="7" t="s">
        <v>933</v>
      </c>
      <c r="H334" s="7" t="s">
        <v>934</v>
      </c>
      <c r="I334" s="9">
        <v>45344</v>
      </c>
    </row>
    <row r="335" spans="1:9" x14ac:dyDescent="0.15">
      <c r="A335" s="6">
        <v>334</v>
      </c>
      <c r="B335" s="7" t="s">
        <v>9</v>
      </c>
      <c r="C335" s="8">
        <v>1889</v>
      </c>
      <c r="D335" s="9">
        <v>45439</v>
      </c>
      <c r="E335" s="13" t="str">
        <f>+HYPERLINK("http://trademark.i-assist.jp/data/china/image_1889th/76912078.pdf","76912078")</f>
        <v>76912078</v>
      </c>
      <c r="F335" s="7" t="s">
        <v>935</v>
      </c>
      <c r="G335" s="7" t="s">
        <v>936</v>
      </c>
      <c r="H335" s="7" t="s">
        <v>937</v>
      </c>
      <c r="I335" s="9">
        <v>45344</v>
      </c>
    </row>
    <row r="336" spans="1:9" x14ac:dyDescent="0.15">
      <c r="A336" s="6">
        <v>335</v>
      </c>
      <c r="B336" s="7" t="s">
        <v>9</v>
      </c>
      <c r="C336" s="8">
        <v>1889</v>
      </c>
      <c r="D336" s="9">
        <v>45439</v>
      </c>
      <c r="E336" s="13" t="str">
        <f>+HYPERLINK("http://trademark.i-assist.jp/data/china/image_1889th/76913212.pdf","76913212")</f>
        <v>76913212</v>
      </c>
      <c r="F336" s="7" t="s">
        <v>938</v>
      </c>
      <c r="G336" s="7" t="s">
        <v>939</v>
      </c>
      <c r="H336" s="7" t="s">
        <v>940</v>
      </c>
      <c r="I336" s="9">
        <v>45344</v>
      </c>
    </row>
    <row r="337" spans="1:9" x14ac:dyDescent="0.15">
      <c r="A337" s="6">
        <v>336</v>
      </c>
      <c r="B337" s="7" t="s">
        <v>9</v>
      </c>
      <c r="C337" s="8">
        <v>1889</v>
      </c>
      <c r="D337" s="9">
        <v>45439</v>
      </c>
      <c r="E337" s="13" t="str">
        <f>+HYPERLINK("http://trademark.i-assist.jp/data/china/image_1889th/76913213.pdf","76913213")</f>
        <v>76913213</v>
      </c>
      <c r="F337" s="7" t="s">
        <v>941</v>
      </c>
      <c r="G337" s="7" t="s">
        <v>942</v>
      </c>
      <c r="H337" s="7" t="s">
        <v>943</v>
      </c>
      <c r="I337" s="9">
        <v>45344</v>
      </c>
    </row>
    <row r="338" spans="1:9" x14ac:dyDescent="0.15">
      <c r="A338" s="6">
        <v>337</v>
      </c>
      <c r="B338" s="7" t="s">
        <v>9</v>
      </c>
      <c r="C338" s="8">
        <v>1889</v>
      </c>
      <c r="D338" s="9">
        <v>45439</v>
      </c>
      <c r="E338" s="13" t="str">
        <f>+HYPERLINK("http://trademark.i-assist.jp/data/china/image_1889th/76914314.pdf","76914314")</f>
        <v>76914314</v>
      </c>
      <c r="F338" s="7" t="s">
        <v>944</v>
      </c>
      <c r="G338" s="7" t="s">
        <v>945</v>
      </c>
      <c r="H338" s="7" t="s">
        <v>946</v>
      </c>
      <c r="I338" s="9">
        <v>45344</v>
      </c>
    </row>
    <row r="339" spans="1:9" x14ac:dyDescent="0.15">
      <c r="A339" s="6">
        <v>338</v>
      </c>
      <c r="B339" s="7" t="s">
        <v>9</v>
      </c>
      <c r="C339" s="8">
        <v>1889</v>
      </c>
      <c r="D339" s="9">
        <v>45439</v>
      </c>
      <c r="E339" s="13" t="str">
        <f>+HYPERLINK("http://trademark.i-assist.jp/data/china/image_1889th/76914348.pdf","76914348")</f>
        <v>76914348</v>
      </c>
      <c r="F339" s="7" t="s">
        <v>947</v>
      </c>
      <c r="G339" s="7" t="s">
        <v>948</v>
      </c>
      <c r="H339" s="7" t="s">
        <v>949</v>
      </c>
      <c r="I339" s="9">
        <v>45344</v>
      </c>
    </row>
    <row r="340" spans="1:9" x14ac:dyDescent="0.15">
      <c r="A340" s="6">
        <v>339</v>
      </c>
      <c r="B340" s="7" t="s">
        <v>9</v>
      </c>
      <c r="C340" s="8">
        <v>1889</v>
      </c>
      <c r="D340" s="9">
        <v>45439</v>
      </c>
      <c r="E340" s="13" t="str">
        <f>+HYPERLINK("http://trademark.i-assist.jp/data/china/image_1889th/76916561.pdf","76916561")</f>
        <v>76916561</v>
      </c>
      <c r="F340" s="7" t="s">
        <v>950</v>
      </c>
      <c r="G340" s="7" t="s">
        <v>951</v>
      </c>
      <c r="H340" s="7" t="s">
        <v>952</v>
      </c>
      <c r="I340" s="9">
        <v>45344</v>
      </c>
    </row>
    <row r="341" spans="1:9" ht="27" x14ac:dyDescent="0.15">
      <c r="A341" s="6">
        <v>340</v>
      </c>
      <c r="B341" s="7" t="s">
        <v>9</v>
      </c>
      <c r="C341" s="8">
        <v>1889</v>
      </c>
      <c r="D341" s="9">
        <v>45439</v>
      </c>
      <c r="E341" s="13" t="str">
        <f>+HYPERLINK("http://trademark.i-assist.jp/data/china/image_1889th/76916578.pdf","76916578")</f>
        <v>76916578</v>
      </c>
      <c r="F341" s="7" t="s">
        <v>953</v>
      </c>
      <c r="G341" s="7" t="s">
        <v>954</v>
      </c>
      <c r="H341" s="7" t="s">
        <v>955</v>
      </c>
      <c r="I341" s="9">
        <v>45344</v>
      </c>
    </row>
    <row r="342" spans="1:9" x14ac:dyDescent="0.15">
      <c r="A342" s="6">
        <v>341</v>
      </c>
      <c r="B342" s="7" t="s">
        <v>9</v>
      </c>
      <c r="C342" s="8">
        <v>1889</v>
      </c>
      <c r="D342" s="9">
        <v>45439</v>
      </c>
      <c r="E342" s="13" t="str">
        <f>+HYPERLINK("http://trademark.i-assist.jp/data/china/image_1889th/76916692.pdf","76916692")</f>
        <v>76916692</v>
      </c>
      <c r="F342" s="7" t="s">
        <v>956</v>
      </c>
      <c r="G342" s="7" t="s">
        <v>957</v>
      </c>
      <c r="H342" s="7" t="s">
        <v>958</v>
      </c>
      <c r="I342" s="9">
        <v>45344</v>
      </c>
    </row>
    <row r="343" spans="1:9" x14ac:dyDescent="0.15">
      <c r="A343" s="6">
        <v>342</v>
      </c>
      <c r="B343" s="7" t="s">
        <v>9</v>
      </c>
      <c r="C343" s="8">
        <v>1889</v>
      </c>
      <c r="D343" s="9">
        <v>45439</v>
      </c>
      <c r="E343" s="13" t="str">
        <f>+HYPERLINK("http://trademark.i-assist.jp/data/china/image_1889th/76917610.pdf","76917610")</f>
        <v>76917610</v>
      </c>
      <c r="F343" s="7" t="s">
        <v>959</v>
      </c>
      <c r="G343" s="7" t="s">
        <v>960</v>
      </c>
      <c r="H343" s="7" t="s">
        <v>961</v>
      </c>
      <c r="I343" s="9">
        <v>45344</v>
      </c>
    </row>
    <row r="344" spans="1:9" ht="27" x14ac:dyDescent="0.15">
      <c r="A344" s="6">
        <v>343</v>
      </c>
      <c r="B344" s="7" t="s">
        <v>9</v>
      </c>
      <c r="C344" s="8">
        <v>1889</v>
      </c>
      <c r="D344" s="9">
        <v>45439</v>
      </c>
      <c r="E344" s="13" t="str">
        <f>+HYPERLINK("http://trademark.i-assist.jp/data/china/image_1889th/76918548.pdf","76918548")</f>
        <v>76918548</v>
      </c>
      <c r="F344" s="7" t="s">
        <v>962</v>
      </c>
      <c r="G344" s="7" t="s">
        <v>963</v>
      </c>
      <c r="H344" s="7" t="s">
        <v>964</v>
      </c>
      <c r="I344" s="9">
        <v>45344</v>
      </c>
    </row>
    <row r="345" spans="1:9" x14ac:dyDescent="0.15">
      <c r="A345" s="6">
        <v>344</v>
      </c>
      <c r="B345" s="7" t="s">
        <v>9</v>
      </c>
      <c r="C345" s="8">
        <v>1889</v>
      </c>
      <c r="D345" s="9">
        <v>45439</v>
      </c>
      <c r="E345" s="13" t="str">
        <f>+HYPERLINK("http://trademark.i-assist.jp/data/china/image_1889th/76918828.pdf","76918828")</f>
        <v>76918828</v>
      </c>
      <c r="F345" s="7" t="s">
        <v>965</v>
      </c>
      <c r="G345" s="7" t="s">
        <v>966</v>
      </c>
      <c r="H345" s="7" t="s">
        <v>967</v>
      </c>
      <c r="I345" s="9">
        <v>45344</v>
      </c>
    </row>
    <row r="346" spans="1:9" x14ac:dyDescent="0.15">
      <c r="A346" s="6">
        <v>345</v>
      </c>
      <c r="B346" s="7" t="s">
        <v>9</v>
      </c>
      <c r="C346" s="8">
        <v>1889</v>
      </c>
      <c r="D346" s="9">
        <v>45439</v>
      </c>
      <c r="E346" s="13" t="str">
        <f>+HYPERLINK("http://trademark.i-assist.jp/data/china/image_1889th/76918869.pdf","76918869")</f>
        <v>76918869</v>
      </c>
      <c r="F346" s="7" t="s">
        <v>968</v>
      </c>
      <c r="G346" s="7" t="s">
        <v>969</v>
      </c>
      <c r="H346" s="7" t="s">
        <v>970</v>
      </c>
      <c r="I346" s="9">
        <v>45344</v>
      </c>
    </row>
    <row r="347" spans="1:9" ht="27" x14ac:dyDescent="0.15">
      <c r="A347" s="6">
        <v>346</v>
      </c>
      <c r="B347" s="7" t="s">
        <v>9</v>
      </c>
      <c r="C347" s="8">
        <v>1889</v>
      </c>
      <c r="D347" s="9">
        <v>45439</v>
      </c>
      <c r="E347" s="13" t="str">
        <f>+HYPERLINK("http://trademark.i-assist.jp/data/china/image_1889th/76918940.pdf","76918940")</f>
        <v>76918940</v>
      </c>
      <c r="F347" s="7" t="s">
        <v>971</v>
      </c>
      <c r="G347" s="7" t="s">
        <v>972</v>
      </c>
      <c r="H347" s="7" t="s">
        <v>973</v>
      </c>
      <c r="I347" s="9">
        <v>45344</v>
      </c>
    </row>
    <row r="348" spans="1:9" x14ac:dyDescent="0.15">
      <c r="A348" s="6">
        <v>347</v>
      </c>
      <c r="B348" s="7" t="s">
        <v>9</v>
      </c>
      <c r="C348" s="8">
        <v>1889</v>
      </c>
      <c r="D348" s="9">
        <v>45439</v>
      </c>
      <c r="E348" s="13" t="str">
        <f>+HYPERLINK("http://trademark.i-assist.jp/data/china/image_1889th/76918973.pdf","76918973")</f>
        <v>76918973</v>
      </c>
      <c r="F348" s="7" t="s">
        <v>974</v>
      </c>
      <c r="G348" s="7" t="s">
        <v>975</v>
      </c>
      <c r="H348" s="7" t="s">
        <v>976</v>
      </c>
      <c r="I348" s="9">
        <v>45344</v>
      </c>
    </row>
    <row r="349" spans="1:9" x14ac:dyDescent="0.15">
      <c r="A349" s="6">
        <v>348</v>
      </c>
      <c r="B349" s="7" t="s">
        <v>9</v>
      </c>
      <c r="C349" s="8">
        <v>1889</v>
      </c>
      <c r="D349" s="9">
        <v>45439</v>
      </c>
      <c r="E349" s="13" t="str">
        <f>+HYPERLINK("http://trademark.i-assist.jp/data/china/image_1889th/76918993.pdf","76918993")</f>
        <v>76918993</v>
      </c>
      <c r="F349" s="7" t="s">
        <v>977</v>
      </c>
      <c r="G349" s="7" t="s">
        <v>978</v>
      </c>
      <c r="H349" s="7" t="s">
        <v>979</v>
      </c>
      <c r="I349" s="9">
        <v>45344</v>
      </c>
    </row>
    <row r="350" spans="1:9" x14ac:dyDescent="0.15">
      <c r="A350" s="6">
        <v>349</v>
      </c>
      <c r="B350" s="7" t="s">
        <v>9</v>
      </c>
      <c r="C350" s="8">
        <v>1889</v>
      </c>
      <c r="D350" s="9">
        <v>45439</v>
      </c>
      <c r="E350" s="13" t="str">
        <f>+HYPERLINK("http://trademark.i-assist.jp/data/china/image_1889th/76921070.pdf","76921070")</f>
        <v>76921070</v>
      </c>
      <c r="F350" s="7" t="s">
        <v>980</v>
      </c>
      <c r="G350" s="7" t="s">
        <v>981</v>
      </c>
      <c r="H350" s="7" t="s">
        <v>982</v>
      </c>
      <c r="I350" s="9">
        <v>45345</v>
      </c>
    </row>
    <row r="351" spans="1:9" x14ac:dyDescent="0.15">
      <c r="A351" s="6">
        <v>350</v>
      </c>
      <c r="B351" s="7" t="s">
        <v>9</v>
      </c>
      <c r="C351" s="8">
        <v>1889</v>
      </c>
      <c r="D351" s="9">
        <v>45439</v>
      </c>
      <c r="E351" s="13" t="str">
        <f>+HYPERLINK("http://trademark.i-assist.jp/data/china/image_1889th/76921620.pdf","76921620")</f>
        <v>76921620</v>
      </c>
      <c r="F351" s="7" t="s">
        <v>983</v>
      </c>
      <c r="G351" s="7" t="s">
        <v>984</v>
      </c>
      <c r="H351" s="7" t="s">
        <v>985</v>
      </c>
      <c r="I351" s="9">
        <v>45345</v>
      </c>
    </row>
    <row r="352" spans="1:9" ht="27" x14ac:dyDescent="0.15">
      <c r="A352" s="6">
        <v>351</v>
      </c>
      <c r="B352" s="7" t="s">
        <v>9</v>
      </c>
      <c r="C352" s="8">
        <v>1889</v>
      </c>
      <c r="D352" s="9">
        <v>45439</v>
      </c>
      <c r="E352" s="13" t="str">
        <f>+HYPERLINK("http://trademark.i-assist.jp/data/china/image_1889th/76922380.pdf","76922380")</f>
        <v>76922380</v>
      </c>
      <c r="F352" s="7" t="s">
        <v>986</v>
      </c>
      <c r="G352" s="7" t="s">
        <v>987</v>
      </c>
      <c r="H352" s="7" t="s">
        <v>988</v>
      </c>
      <c r="I352" s="9">
        <v>45345</v>
      </c>
    </row>
    <row r="353" spans="1:9" x14ac:dyDescent="0.15">
      <c r="A353" s="6">
        <v>352</v>
      </c>
      <c r="B353" s="7" t="s">
        <v>9</v>
      </c>
      <c r="C353" s="8">
        <v>1889</v>
      </c>
      <c r="D353" s="9">
        <v>45439</v>
      </c>
      <c r="E353" s="13" t="str">
        <f>+HYPERLINK("http://trademark.i-assist.jp/data/china/image_1889th/76923834.pdf","76923834")</f>
        <v>76923834</v>
      </c>
      <c r="F353" s="7" t="s">
        <v>989</v>
      </c>
      <c r="G353" s="7" t="s">
        <v>990</v>
      </c>
      <c r="H353" s="7" t="s">
        <v>991</v>
      </c>
      <c r="I353" s="9">
        <v>45345</v>
      </c>
    </row>
    <row r="354" spans="1:9" ht="27" x14ac:dyDescent="0.15">
      <c r="A354" s="6">
        <v>353</v>
      </c>
      <c r="B354" s="7" t="s">
        <v>9</v>
      </c>
      <c r="C354" s="8">
        <v>1889</v>
      </c>
      <c r="D354" s="9">
        <v>45439</v>
      </c>
      <c r="E354" s="13" t="str">
        <f>+HYPERLINK("http://trademark.i-assist.jp/data/china/image_1889th/76924371.pdf","76924371")</f>
        <v>76924371</v>
      </c>
      <c r="F354" s="7" t="s">
        <v>992</v>
      </c>
      <c r="G354" s="7" t="s">
        <v>987</v>
      </c>
      <c r="H354" s="7" t="s">
        <v>993</v>
      </c>
      <c r="I354" s="9">
        <v>45345</v>
      </c>
    </row>
    <row r="355" spans="1:9" x14ac:dyDescent="0.15">
      <c r="A355" s="6">
        <v>354</v>
      </c>
      <c r="B355" s="7" t="s">
        <v>9</v>
      </c>
      <c r="C355" s="8">
        <v>1889</v>
      </c>
      <c r="D355" s="9">
        <v>45439</v>
      </c>
      <c r="E355" s="13" t="str">
        <f>+HYPERLINK("http://trademark.i-assist.jp/data/china/image_1889th/76926566.pdf","76926566")</f>
        <v>76926566</v>
      </c>
      <c r="F355" s="7" t="s">
        <v>994</v>
      </c>
      <c r="G355" s="7" t="s">
        <v>995</v>
      </c>
      <c r="H355" s="7" t="s">
        <v>996</v>
      </c>
      <c r="I355" s="9">
        <v>45345</v>
      </c>
    </row>
    <row r="356" spans="1:9" ht="27" x14ac:dyDescent="0.15">
      <c r="A356" s="6">
        <v>355</v>
      </c>
      <c r="B356" s="7" t="s">
        <v>9</v>
      </c>
      <c r="C356" s="8">
        <v>1889</v>
      </c>
      <c r="D356" s="9">
        <v>45439</v>
      </c>
      <c r="E356" s="13" t="str">
        <f>+HYPERLINK("http://trademark.i-assist.jp/data/china/image_1889th/76926803.pdf","76926803")</f>
        <v>76926803</v>
      </c>
      <c r="F356" s="7" t="s">
        <v>997</v>
      </c>
      <c r="G356" s="7" t="s">
        <v>998</v>
      </c>
      <c r="H356" s="7" t="s">
        <v>999</v>
      </c>
      <c r="I356" s="9">
        <v>45345</v>
      </c>
    </row>
    <row r="357" spans="1:9" x14ac:dyDescent="0.15">
      <c r="A357" s="6">
        <v>356</v>
      </c>
      <c r="B357" s="7" t="s">
        <v>9</v>
      </c>
      <c r="C357" s="8">
        <v>1889</v>
      </c>
      <c r="D357" s="9">
        <v>45439</v>
      </c>
      <c r="E357" s="13" t="str">
        <f>+HYPERLINK("http://trademark.i-assist.jp/data/china/image_1889th/76927381.pdf","76927381")</f>
        <v>76927381</v>
      </c>
      <c r="F357" s="7" t="s">
        <v>1000</v>
      </c>
      <c r="G357" s="7" t="s">
        <v>1001</v>
      </c>
      <c r="H357" s="7" t="s">
        <v>1002</v>
      </c>
      <c r="I357" s="9">
        <v>45345</v>
      </c>
    </row>
    <row r="358" spans="1:9" x14ac:dyDescent="0.15">
      <c r="A358" s="6">
        <v>357</v>
      </c>
      <c r="B358" s="7" t="s">
        <v>9</v>
      </c>
      <c r="C358" s="8">
        <v>1889</v>
      </c>
      <c r="D358" s="9">
        <v>45439</v>
      </c>
      <c r="E358" s="13" t="str">
        <f>+HYPERLINK("http://trademark.i-assist.jp/data/china/image_1889th/76927970.pdf","76927970")</f>
        <v>76927970</v>
      </c>
      <c r="F358" s="7" t="s">
        <v>1003</v>
      </c>
      <c r="G358" s="7" t="s">
        <v>1004</v>
      </c>
      <c r="H358" s="7" t="s">
        <v>1005</v>
      </c>
      <c r="I358" s="9">
        <v>45345</v>
      </c>
    </row>
    <row r="359" spans="1:9" ht="27" x14ac:dyDescent="0.15">
      <c r="A359" s="6">
        <v>358</v>
      </c>
      <c r="B359" s="7" t="s">
        <v>9</v>
      </c>
      <c r="C359" s="8">
        <v>1889</v>
      </c>
      <c r="D359" s="9">
        <v>45439</v>
      </c>
      <c r="E359" s="13" t="str">
        <f>+HYPERLINK("http://trademark.i-assist.jp/data/china/image_1889th/76928546.pdf","76928546")</f>
        <v>76928546</v>
      </c>
      <c r="F359" s="7" t="s">
        <v>1006</v>
      </c>
      <c r="G359" s="7" t="s">
        <v>987</v>
      </c>
      <c r="H359" s="7" t="s">
        <v>1007</v>
      </c>
      <c r="I359" s="9">
        <v>45345</v>
      </c>
    </row>
    <row r="360" spans="1:9" ht="27" x14ac:dyDescent="0.15">
      <c r="A360" s="6">
        <v>359</v>
      </c>
      <c r="B360" s="7" t="s">
        <v>9</v>
      </c>
      <c r="C360" s="8">
        <v>1889</v>
      </c>
      <c r="D360" s="9">
        <v>45439</v>
      </c>
      <c r="E360" s="13" t="str">
        <f>+HYPERLINK("http://trademark.i-assist.jp/data/china/image_1889th/76928807.pdf","76928807")</f>
        <v>76928807</v>
      </c>
      <c r="F360" s="7" t="s">
        <v>1008</v>
      </c>
      <c r="G360" s="7" t="s">
        <v>1009</v>
      </c>
      <c r="H360" s="7" t="s">
        <v>1010</v>
      </c>
      <c r="I360" s="9">
        <v>45345</v>
      </c>
    </row>
    <row r="361" spans="1:9" ht="27" x14ac:dyDescent="0.15">
      <c r="A361" s="6">
        <v>360</v>
      </c>
      <c r="B361" s="7" t="s">
        <v>9</v>
      </c>
      <c r="C361" s="8">
        <v>1889</v>
      </c>
      <c r="D361" s="9">
        <v>45439</v>
      </c>
      <c r="E361" s="13" t="str">
        <f>+HYPERLINK("http://trademark.i-assist.jp/data/china/image_1889th/76928844.pdf","76928844")</f>
        <v>76928844</v>
      </c>
      <c r="F361" s="7" t="s">
        <v>1011</v>
      </c>
      <c r="G361" s="7" t="s">
        <v>1012</v>
      </c>
      <c r="H361" s="7" t="s">
        <v>1013</v>
      </c>
      <c r="I361" s="9">
        <v>45345</v>
      </c>
    </row>
    <row r="362" spans="1:9" ht="27" x14ac:dyDescent="0.15">
      <c r="A362" s="6">
        <v>361</v>
      </c>
      <c r="B362" s="7" t="s">
        <v>9</v>
      </c>
      <c r="C362" s="8">
        <v>1889</v>
      </c>
      <c r="D362" s="9">
        <v>45439</v>
      </c>
      <c r="E362" s="13" t="str">
        <f>+HYPERLINK("http://trademark.i-assist.jp/data/china/image_1889th/76929700.pdf","76929700")</f>
        <v>76929700</v>
      </c>
      <c r="F362" s="7" t="s">
        <v>1014</v>
      </c>
      <c r="G362" s="7" t="s">
        <v>1015</v>
      </c>
      <c r="H362" s="7" t="s">
        <v>1016</v>
      </c>
      <c r="I362" s="9">
        <v>45345</v>
      </c>
    </row>
    <row r="363" spans="1:9" x14ac:dyDescent="0.15">
      <c r="A363" s="6">
        <v>362</v>
      </c>
      <c r="B363" s="7" t="s">
        <v>9</v>
      </c>
      <c r="C363" s="8">
        <v>1889</v>
      </c>
      <c r="D363" s="9">
        <v>45439</v>
      </c>
      <c r="E363" s="13" t="str">
        <f>+HYPERLINK("http://trademark.i-assist.jp/data/china/image_1889th/76931429.pdf","76931429")</f>
        <v>76931429</v>
      </c>
      <c r="F363" s="7" t="s">
        <v>1017</v>
      </c>
      <c r="G363" s="7" t="s">
        <v>1018</v>
      </c>
      <c r="H363" s="7" t="s">
        <v>1019</v>
      </c>
      <c r="I363" s="9">
        <v>45345</v>
      </c>
    </row>
    <row r="364" spans="1:9" x14ac:dyDescent="0.15">
      <c r="A364" s="6">
        <v>363</v>
      </c>
      <c r="B364" s="7" t="s">
        <v>9</v>
      </c>
      <c r="C364" s="8">
        <v>1889</v>
      </c>
      <c r="D364" s="9">
        <v>45439</v>
      </c>
      <c r="E364" s="13" t="str">
        <f>+HYPERLINK("http://trademark.i-assist.jp/data/china/image_1889th/76936820.pdf","76936820")</f>
        <v>76936820</v>
      </c>
      <c r="F364" s="7" t="s">
        <v>1020</v>
      </c>
      <c r="G364" s="7" t="s">
        <v>1021</v>
      </c>
      <c r="H364" s="7" t="s">
        <v>1022</v>
      </c>
      <c r="I364" s="9">
        <v>45345</v>
      </c>
    </row>
    <row r="365" spans="1:9" x14ac:dyDescent="0.15">
      <c r="A365" s="6">
        <v>364</v>
      </c>
      <c r="B365" s="7" t="s">
        <v>9</v>
      </c>
      <c r="C365" s="8">
        <v>1889</v>
      </c>
      <c r="D365" s="9">
        <v>45439</v>
      </c>
      <c r="E365" s="13" t="str">
        <f>+HYPERLINK("http://trademark.i-assist.jp/data/china/image_1889th/76938043.pdf","76938043")</f>
        <v>76938043</v>
      </c>
      <c r="F365" s="7" t="s">
        <v>1023</v>
      </c>
      <c r="G365" s="7" t="s">
        <v>1024</v>
      </c>
      <c r="H365" s="7" t="s">
        <v>1025</v>
      </c>
      <c r="I365" s="9">
        <v>45345</v>
      </c>
    </row>
    <row r="366" spans="1:9" ht="27" x14ac:dyDescent="0.15">
      <c r="A366" s="6">
        <v>365</v>
      </c>
      <c r="B366" s="7" t="s">
        <v>9</v>
      </c>
      <c r="C366" s="8">
        <v>1889</v>
      </c>
      <c r="D366" s="9">
        <v>45439</v>
      </c>
      <c r="E366" s="13" t="str">
        <f>+HYPERLINK("http://trademark.i-assist.jp/data/china/image_1889th/76940222.pdf","76940222")</f>
        <v>76940222</v>
      </c>
      <c r="F366" s="7" t="s">
        <v>1026</v>
      </c>
      <c r="G366" s="7" t="s">
        <v>1027</v>
      </c>
      <c r="H366" s="7" t="s">
        <v>1028</v>
      </c>
      <c r="I366" s="9">
        <v>45345</v>
      </c>
    </row>
    <row r="367" spans="1:9" x14ac:dyDescent="0.15">
      <c r="A367" s="6">
        <v>366</v>
      </c>
      <c r="B367" s="7" t="s">
        <v>9</v>
      </c>
      <c r="C367" s="8">
        <v>1889</v>
      </c>
      <c r="D367" s="9">
        <v>45439</v>
      </c>
      <c r="E367" s="13" t="str">
        <f>+HYPERLINK("http://trademark.i-assist.jp/data/china/image_1889th/76940607.pdf","76940607")</f>
        <v>76940607</v>
      </c>
      <c r="F367" s="7" t="s">
        <v>1029</v>
      </c>
      <c r="G367" s="7" t="s">
        <v>1030</v>
      </c>
      <c r="H367" s="7" t="s">
        <v>1031</v>
      </c>
      <c r="I367" s="9">
        <v>45346</v>
      </c>
    </row>
    <row r="368" spans="1:9" ht="27" x14ac:dyDescent="0.15">
      <c r="A368" s="6">
        <v>367</v>
      </c>
      <c r="B368" s="7" t="s">
        <v>9</v>
      </c>
      <c r="C368" s="8">
        <v>1889</v>
      </c>
      <c r="D368" s="9">
        <v>45439</v>
      </c>
      <c r="E368" s="13" t="str">
        <f>+HYPERLINK("http://trademark.i-assist.jp/data/china/image_1889th/76940689.pdf","76940689")</f>
        <v>76940689</v>
      </c>
      <c r="F368" s="7" t="s">
        <v>1032</v>
      </c>
      <c r="G368" s="7" t="s">
        <v>1033</v>
      </c>
      <c r="H368" s="7" t="s">
        <v>1034</v>
      </c>
      <c r="I368" s="9">
        <v>45346</v>
      </c>
    </row>
    <row r="369" spans="1:9" x14ac:dyDescent="0.15">
      <c r="A369" s="6">
        <v>368</v>
      </c>
      <c r="B369" s="7" t="s">
        <v>9</v>
      </c>
      <c r="C369" s="8">
        <v>1889</v>
      </c>
      <c r="D369" s="9">
        <v>45439</v>
      </c>
      <c r="E369" s="13" t="str">
        <f>+HYPERLINK("http://trademark.i-assist.jp/data/china/image_1889th/76941005.pdf","76941005")</f>
        <v>76941005</v>
      </c>
      <c r="F369" s="7" t="s">
        <v>1029</v>
      </c>
      <c r="G369" s="7" t="s">
        <v>1030</v>
      </c>
      <c r="H369" s="7" t="s">
        <v>1035</v>
      </c>
      <c r="I369" s="9">
        <v>45346</v>
      </c>
    </row>
    <row r="370" spans="1:9" x14ac:dyDescent="0.15">
      <c r="A370" s="6">
        <v>369</v>
      </c>
      <c r="B370" s="7" t="s">
        <v>9</v>
      </c>
      <c r="C370" s="8">
        <v>1889</v>
      </c>
      <c r="D370" s="9">
        <v>45439</v>
      </c>
      <c r="E370" s="13" t="str">
        <f>+HYPERLINK("http://trademark.i-assist.jp/data/china/image_1889th/76942452.pdf","76942452")</f>
        <v>76942452</v>
      </c>
      <c r="F370" s="7" t="s">
        <v>1036</v>
      </c>
      <c r="G370" s="7" t="s">
        <v>1037</v>
      </c>
      <c r="H370" s="7" t="s">
        <v>1038</v>
      </c>
      <c r="I370" s="9">
        <v>45346</v>
      </c>
    </row>
    <row r="371" spans="1:9" x14ac:dyDescent="0.15">
      <c r="A371" s="6">
        <v>370</v>
      </c>
      <c r="B371" s="7" t="s">
        <v>9</v>
      </c>
      <c r="C371" s="8">
        <v>1889</v>
      </c>
      <c r="D371" s="9">
        <v>45439</v>
      </c>
      <c r="E371" s="13" t="str">
        <f>+HYPERLINK("http://trademark.i-assist.jp/data/china/image_1889th/76942508.pdf","76942508")</f>
        <v>76942508</v>
      </c>
      <c r="F371" s="7" t="s">
        <v>134</v>
      </c>
      <c r="G371" s="7" t="s">
        <v>1039</v>
      </c>
      <c r="H371" s="7" t="s">
        <v>1040</v>
      </c>
      <c r="I371" s="9">
        <v>45346</v>
      </c>
    </row>
    <row r="372" spans="1:9" x14ac:dyDescent="0.15">
      <c r="A372" s="6">
        <v>371</v>
      </c>
      <c r="B372" s="7" t="s">
        <v>9</v>
      </c>
      <c r="C372" s="8">
        <v>1889</v>
      </c>
      <c r="D372" s="9">
        <v>45439</v>
      </c>
      <c r="E372" s="13" t="str">
        <f>+HYPERLINK("http://trademark.i-assist.jp/data/china/image_1889th/76942810.pdf","76942810")</f>
        <v>76942810</v>
      </c>
      <c r="F372" s="7" t="s">
        <v>1041</v>
      </c>
      <c r="G372" s="7" t="s">
        <v>1042</v>
      </c>
      <c r="H372" s="7" t="s">
        <v>1043</v>
      </c>
      <c r="I372" s="9">
        <v>45346</v>
      </c>
    </row>
    <row r="373" spans="1:9" x14ac:dyDescent="0.15">
      <c r="A373" s="6">
        <v>372</v>
      </c>
      <c r="B373" s="7" t="s">
        <v>9</v>
      </c>
      <c r="C373" s="8">
        <v>1889</v>
      </c>
      <c r="D373" s="9">
        <v>45439</v>
      </c>
      <c r="E373" s="13" t="str">
        <f>+HYPERLINK("http://trademark.i-assist.jp/data/china/image_1889th/76942928.pdf","76942928")</f>
        <v>76942928</v>
      </c>
      <c r="F373" s="7" t="s">
        <v>1044</v>
      </c>
      <c r="G373" s="7" t="s">
        <v>1045</v>
      </c>
      <c r="H373" s="7" t="s">
        <v>1046</v>
      </c>
      <c r="I373" s="9">
        <v>45346</v>
      </c>
    </row>
    <row r="374" spans="1:9" ht="27" x14ac:dyDescent="0.15">
      <c r="A374" s="6">
        <v>373</v>
      </c>
      <c r="B374" s="7" t="s">
        <v>9</v>
      </c>
      <c r="C374" s="8">
        <v>1889</v>
      </c>
      <c r="D374" s="9">
        <v>45439</v>
      </c>
      <c r="E374" s="13" t="str">
        <f>+HYPERLINK("http://trademark.i-assist.jp/data/china/image_1889th/76943227.pdf","76943227")</f>
        <v>76943227</v>
      </c>
      <c r="F374" s="7" t="s">
        <v>1047</v>
      </c>
      <c r="G374" s="7" t="s">
        <v>1048</v>
      </c>
      <c r="H374" s="7" t="s">
        <v>1049</v>
      </c>
      <c r="I374" s="9">
        <v>45346</v>
      </c>
    </row>
    <row r="375" spans="1:9" x14ac:dyDescent="0.15">
      <c r="A375" s="6">
        <v>374</v>
      </c>
      <c r="B375" s="7" t="s">
        <v>9</v>
      </c>
      <c r="C375" s="8">
        <v>1889</v>
      </c>
      <c r="D375" s="9">
        <v>45439</v>
      </c>
      <c r="E375" s="13" t="str">
        <f>+HYPERLINK("http://trademark.i-assist.jp/data/china/image_1889th/76943441.pdf","76943441")</f>
        <v>76943441</v>
      </c>
      <c r="F375" s="7" t="s">
        <v>1050</v>
      </c>
      <c r="G375" s="7" t="s">
        <v>1051</v>
      </c>
      <c r="H375" s="7" t="s">
        <v>1052</v>
      </c>
      <c r="I375" s="9">
        <v>45346</v>
      </c>
    </row>
    <row r="376" spans="1:9" x14ac:dyDescent="0.15">
      <c r="A376" s="6">
        <v>375</v>
      </c>
      <c r="B376" s="7" t="s">
        <v>9</v>
      </c>
      <c r="C376" s="8">
        <v>1889</v>
      </c>
      <c r="D376" s="9">
        <v>45439</v>
      </c>
      <c r="E376" s="13" t="str">
        <f>+HYPERLINK("http://trademark.i-assist.jp/data/china/image_1889th/76945544.pdf","76945544")</f>
        <v>76945544</v>
      </c>
      <c r="F376" s="7" t="s">
        <v>1053</v>
      </c>
      <c r="G376" s="7" t="s">
        <v>1054</v>
      </c>
      <c r="H376" s="7" t="s">
        <v>1055</v>
      </c>
      <c r="I376" s="9">
        <v>45347</v>
      </c>
    </row>
    <row r="377" spans="1:9" x14ac:dyDescent="0.15">
      <c r="A377" s="6">
        <v>376</v>
      </c>
      <c r="B377" s="7" t="s">
        <v>9</v>
      </c>
      <c r="C377" s="8">
        <v>1889</v>
      </c>
      <c r="D377" s="9">
        <v>45439</v>
      </c>
      <c r="E377" s="13" t="str">
        <f>+HYPERLINK("http://trademark.i-assist.jp/data/china/image_1889th/76945955.pdf","76945955")</f>
        <v>76945955</v>
      </c>
      <c r="F377" s="7" t="s">
        <v>1056</v>
      </c>
      <c r="G377" s="7" t="s">
        <v>1057</v>
      </c>
      <c r="H377" s="7" t="s">
        <v>1058</v>
      </c>
      <c r="I377" s="9">
        <v>45347</v>
      </c>
    </row>
    <row r="378" spans="1:9" x14ac:dyDescent="0.15">
      <c r="A378" s="6">
        <v>377</v>
      </c>
      <c r="B378" s="7" t="s">
        <v>9</v>
      </c>
      <c r="C378" s="8">
        <v>1889</v>
      </c>
      <c r="D378" s="9">
        <v>45439</v>
      </c>
      <c r="E378" s="13" t="str">
        <f>+HYPERLINK("http://trademark.i-assist.jp/data/china/image_1889th/76946025.pdf","76946025")</f>
        <v>76946025</v>
      </c>
      <c r="F378" s="7" t="s">
        <v>1059</v>
      </c>
      <c r="G378" s="7" t="s">
        <v>1060</v>
      </c>
      <c r="H378" s="7" t="s">
        <v>1061</v>
      </c>
      <c r="I378" s="9">
        <v>45347</v>
      </c>
    </row>
    <row r="379" spans="1:9" x14ac:dyDescent="0.15">
      <c r="A379" s="6">
        <v>378</v>
      </c>
      <c r="B379" s="7" t="s">
        <v>9</v>
      </c>
      <c r="C379" s="8">
        <v>1889</v>
      </c>
      <c r="D379" s="9">
        <v>45439</v>
      </c>
      <c r="E379" s="13" t="str">
        <f>+HYPERLINK("http://trademark.i-assist.jp/data/china/image_1889th/76946318.pdf","76946318")</f>
        <v>76946318</v>
      </c>
      <c r="F379" s="7" t="s">
        <v>1062</v>
      </c>
      <c r="G379" s="7" t="s">
        <v>1063</v>
      </c>
      <c r="H379" s="7" t="s">
        <v>1064</v>
      </c>
      <c r="I379" s="9">
        <v>45347</v>
      </c>
    </row>
    <row r="380" spans="1:9" x14ac:dyDescent="0.15">
      <c r="A380" s="6">
        <v>379</v>
      </c>
      <c r="B380" s="7" t="s">
        <v>9</v>
      </c>
      <c r="C380" s="8">
        <v>1889</v>
      </c>
      <c r="D380" s="9">
        <v>45439</v>
      </c>
      <c r="E380" s="13" t="str">
        <f>+HYPERLINK("http://trademark.i-assist.jp/data/china/image_1889th/76946420.pdf","76946420")</f>
        <v>76946420</v>
      </c>
      <c r="F380" s="7" t="s">
        <v>1065</v>
      </c>
      <c r="G380" s="7" t="s">
        <v>1066</v>
      </c>
      <c r="H380" s="7" t="s">
        <v>1067</v>
      </c>
      <c r="I380" s="9">
        <v>45347</v>
      </c>
    </row>
    <row r="381" spans="1:9" x14ac:dyDescent="0.15">
      <c r="A381" s="6">
        <v>380</v>
      </c>
      <c r="B381" s="7" t="s">
        <v>9</v>
      </c>
      <c r="C381" s="8">
        <v>1889</v>
      </c>
      <c r="D381" s="9">
        <v>45439</v>
      </c>
      <c r="E381" s="13" t="str">
        <f>+HYPERLINK("http://trademark.i-assist.jp/data/china/image_1889th/76946456.pdf","76946456")</f>
        <v>76946456</v>
      </c>
      <c r="F381" s="7" t="s">
        <v>1068</v>
      </c>
      <c r="G381" s="7" t="s">
        <v>1069</v>
      </c>
      <c r="H381" s="7" t="s">
        <v>1070</v>
      </c>
      <c r="I381" s="9">
        <v>45347</v>
      </c>
    </row>
    <row r="382" spans="1:9" x14ac:dyDescent="0.15">
      <c r="A382" s="6">
        <v>381</v>
      </c>
      <c r="B382" s="7" t="s">
        <v>9</v>
      </c>
      <c r="C382" s="8">
        <v>1889</v>
      </c>
      <c r="D382" s="9">
        <v>45439</v>
      </c>
      <c r="E382" s="13" t="str">
        <f>+HYPERLINK("http://trademark.i-assist.jp/data/china/image_1889th/76946843.pdf","76946843")</f>
        <v>76946843</v>
      </c>
      <c r="F382" s="7" t="s">
        <v>1071</v>
      </c>
      <c r="G382" s="7" t="s">
        <v>1072</v>
      </c>
      <c r="H382" s="7" t="s">
        <v>1073</v>
      </c>
      <c r="I382" s="9">
        <v>45347</v>
      </c>
    </row>
    <row r="383" spans="1:9" x14ac:dyDescent="0.15">
      <c r="A383" s="6">
        <v>382</v>
      </c>
      <c r="B383" s="7" t="s">
        <v>9</v>
      </c>
      <c r="C383" s="8">
        <v>1889</v>
      </c>
      <c r="D383" s="9">
        <v>45439</v>
      </c>
      <c r="E383" s="13" t="str">
        <f>+HYPERLINK("http://trademark.i-assist.jp/data/china/image_1889th/76947168.pdf","76947168")</f>
        <v>76947168</v>
      </c>
      <c r="F383" s="7" t="s">
        <v>1074</v>
      </c>
      <c r="G383" s="7" t="s">
        <v>1075</v>
      </c>
      <c r="H383" s="7" t="s">
        <v>1076</v>
      </c>
      <c r="I383" s="9">
        <v>45347</v>
      </c>
    </row>
    <row r="384" spans="1:9" x14ac:dyDescent="0.15">
      <c r="A384" s="6">
        <v>383</v>
      </c>
      <c r="B384" s="7" t="s">
        <v>9</v>
      </c>
      <c r="C384" s="8">
        <v>1889</v>
      </c>
      <c r="D384" s="9">
        <v>45439</v>
      </c>
      <c r="E384" s="13" t="str">
        <f>+HYPERLINK("http://trademark.i-assist.jp/data/china/image_1889th/76947188.pdf","76947188")</f>
        <v>76947188</v>
      </c>
      <c r="F384" s="7" t="s">
        <v>1077</v>
      </c>
      <c r="G384" s="7" t="s">
        <v>1078</v>
      </c>
      <c r="H384" s="7" t="s">
        <v>1079</v>
      </c>
      <c r="I384" s="9">
        <v>45347</v>
      </c>
    </row>
    <row r="385" spans="1:9" x14ac:dyDescent="0.15">
      <c r="A385" s="6">
        <v>384</v>
      </c>
      <c r="B385" s="7" t="s">
        <v>9</v>
      </c>
      <c r="C385" s="8">
        <v>1889</v>
      </c>
      <c r="D385" s="9">
        <v>45439</v>
      </c>
      <c r="E385" s="13" t="str">
        <f>+HYPERLINK("http://trademark.i-assist.jp/data/china/image_1889th/76947191.pdf","76947191")</f>
        <v>76947191</v>
      </c>
      <c r="F385" s="7" t="s">
        <v>1080</v>
      </c>
      <c r="G385" s="7" t="s">
        <v>1081</v>
      </c>
      <c r="H385" s="7" t="s">
        <v>1082</v>
      </c>
      <c r="I385" s="9">
        <v>45347</v>
      </c>
    </row>
    <row r="386" spans="1:9" x14ac:dyDescent="0.15">
      <c r="A386" s="6">
        <v>385</v>
      </c>
      <c r="B386" s="7" t="s">
        <v>9</v>
      </c>
      <c r="C386" s="8">
        <v>1889</v>
      </c>
      <c r="D386" s="9">
        <v>45439</v>
      </c>
      <c r="E386" s="13" t="str">
        <f>+HYPERLINK("http://trademark.i-assist.jp/data/china/image_1889th/76947445.pdf","76947445")</f>
        <v>76947445</v>
      </c>
      <c r="F386" s="7" t="s">
        <v>1083</v>
      </c>
      <c r="G386" s="7" t="s">
        <v>1084</v>
      </c>
      <c r="H386" s="7" t="s">
        <v>1085</v>
      </c>
      <c r="I386" s="9">
        <v>45347</v>
      </c>
    </row>
    <row r="387" spans="1:9" x14ac:dyDescent="0.15">
      <c r="A387" s="6">
        <v>386</v>
      </c>
      <c r="B387" s="7" t="s">
        <v>9</v>
      </c>
      <c r="C387" s="8">
        <v>1889</v>
      </c>
      <c r="D387" s="9">
        <v>45439</v>
      </c>
      <c r="E387" s="13" t="str">
        <f>+HYPERLINK("http://trademark.i-assist.jp/data/china/image_1889th/76947785.pdf","76947785")</f>
        <v>76947785</v>
      </c>
      <c r="F387" s="7" t="s">
        <v>1086</v>
      </c>
      <c r="G387" s="7" t="s">
        <v>1087</v>
      </c>
      <c r="H387" s="7" t="s">
        <v>1088</v>
      </c>
      <c r="I387" s="9">
        <v>45348</v>
      </c>
    </row>
    <row r="388" spans="1:9" x14ac:dyDescent="0.15">
      <c r="A388" s="6">
        <v>387</v>
      </c>
      <c r="B388" s="7" t="s">
        <v>9</v>
      </c>
      <c r="C388" s="8">
        <v>1889</v>
      </c>
      <c r="D388" s="9">
        <v>45439</v>
      </c>
      <c r="E388" s="13" t="str">
        <f>+HYPERLINK("http://trademark.i-assist.jp/data/china/image_1889th/76948206.pdf","76948206")</f>
        <v>76948206</v>
      </c>
      <c r="F388" s="7" t="s">
        <v>1089</v>
      </c>
      <c r="G388" s="7" t="s">
        <v>1090</v>
      </c>
      <c r="H388" s="7" t="s">
        <v>1091</v>
      </c>
      <c r="I388" s="9">
        <v>45348</v>
      </c>
    </row>
    <row r="389" spans="1:9" x14ac:dyDescent="0.15">
      <c r="A389" s="6">
        <v>388</v>
      </c>
      <c r="B389" s="7" t="s">
        <v>9</v>
      </c>
      <c r="C389" s="8">
        <v>1889</v>
      </c>
      <c r="D389" s="9">
        <v>45439</v>
      </c>
      <c r="E389" s="13" t="str">
        <f>+HYPERLINK("http://trademark.i-assist.jp/data/china/image_1889th/76948487.pdf","76948487")</f>
        <v>76948487</v>
      </c>
      <c r="F389" s="7" t="s">
        <v>1092</v>
      </c>
      <c r="G389" s="7" t="s">
        <v>1093</v>
      </c>
      <c r="H389" s="7" t="s">
        <v>1094</v>
      </c>
      <c r="I389" s="9">
        <v>45348</v>
      </c>
    </row>
    <row r="390" spans="1:9" x14ac:dyDescent="0.15">
      <c r="A390" s="6">
        <v>389</v>
      </c>
      <c r="B390" s="7" t="s">
        <v>9</v>
      </c>
      <c r="C390" s="8">
        <v>1889</v>
      </c>
      <c r="D390" s="9">
        <v>45439</v>
      </c>
      <c r="E390" s="13" t="str">
        <f>+HYPERLINK("http://trademark.i-assist.jp/data/china/image_1889th/76948741.pdf","76948741")</f>
        <v>76948741</v>
      </c>
      <c r="F390" s="7" t="s">
        <v>1095</v>
      </c>
      <c r="G390" s="7" t="s">
        <v>1096</v>
      </c>
      <c r="H390" s="7" t="s">
        <v>1097</v>
      </c>
      <c r="I390" s="9">
        <v>45348</v>
      </c>
    </row>
    <row r="391" spans="1:9" ht="27" x14ac:dyDescent="0.15">
      <c r="A391" s="6">
        <v>390</v>
      </c>
      <c r="B391" s="7" t="s">
        <v>9</v>
      </c>
      <c r="C391" s="8">
        <v>1889</v>
      </c>
      <c r="D391" s="9">
        <v>45439</v>
      </c>
      <c r="E391" s="13" t="str">
        <f>+HYPERLINK("http://trademark.i-assist.jp/data/china/image_1889th/76949053.pdf","76949053")</f>
        <v>76949053</v>
      </c>
      <c r="F391" s="7" t="s">
        <v>134</v>
      </c>
      <c r="G391" s="7" t="s">
        <v>1098</v>
      </c>
      <c r="H391" s="7" t="s">
        <v>1099</v>
      </c>
      <c r="I391" s="9">
        <v>45348</v>
      </c>
    </row>
    <row r="392" spans="1:9" ht="27" x14ac:dyDescent="0.15">
      <c r="A392" s="6">
        <v>391</v>
      </c>
      <c r="B392" s="7" t="s">
        <v>9</v>
      </c>
      <c r="C392" s="8">
        <v>1889</v>
      </c>
      <c r="D392" s="9">
        <v>45439</v>
      </c>
      <c r="E392" s="13" t="str">
        <f>+HYPERLINK("http://trademark.i-assist.jp/data/china/image_1889th/76950404.pdf","76950404")</f>
        <v>76950404</v>
      </c>
      <c r="F392" s="7" t="s">
        <v>1100</v>
      </c>
      <c r="G392" s="7" t="s">
        <v>1101</v>
      </c>
      <c r="H392" s="7" t="s">
        <v>1102</v>
      </c>
      <c r="I392" s="9">
        <v>45348</v>
      </c>
    </row>
    <row r="393" spans="1:9" x14ac:dyDescent="0.15">
      <c r="A393" s="6">
        <v>392</v>
      </c>
      <c r="B393" s="7" t="s">
        <v>9</v>
      </c>
      <c r="C393" s="8">
        <v>1889</v>
      </c>
      <c r="D393" s="9">
        <v>45439</v>
      </c>
      <c r="E393" s="13" t="str">
        <f>+HYPERLINK("http://trademark.i-assist.jp/data/china/image_1889th/76950764.pdf","76950764")</f>
        <v>76950764</v>
      </c>
      <c r="F393" s="7" t="s">
        <v>1103</v>
      </c>
      <c r="G393" s="7" t="s">
        <v>1104</v>
      </c>
      <c r="H393" s="7" t="s">
        <v>1105</v>
      </c>
      <c r="I393" s="9">
        <v>45348</v>
      </c>
    </row>
    <row r="394" spans="1:9" ht="27" x14ac:dyDescent="0.15">
      <c r="A394" s="6">
        <v>393</v>
      </c>
      <c r="B394" s="7" t="s">
        <v>9</v>
      </c>
      <c r="C394" s="8">
        <v>1889</v>
      </c>
      <c r="D394" s="9">
        <v>45439</v>
      </c>
      <c r="E394" s="13" t="str">
        <f>+HYPERLINK("http://trademark.i-assist.jp/data/china/image_1889th/76951469.pdf","76951469")</f>
        <v>76951469</v>
      </c>
      <c r="F394" s="7" t="s">
        <v>1106</v>
      </c>
      <c r="G394" s="7" t="s">
        <v>1107</v>
      </c>
      <c r="H394" s="7" t="s">
        <v>1108</v>
      </c>
      <c r="I394" s="9">
        <v>45348</v>
      </c>
    </row>
    <row r="395" spans="1:9" x14ac:dyDescent="0.15">
      <c r="A395" s="6">
        <v>394</v>
      </c>
      <c r="B395" s="7" t="s">
        <v>9</v>
      </c>
      <c r="C395" s="8">
        <v>1889</v>
      </c>
      <c r="D395" s="9">
        <v>45439</v>
      </c>
      <c r="E395" s="13" t="str">
        <f>+HYPERLINK("http://trademark.i-assist.jp/data/china/image_1889th/76952477.pdf","76952477")</f>
        <v>76952477</v>
      </c>
      <c r="F395" s="7" t="s">
        <v>1109</v>
      </c>
      <c r="G395" s="7" t="s">
        <v>1110</v>
      </c>
      <c r="H395" s="7" t="s">
        <v>1111</v>
      </c>
      <c r="I395" s="9">
        <v>45348</v>
      </c>
    </row>
    <row r="396" spans="1:9" x14ac:dyDescent="0.15">
      <c r="A396" s="6">
        <v>395</v>
      </c>
      <c r="B396" s="7" t="s">
        <v>9</v>
      </c>
      <c r="C396" s="8">
        <v>1889</v>
      </c>
      <c r="D396" s="9">
        <v>45439</v>
      </c>
      <c r="E396" s="13" t="str">
        <f>+HYPERLINK("http://trademark.i-assist.jp/data/china/image_1889th/76955835.pdf","76955835")</f>
        <v>76955835</v>
      </c>
      <c r="F396" s="7" t="s">
        <v>1112</v>
      </c>
      <c r="G396" s="7" t="s">
        <v>1113</v>
      </c>
      <c r="H396" s="7" t="s">
        <v>1114</v>
      </c>
      <c r="I396" s="9">
        <v>45348</v>
      </c>
    </row>
    <row r="397" spans="1:9" ht="27" x14ac:dyDescent="0.15">
      <c r="A397" s="6">
        <v>396</v>
      </c>
      <c r="B397" s="7" t="s">
        <v>9</v>
      </c>
      <c r="C397" s="8">
        <v>1889</v>
      </c>
      <c r="D397" s="9">
        <v>45439</v>
      </c>
      <c r="E397" s="13" t="str">
        <f>+HYPERLINK("http://trademark.i-assist.jp/data/china/image_1889th/76956234.pdf","76956234")</f>
        <v>76956234</v>
      </c>
      <c r="F397" s="7" t="s">
        <v>1115</v>
      </c>
      <c r="G397" s="7" t="s">
        <v>1015</v>
      </c>
      <c r="H397" s="7" t="s">
        <v>1116</v>
      </c>
      <c r="I397" s="9">
        <v>45348</v>
      </c>
    </row>
    <row r="398" spans="1:9" ht="27" x14ac:dyDescent="0.15">
      <c r="A398" s="6">
        <v>397</v>
      </c>
      <c r="B398" s="7" t="s">
        <v>9</v>
      </c>
      <c r="C398" s="8">
        <v>1889</v>
      </c>
      <c r="D398" s="9">
        <v>45439</v>
      </c>
      <c r="E398" s="13" t="str">
        <f>+HYPERLINK("http://trademark.i-assist.jp/data/china/image_1889th/76956723.pdf","76956723")</f>
        <v>76956723</v>
      </c>
      <c r="F398" s="7" t="s">
        <v>1117</v>
      </c>
      <c r="G398" s="7" t="s">
        <v>1118</v>
      </c>
      <c r="H398" s="7" t="s">
        <v>1119</v>
      </c>
      <c r="I398" s="9">
        <v>45348</v>
      </c>
    </row>
    <row r="399" spans="1:9" x14ac:dyDescent="0.15">
      <c r="A399" s="6">
        <v>398</v>
      </c>
      <c r="B399" s="7" t="s">
        <v>9</v>
      </c>
      <c r="C399" s="8">
        <v>1889</v>
      </c>
      <c r="D399" s="9">
        <v>45439</v>
      </c>
      <c r="E399" s="13" t="str">
        <f>+HYPERLINK("http://trademark.i-assist.jp/data/china/image_1889th/76958622.pdf","76958622")</f>
        <v>76958622</v>
      </c>
      <c r="F399" s="7" t="s">
        <v>1120</v>
      </c>
      <c r="G399" s="7" t="s">
        <v>1121</v>
      </c>
      <c r="H399" s="7" t="s">
        <v>1122</v>
      </c>
      <c r="I399" s="9">
        <v>45348</v>
      </c>
    </row>
    <row r="400" spans="1:9" x14ac:dyDescent="0.15">
      <c r="A400" s="6">
        <v>399</v>
      </c>
      <c r="B400" s="7" t="s">
        <v>9</v>
      </c>
      <c r="C400" s="8">
        <v>1889</v>
      </c>
      <c r="D400" s="9">
        <v>45439</v>
      </c>
      <c r="E400" s="13" t="str">
        <f>+HYPERLINK("http://trademark.i-assist.jp/data/china/image_1889th/76958784.pdf","76958784")</f>
        <v>76958784</v>
      </c>
      <c r="F400" s="7" t="s">
        <v>1123</v>
      </c>
      <c r="G400" s="7" t="s">
        <v>1124</v>
      </c>
      <c r="H400" s="7" t="s">
        <v>1125</v>
      </c>
      <c r="I400" s="9">
        <v>45348</v>
      </c>
    </row>
    <row r="401" spans="1:9" x14ac:dyDescent="0.15">
      <c r="A401" s="6">
        <v>400</v>
      </c>
      <c r="B401" s="7" t="s">
        <v>9</v>
      </c>
      <c r="C401" s="8">
        <v>1889</v>
      </c>
      <c r="D401" s="9">
        <v>45439</v>
      </c>
      <c r="E401" s="13" t="str">
        <f>+HYPERLINK("http://trademark.i-assist.jp/data/china/image_1889th/76959021.pdf","76959021")</f>
        <v>76959021</v>
      </c>
      <c r="F401" s="7" t="s">
        <v>1126</v>
      </c>
      <c r="G401" s="7" t="s">
        <v>1127</v>
      </c>
      <c r="H401" s="7" t="s">
        <v>1128</v>
      </c>
      <c r="I401" s="9">
        <v>45348</v>
      </c>
    </row>
    <row r="402" spans="1:9" x14ac:dyDescent="0.15">
      <c r="A402" s="6">
        <v>401</v>
      </c>
      <c r="B402" s="7" t="s">
        <v>9</v>
      </c>
      <c r="C402" s="8">
        <v>1889</v>
      </c>
      <c r="D402" s="9">
        <v>45439</v>
      </c>
      <c r="E402" s="13" t="str">
        <f>+HYPERLINK("http://trademark.i-assist.jp/data/china/image_1889th/76960117.pdf","76960117")</f>
        <v>76960117</v>
      </c>
      <c r="F402" s="7" t="s">
        <v>1129</v>
      </c>
      <c r="G402" s="7" t="s">
        <v>1130</v>
      </c>
      <c r="H402" s="7" t="s">
        <v>1131</v>
      </c>
      <c r="I402" s="9">
        <v>45348</v>
      </c>
    </row>
    <row r="403" spans="1:9" x14ac:dyDescent="0.15">
      <c r="A403" s="6">
        <v>402</v>
      </c>
      <c r="B403" s="7" t="s">
        <v>9</v>
      </c>
      <c r="C403" s="8">
        <v>1889</v>
      </c>
      <c r="D403" s="9">
        <v>45439</v>
      </c>
      <c r="E403" s="13" t="str">
        <f>+HYPERLINK("http://trademark.i-assist.jp/data/china/image_1889th/76960397.pdf","76960397")</f>
        <v>76960397</v>
      </c>
      <c r="F403" s="7" t="s">
        <v>1132</v>
      </c>
      <c r="G403" s="7" t="s">
        <v>1104</v>
      </c>
      <c r="H403" s="7" t="s">
        <v>1133</v>
      </c>
      <c r="I403" s="9">
        <v>45348</v>
      </c>
    </row>
    <row r="404" spans="1:9" x14ac:dyDescent="0.15">
      <c r="A404" s="6">
        <v>403</v>
      </c>
      <c r="B404" s="7" t="s">
        <v>9</v>
      </c>
      <c r="C404" s="8">
        <v>1889</v>
      </c>
      <c r="D404" s="9">
        <v>45439</v>
      </c>
      <c r="E404" s="13" t="str">
        <f>+HYPERLINK("http://trademark.i-assist.jp/data/china/image_1889th/76960558.pdf","76960558")</f>
        <v>76960558</v>
      </c>
      <c r="F404" s="7" t="s">
        <v>1134</v>
      </c>
      <c r="G404" s="7" t="s">
        <v>1135</v>
      </c>
      <c r="H404" s="7" t="s">
        <v>1136</v>
      </c>
      <c r="I404" s="9">
        <v>45348</v>
      </c>
    </row>
    <row r="405" spans="1:9" x14ac:dyDescent="0.15">
      <c r="A405" s="6">
        <v>404</v>
      </c>
      <c r="B405" s="7" t="s">
        <v>9</v>
      </c>
      <c r="C405" s="8">
        <v>1889</v>
      </c>
      <c r="D405" s="9">
        <v>45439</v>
      </c>
      <c r="E405" s="13" t="str">
        <f>+HYPERLINK("http://trademark.i-assist.jp/data/china/image_1889th/76960777.pdf","76960777")</f>
        <v>76960777</v>
      </c>
      <c r="F405" s="7" t="s">
        <v>1137</v>
      </c>
      <c r="G405" s="7" t="s">
        <v>1138</v>
      </c>
      <c r="H405" s="7" t="s">
        <v>1139</v>
      </c>
      <c r="I405" s="9">
        <v>45348</v>
      </c>
    </row>
    <row r="406" spans="1:9" x14ac:dyDescent="0.15">
      <c r="A406" s="6">
        <v>405</v>
      </c>
      <c r="B406" s="7" t="s">
        <v>9</v>
      </c>
      <c r="C406" s="8">
        <v>1889</v>
      </c>
      <c r="D406" s="9">
        <v>45439</v>
      </c>
      <c r="E406" s="13" t="str">
        <f>+HYPERLINK("http://trademark.i-assist.jp/data/china/image_1889th/76961244.pdf","76961244")</f>
        <v>76961244</v>
      </c>
      <c r="F406" s="7" t="s">
        <v>1140</v>
      </c>
      <c r="G406" s="7" t="s">
        <v>1141</v>
      </c>
      <c r="H406" s="7" t="s">
        <v>1142</v>
      </c>
      <c r="I406" s="9">
        <v>45348</v>
      </c>
    </row>
    <row r="407" spans="1:9" x14ac:dyDescent="0.15">
      <c r="A407" s="6">
        <v>406</v>
      </c>
      <c r="B407" s="7" t="s">
        <v>9</v>
      </c>
      <c r="C407" s="8">
        <v>1889</v>
      </c>
      <c r="D407" s="9">
        <v>45439</v>
      </c>
      <c r="E407" s="13" t="str">
        <f>+HYPERLINK("http://trademark.i-assist.jp/data/china/image_1889th/76961249.pdf","76961249")</f>
        <v>76961249</v>
      </c>
      <c r="F407" s="7" t="s">
        <v>134</v>
      </c>
      <c r="G407" s="7" t="s">
        <v>1143</v>
      </c>
      <c r="H407" s="7" t="s">
        <v>1144</v>
      </c>
      <c r="I407" s="9">
        <v>45348</v>
      </c>
    </row>
    <row r="408" spans="1:9" x14ac:dyDescent="0.15">
      <c r="A408" s="6">
        <v>407</v>
      </c>
      <c r="B408" s="7" t="s">
        <v>9</v>
      </c>
      <c r="C408" s="8">
        <v>1889</v>
      </c>
      <c r="D408" s="9">
        <v>45439</v>
      </c>
      <c r="E408" s="13" t="str">
        <f>+HYPERLINK("http://trademark.i-assist.jp/data/china/image_1889th/76961503.pdf","76961503")</f>
        <v>76961503</v>
      </c>
      <c r="F408" s="7" t="s">
        <v>134</v>
      </c>
      <c r="G408" s="7" t="s">
        <v>1145</v>
      </c>
      <c r="H408" s="7" t="s">
        <v>1146</v>
      </c>
      <c r="I408" s="9">
        <v>45348</v>
      </c>
    </row>
    <row r="409" spans="1:9" x14ac:dyDescent="0.15">
      <c r="A409" s="6">
        <v>408</v>
      </c>
      <c r="B409" s="7" t="s">
        <v>9</v>
      </c>
      <c r="C409" s="8">
        <v>1889</v>
      </c>
      <c r="D409" s="9">
        <v>45439</v>
      </c>
      <c r="E409" s="13" t="str">
        <f>+HYPERLINK("http://trademark.i-assist.jp/data/china/image_1889th/76962257.pdf","76962257")</f>
        <v>76962257</v>
      </c>
      <c r="F409" s="7" t="s">
        <v>1147</v>
      </c>
      <c r="G409" s="7" t="s">
        <v>1148</v>
      </c>
      <c r="H409" s="7" t="s">
        <v>1149</v>
      </c>
      <c r="I409" s="9">
        <v>45348</v>
      </c>
    </row>
    <row r="410" spans="1:9" x14ac:dyDescent="0.15">
      <c r="A410" s="6">
        <v>409</v>
      </c>
      <c r="B410" s="7" t="s">
        <v>9</v>
      </c>
      <c r="C410" s="8">
        <v>1889</v>
      </c>
      <c r="D410" s="9">
        <v>45439</v>
      </c>
      <c r="E410" s="13" t="str">
        <f>+HYPERLINK("http://trademark.i-assist.jp/data/china/image_1889th/76962396.pdf","76962396")</f>
        <v>76962396</v>
      </c>
      <c r="F410" s="7" t="s">
        <v>1150</v>
      </c>
      <c r="G410" s="7" t="s">
        <v>1151</v>
      </c>
      <c r="H410" s="7" t="s">
        <v>1152</v>
      </c>
      <c r="I410" s="9">
        <v>45348</v>
      </c>
    </row>
    <row r="411" spans="1:9" ht="27" x14ac:dyDescent="0.15">
      <c r="A411" s="6">
        <v>410</v>
      </c>
      <c r="B411" s="7" t="s">
        <v>9</v>
      </c>
      <c r="C411" s="8">
        <v>1889</v>
      </c>
      <c r="D411" s="9">
        <v>45439</v>
      </c>
      <c r="E411" s="13" t="str">
        <f>+HYPERLINK("http://trademark.i-assist.jp/data/china/image_1889th/76963044.pdf","76963044")</f>
        <v>76963044</v>
      </c>
      <c r="F411" s="7" t="s">
        <v>134</v>
      </c>
      <c r="G411" s="7" t="s">
        <v>1153</v>
      </c>
      <c r="H411" s="7" t="s">
        <v>1154</v>
      </c>
      <c r="I411" s="9">
        <v>45348</v>
      </c>
    </row>
    <row r="412" spans="1:9" x14ac:dyDescent="0.15">
      <c r="A412" s="6">
        <v>411</v>
      </c>
      <c r="B412" s="7" t="s">
        <v>9</v>
      </c>
      <c r="C412" s="8">
        <v>1889</v>
      </c>
      <c r="D412" s="9">
        <v>45439</v>
      </c>
      <c r="E412" s="13" t="str">
        <f>+HYPERLINK("http://trademark.i-assist.jp/data/china/image_1889th/76963425.pdf","76963425")</f>
        <v>76963425</v>
      </c>
      <c r="F412" s="7" t="s">
        <v>1155</v>
      </c>
      <c r="G412" s="7" t="s">
        <v>1156</v>
      </c>
      <c r="H412" s="7" t="s">
        <v>1157</v>
      </c>
      <c r="I412" s="9">
        <v>45348</v>
      </c>
    </row>
    <row r="413" spans="1:9" x14ac:dyDescent="0.15">
      <c r="A413" s="6">
        <v>412</v>
      </c>
      <c r="B413" s="7" t="s">
        <v>9</v>
      </c>
      <c r="C413" s="8">
        <v>1889</v>
      </c>
      <c r="D413" s="9">
        <v>45439</v>
      </c>
      <c r="E413" s="13" t="str">
        <f>+HYPERLINK("http://trademark.i-assist.jp/data/china/image_1889th/76963605.pdf","76963605")</f>
        <v>76963605</v>
      </c>
      <c r="F413" s="7" t="s">
        <v>1158</v>
      </c>
      <c r="G413" s="7" t="s">
        <v>1159</v>
      </c>
      <c r="H413" s="7" t="s">
        <v>1160</v>
      </c>
      <c r="I413" s="9">
        <v>45348</v>
      </c>
    </row>
    <row r="414" spans="1:9" x14ac:dyDescent="0.15">
      <c r="A414" s="6">
        <v>413</v>
      </c>
      <c r="B414" s="7" t="s">
        <v>9</v>
      </c>
      <c r="C414" s="8">
        <v>1889</v>
      </c>
      <c r="D414" s="9">
        <v>45439</v>
      </c>
      <c r="E414" s="13" t="str">
        <f>+HYPERLINK("http://trademark.i-assist.jp/data/china/image_1889th/76964153.pdf","76964153")</f>
        <v>76964153</v>
      </c>
      <c r="F414" s="7" t="s">
        <v>1161</v>
      </c>
      <c r="G414" s="7" t="s">
        <v>1162</v>
      </c>
      <c r="H414" s="7" t="s">
        <v>1163</v>
      </c>
      <c r="I414" s="9">
        <v>45348</v>
      </c>
    </row>
    <row r="415" spans="1:9" x14ac:dyDescent="0.15">
      <c r="A415" s="6">
        <v>414</v>
      </c>
      <c r="B415" s="7" t="s">
        <v>9</v>
      </c>
      <c r="C415" s="8">
        <v>1889</v>
      </c>
      <c r="D415" s="9">
        <v>45439</v>
      </c>
      <c r="E415" s="13" t="str">
        <f>+HYPERLINK("http://trademark.i-assist.jp/data/china/image_1889th/76964604.pdf","76964604")</f>
        <v>76964604</v>
      </c>
      <c r="F415" s="7" t="s">
        <v>134</v>
      </c>
      <c r="G415" s="7" t="s">
        <v>1164</v>
      </c>
      <c r="H415" s="7" t="s">
        <v>1165</v>
      </c>
      <c r="I415" s="9">
        <v>45348</v>
      </c>
    </row>
    <row r="416" spans="1:9" x14ac:dyDescent="0.15">
      <c r="A416" s="6">
        <v>415</v>
      </c>
      <c r="B416" s="7" t="s">
        <v>9</v>
      </c>
      <c r="C416" s="8">
        <v>1889</v>
      </c>
      <c r="D416" s="9">
        <v>45439</v>
      </c>
      <c r="E416" s="13" t="str">
        <f>+HYPERLINK("http://trademark.i-assist.jp/data/china/image_1889th/76964680.pdf","76964680")</f>
        <v>76964680</v>
      </c>
      <c r="F416" s="7" t="s">
        <v>1166</v>
      </c>
      <c r="G416" s="7" t="s">
        <v>1167</v>
      </c>
      <c r="H416" s="7" t="s">
        <v>1168</v>
      </c>
      <c r="I416" s="9">
        <v>45348</v>
      </c>
    </row>
    <row r="417" spans="1:9" x14ac:dyDescent="0.15">
      <c r="A417" s="6">
        <v>416</v>
      </c>
      <c r="B417" s="7" t="s">
        <v>9</v>
      </c>
      <c r="C417" s="8">
        <v>1889</v>
      </c>
      <c r="D417" s="9">
        <v>45439</v>
      </c>
      <c r="E417" s="13" t="str">
        <f>+HYPERLINK("http://trademark.i-assist.jp/data/china/image_1889th/76964708.pdf","76964708")</f>
        <v>76964708</v>
      </c>
      <c r="F417" s="7" t="s">
        <v>1169</v>
      </c>
      <c r="G417" s="7" t="s">
        <v>1170</v>
      </c>
      <c r="H417" s="7" t="s">
        <v>1171</v>
      </c>
      <c r="I417" s="9">
        <v>45348</v>
      </c>
    </row>
    <row r="418" spans="1:9" x14ac:dyDescent="0.15">
      <c r="A418" s="6">
        <v>417</v>
      </c>
      <c r="B418" s="7" t="s">
        <v>9</v>
      </c>
      <c r="C418" s="8">
        <v>1889</v>
      </c>
      <c r="D418" s="9">
        <v>45439</v>
      </c>
      <c r="E418" s="13" t="str">
        <f>+HYPERLINK("http://trademark.i-assist.jp/data/china/image_1889th/76964963.pdf","76964963")</f>
        <v>76964963</v>
      </c>
      <c r="F418" s="7" t="s">
        <v>1172</v>
      </c>
      <c r="G418" s="7" t="s">
        <v>1173</v>
      </c>
      <c r="H418" s="7" t="s">
        <v>1174</v>
      </c>
      <c r="I418" s="9">
        <v>45348</v>
      </c>
    </row>
    <row r="419" spans="1:9" x14ac:dyDescent="0.15">
      <c r="A419" s="6">
        <v>418</v>
      </c>
      <c r="B419" s="7" t="s">
        <v>9</v>
      </c>
      <c r="C419" s="8">
        <v>1889</v>
      </c>
      <c r="D419" s="9">
        <v>45439</v>
      </c>
      <c r="E419" s="13" t="str">
        <f>+HYPERLINK("http://trademark.i-assist.jp/data/china/image_1889th/76965226.pdf","76965226")</f>
        <v>76965226</v>
      </c>
      <c r="F419" s="7" t="s">
        <v>1175</v>
      </c>
      <c r="G419" s="7" t="s">
        <v>672</v>
      </c>
      <c r="H419" s="7" t="s">
        <v>1176</v>
      </c>
      <c r="I419" s="9">
        <v>45348</v>
      </c>
    </row>
    <row r="420" spans="1:9" x14ac:dyDescent="0.15">
      <c r="A420" s="6">
        <v>419</v>
      </c>
      <c r="B420" s="7" t="s">
        <v>9</v>
      </c>
      <c r="C420" s="8">
        <v>1889</v>
      </c>
      <c r="D420" s="9">
        <v>45439</v>
      </c>
      <c r="E420" s="13" t="str">
        <f>+HYPERLINK("http://trademark.i-assist.jp/data/china/image_1889th/76965466.pdf","76965466")</f>
        <v>76965466</v>
      </c>
      <c r="F420" s="7" t="s">
        <v>1177</v>
      </c>
      <c r="G420" s="7" t="s">
        <v>1178</v>
      </c>
      <c r="H420" s="7" t="s">
        <v>1179</v>
      </c>
      <c r="I420" s="9">
        <v>45348</v>
      </c>
    </row>
    <row r="421" spans="1:9" ht="27" x14ac:dyDescent="0.15">
      <c r="A421" s="6">
        <v>420</v>
      </c>
      <c r="B421" s="7" t="s">
        <v>9</v>
      </c>
      <c r="C421" s="8">
        <v>1889</v>
      </c>
      <c r="D421" s="9">
        <v>45439</v>
      </c>
      <c r="E421" s="13" t="str">
        <f>+HYPERLINK("http://trademark.i-assist.jp/data/china/image_1889th/76965558.pdf","76965558")</f>
        <v>76965558</v>
      </c>
      <c r="F421" s="7" t="s">
        <v>1180</v>
      </c>
      <c r="G421" s="7" t="s">
        <v>1181</v>
      </c>
      <c r="H421" s="7" t="s">
        <v>1182</v>
      </c>
      <c r="I421" s="9">
        <v>45348</v>
      </c>
    </row>
    <row r="422" spans="1:9" x14ac:dyDescent="0.15">
      <c r="A422" s="6">
        <v>421</v>
      </c>
      <c r="B422" s="7" t="s">
        <v>9</v>
      </c>
      <c r="C422" s="8">
        <v>1889</v>
      </c>
      <c r="D422" s="9">
        <v>45439</v>
      </c>
      <c r="E422" s="13" t="str">
        <f>+HYPERLINK("http://trademark.i-assist.jp/data/china/image_1889th/76965631.pdf","76965631")</f>
        <v>76965631</v>
      </c>
      <c r="F422" s="7" t="s">
        <v>1183</v>
      </c>
      <c r="G422" s="7" t="s">
        <v>1184</v>
      </c>
      <c r="H422" s="7" t="s">
        <v>1185</v>
      </c>
      <c r="I422" s="9">
        <v>45348</v>
      </c>
    </row>
    <row r="423" spans="1:9" x14ac:dyDescent="0.15">
      <c r="A423" s="6">
        <v>422</v>
      </c>
      <c r="B423" s="7" t="s">
        <v>9</v>
      </c>
      <c r="C423" s="8">
        <v>1889</v>
      </c>
      <c r="D423" s="9">
        <v>45439</v>
      </c>
      <c r="E423" s="13" t="str">
        <f>+HYPERLINK("http://trademark.i-assist.jp/data/china/image_1889th/76965938.pdf","76965938")</f>
        <v>76965938</v>
      </c>
      <c r="F423" s="7" t="s">
        <v>1186</v>
      </c>
      <c r="G423" s="7" t="s">
        <v>1187</v>
      </c>
      <c r="H423" s="7" t="s">
        <v>1188</v>
      </c>
      <c r="I423" s="9">
        <v>45348</v>
      </c>
    </row>
    <row r="424" spans="1:9" ht="27" x14ac:dyDescent="0.15">
      <c r="A424" s="6">
        <v>423</v>
      </c>
      <c r="B424" s="7" t="s">
        <v>9</v>
      </c>
      <c r="C424" s="8">
        <v>1889</v>
      </c>
      <c r="D424" s="9">
        <v>45439</v>
      </c>
      <c r="E424" s="13" t="str">
        <f>+HYPERLINK("http://trademark.i-assist.jp/data/china/image_1889th/76966420.pdf","76966420")</f>
        <v>76966420</v>
      </c>
      <c r="F424" s="7" t="s">
        <v>1189</v>
      </c>
      <c r="G424" s="7" t="s">
        <v>1189</v>
      </c>
      <c r="H424" s="7" t="s">
        <v>1190</v>
      </c>
      <c r="I424" s="9">
        <v>45348</v>
      </c>
    </row>
    <row r="425" spans="1:9" x14ac:dyDescent="0.15">
      <c r="A425" s="6">
        <v>424</v>
      </c>
      <c r="B425" s="7" t="s">
        <v>9</v>
      </c>
      <c r="C425" s="8">
        <v>1889</v>
      </c>
      <c r="D425" s="9">
        <v>45439</v>
      </c>
      <c r="E425" s="13" t="str">
        <f>+HYPERLINK("http://trademark.i-assist.jp/data/china/image_1889th/76966929.pdf","76966929")</f>
        <v>76966929</v>
      </c>
      <c r="F425" s="7" t="s">
        <v>1191</v>
      </c>
      <c r="G425" s="7" t="s">
        <v>1093</v>
      </c>
      <c r="H425" s="7" t="s">
        <v>1192</v>
      </c>
      <c r="I425" s="9">
        <v>45348</v>
      </c>
    </row>
    <row r="426" spans="1:9" x14ac:dyDescent="0.15">
      <c r="A426" s="6">
        <v>425</v>
      </c>
      <c r="B426" s="7" t="s">
        <v>9</v>
      </c>
      <c r="C426" s="8">
        <v>1889</v>
      </c>
      <c r="D426" s="9">
        <v>45439</v>
      </c>
      <c r="E426" s="13" t="str">
        <f>+HYPERLINK("http://trademark.i-assist.jp/data/china/image_1889th/76967042.pdf","76967042")</f>
        <v>76967042</v>
      </c>
      <c r="F426" s="7" t="s">
        <v>1193</v>
      </c>
      <c r="G426" s="7" t="s">
        <v>1194</v>
      </c>
      <c r="H426" s="7" t="s">
        <v>1195</v>
      </c>
      <c r="I426" s="9">
        <v>45348</v>
      </c>
    </row>
    <row r="427" spans="1:9" x14ac:dyDescent="0.15">
      <c r="A427" s="6">
        <v>426</v>
      </c>
      <c r="B427" s="7" t="s">
        <v>9</v>
      </c>
      <c r="C427" s="8">
        <v>1889</v>
      </c>
      <c r="D427" s="9">
        <v>45439</v>
      </c>
      <c r="E427" s="13" t="str">
        <f>+HYPERLINK("http://trademark.i-assist.jp/data/china/image_1889th/76967200.pdf","76967200")</f>
        <v>76967200</v>
      </c>
      <c r="F427" s="7" t="s">
        <v>1196</v>
      </c>
      <c r="G427" s="7" t="s">
        <v>1021</v>
      </c>
      <c r="H427" s="7" t="s">
        <v>1197</v>
      </c>
      <c r="I427" s="9">
        <v>45348</v>
      </c>
    </row>
    <row r="428" spans="1:9" x14ac:dyDescent="0.15">
      <c r="A428" s="6">
        <v>427</v>
      </c>
      <c r="B428" s="7" t="s">
        <v>9</v>
      </c>
      <c r="C428" s="8">
        <v>1889</v>
      </c>
      <c r="D428" s="9">
        <v>45439</v>
      </c>
      <c r="E428" s="13" t="str">
        <f>+HYPERLINK("http://trademark.i-assist.jp/data/china/image_1889th/76967702.pdf","76967702")</f>
        <v>76967702</v>
      </c>
      <c r="F428" s="7" t="s">
        <v>1086</v>
      </c>
      <c r="G428" s="7" t="s">
        <v>1087</v>
      </c>
      <c r="H428" s="7" t="s">
        <v>1198</v>
      </c>
      <c r="I428" s="9">
        <v>45348</v>
      </c>
    </row>
    <row r="429" spans="1:9" x14ac:dyDescent="0.15">
      <c r="A429" s="6">
        <v>428</v>
      </c>
      <c r="B429" s="7" t="s">
        <v>9</v>
      </c>
      <c r="C429" s="8">
        <v>1889</v>
      </c>
      <c r="D429" s="9">
        <v>45439</v>
      </c>
      <c r="E429" s="13" t="str">
        <f>+HYPERLINK("http://trademark.i-assist.jp/data/china/image_1889th/76968060.pdf","76968060")</f>
        <v>76968060</v>
      </c>
      <c r="F429" s="7" t="s">
        <v>1199</v>
      </c>
      <c r="G429" s="7" t="s">
        <v>1021</v>
      </c>
      <c r="H429" s="7" t="s">
        <v>1200</v>
      </c>
      <c r="I429" s="9">
        <v>45348</v>
      </c>
    </row>
    <row r="430" spans="1:9" x14ac:dyDescent="0.15">
      <c r="A430" s="6">
        <v>429</v>
      </c>
      <c r="B430" s="7" t="s">
        <v>9</v>
      </c>
      <c r="C430" s="8">
        <v>1889</v>
      </c>
      <c r="D430" s="9">
        <v>45439</v>
      </c>
      <c r="E430" s="13" t="str">
        <f>+HYPERLINK("http://trademark.i-assist.jp/data/china/image_1889th/76968621.pdf","76968621")</f>
        <v>76968621</v>
      </c>
      <c r="F430" s="7" t="s">
        <v>1201</v>
      </c>
      <c r="G430" s="7" t="s">
        <v>1202</v>
      </c>
      <c r="H430" s="7" t="s">
        <v>1203</v>
      </c>
      <c r="I430" s="9">
        <v>45348</v>
      </c>
    </row>
    <row r="431" spans="1:9" ht="27" x14ac:dyDescent="0.15">
      <c r="A431" s="6">
        <v>430</v>
      </c>
      <c r="B431" s="7" t="s">
        <v>9</v>
      </c>
      <c r="C431" s="8">
        <v>1889</v>
      </c>
      <c r="D431" s="9">
        <v>45439</v>
      </c>
      <c r="E431" s="13" t="str">
        <f>+HYPERLINK("http://trademark.i-assist.jp/data/china/image_1889th/76969138.pdf","76969138")</f>
        <v>76969138</v>
      </c>
      <c r="F431" s="7" t="s">
        <v>1204</v>
      </c>
      <c r="G431" s="7" t="s">
        <v>1205</v>
      </c>
      <c r="H431" s="7" t="s">
        <v>1206</v>
      </c>
      <c r="I431" s="9">
        <v>45348</v>
      </c>
    </row>
    <row r="432" spans="1:9" ht="27" x14ac:dyDescent="0.15">
      <c r="A432" s="6">
        <v>431</v>
      </c>
      <c r="B432" s="7" t="s">
        <v>9</v>
      </c>
      <c r="C432" s="8">
        <v>1889</v>
      </c>
      <c r="D432" s="9">
        <v>45439</v>
      </c>
      <c r="E432" s="13" t="str">
        <f>+HYPERLINK("http://trademark.i-assist.jp/data/china/image_1889th/76969161.pdf","76969161")</f>
        <v>76969161</v>
      </c>
      <c r="F432" s="7" t="s">
        <v>1207</v>
      </c>
      <c r="G432" s="7" t="s">
        <v>1015</v>
      </c>
      <c r="H432" s="7" t="s">
        <v>1208</v>
      </c>
      <c r="I432" s="9">
        <v>45348</v>
      </c>
    </row>
    <row r="433" spans="1:9" x14ac:dyDescent="0.15">
      <c r="A433" s="6">
        <v>432</v>
      </c>
      <c r="B433" s="7" t="s">
        <v>9</v>
      </c>
      <c r="C433" s="8">
        <v>1889</v>
      </c>
      <c r="D433" s="9">
        <v>45439</v>
      </c>
      <c r="E433" s="13" t="str">
        <f>+HYPERLINK("http://trademark.i-assist.jp/data/china/image_1889th/76969764.pdf","76969764")</f>
        <v>76969764</v>
      </c>
      <c r="F433" s="7" t="s">
        <v>1209</v>
      </c>
      <c r="G433" s="7" t="s">
        <v>579</v>
      </c>
      <c r="H433" s="7" t="s">
        <v>1210</v>
      </c>
      <c r="I433" s="9">
        <v>45348</v>
      </c>
    </row>
    <row r="434" spans="1:9" x14ac:dyDescent="0.15">
      <c r="A434" s="6">
        <v>433</v>
      </c>
      <c r="B434" s="7" t="s">
        <v>9</v>
      </c>
      <c r="C434" s="8">
        <v>1889</v>
      </c>
      <c r="D434" s="9">
        <v>45439</v>
      </c>
      <c r="E434" s="13" t="str">
        <f>+HYPERLINK("http://trademark.i-assist.jp/data/china/image_1889th/76970109.pdf","76970109")</f>
        <v>76970109</v>
      </c>
      <c r="F434" s="7" t="s">
        <v>134</v>
      </c>
      <c r="G434" s="7" t="s">
        <v>1211</v>
      </c>
      <c r="H434" s="7" t="s">
        <v>1212</v>
      </c>
      <c r="I434" s="9">
        <v>45348</v>
      </c>
    </row>
    <row r="435" spans="1:9" x14ac:dyDescent="0.15">
      <c r="A435" s="6">
        <v>434</v>
      </c>
      <c r="B435" s="7" t="s">
        <v>9</v>
      </c>
      <c r="C435" s="8">
        <v>1889</v>
      </c>
      <c r="D435" s="9">
        <v>45439</v>
      </c>
      <c r="E435" s="13" t="str">
        <f>+HYPERLINK("http://trademark.i-assist.jp/data/china/image_1889th/76970140.pdf","76970140")</f>
        <v>76970140</v>
      </c>
      <c r="F435" s="7" t="s">
        <v>1213</v>
      </c>
      <c r="G435" s="7" t="s">
        <v>1214</v>
      </c>
      <c r="H435" s="7" t="s">
        <v>1215</v>
      </c>
      <c r="I435" s="9">
        <v>45348</v>
      </c>
    </row>
    <row r="436" spans="1:9" x14ac:dyDescent="0.15">
      <c r="A436" s="6">
        <v>435</v>
      </c>
      <c r="B436" s="7" t="s">
        <v>9</v>
      </c>
      <c r="C436" s="8">
        <v>1889</v>
      </c>
      <c r="D436" s="9">
        <v>45439</v>
      </c>
      <c r="E436" s="13" t="str">
        <f>+HYPERLINK("http://trademark.i-assist.jp/data/china/image_1889th/76971580.pdf","76971580")</f>
        <v>76971580</v>
      </c>
      <c r="F436" s="7" t="s">
        <v>1216</v>
      </c>
      <c r="G436" s="7" t="s">
        <v>1217</v>
      </c>
      <c r="H436" s="7" t="s">
        <v>1218</v>
      </c>
      <c r="I436" s="9">
        <v>45349</v>
      </c>
    </row>
    <row r="437" spans="1:9" ht="27" x14ac:dyDescent="0.15">
      <c r="A437" s="6">
        <v>436</v>
      </c>
      <c r="B437" s="7" t="s">
        <v>9</v>
      </c>
      <c r="C437" s="8">
        <v>1889</v>
      </c>
      <c r="D437" s="9">
        <v>45439</v>
      </c>
      <c r="E437" s="13" t="str">
        <f>+HYPERLINK("http://trademark.i-assist.jp/data/china/image_1889th/76972289.pdf","76972289")</f>
        <v>76972289</v>
      </c>
      <c r="F437" s="7" t="s">
        <v>1219</v>
      </c>
      <c r="G437" s="7" t="s">
        <v>1220</v>
      </c>
      <c r="H437" s="7" t="s">
        <v>1221</v>
      </c>
      <c r="I437" s="9">
        <v>45349</v>
      </c>
    </row>
    <row r="438" spans="1:9" x14ac:dyDescent="0.15">
      <c r="A438" s="6">
        <v>437</v>
      </c>
      <c r="B438" s="7" t="s">
        <v>9</v>
      </c>
      <c r="C438" s="8">
        <v>1889</v>
      </c>
      <c r="D438" s="9">
        <v>45439</v>
      </c>
      <c r="E438" s="13" t="str">
        <f>+HYPERLINK("http://trademark.i-assist.jp/data/china/image_1889th/76972501.pdf","76972501")</f>
        <v>76972501</v>
      </c>
      <c r="F438" s="7" t="s">
        <v>1222</v>
      </c>
      <c r="G438" s="7" t="s">
        <v>1223</v>
      </c>
      <c r="H438" s="7" t="s">
        <v>1224</v>
      </c>
      <c r="I438" s="9">
        <v>45349</v>
      </c>
    </row>
    <row r="439" spans="1:9" x14ac:dyDescent="0.15">
      <c r="A439" s="6">
        <v>438</v>
      </c>
      <c r="B439" s="7" t="s">
        <v>9</v>
      </c>
      <c r="C439" s="8">
        <v>1889</v>
      </c>
      <c r="D439" s="9">
        <v>45439</v>
      </c>
      <c r="E439" s="13" t="str">
        <f>+HYPERLINK("http://trademark.i-assist.jp/data/china/image_1889th/76972707.pdf","76972707")</f>
        <v>76972707</v>
      </c>
      <c r="F439" s="7" t="s">
        <v>1225</v>
      </c>
      <c r="G439" s="7" t="s">
        <v>1226</v>
      </c>
      <c r="H439" s="7" t="s">
        <v>1227</v>
      </c>
      <c r="I439" s="9">
        <v>45349</v>
      </c>
    </row>
    <row r="440" spans="1:9" x14ac:dyDescent="0.15">
      <c r="A440" s="6">
        <v>439</v>
      </c>
      <c r="B440" s="7" t="s">
        <v>9</v>
      </c>
      <c r="C440" s="8">
        <v>1889</v>
      </c>
      <c r="D440" s="9">
        <v>45439</v>
      </c>
      <c r="E440" s="13" t="str">
        <f>+HYPERLINK("http://trademark.i-assist.jp/data/china/image_1889th/76972838.pdf","76972838")</f>
        <v>76972838</v>
      </c>
      <c r="F440" s="7" t="s">
        <v>1228</v>
      </c>
      <c r="G440" s="7" t="s">
        <v>1229</v>
      </c>
      <c r="H440" s="7" t="s">
        <v>1230</v>
      </c>
      <c r="I440" s="9">
        <v>45349</v>
      </c>
    </row>
    <row r="441" spans="1:9" x14ac:dyDescent="0.15">
      <c r="A441" s="6">
        <v>440</v>
      </c>
      <c r="B441" s="7" t="s">
        <v>9</v>
      </c>
      <c r="C441" s="8">
        <v>1889</v>
      </c>
      <c r="D441" s="9">
        <v>45439</v>
      </c>
      <c r="E441" s="13" t="str">
        <f>+HYPERLINK("http://trademark.i-assist.jp/data/china/image_1889th/76973664.pdf","76973664")</f>
        <v>76973664</v>
      </c>
      <c r="F441" s="7" t="s">
        <v>1231</v>
      </c>
      <c r="G441" s="7" t="s">
        <v>1232</v>
      </c>
      <c r="H441" s="7" t="s">
        <v>1233</v>
      </c>
      <c r="I441" s="9">
        <v>45349</v>
      </c>
    </row>
    <row r="442" spans="1:9" ht="27" x14ac:dyDescent="0.15">
      <c r="A442" s="6">
        <v>441</v>
      </c>
      <c r="B442" s="7" t="s">
        <v>9</v>
      </c>
      <c r="C442" s="8">
        <v>1889</v>
      </c>
      <c r="D442" s="9">
        <v>45439</v>
      </c>
      <c r="E442" s="13" t="str">
        <f>+HYPERLINK("http://trademark.i-assist.jp/data/china/image_1889th/76974025.pdf","76974025")</f>
        <v>76974025</v>
      </c>
      <c r="F442" s="7" t="s">
        <v>1234</v>
      </c>
      <c r="G442" s="7" t="s">
        <v>1235</v>
      </c>
      <c r="H442" s="7" t="s">
        <v>1236</v>
      </c>
      <c r="I442" s="9">
        <v>45349</v>
      </c>
    </row>
    <row r="443" spans="1:9" x14ac:dyDescent="0.15">
      <c r="A443" s="6">
        <v>442</v>
      </c>
      <c r="B443" s="7" t="s">
        <v>9</v>
      </c>
      <c r="C443" s="8">
        <v>1889</v>
      </c>
      <c r="D443" s="9">
        <v>45439</v>
      </c>
      <c r="E443" s="13" t="str">
        <f>+HYPERLINK("http://trademark.i-assist.jp/data/china/image_1889th/76974461.pdf","76974461")</f>
        <v>76974461</v>
      </c>
      <c r="F443" s="7" t="s">
        <v>1237</v>
      </c>
      <c r="G443" s="7" t="s">
        <v>1223</v>
      </c>
      <c r="H443" s="7" t="s">
        <v>1238</v>
      </c>
      <c r="I443" s="9">
        <v>45349</v>
      </c>
    </row>
    <row r="444" spans="1:9" ht="27" x14ac:dyDescent="0.15">
      <c r="A444" s="6">
        <v>443</v>
      </c>
      <c r="B444" s="7" t="s">
        <v>9</v>
      </c>
      <c r="C444" s="8">
        <v>1889</v>
      </c>
      <c r="D444" s="9">
        <v>45439</v>
      </c>
      <c r="E444" s="13" t="str">
        <f>+HYPERLINK("http://trademark.i-assist.jp/data/china/image_1889th/76974546.pdf","76974546")</f>
        <v>76974546</v>
      </c>
      <c r="F444" s="7" t="s">
        <v>1239</v>
      </c>
      <c r="G444" s="7" t="s">
        <v>1240</v>
      </c>
      <c r="H444" s="7" t="s">
        <v>1241</v>
      </c>
      <c r="I444" s="9">
        <v>45349</v>
      </c>
    </row>
    <row r="445" spans="1:9" ht="27" x14ac:dyDescent="0.15">
      <c r="A445" s="6">
        <v>444</v>
      </c>
      <c r="B445" s="7" t="s">
        <v>9</v>
      </c>
      <c r="C445" s="8">
        <v>1889</v>
      </c>
      <c r="D445" s="9">
        <v>45439</v>
      </c>
      <c r="E445" s="13" t="str">
        <f>+HYPERLINK("http://trademark.i-assist.jp/data/china/image_1889th/76975804.pdf","76975804")</f>
        <v>76975804</v>
      </c>
      <c r="F445" s="7" t="s">
        <v>1242</v>
      </c>
      <c r="G445" s="7" t="s">
        <v>1243</v>
      </c>
      <c r="H445" s="7" t="s">
        <v>1244</v>
      </c>
      <c r="I445" s="9">
        <v>45349</v>
      </c>
    </row>
    <row r="446" spans="1:9" x14ac:dyDescent="0.15">
      <c r="A446" s="6">
        <v>445</v>
      </c>
      <c r="B446" s="7" t="s">
        <v>9</v>
      </c>
      <c r="C446" s="8">
        <v>1889</v>
      </c>
      <c r="D446" s="9">
        <v>45439</v>
      </c>
      <c r="E446" s="13" t="str">
        <f>+HYPERLINK("http://trademark.i-assist.jp/data/china/image_1889th/76976051.pdf","76976051")</f>
        <v>76976051</v>
      </c>
      <c r="F446" s="7" t="s">
        <v>1245</v>
      </c>
      <c r="G446" s="7" t="s">
        <v>1246</v>
      </c>
      <c r="H446" s="7" t="s">
        <v>1247</v>
      </c>
      <c r="I446" s="9">
        <v>45349</v>
      </c>
    </row>
    <row r="447" spans="1:9" x14ac:dyDescent="0.15">
      <c r="A447" s="6">
        <v>446</v>
      </c>
      <c r="B447" s="7" t="s">
        <v>9</v>
      </c>
      <c r="C447" s="8">
        <v>1889</v>
      </c>
      <c r="D447" s="9">
        <v>45439</v>
      </c>
      <c r="E447" s="13" t="str">
        <f>+HYPERLINK("http://trademark.i-assist.jp/data/china/image_1889th/76976053.pdf","76976053")</f>
        <v>76976053</v>
      </c>
      <c r="F447" s="7" t="s">
        <v>1248</v>
      </c>
      <c r="G447" s="7" t="s">
        <v>1246</v>
      </c>
      <c r="H447" s="7" t="s">
        <v>1249</v>
      </c>
      <c r="I447" s="9">
        <v>45349</v>
      </c>
    </row>
    <row r="448" spans="1:9" x14ac:dyDescent="0.15">
      <c r="A448" s="6">
        <v>447</v>
      </c>
      <c r="B448" s="7" t="s">
        <v>9</v>
      </c>
      <c r="C448" s="8">
        <v>1889</v>
      </c>
      <c r="D448" s="9">
        <v>45439</v>
      </c>
      <c r="E448" s="13" t="str">
        <f>+HYPERLINK("http://trademark.i-assist.jp/data/china/image_1889th/76976450.pdf","76976450")</f>
        <v>76976450</v>
      </c>
      <c r="F448" s="7" t="s">
        <v>1250</v>
      </c>
      <c r="G448" s="7" t="s">
        <v>1251</v>
      </c>
      <c r="H448" s="7" t="s">
        <v>1252</v>
      </c>
      <c r="I448" s="9">
        <v>45349</v>
      </c>
    </row>
    <row r="449" spans="1:9" ht="27" x14ac:dyDescent="0.15">
      <c r="A449" s="6">
        <v>448</v>
      </c>
      <c r="B449" s="7" t="s">
        <v>9</v>
      </c>
      <c r="C449" s="8">
        <v>1889</v>
      </c>
      <c r="D449" s="9">
        <v>45439</v>
      </c>
      <c r="E449" s="13" t="str">
        <f>+HYPERLINK("http://trademark.i-assist.jp/data/china/image_1889th/76978222.pdf","76978222")</f>
        <v>76978222</v>
      </c>
      <c r="F449" s="7" t="s">
        <v>1253</v>
      </c>
      <c r="G449" s="7" t="s">
        <v>1254</v>
      </c>
      <c r="H449" s="7" t="s">
        <v>1255</v>
      </c>
      <c r="I449" s="9">
        <v>45349</v>
      </c>
    </row>
    <row r="450" spans="1:9" x14ac:dyDescent="0.15">
      <c r="A450" s="6">
        <v>449</v>
      </c>
      <c r="B450" s="7" t="s">
        <v>9</v>
      </c>
      <c r="C450" s="8">
        <v>1889</v>
      </c>
      <c r="D450" s="9">
        <v>45439</v>
      </c>
      <c r="E450" s="13" t="str">
        <f>+HYPERLINK("http://trademark.i-assist.jp/data/china/image_1889th/76979036.pdf","76979036")</f>
        <v>76979036</v>
      </c>
      <c r="F450" s="7" t="s">
        <v>1256</v>
      </c>
      <c r="G450" s="7" t="s">
        <v>1257</v>
      </c>
      <c r="H450" s="7" t="s">
        <v>1258</v>
      </c>
      <c r="I450" s="9">
        <v>45349</v>
      </c>
    </row>
    <row r="451" spans="1:9" x14ac:dyDescent="0.15">
      <c r="A451" s="6">
        <v>450</v>
      </c>
      <c r="B451" s="7" t="s">
        <v>9</v>
      </c>
      <c r="C451" s="8">
        <v>1889</v>
      </c>
      <c r="D451" s="9">
        <v>45439</v>
      </c>
      <c r="E451" s="13" t="str">
        <f>+HYPERLINK("http://trademark.i-assist.jp/data/china/image_1889th/76979268.pdf","76979268")</f>
        <v>76979268</v>
      </c>
      <c r="F451" s="7" t="s">
        <v>1259</v>
      </c>
      <c r="G451" s="7" t="s">
        <v>1260</v>
      </c>
      <c r="H451" s="7" t="s">
        <v>1261</v>
      </c>
      <c r="I451" s="9">
        <v>45349</v>
      </c>
    </row>
    <row r="452" spans="1:9" ht="27" x14ac:dyDescent="0.15">
      <c r="A452" s="6">
        <v>451</v>
      </c>
      <c r="B452" s="7" t="s">
        <v>9</v>
      </c>
      <c r="C452" s="8">
        <v>1889</v>
      </c>
      <c r="D452" s="9">
        <v>45439</v>
      </c>
      <c r="E452" s="13" t="str">
        <f>+HYPERLINK("http://trademark.i-assist.jp/data/china/image_1889th/76979352.pdf","76979352")</f>
        <v>76979352</v>
      </c>
      <c r="F452" s="7" t="s">
        <v>1262</v>
      </c>
      <c r="G452" s="7" t="s">
        <v>1263</v>
      </c>
      <c r="H452" s="7" t="s">
        <v>1264</v>
      </c>
      <c r="I452" s="9">
        <v>45349</v>
      </c>
    </row>
    <row r="453" spans="1:9" ht="27" x14ac:dyDescent="0.15">
      <c r="A453" s="6">
        <v>452</v>
      </c>
      <c r="B453" s="7" t="s">
        <v>9</v>
      </c>
      <c r="C453" s="8">
        <v>1889</v>
      </c>
      <c r="D453" s="9">
        <v>45439</v>
      </c>
      <c r="E453" s="13" t="str">
        <f>+HYPERLINK("http://trademark.i-assist.jp/data/china/image_1889th/76979499.pdf","76979499")</f>
        <v>76979499</v>
      </c>
      <c r="F453" s="7" t="s">
        <v>1265</v>
      </c>
      <c r="G453" s="7" t="s">
        <v>1266</v>
      </c>
      <c r="H453" s="7" t="s">
        <v>1267</v>
      </c>
      <c r="I453" s="9">
        <v>45349</v>
      </c>
    </row>
    <row r="454" spans="1:9" x14ac:dyDescent="0.15">
      <c r="A454" s="6">
        <v>453</v>
      </c>
      <c r="B454" s="7" t="s">
        <v>9</v>
      </c>
      <c r="C454" s="8">
        <v>1889</v>
      </c>
      <c r="D454" s="9">
        <v>45439</v>
      </c>
      <c r="E454" s="13" t="str">
        <f>+HYPERLINK("http://trademark.i-assist.jp/data/china/image_1889th/76979665.pdf","76979665")</f>
        <v>76979665</v>
      </c>
      <c r="F454" s="7" t="s">
        <v>1268</v>
      </c>
      <c r="G454" s="7" t="s">
        <v>1269</v>
      </c>
      <c r="H454" s="7" t="s">
        <v>1270</v>
      </c>
      <c r="I454" s="9">
        <v>45349</v>
      </c>
    </row>
    <row r="455" spans="1:9" x14ac:dyDescent="0.15">
      <c r="A455" s="6">
        <v>454</v>
      </c>
      <c r="B455" s="7" t="s">
        <v>9</v>
      </c>
      <c r="C455" s="8">
        <v>1889</v>
      </c>
      <c r="D455" s="9">
        <v>45439</v>
      </c>
      <c r="E455" s="13" t="str">
        <f>+HYPERLINK("http://trademark.i-assist.jp/data/china/image_1889th/76980446.pdf","76980446")</f>
        <v>76980446</v>
      </c>
      <c r="F455" s="7" t="s">
        <v>1271</v>
      </c>
      <c r="G455" s="7" t="s">
        <v>1223</v>
      </c>
      <c r="H455" s="7" t="s">
        <v>1272</v>
      </c>
      <c r="I455" s="9">
        <v>45349</v>
      </c>
    </row>
    <row r="456" spans="1:9" x14ac:dyDescent="0.15">
      <c r="A456" s="6">
        <v>455</v>
      </c>
      <c r="B456" s="7" t="s">
        <v>9</v>
      </c>
      <c r="C456" s="8">
        <v>1889</v>
      </c>
      <c r="D456" s="9">
        <v>45439</v>
      </c>
      <c r="E456" s="13" t="str">
        <f>+HYPERLINK("http://trademark.i-assist.jp/data/china/image_1889th/76981628.pdf","76981628")</f>
        <v>76981628</v>
      </c>
      <c r="F456" s="7" t="s">
        <v>1273</v>
      </c>
      <c r="G456" s="7" t="s">
        <v>1223</v>
      </c>
      <c r="H456" s="7" t="s">
        <v>1274</v>
      </c>
      <c r="I456" s="9">
        <v>45349</v>
      </c>
    </row>
    <row r="457" spans="1:9" x14ac:dyDescent="0.15">
      <c r="A457" s="6">
        <v>456</v>
      </c>
      <c r="B457" s="7" t="s">
        <v>9</v>
      </c>
      <c r="C457" s="8">
        <v>1889</v>
      </c>
      <c r="D457" s="9">
        <v>45439</v>
      </c>
      <c r="E457" s="13" t="str">
        <f>+HYPERLINK("http://trademark.i-assist.jp/data/china/image_1889th/76981825.pdf","76981825")</f>
        <v>76981825</v>
      </c>
      <c r="F457" s="7" t="s">
        <v>1275</v>
      </c>
      <c r="G457" s="7" t="s">
        <v>1276</v>
      </c>
      <c r="H457" s="7" t="s">
        <v>1277</v>
      </c>
      <c r="I457" s="9">
        <v>45349</v>
      </c>
    </row>
    <row r="458" spans="1:9" x14ac:dyDescent="0.15">
      <c r="A458" s="6">
        <v>457</v>
      </c>
      <c r="B458" s="7" t="s">
        <v>9</v>
      </c>
      <c r="C458" s="8">
        <v>1889</v>
      </c>
      <c r="D458" s="9">
        <v>45439</v>
      </c>
      <c r="E458" s="13" t="str">
        <f>+HYPERLINK("http://trademark.i-assist.jp/data/china/image_1889th/76981950.pdf","76981950")</f>
        <v>76981950</v>
      </c>
      <c r="F458" s="7" t="s">
        <v>1278</v>
      </c>
      <c r="G458" s="7" t="s">
        <v>1279</v>
      </c>
      <c r="H458" s="7" t="s">
        <v>1280</v>
      </c>
      <c r="I458" s="9">
        <v>45349</v>
      </c>
    </row>
    <row r="459" spans="1:9" ht="27" x14ac:dyDescent="0.15">
      <c r="A459" s="6">
        <v>458</v>
      </c>
      <c r="B459" s="7" t="s">
        <v>9</v>
      </c>
      <c r="C459" s="8">
        <v>1889</v>
      </c>
      <c r="D459" s="9">
        <v>45439</v>
      </c>
      <c r="E459" s="13" t="str">
        <f>+HYPERLINK("http://trademark.i-assist.jp/data/china/image_1889th/76982523.pdf","76982523")</f>
        <v>76982523</v>
      </c>
      <c r="F459" s="7" t="s">
        <v>1281</v>
      </c>
      <c r="G459" s="7" t="s">
        <v>1282</v>
      </c>
      <c r="H459" s="7" t="s">
        <v>1283</v>
      </c>
      <c r="I459" s="9">
        <v>45349</v>
      </c>
    </row>
    <row r="460" spans="1:9" ht="27" x14ac:dyDescent="0.15">
      <c r="A460" s="6">
        <v>459</v>
      </c>
      <c r="B460" s="7" t="s">
        <v>9</v>
      </c>
      <c r="C460" s="8">
        <v>1889</v>
      </c>
      <c r="D460" s="9">
        <v>45439</v>
      </c>
      <c r="E460" s="13" t="str">
        <f>+HYPERLINK("http://trademark.i-assist.jp/data/china/image_1889th/76983777.pdf","76983777")</f>
        <v>76983777</v>
      </c>
      <c r="F460" s="7" t="s">
        <v>1284</v>
      </c>
      <c r="G460" s="7" t="s">
        <v>1285</v>
      </c>
      <c r="H460" s="7" t="s">
        <v>1286</v>
      </c>
      <c r="I460" s="9">
        <v>45349</v>
      </c>
    </row>
    <row r="461" spans="1:9" x14ac:dyDescent="0.15">
      <c r="A461" s="6">
        <v>460</v>
      </c>
      <c r="B461" s="7" t="s">
        <v>9</v>
      </c>
      <c r="C461" s="8">
        <v>1889</v>
      </c>
      <c r="D461" s="9">
        <v>45439</v>
      </c>
      <c r="E461" s="13" t="str">
        <f>+HYPERLINK("http://trademark.i-assist.jp/data/china/image_1889th/76985269.pdf","76985269")</f>
        <v>76985269</v>
      </c>
      <c r="F461" s="7" t="s">
        <v>1287</v>
      </c>
      <c r="G461" s="7" t="s">
        <v>1288</v>
      </c>
      <c r="H461" s="7" t="s">
        <v>1289</v>
      </c>
      <c r="I461" s="9">
        <v>45349</v>
      </c>
    </row>
    <row r="462" spans="1:9" x14ac:dyDescent="0.15">
      <c r="A462" s="6">
        <v>461</v>
      </c>
      <c r="B462" s="7" t="s">
        <v>9</v>
      </c>
      <c r="C462" s="8">
        <v>1889</v>
      </c>
      <c r="D462" s="9">
        <v>45439</v>
      </c>
      <c r="E462" s="13" t="str">
        <f>+HYPERLINK("http://trademark.i-assist.jp/data/china/image_1889th/76985512.pdf","76985512")</f>
        <v>76985512</v>
      </c>
      <c r="F462" s="7" t="s">
        <v>1290</v>
      </c>
      <c r="G462" s="7" t="s">
        <v>1291</v>
      </c>
      <c r="H462" s="7" t="s">
        <v>1292</v>
      </c>
      <c r="I462" s="9">
        <v>45349</v>
      </c>
    </row>
    <row r="463" spans="1:9" x14ac:dyDescent="0.15">
      <c r="A463" s="6">
        <v>462</v>
      </c>
      <c r="B463" s="7" t="s">
        <v>9</v>
      </c>
      <c r="C463" s="8">
        <v>1889</v>
      </c>
      <c r="D463" s="9">
        <v>45439</v>
      </c>
      <c r="E463" s="13" t="str">
        <f>+HYPERLINK("http://trademark.i-assist.jp/data/china/image_1889th/76985867.pdf","76985867")</f>
        <v>76985867</v>
      </c>
      <c r="F463" s="7" t="s">
        <v>1293</v>
      </c>
      <c r="G463" s="7" t="s">
        <v>1276</v>
      </c>
      <c r="H463" s="7" t="s">
        <v>1294</v>
      </c>
      <c r="I463" s="9">
        <v>45349</v>
      </c>
    </row>
    <row r="464" spans="1:9" x14ac:dyDescent="0.15">
      <c r="A464" s="6">
        <v>463</v>
      </c>
      <c r="B464" s="7" t="s">
        <v>9</v>
      </c>
      <c r="C464" s="8">
        <v>1889</v>
      </c>
      <c r="D464" s="9">
        <v>45439</v>
      </c>
      <c r="E464" s="13" t="str">
        <f>+HYPERLINK("http://trademark.i-assist.jp/data/china/image_1889th/76985973.pdf","76985973")</f>
        <v>76985973</v>
      </c>
      <c r="F464" s="7" t="s">
        <v>1295</v>
      </c>
      <c r="G464" s="7" t="s">
        <v>1296</v>
      </c>
      <c r="H464" s="7" t="s">
        <v>1297</v>
      </c>
      <c r="I464" s="9">
        <v>45349</v>
      </c>
    </row>
    <row r="465" spans="1:9" ht="27" x14ac:dyDescent="0.15">
      <c r="A465" s="6">
        <v>464</v>
      </c>
      <c r="B465" s="7" t="s">
        <v>9</v>
      </c>
      <c r="C465" s="8">
        <v>1889</v>
      </c>
      <c r="D465" s="9">
        <v>45439</v>
      </c>
      <c r="E465" s="13" t="str">
        <f>+HYPERLINK("http://trademark.i-assist.jp/data/china/image_1889th/76986083.pdf","76986083")</f>
        <v>76986083</v>
      </c>
      <c r="F465" s="7" t="s">
        <v>1298</v>
      </c>
      <c r="G465" s="7" t="s">
        <v>501</v>
      </c>
      <c r="H465" s="7" t="s">
        <v>1299</v>
      </c>
      <c r="I465" s="9">
        <v>45349</v>
      </c>
    </row>
    <row r="466" spans="1:9" x14ac:dyDescent="0.15">
      <c r="A466" s="6">
        <v>465</v>
      </c>
      <c r="B466" s="7" t="s">
        <v>9</v>
      </c>
      <c r="C466" s="8">
        <v>1889</v>
      </c>
      <c r="D466" s="9">
        <v>45439</v>
      </c>
      <c r="E466" s="13" t="str">
        <f>+HYPERLINK("http://trademark.i-assist.jp/data/china/image_1889th/76986576.pdf","76986576")</f>
        <v>76986576</v>
      </c>
      <c r="F466" s="7" t="s">
        <v>1300</v>
      </c>
      <c r="G466" s="7" t="s">
        <v>1301</v>
      </c>
      <c r="H466" s="7" t="s">
        <v>1302</v>
      </c>
      <c r="I466" s="9">
        <v>45349</v>
      </c>
    </row>
    <row r="467" spans="1:9" x14ac:dyDescent="0.15">
      <c r="A467" s="6">
        <v>466</v>
      </c>
      <c r="B467" s="7" t="s">
        <v>9</v>
      </c>
      <c r="C467" s="8">
        <v>1889</v>
      </c>
      <c r="D467" s="9">
        <v>45439</v>
      </c>
      <c r="E467" s="13" t="str">
        <f>+HYPERLINK("http://trademark.i-assist.jp/data/china/image_1889th/76986833.pdf","76986833")</f>
        <v>76986833</v>
      </c>
      <c r="F467" s="7" t="s">
        <v>1303</v>
      </c>
      <c r="G467" s="7" t="s">
        <v>1304</v>
      </c>
      <c r="H467" s="7" t="s">
        <v>1305</v>
      </c>
      <c r="I467" s="9">
        <v>45349</v>
      </c>
    </row>
    <row r="468" spans="1:9" x14ac:dyDescent="0.15">
      <c r="A468" s="6">
        <v>467</v>
      </c>
      <c r="B468" s="7" t="s">
        <v>9</v>
      </c>
      <c r="C468" s="8">
        <v>1889</v>
      </c>
      <c r="D468" s="9">
        <v>45439</v>
      </c>
      <c r="E468" s="13" t="str">
        <f>+HYPERLINK("http://trademark.i-assist.jp/data/china/image_1889th/76986894.pdf","76986894")</f>
        <v>76986894</v>
      </c>
      <c r="F468" s="7" t="s">
        <v>1306</v>
      </c>
      <c r="G468" s="7" t="s">
        <v>1307</v>
      </c>
      <c r="H468" s="7" t="s">
        <v>1308</v>
      </c>
      <c r="I468" s="9">
        <v>45349</v>
      </c>
    </row>
    <row r="469" spans="1:9" ht="27" x14ac:dyDescent="0.15">
      <c r="A469" s="6">
        <v>468</v>
      </c>
      <c r="B469" s="7" t="s">
        <v>9</v>
      </c>
      <c r="C469" s="8">
        <v>1889</v>
      </c>
      <c r="D469" s="9">
        <v>45439</v>
      </c>
      <c r="E469" s="13" t="str">
        <f>+HYPERLINK("http://trademark.i-assist.jp/data/china/image_1889th/76986898.pdf","76986898")</f>
        <v>76986898</v>
      </c>
      <c r="F469" s="7" t="s">
        <v>134</v>
      </c>
      <c r="G469" s="7" t="s">
        <v>1309</v>
      </c>
      <c r="H469" s="7" t="s">
        <v>1310</v>
      </c>
      <c r="I469" s="9">
        <v>45349</v>
      </c>
    </row>
    <row r="470" spans="1:9" x14ac:dyDescent="0.15">
      <c r="A470" s="6">
        <v>469</v>
      </c>
      <c r="B470" s="7" t="s">
        <v>9</v>
      </c>
      <c r="C470" s="8">
        <v>1889</v>
      </c>
      <c r="D470" s="9">
        <v>45439</v>
      </c>
      <c r="E470" s="13" t="str">
        <f>+HYPERLINK("http://trademark.i-assist.jp/data/china/image_1889th/76987197.pdf","76987197")</f>
        <v>76987197</v>
      </c>
      <c r="F470" s="7" t="s">
        <v>1311</v>
      </c>
      <c r="G470" s="7" t="s">
        <v>1312</v>
      </c>
      <c r="H470" s="7" t="s">
        <v>1313</v>
      </c>
      <c r="I470" s="9">
        <v>45349</v>
      </c>
    </row>
    <row r="471" spans="1:9" x14ac:dyDescent="0.15">
      <c r="A471" s="6">
        <v>470</v>
      </c>
      <c r="B471" s="7" t="s">
        <v>9</v>
      </c>
      <c r="C471" s="8">
        <v>1889</v>
      </c>
      <c r="D471" s="9">
        <v>45439</v>
      </c>
      <c r="E471" s="13" t="str">
        <f>+HYPERLINK("http://trademark.i-assist.jp/data/china/image_1889th/76987443.pdf","76987443")</f>
        <v>76987443</v>
      </c>
      <c r="F471" s="7" t="s">
        <v>1314</v>
      </c>
      <c r="G471" s="7" t="s">
        <v>1315</v>
      </c>
      <c r="H471" s="7" t="s">
        <v>1316</v>
      </c>
      <c r="I471" s="9">
        <v>45349</v>
      </c>
    </row>
    <row r="472" spans="1:9" x14ac:dyDescent="0.15">
      <c r="A472" s="6">
        <v>471</v>
      </c>
      <c r="B472" s="7" t="s">
        <v>9</v>
      </c>
      <c r="C472" s="8">
        <v>1889</v>
      </c>
      <c r="D472" s="9">
        <v>45439</v>
      </c>
      <c r="E472" s="13" t="str">
        <f>+HYPERLINK("http://trademark.i-assist.jp/data/china/image_1889th/76987485.pdf","76987485")</f>
        <v>76987485</v>
      </c>
      <c r="F472" s="7" t="s">
        <v>1317</v>
      </c>
      <c r="G472" s="7" t="s">
        <v>1318</v>
      </c>
      <c r="H472" s="7" t="s">
        <v>1319</v>
      </c>
      <c r="I472" s="9">
        <v>45349</v>
      </c>
    </row>
    <row r="473" spans="1:9" x14ac:dyDescent="0.15">
      <c r="A473" s="6">
        <v>472</v>
      </c>
      <c r="B473" s="7" t="s">
        <v>9</v>
      </c>
      <c r="C473" s="8">
        <v>1889</v>
      </c>
      <c r="D473" s="9">
        <v>45439</v>
      </c>
      <c r="E473" s="13" t="str">
        <f>+HYPERLINK("http://trademark.i-assist.jp/data/china/image_1889th/76987577.pdf","76987577")</f>
        <v>76987577</v>
      </c>
      <c r="F473" s="7" t="s">
        <v>1320</v>
      </c>
      <c r="G473" s="7" t="s">
        <v>1321</v>
      </c>
      <c r="H473" s="7" t="s">
        <v>1322</v>
      </c>
      <c r="I473" s="9">
        <v>45349</v>
      </c>
    </row>
    <row r="474" spans="1:9" x14ac:dyDescent="0.15">
      <c r="A474" s="6">
        <v>473</v>
      </c>
      <c r="B474" s="7" t="s">
        <v>9</v>
      </c>
      <c r="C474" s="8">
        <v>1889</v>
      </c>
      <c r="D474" s="9">
        <v>45439</v>
      </c>
      <c r="E474" s="13" t="str">
        <f>+HYPERLINK("http://trademark.i-assist.jp/data/china/image_1889th/76987819.pdf","76987819")</f>
        <v>76987819</v>
      </c>
      <c r="F474" s="7" t="s">
        <v>1323</v>
      </c>
      <c r="G474" s="7" t="s">
        <v>1324</v>
      </c>
      <c r="H474" s="7" t="s">
        <v>1325</v>
      </c>
      <c r="I474" s="9">
        <v>45349</v>
      </c>
    </row>
    <row r="475" spans="1:9" x14ac:dyDescent="0.15">
      <c r="A475" s="6">
        <v>474</v>
      </c>
      <c r="B475" s="7" t="s">
        <v>9</v>
      </c>
      <c r="C475" s="8">
        <v>1889</v>
      </c>
      <c r="D475" s="9">
        <v>45439</v>
      </c>
      <c r="E475" s="13" t="str">
        <f>+HYPERLINK("http://trademark.i-assist.jp/data/china/image_1889th/76988262.pdf","76988262")</f>
        <v>76988262</v>
      </c>
      <c r="F475" s="7" t="s">
        <v>1326</v>
      </c>
      <c r="G475" s="7" t="s">
        <v>1327</v>
      </c>
      <c r="H475" s="7" t="s">
        <v>1328</v>
      </c>
      <c r="I475" s="9">
        <v>45349</v>
      </c>
    </row>
    <row r="476" spans="1:9" x14ac:dyDescent="0.15">
      <c r="A476" s="6">
        <v>475</v>
      </c>
      <c r="B476" s="7" t="s">
        <v>9</v>
      </c>
      <c r="C476" s="8">
        <v>1889</v>
      </c>
      <c r="D476" s="9">
        <v>45439</v>
      </c>
      <c r="E476" s="13" t="str">
        <f>+HYPERLINK("http://trademark.i-assist.jp/data/china/image_1889th/76988384.pdf","76988384")</f>
        <v>76988384</v>
      </c>
      <c r="F476" s="7" t="s">
        <v>1329</v>
      </c>
      <c r="G476" s="7" t="s">
        <v>1330</v>
      </c>
      <c r="H476" s="7" t="s">
        <v>1331</v>
      </c>
      <c r="I476" s="9">
        <v>45349</v>
      </c>
    </row>
    <row r="477" spans="1:9" x14ac:dyDescent="0.15">
      <c r="A477" s="6">
        <v>476</v>
      </c>
      <c r="B477" s="7" t="s">
        <v>9</v>
      </c>
      <c r="C477" s="8">
        <v>1889</v>
      </c>
      <c r="D477" s="9">
        <v>45439</v>
      </c>
      <c r="E477" s="13" t="str">
        <f>+HYPERLINK("http://trademark.i-assist.jp/data/china/image_1889th/76988595.pdf","76988595")</f>
        <v>76988595</v>
      </c>
      <c r="F477" s="7" t="s">
        <v>1332</v>
      </c>
      <c r="G477" s="7" t="s">
        <v>1333</v>
      </c>
      <c r="H477" s="7" t="s">
        <v>1334</v>
      </c>
      <c r="I477" s="9">
        <v>45349</v>
      </c>
    </row>
    <row r="478" spans="1:9" x14ac:dyDescent="0.15">
      <c r="A478" s="6">
        <v>477</v>
      </c>
      <c r="B478" s="7" t="s">
        <v>9</v>
      </c>
      <c r="C478" s="8">
        <v>1889</v>
      </c>
      <c r="D478" s="9">
        <v>45439</v>
      </c>
      <c r="E478" s="13" t="str">
        <f>+HYPERLINK("http://trademark.i-assist.jp/data/china/image_1889th/76989579.pdf","76989579")</f>
        <v>76989579</v>
      </c>
      <c r="F478" s="7" t="s">
        <v>1335</v>
      </c>
      <c r="G478" s="7" t="s">
        <v>1336</v>
      </c>
      <c r="H478" s="7" t="s">
        <v>1337</v>
      </c>
      <c r="I478" s="9">
        <v>45349</v>
      </c>
    </row>
    <row r="479" spans="1:9" x14ac:dyDescent="0.15">
      <c r="A479" s="6">
        <v>478</v>
      </c>
      <c r="B479" s="7" t="s">
        <v>9</v>
      </c>
      <c r="C479" s="8">
        <v>1889</v>
      </c>
      <c r="D479" s="9">
        <v>45439</v>
      </c>
      <c r="E479" s="13" t="str">
        <f>+HYPERLINK("http://trademark.i-assist.jp/data/china/image_1889th/76990736.pdf","76990736")</f>
        <v>76990736</v>
      </c>
      <c r="F479" s="7" t="s">
        <v>1338</v>
      </c>
      <c r="G479" s="7" t="s">
        <v>1339</v>
      </c>
      <c r="H479" s="7" t="s">
        <v>1340</v>
      </c>
      <c r="I479" s="9">
        <v>45349</v>
      </c>
    </row>
    <row r="480" spans="1:9" x14ac:dyDescent="0.15">
      <c r="A480" s="6">
        <v>479</v>
      </c>
      <c r="B480" s="7" t="s">
        <v>9</v>
      </c>
      <c r="C480" s="8">
        <v>1889</v>
      </c>
      <c r="D480" s="9">
        <v>45439</v>
      </c>
      <c r="E480" s="13" t="str">
        <f>+HYPERLINK("http://trademark.i-assist.jp/data/china/image_1889th/76990880.pdf","76990880")</f>
        <v>76990880</v>
      </c>
      <c r="F480" s="7" t="s">
        <v>1341</v>
      </c>
      <c r="G480" s="7" t="s">
        <v>1342</v>
      </c>
      <c r="H480" s="7" t="s">
        <v>1343</v>
      </c>
      <c r="I480" s="9">
        <v>45349</v>
      </c>
    </row>
    <row r="481" spans="1:9" x14ac:dyDescent="0.15">
      <c r="A481" s="6">
        <v>480</v>
      </c>
      <c r="B481" s="7" t="s">
        <v>9</v>
      </c>
      <c r="C481" s="8">
        <v>1889</v>
      </c>
      <c r="D481" s="9">
        <v>45439</v>
      </c>
      <c r="E481" s="13" t="str">
        <f>+HYPERLINK("http://trademark.i-assist.jp/data/china/image_1889th/76991176.pdf","76991176")</f>
        <v>76991176</v>
      </c>
      <c r="F481" s="7" t="s">
        <v>1344</v>
      </c>
      <c r="G481" s="7" t="s">
        <v>1246</v>
      </c>
      <c r="H481" s="7" t="s">
        <v>1345</v>
      </c>
      <c r="I481" s="9">
        <v>45349</v>
      </c>
    </row>
    <row r="482" spans="1:9" x14ac:dyDescent="0.15">
      <c r="A482" s="6">
        <v>481</v>
      </c>
      <c r="B482" s="7" t="s">
        <v>9</v>
      </c>
      <c r="C482" s="8">
        <v>1889</v>
      </c>
      <c r="D482" s="9">
        <v>45439</v>
      </c>
      <c r="E482" s="13" t="str">
        <f>+HYPERLINK("http://trademark.i-assist.jp/data/china/image_1889th/76991221.pdf","76991221")</f>
        <v>76991221</v>
      </c>
      <c r="F482" s="7" t="s">
        <v>1346</v>
      </c>
      <c r="G482" s="7" t="s">
        <v>1347</v>
      </c>
      <c r="H482" s="7" t="s">
        <v>1348</v>
      </c>
      <c r="I482" s="9">
        <v>45349</v>
      </c>
    </row>
    <row r="483" spans="1:9" x14ac:dyDescent="0.15">
      <c r="A483" s="6">
        <v>482</v>
      </c>
      <c r="B483" s="7" t="s">
        <v>9</v>
      </c>
      <c r="C483" s="8">
        <v>1889</v>
      </c>
      <c r="D483" s="9">
        <v>45439</v>
      </c>
      <c r="E483" s="13" t="str">
        <f>+HYPERLINK("http://trademark.i-assist.jp/data/china/image_1889th/76991478.pdf","76991478")</f>
        <v>76991478</v>
      </c>
      <c r="F483" s="7" t="s">
        <v>1349</v>
      </c>
      <c r="G483" s="7" t="s">
        <v>1350</v>
      </c>
      <c r="H483" s="7" t="s">
        <v>1351</v>
      </c>
      <c r="I483" s="9">
        <v>45349</v>
      </c>
    </row>
    <row r="484" spans="1:9" x14ac:dyDescent="0.15">
      <c r="A484" s="6">
        <v>483</v>
      </c>
      <c r="B484" s="7" t="s">
        <v>9</v>
      </c>
      <c r="C484" s="8">
        <v>1889</v>
      </c>
      <c r="D484" s="9">
        <v>45439</v>
      </c>
      <c r="E484" s="13" t="str">
        <f>+HYPERLINK("http://trademark.i-assist.jp/data/china/image_1889th/76993077.pdf","76993077")</f>
        <v>76993077</v>
      </c>
      <c r="F484" s="7" t="s">
        <v>1352</v>
      </c>
      <c r="G484" s="7" t="s">
        <v>1353</v>
      </c>
      <c r="H484" s="7" t="s">
        <v>1354</v>
      </c>
      <c r="I484" s="9">
        <v>45350</v>
      </c>
    </row>
    <row r="485" spans="1:9" ht="27" x14ac:dyDescent="0.15">
      <c r="A485" s="6">
        <v>484</v>
      </c>
      <c r="B485" s="7" t="s">
        <v>9</v>
      </c>
      <c r="C485" s="8">
        <v>1889</v>
      </c>
      <c r="D485" s="9">
        <v>45439</v>
      </c>
      <c r="E485" s="13" t="str">
        <f>+HYPERLINK("http://trademark.i-assist.jp/data/china/image_1889th/76993515.pdf","76993515")</f>
        <v>76993515</v>
      </c>
      <c r="F485" s="7" t="s">
        <v>1355</v>
      </c>
      <c r="G485" s="7" t="s">
        <v>1356</v>
      </c>
      <c r="H485" s="7" t="s">
        <v>1357</v>
      </c>
      <c r="I485" s="9">
        <v>45350</v>
      </c>
    </row>
    <row r="486" spans="1:9" x14ac:dyDescent="0.15">
      <c r="A486" s="6">
        <v>485</v>
      </c>
      <c r="B486" s="7" t="s">
        <v>9</v>
      </c>
      <c r="C486" s="8">
        <v>1889</v>
      </c>
      <c r="D486" s="9">
        <v>45439</v>
      </c>
      <c r="E486" s="13" t="str">
        <f>+HYPERLINK("http://trademark.i-assist.jp/data/china/image_1889th/76993532.pdf","76993532")</f>
        <v>76993532</v>
      </c>
      <c r="F486" s="7" t="s">
        <v>1358</v>
      </c>
      <c r="G486" s="7" t="s">
        <v>1359</v>
      </c>
      <c r="H486" s="7" t="s">
        <v>1360</v>
      </c>
      <c r="I486" s="9">
        <v>45350</v>
      </c>
    </row>
    <row r="487" spans="1:9" x14ac:dyDescent="0.15">
      <c r="A487" s="6">
        <v>486</v>
      </c>
      <c r="B487" s="7" t="s">
        <v>9</v>
      </c>
      <c r="C487" s="8">
        <v>1889</v>
      </c>
      <c r="D487" s="9">
        <v>45439</v>
      </c>
      <c r="E487" s="13" t="str">
        <f>+HYPERLINK("http://trademark.i-assist.jp/data/china/image_1889th/76993540.pdf","76993540")</f>
        <v>76993540</v>
      </c>
      <c r="F487" s="7" t="s">
        <v>1361</v>
      </c>
      <c r="G487" s="7" t="s">
        <v>1362</v>
      </c>
      <c r="H487" s="7" t="s">
        <v>1363</v>
      </c>
      <c r="I487" s="9">
        <v>45350</v>
      </c>
    </row>
    <row r="488" spans="1:9" x14ac:dyDescent="0.15">
      <c r="A488" s="6">
        <v>487</v>
      </c>
      <c r="B488" s="7" t="s">
        <v>9</v>
      </c>
      <c r="C488" s="8">
        <v>1889</v>
      </c>
      <c r="D488" s="9">
        <v>45439</v>
      </c>
      <c r="E488" s="13" t="str">
        <f>+HYPERLINK("http://trademark.i-assist.jp/data/china/image_1889th/76993589.pdf","76993589")</f>
        <v>76993589</v>
      </c>
      <c r="F488" s="7" t="s">
        <v>1364</v>
      </c>
      <c r="G488" s="7" t="s">
        <v>1365</v>
      </c>
      <c r="H488" s="7" t="s">
        <v>1366</v>
      </c>
      <c r="I488" s="9">
        <v>45350</v>
      </c>
    </row>
    <row r="489" spans="1:9" x14ac:dyDescent="0.15">
      <c r="A489" s="6">
        <v>488</v>
      </c>
      <c r="B489" s="7" t="s">
        <v>9</v>
      </c>
      <c r="C489" s="8">
        <v>1889</v>
      </c>
      <c r="D489" s="9">
        <v>45439</v>
      </c>
      <c r="E489" s="13" t="str">
        <f>+HYPERLINK("http://trademark.i-assist.jp/data/china/image_1889th/76993969.pdf","76993969")</f>
        <v>76993969</v>
      </c>
      <c r="F489" s="7" t="s">
        <v>134</v>
      </c>
      <c r="G489" s="7" t="s">
        <v>1367</v>
      </c>
      <c r="H489" s="7" t="s">
        <v>1368</v>
      </c>
      <c r="I489" s="9">
        <v>45350</v>
      </c>
    </row>
    <row r="490" spans="1:9" ht="27" x14ac:dyDescent="0.15">
      <c r="A490" s="6">
        <v>489</v>
      </c>
      <c r="B490" s="7" t="s">
        <v>9</v>
      </c>
      <c r="C490" s="8">
        <v>1889</v>
      </c>
      <c r="D490" s="9">
        <v>45439</v>
      </c>
      <c r="E490" s="13" t="str">
        <f>+HYPERLINK("http://trademark.i-assist.jp/data/china/image_1889th/76994068.pdf","76994068")</f>
        <v>76994068</v>
      </c>
      <c r="F490" s="7" t="s">
        <v>1369</v>
      </c>
      <c r="G490" s="7" t="s">
        <v>1370</v>
      </c>
      <c r="H490" s="7" t="s">
        <v>1371</v>
      </c>
      <c r="I490" s="9">
        <v>45350</v>
      </c>
    </row>
    <row r="491" spans="1:9" x14ac:dyDescent="0.15">
      <c r="A491" s="6">
        <v>490</v>
      </c>
      <c r="B491" s="7" t="s">
        <v>9</v>
      </c>
      <c r="C491" s="8">
        <v>1889</v>
      </c>
      <c r="D491" s="9">
        <v>45439</v>
      </c>
      <c r="E491" s="13" t="str">
        <f>+HYPERLINK("http://trademark.i-assist.jp/data/china/image_1889th/76994663.pdf","76994663")</f>
        <v>76994663</v>
      </c>
      <c r="F491" s="7" t="s">
        <v>1372</v>
      </c>
      <c r="G491" s="7" t="s">
        <v>1373</v>
      </c>
      <c r="H491" s="7" t="s">
        <v>1374</v>
      </c>
      <c r="I491" s="9">
        <v>45350</v>
      </c>
    </row>
    <row r="492" spans="1:9" x14ac:dyDescent="0.15">
      <c r="A492" s="6">
        <v>491</v>
      </c>
      <c r="B492" s="7" t="s">
        <v>9</v>
      </c>
      <c r="C492" s="8">
        <v>1889</v>
      </c>
      <c r="D492" s="9">
        <v>45439</v>
      </c>
      <c r="E492" s="13" t="str">
        <f>+HYPERLINK("http://trademark.i-assist.jp/data/china/image_1889th/76995252.pdf","76995252")</f>
        <v>76995252</v>
      </c>
      <c r="F492" s="7" t="s">
        <v>134</v>
      </c>
      <c r="G492" s="7" t="s">
        <v>1375</v>
      </c>
      <c r="H492" s="7" t="s">
        <v>1376</v>
      </c>
      <c r="I492" s="9">
        <v>45350</v>
      </c>
    </row>
    <row r="493" spans="1:9" x14ac:dyDescent="0.15">
      <c r="A493" s="6">
        <v>492</v>
      </c>
      <c r="B493" s="7" t="s">
        <v>9</v>
      </c>
      <c r="C493" s="8">
        <v>1889</v>
      </c>
      <c r="D493" s="9">
        <v>45439</v>
      </c>
      <c r="E493" s="13" t="str">
        <f>+HYPERLINK("http://trademark.i-assist.jp/data/china/image_1889th/76997120.pdf","76997120")</f>
        <v>76997120</v>
      </c>
      <c r="F493" s="7" t="s">
        <v>1377</v>
      </c>
      <c r="G493" s="7" t="s">
        <v>1378</v>
      </c>
      <c r="H493" s="7" t="s">
        <v>1379</v>
      </c>
      <c r="I493" s="9">
        <v>45350</v>
      </c>
    </row>
    <row r="494" spans="1:9" x14ac:dyDescent="0.15">
      <c r="A494" s="6">
        <v>493</v>
      </c>
      <c r="B494" s="7" t="s">
        <v>9</v>
      </c>
      <c r="C494" s="8">
        <v>1889</v>
      </c>
      <c r="D494" s="9">
        <v>45439</v>
      </c>
      <c r="E494" s="13" t="str">
        <f>+HYPERLINK("http://trademark.i-assist.jp/data/china/image_1889th/76998362.pdf","76998362")</f>
        <v>76998362</v>
      </c>
      <c r="F494" s="7" t="s">
        <v>1380</v>
      </c>
      <c r="G494" s="7" t="s">
        <v>1373</v>
      </c>
      <c r="H494" s="7" t="s">
        <v>1381</v>
      </c>
      <c r="I494" s="9">
        <v>45350</v>
      </c>
    </row>
    <row r="495" spans="1:9" x14ac:dyDescent="0.15">
      <c r="A495" s="6">
        <v>494</v>
      </c>
      <c r="B495" s="7" t="s">
        <v>9</v>
      </c>
      <c r="C495" s="8">
        <v>1889</v>
      </c>
      <c r="D495" s="9">
        <v>45439</v>
      </c>
      <c r="E495" s="13" t="str">
        <f>+HYPERLINK("http://trademark.i-assist.jp/data/china/image_1889th/76998540.pdf","76998540")</f>
        <v>76998540</v>
      </c>
      <c r="F495" s="7" t="s">
        <v>1382</v>
      </c>
      <c r="G495" s="7" t="s">
        <v>1383</v>
      </c>
      <c r="H495" s="7" t="s">
        <v>1384</v>
      </c>
      <c r="I495" s="9">
        <v>45350</v>
      </c>
    </row>
    <row r="496" spans="1:9" x14ac:dyDescent="0.15">
      <c r="A496" s="6">
        <v>495</v>
      </c>
      <c r="B496" s="7" t="s">
        <v>9</v>
      </c>
      <c r="C496" s="8">
        <v>1889</v>
      </c>
      <c r="D496" s="9">
        <v>45439</v>
      </c>
      <c r="E496" s="13" t="str">
        <f>+HYPERLINK("http://trademark.i-assist.jp/data/china/image_1889th/76998716.pdf","76998716")</f>
        <v>76998716</v>
      </c>
      <c r="F496" s="7" t="s">
        <v>1385</v>
      </c>
      <c r="G496" s="7" t="s">
        <v>1386</v>
      </c>
      <c r="H496" s="7" t="s">
        <v>1387</v>
      </c>
      <c r="I496" s="9">
        <v>45350</v>
      </c>
    </row>
    <row r="497" spans="1:9" x14ac:dyDescent="0.15">
      <c r="A497" s="6">
        <v>496</v>
      </c>
      <c r="B497" s="7" t="s">
        <v>9</v>
      </c>
      <c r="C497" s="8">
        <v>1889</v>
      </c>
      <c r="D497" s="9">
        <v>45439</v>
      </c>
      <c r="E497" s="13" t="str">
        <f>+HYPERLINK("http://trademark.i-assist.jp/data/china/image_1889th/76999017.pdf","76999017")</f>
        <v>76999017</v>
      </c>
      <c r="F497" s="7" t="s">
        <v>1388</v>
      </c>
      <c r="G497" s="7" t="s">
        <v>1373</v>
      </c>
      <c r="H497" s="7" t="s">
        <v>1389</v>
      </c>
      <c r="I497" s="9">
        <v>45350</v>
      </c>
    </row>
    <row r="498" spans="1:9" x14ac:dyDescent="0.15">
      <c r="A498" s="6">
        <v>497</v>
      </c>
      <c r="B498" s="7" t="s">
        <v>9</v>
      </c>
      <c r="C498" s="8">
        <v>1889</v>
      </c>
      <c r="D498" s="9">
        <v>45439</v>
      </c>
      <c r="E498" s="13" t="str">
        <f>+HYPERLINK("http://trademark.i-assist.jp/data/china/image_1889th/77000523.pdf","77000523")</f>
        <v>77000523</v>
      </c>
      <c r="F498" s="7" t="s">
        <v>1390</v>
      </c>
      <c r="G498" s="7" t="s">
        <v>1391</v>
      </c>
      <c r="H498" s="7" t="s">
        <v>1392</v>
      </c>
      <c r="I498" s="9">
        <v>45350</v>
      </c>
    </row>
    <row r="499" spans="1:9" x14ac:dyDescent="0.15">
      <c r="A499" s="6">
        <v>498</v>
      </c>
      <c r="B499" s="7" t="s">
        <v>9</v>
      </c>
      <c r="C499" s="8">
        <v>1889</v>
      </c>
      <c r="D499" s="9">
        <v>45439</v>
      </c>
      <c r="E499" s="13" t="str">
        <f>+HYPERLINK("http://trademark.i-assist.jp/data/china/image_1889th/77000889.pdf","77000889")</f>
        <v>77000889</v>
      </c>
      <c r="F499" s="7" t="s">
        <v>1393</v>
      </c>
      <c r="G499" s="7" t="s">
        <v>1394</v>
      </c>
      <c r="H499" s="7" t="s">
        <v>1395</v>
      </c>
      <c r="I499" s="9">
        <v>45350</v>
      </c>
    </row>
    <row r="500" spans="1:9" x14ac:dyDescent="0.15">
      <c r="A500" s="6">
        <v>499</v>
      </c>
      <c r="B500" s="7" t="s">
        <v>9</v>
      </c>
      <c r="C500" s="8">
        <v>1889</v>
      </c>
      <c r="D500" s="9">
        <v>45439</v>
      </c>
      <c r="E500" s="13" t="str">
        <f>+HYPERLINK("http://trademark.i-assist.jp/data/china/image_1889th/77001820.pdf","77001820")</f>
        <v>77001820</v>
      </c>
      <c r="F500" s="7" t="s">
        <v>1396</v>
      </c>
      <c r="G500" s="7" t="s">
        <v>1397</v>
      </c>
      <c r="H500" s="7" t="s">
        <v>1398</v>
      </c>
      <c r="I500" s="9">
        <v>45350</v>
      </c>
    </row>
    <row r="501" spans="1:9" x14ac:dyDescent="0.15">
      <c r="A501" s="6">
        <v>500</v>
      </c>
      <c r="B501" s="7" t="s">
        <v>9</v>
      </c>
      <c r="C501" s="8">
        <v>1889</v>
      </c>
      <c r="D501" s="9">
        <v>45439</v>
      </c>
      <c r="E501" s="13" t="str">
        <f>+HYPERLINK("http://trademark.i-assist.jp/data/china/image_1889th/77001967.pdf","77001967")</f>
        <v>77001967</v>
      </c>
      <c r="F501" s="7" t="s">
        <v>1399</v>
      </c>
      <c r="G501" s="7" t="s">
        <v>1400</v>
      </c>
      <c r="H501" s="7" t="s">
        <v>1401</v>
      </c>
      <c r="I501" s="9">
        <v>45350</v>
      </c>
    </row>
    <row r="502" spans="1:9" x14ac:dyDescent="0.15">
      <c r="A502" s="6">
        <v>501</v>
      </c>
      <c r="B502" s="7" t="s">
        <v>9</v>
      </c>
      <c r="C502" s="8">
        <v>1889</v>
      </c>
      <c r="D502" s="9">
        <v>45439</v>
      </c>
      <c r="E502" s="13" t="str">
        <f>+HYPERLINK("http://trademark.i-assist.jp/data/china/image_1889th/77002335.pdf","77002335")</f>
        <v>77002335</v>
      </c>
      <c r="F502" s="7" t="s">
        <v>1402</v>
      </c>
      <c r="G502" s="7" t="s">
        <v>1373</v>
      </c>
      <c r="H502" s="7" t="s">
        <v>1403</v>
      </c>
      <c r="I502" s="9">
        <v>45350</v>
      </c>
    </row>
    <row r="503" spans="1:9" x14ac:dyDescent="0.15">
      <c r="A503" s="6">
        <v>502</v>
      </c>
      <c r="B503" s="7" t="s">
        <v>9</v>
      </c>
      <c r="C503" s="8">
        <v>1889</v>
      </c>
      <c r="D503" s="9">
        <v>45439</v>
      </c>
      <c r="E503" s="13" t="str">
        <f>+HYPERLINK("http://trademark.i-assist.jp/data/china/image_1889th/77003358.pdf","77003358")</f>
        <v>77003358</v>
      </c>
      <c r="F503" s="7" t="s">
        <v>1404</v>
      </c>
      <c r="G503" s="7" t="s">
        <v>1405</v>
      </c>
      <c r="H503" s="7" t="s">
        <v>1406</v>
      </c>
      <c r="I503" s="9">
        <v>45350</v>
      </c>
    </row>
    <row r="504" spans="1:9" ht="27" x14ac:dyDescent="0.15">
      <c r="A504" s="6">
        <v>503</v>
      </c>
      <c r="B504" s="7" t="s">
        <v>9</v>
      </c>
      <c r="C504" s="8">
        <v>1889</v>
      </c>
      <c r="D504" s="9">
        <v>45439</v>
      </c>
      <c r="E504" s="13" t="str">
        <f>+HYPERLINK("http://trademark.i-assist.jp/data/china/image_1889th/77004561.pdf","77004561")</f>
        <v>77004561</v>
      </c>
      <c r="F504" s="7" t="s">
        <v>1407</v>
      </c>
      <c r="G504" s="7" t="s">
        <v>1408</v>
      </c>
      <c r="H504" s="7" t="s">
        <v>1409</v>
      </c>
      <c r="I504" s="9">
        <v>45350</v>
      </c>
    </row>
    <row r="505" spans="1:9" x14ac:dyDescent="0.15">
      <c r="A505" s="6">
        <v>504</v>
      </c>
      <c r="B505" s="7" t="s">
        <v>9</v>
      </c>
      <c r="C505" s="8">
        <v>1889</v>
      </c>
      <c r="D505" s="9">
        <v>45439</v>
      </c>
      <c r="E505" s="13" t="str">
        <f>+HYPERLINK("http://trademark.i-assist.jp/data/china/image_1889th/77004604.pdf","77004604")</f>
        <v>77004604</v>
      </c>
      <c r="F505" s="7" t="s">
        <v>1410</v>
      </c>
      <c r="G505" s="7" t="s">
        <v>1411</v>
      </c>
      <c r="H505" s="7" t="s">
        <v>1412</v>
      </c>
      <c r="I505" s="9">
        <v>45350</v>
      </c>
    </row>
    <row r="506" spans="1:9" x14ac:dyDescent="0.15">
      <c r="A506" s="6">
        <v>505</v>
      </c>
      <c r="B506" s="7" t="s">
        <v>9</v>
      </c>
      <c r="C506" s="8">
        <v>1889</v>
      </c>
      <c r="D506" s="9">
        <v>45439</v>
      </c>
      <c r="E506" s="13" t="str">
        <f>+HYPERLINK("http://trademark.i-assist.jp/data/china/image_1889th/77004986.pdf","77004986")</f>
        <v>77004986</v>
      </c>
      <c r="F506" s="7" t="s">
        <v>1413</v>
      </c>
      <c r="G506" s="7" t="s">
        <v>1414</v>
      </c>
      <c r="H506" s="7" t="s">
        <v>1415</v>
      </c>
      <c r="I506" s="9">
        <v>45350</v>
      </c>
    </row>
    <row r="507" spans="1:9" x14ac:dyDescent="0.15">
      <c r="A507" s="6">
        <v>506</v>
      </c>
      <c r="B507" s="7" t="s">
        <v>9</v>
      </c>
      <c r="C507" s="8">
        <v>1889</v>
      </c>
      <c r="D507" s="9">
        <v>45439</v>
      </c>
      <c r="E507" s="13" t="str">
        <f>+HYPERLINK("http://trademark.i-assist.jp/data/china/image_1889th/77005535.pdf","77005535")</f>
        <v>77005535</v>
      </c>
      <c r="F507" s="7" t="s">
        <v>1416</v>
      </c>
      <c r="G507" s="7" t="s">
        <v>1373</v>
      </c>
      <c r="H507" s="7" t="s">
        <v>1417</v>
      </c>
      <c r="I507" s="9">
        <v>45350</v>
      </c>
    </row>
    <row r="508" spans="1:9" x14ac:dyDescent="0.15">
      <c r="A508" s="6">
        <v>507</v>
      </c>
      <c r="B508" s="7" t="s">
        <v>9</v>
      </c>
      <c r="C508" s="8">
        <v>1889</v>
      </c>
      <c r="D508" s="9">
        <v>45439</v>
      </c>
      <c r="E508" s="13" t="str">
        <f>+HYPERLINK("http://trademark.i-assist.jp/data/china/image_1889th/77006097.pdf","77006097")</f>
        <v>77006097</v>
      </c>
      <c r="F508" s="7" t="s">
        <v>1418</v>
      </c>
      <c r="G508" s="7" t="s">
        <v>1362</v>
      </c>
      <c r="H508" s="7" t="s">
        <v>1419</v>
      </c>
      <c r="I508" s="9">
        <v>45350</v>
      </c>
    </row>
    <row r="509" spans="1:9" ht="27" x14ac:dyDescent="0.15">
      <c r="A509" s="6">
        <v>508</v>
      </c>
      <c r="B509" s="7" t="s">
        <v>9</v>
      </c>
      <c r="C509" s="8">
        <v>1889</v>
      </c>
      <c r="D509" s="9">
        <v>45439</v>
      </c>
      <c r="E509" s="13" t="str">
        <f>+HYPERLINK("http://trademark.i-assist.jp/data/china/image_1889th/77006608.pdf","77006608")</f>
        <v>77006608</v>
      </c>
      <c r="F509" s="7" t="s">
        <v>1420</v>
      </c>
      <c r="G509" s="7" t="s">
        <v>1421</v>
      </c>
      <c r="H509" s="7" t="s">
        <v>1422</v>
      </c>
      <c r="I509" s="9">
        <v>45350</v>
      </c>
    </row>
    <row r="510" spans="1:9" x14ac:dyDescent="0.15">
      <c r="A510" s="6">
        <v>509</v>
      </c>
      <c r="B510" s="7" t="s">
        <v>9</v>
      </c>
      <c r="C510" s="8">
        <v>1889</v>
      </c>
      <c r="D510" s="9">
        <v>45439</v>
      </c>
      <c r="E510" s="13" t="str">
        <f>+HYPERLINK("http://trademark.i-assist.jp/data/china/image_1889th/77007651.pdf","77007651")</f>
        <v>77007651</v>
      </c>
      <c r="F510" s="7" t="s">
        <v>1423</v>
      </c>
      <c r="G510" s="7" t="s">
        <v>1424</v>
      </c>
      <c r="H510" s="7" t="s">
        <v>1425</v>
      </c>
      <c r="I510" s="9">
        <v>45350</v>
      </c>
    </row>
    <row r="511" spans="1:9" x14ac:dyDescent="0.15">
      <c r="A511" s="6">
        <v>510</v>
      </c>
      <c r="B511" s="7" t="s">
        <v>9</v>
      </c>
      <c r="C511" s="8">
        <v>1889</v>
      </c>
      <c r="D511" s="9">
        <v>45439</v>
      </c>
      <c r="E511" s="13" t="str">
        <f>+HYPERLINK("http://trademark.i-assist.jp/data/china/image_1889th/77008132.pdf","77008132")</f>
        <v>77008132</v>
      </c>
      <c r="F511" s="7" t="s">
        <v>1426</v>
      </c>
      <c r="G511" s="7" t="s">
        <v>1427</v>
      </c>
      <c r="H511" s="7" t="s">
        <v>1428</v>
      </c>
      <c r="I511" s="9">
        <v>45350</v>
      </c>
    </row>
    <row r="512" spans="1:9" x14ac:dyDescent="0.15">
      <c r="A512" s="6">
        <v>511</v>
      </c>
      <c r="B512" s="7" t="s">
        <v>9</v>
      </c>
      <c r="C512" s="8">
        <v>1889</v>
      </c>
      <c r="D512" s="9">
        <v>45439</v>
      </c>
      <c r="E512" s="13" t="str">
        <f>+HYPERLINK("http://trademark.i-assist.jp/data/china/image_1889th/77008328.pdf","77008328")</f>
        <v>77008328</v>
      </c>
      <c r="F512" s="7" t="s">
        <v>1429</v>
      </c>
      <c r="G512" s="7" t="s">
        <v>1430</v>
      </c>
      <c r="H512" s="7" t="s">
        <v>1431</v>
      </c>
      <c r="I512" s="9">
        <v>45350</v>
      </c>
    </row>
    <row r="513" spans="1:9" x14ac:dyDescent="0.15">
      <c r="A513" s="6">
        <v>512</v>
      </c>
      <c r="B513" s="7" t="s">
        <v>9</v>
      </c>
      <c r="C513" s="8">
        <v>1889</v>
      </c>
      <c r="D513" s="9">
        <v>45439</v>
      </c>
      <c r="E513" s="13" t="str">
        <f>+HYPERLINK("http://trademark.i-assist.jp/data/china/image_1889th/77008754.pdf","77008754")</f>
        <v>77008754</v>
      </c>
      <c r="F513" s="7" t="s">
        <v>1432</v>
      </c>
      <c r="G513" s="7" t="s">
        <v>1433</v>
      </c>
      <c r="H513" s="7" t="s">
        <v>1434</v>
      </c>
      <c r="I513" s="9">
        <v>45350</v>
      </c>
    </row>
    <row r="514" spans="1:9" x14ac:dyDescent="0.15">
      <c r="A514" s="6">
        <v>513</v>
      </c>
      <c r="B514" s="7" t="s">
        <v>9</v>
      </c>
      <c r="C514" s="8">
        <v>1889</v>
      </c>
      <c r="D514" s="9">
        <v>45439</v>
      </c>
      <c r="E514" s="13" t="str">
        <f>+HYPERLINK("http://trademark.i-assist.jp/data/china/image_1889th/77009357.pdf","77009357")</f>
        <v>77009357</v>
      </c>
      <c r="F514" s="7" t="s">
        <v>1435</v>
      </c>
      <c r="G514" s="7" t="s">
        <v>1436</v>
      </c>
      <c r="H514" s="7" t="s">
        <v>1437</v>
      </c>
      <c r="I514" s="9">
        <v>45350</v>
      </c>
    </row>
    <row r="515" spans="1:9" x14ac:dyDescent="0.15">
      <c r="A515" s="6">
        <v>514</v>
      </c>
      <c r="B515" s="7" t="s">
        <v>9</v>
      </c>
      <c r="C515" s="8">
        <v>1889</v>
      </c>
      <c r="D515" s="9">
        <v>45439</v>
      </c>
      <c r="E515" s="13" t="str">
        <f>+HYPERLINK("http://trademark.i-assist.jp/data/china/image_1889th/77009702.pdf","77009702")</f>
        <v>77009702</v>
      </c>
      <c r="F515" s="7" t="s">
        <v>1438</v>
      </c>
      <c r="G515" s="7" t="s">
        <v>1373</v>
      </c>
      <c r="H515" s="7" t="s">
        <v>1439</v>
      </c>
      <c r="I515" s="9">
        <v>45350</v>
      </c>
    </row>
    <row r="516" spans="1:9" x14ac:dyDescent="0.15">
      <c r="A516" s="6">
        <v>515</v>
      </c>
      <c r="B516" s="7" t="s">
        <v>9</v>
      </c>
      <c r="C516" s="8">
        <v>1889</v>
      </c>
      <c r="D516" s="9">
        <v>45439</v>
      </c>
      <c r="E516" s="13" t="str">
        <f>+HYPERLINK("http://trademark.i-assist.jp/data/china/image_1889th/77009738.pdf","77009738")</f>
        <v>77009738</v>
      </c>
      <c r="F516" s="7" t="s">
        <v>1440</v>
      </c>
      <c r="G516" s="7" t="s">
        <v>1373</v>
      </c>
      <c r="H516" s="7" t="s">
        <v>1441</v>
      </c>
      <c r="I516" s="9">
        <v>45350</v>
      </c>
    </row>
    <row r="517" spans="1:9" x14ac:dyDescent="0.15">
      <c r="A517" s="6">
        <v>516</v>
      </c>
      <c r="B517" s="7" t="s">
        <v>9</v>
      </c>
      <c r="C517" s="8">
        <v>1889</v>
      </c>
      <c r="D517" s="9">
        <v>45439</v>
      </c>
      <c r="E517" s="13" t="str">
        <f>+HYPERLINK("http://trademark.i-assist.jp/data/china/image_1889th/77009791.pdf","77009791")</f>
        <v>77009791</v>
      </c>
      <c r="F517" s="7" t="s">
        <v>1442</v>
      </c>
      <c r="G517" s="7" t="s">
        <v>1443</v>
      </c>
      <c r="H517" s="7" t="s">
        <v>1444</v>
      </c>
      <c r="I517" s="9">
        <v>45350</v>
      </c>
    </row>
    <row r="518" spans="1:9" x14ac:dyDescent="0.15">
      <c r="A518" s="6">
        <v>517</v>
      </c>
      <c r="B518" s="7" t="s">
        <v>9</v>
      </c>
      <c r="C518" s="8">
        <v>1889</v>
      </c>
      <c r="D518" s="9">
        <v>45439</v>
      </c>
      <c r="E518" s="13" t="str">
        <f>+HYPERLINK("http://trademark.i-assist.jp/data/china/image_1889th/77009953.pdf","77009953")</f>
        <v>77009953</v>
      </c>
      <c r="F518" s="7" t="s">
        <v>1445</v>
      </c>
      <c r="G518" s="7" t="s">
        <v>1446</v>
      </c>
      <c r="H518" s="7" t="s">
        <v>1447</v>
      </c>
      <c r="I518" s="9">
        <v>45350</v>
      </c>
    </row>
    <row r="519" spans="1:9" x14ac:dyDescent="0.15">
      <c r="A519" s="6">
        <v>518</v>
      </c>
      <c r="B519" s="7" t="s">
        <v>9</v>
      </c>
      <c r="C519" s="8">
        <v>1889</v>
      </c>
      <c r="D519" s="9">
        <v>45439</v>
      </c>
      <c r="E519" s="13" t="str">
        <f>+HYPERLINK("http://trademark.i-assist.jp/data/china/image_1889th/77010171.pdf","77010171")</f>
        <v>77010171</v>
      </c>
      <c r="F519" s="7" t="s">
        <v>1448</v>
      </c>
      <c r="G519" s="7" t="s">
        <v>1449</v>
      </c>
      <c r="H519" s="7" t="s">
        <v>1450</v>
      </c>
      <c r="I519" s="9">
        <v>45350</v>
      </c>
    </row>
    <row r="520" spans="1:9" x14ac:dyDescent="0.15">
      <c r="A520" s="6">
        <v>519</v>
      </c>
      <c r="B520" s="7" t="s">
        <v>9</v>
      </c>
      <c r="C520" s="8">
        <v>1889</v>
      </c>
      <c r="D520" s="9">
        <v>45439</v>
      </c>
      <c r="E520" s="13" t="str">
        <f>+HYPERLINK("http://trademark.i-assist.jp/data/china/image_1889th/77010250.pdf","77010250")</f>
        <v>77010250</v>
      </c>
      <c r="F520" s="7" t="s">
        <v>1451</v>
      </c>
      <c r="G520" s="7" t="s">
        <v>1373</v>
      </c>
      <c r="H520" s="7" t="s">
        <v>1452</v>
      </c>
      <c r="I520" s="9">
        <v>45350</v>
      </c>
    </row>
    <row r="521" spans="1:9" x14ac:dyDescent="0.15">
      <c r="A521" s="6">
        <v>520</v>
      </c>
      <c r="B521" s="7" t="s">
        <v>9</v>
      </c>
      <c r="C521" s="8">
        <v>1889</v>
      </c>
      <c r="D521" s="9">
        <v>45439</v>
      </c>
      <c r="E521" s="13" t="str">
        <f>+HYPERLINK("http://trademark.i-assist.jp/data/china/image_1889th/77010496.pdf","77010496")</f>
        <v>77010496</v>
      </c>
      <c r="F521" s="7" t="s">
        <v>1453</v>
      </c>
      <c r="G521" s="7" t="s">
        <v>1454</v>
      </c>
      <c r="H521" s="7" t="s">
        <v>1455</v>
      </c>
      <c r="I521" s="9">
        <v>45350</v>
      </c>
    </row>
    <row r="522" spans="1:9" x14ac:dyDescent="0.15">
      <c r="A522" s="6">
        <v>521</v>
      </c>
      <c r="B522" s="7" t="s">
        <v>9</v>
      </c>
      <c r="C522" s="8">
        <v>1889</v>
      </c>
      <c r="D522" s="9">
        <v>45439</v>
      </c>
      <c r="E522" s="13" t="str">
        <f>+HYPERLINK("http://trademark.i-assist.jp/data/china/image_1889th/77010818.pdf","77010818")</f>
        <v>77010818</v>
      </c>
      <c r="F522" s="7" t="s">
        <v>1456</v>
      </c>
      <c r="G522" s="7" t="s">
        <v>1457</v>
      </c>
      <c r="H522" s="7" t="s">
        <v>1458</v>
      </c>
      <c r="I522" s="9">
        <v>45350</v>
      </c>
    </row>
    <row r="523" spans="1:9" x14ac:dyDescent="0.15">
      <c r="A523" s="6">
        <v>522</v>
      </c>
      <c r="B523" s="7" t="s">
        <v>9</v>
      </c>
      <c r="C523" s="8">
        <v>1889</v>
      </c>
      <c r="D523" s="9">
        <v>45439</v>
      </c>
      <c r="E523" s="13" t="str">
        <f>+HYPERLINK("http://trademark.i-assist.jp/data/china/image_1889th/77010887.pdf","77010887")</f>
        <v>77010887</v>
      </c>
      <c r="F523" s="7" t="s">
        <v>1459</v>
      </c>
      <c r="G523" s="7" t="s">
        <v>1460</v>
      </c>
      <c r="H523" s="7" t="s">
        <v>1461</v>
      </c>
      <c r="I523" s="9">
        <v>45350</v>
      </c>
    </row>
    <row r="524" spans="1:9" x14ac:dyDescent="0.15">
      <c r="A524" s="6">
        <v>523</v>
      </c>
      <c r="B524" s="7" t="s">
        <v>9</v>
      </c>
      <c r="C524" s="8">
        <v>1889</v>
      </c>
      <c r="D524" s="9">
        <v>45439</v>
      </c>
      <c r="E524" s="13" t="str">
        <f>+HYPERLINK("http://trademark.i-assist.jp/data/china/image_1889th/77011065.pdf","77011065")</f>
        <v>77011065</v>
      </c>
      <c r="F524" s="7" t="s">
        <v>1462</v>
      </c>
      <c r="G524" s="7" t="s">
        <v>1463</v>
      </c>
      <c r="H524" s="7" t="s">
        <v>1464</v>
      </c>
      <c r="I524" s="9">
        <v>45350</v>
      </c>
    </row>
    <row r="525" spans="1:9" x14ac:dyDescent="0.15">
      <c r="A525" s="6">
        <v>524</v>
      </c>
      <c r="B525" s="7" t="s">
        <v>9</v>
      </c>
      <c r="C525" s="8">
        <v>1889</v>
      </c>
      <c r="D525" s="9">
        <v>45439</v>
      </c>
      <c r="E525" s="13" t="str">
        <f>+HYPERLINK("http://trademark.i-assist.jp/data/china/image_1889th/77011521.pdf","77011521")</f>
        <v>77011521</v>
      </c>
      <c r="F525" s="7" t="s">
        <v>1465</v>
      </c>
      <c r="G525" s="7" t="s">
        <v>1466</v>
      </c>
      <c r="H525" s="7" t="s">
        <v>1467</v>
      </c>
      <c r="I525" s="9">
        <v>45350</v>
      </c>
    </row>
    <row r="526" spans="1:9" x14ac:dyDescent="0.15">
      <c r="A526" s="6">
        <v>525</v>
      </c>
      <c r="B526" s="7" t="s">
        <v>9</v>
      </c>
      <c r="C526" s="8">
        <v>1889</v>
      </c>
      <c r="D526" s="9">
        <v>45439</v>
      </c>
      <c r="E526" s="13" t="str">
        <f>+HYPERLINK("http://trademark.i-assist.jp/data/china/image_1889th/77011922.pdf","77011922")</f>
        <v>77011922</v>
      </c>
      <c r="F526" s="7" t="s">
        <v>1468</v>
      </c>
      <c r="G526" s="7" t="s">
        <v>1469</v>
      </c>
      <c r="H526" s="7" t="s">
        <v>1470</v>
      </c>
      <c r="I526" s="9">
        <v>45350</v>
      </c>
    </row>
    <row r="527" spans="1:9" x14ac:dyDescent="0.15">
      <c r="A527" s="6">
        <v>526</v>
      </c>
      <c r="B527" s="7" t="s">
        <v>9</v>
      </c>
      <c r="C527" s="8">
        <v>1889</v>
      </c>
      <c r="D527" s="9">
        <v>45439</v>
      </c>
      <c r="E527" s="13" t="str">
        <f>+HYPERLINK("http://trademark.i-assist.jp/data/china/image_1889th/77011943.pdf","77011943")</f>
        <v>77011943</v>
      </c>
      <c r="F527" s="7" t="s">
        <v>1471</v>
      </c>
      <c r="G527" s="7" t="s">
        <v>1373</v>
      </c>
      <c r="H527" s="7" t="s">
        <v>1472</v>
      </c>
      <c r="I527" s="9">
        <v>45350</v>
      </c>
    </row>
    <row r="528" spans="1:9" ht="27" x14ac:dyDescent="0.15">
      <c r="A528" s="6">
        <v>527</v>
      </c>
      <c r="B528" s="7" t="s">
        <v>9</v>
      </c>
      <c r="C528" s="8">
        <v>1889</v>
      </c>
      <c r="D528" s="9">
        <v>45439</v>
      </c>
      <c r="E528" s="13" t="str">
        <f>+HYPERLINK("http://trademark.i-assist.jp/data/china/image_1889th/77012121.pdf","77012121")</f>
        <v>77012121</v>
      </c>
      <c r="F528" s="7" t="s">
        <v>1473</v>
      </c>
      <c r="G528" s="7" t="s">
        <v>1474</v>
      </c>
      <c r="H528" s="7" t="s">
        <v>1475</v>
      </c>
      <c r="I528" s="9">
        <v>45350</v>
      </c>
    </row>
    <row r="529" spans="1:9" x14ac:dyDescent="0.15">
      <c r="A529" s="6">
        <v>528</v>
      </c>
      <c r="B529" s="7" t="s">
        <v>9</v>
      </c>
      <c r="C529" s="8">
        <v>1889</v>
      </c>
      <c r="D529" s="9">
        <v>45439</v>
      </c>
      <c r="E529" s="13" t="str">
        <f>+HYPERLINK("http://trademark.i-assist.jp/data/china/image_1889th/77012247.pdf","77012247")</f>
        <v>77012247</v>
      </c>
      <c r="F529" s="7" t="s">
        <v>1476</v>
      </c>
      <c r="G529" s="7" t="s">
        <v>1477</v>
      </c>
      <c r="H529" s="7" t="s">
        <v>1478</v>
      </c>
      <c r="I529" s="9">
        <v>45350</v>
      </c>
    </row>
    <row r="530" spans="1:9" x14ac:dyDescent="0.15">
      <c r="A530" s="6">
        <v>529</v>
      </c>
      <c r="B530" s="7" t="s">
        <v>9</v>
      </c>
      <c r="C530" s="8">
        <v>1889</v>
      </c>
      <c r="D530" s="9">
        <v>45439</v>
      </c>
      <c r="E530" s="13" t="str">
        <f>+HYPERLINK("http://trademark.i-assist.jp/data/china/image_1889th/77012458.pdf","77012458")</f>
        <v>77012458</v>
      </c>
      <c r="F530" s="7" t="s">
        <v>1479</v>
      </c>
      <c r="G530" s="7" t="s">
        <v>1480</v>
      </c>
      <c r="H530" s="7" t="s">
        <v>1481</v>
      </c>
      <c r="I530" s="9">
        <v>45350</v>
      </c>
    </row>
    <row r="531" spans="1:9" x14ac:dyDescent="0.15">
      <c r="A531" s="6">
        <v>530</v>
      </c>
      <c r="B531" s="7" t="s">
        <v>9</v>
      </c>
      <c r="C531" s="8">
        <v>1889</v>
      </c>
      <c r="D531" s="9">
        <v>45439</v>
      </c>
      <c r="E531" s="13" t="str">
        <f>+HYPERLINK("http://trademark.i-assist.jp/data/china/image_1889th/77012653.pdf","77012653")</f>
        <v>77012653</v>
      </c>
      <c r="F531" s="7" t="s">
        <v>1482</v>
      </c>
      <c r="G531" s="7" t="s">
        <v>1483</v>
      </c>
      <c r="H531" s="7" t="s">
        <v>1484</v>
      </c>
      <c r="I531" s="9">
        <v>45350</v>
      </c>
    </row>
    <row r="532" spans="1:9" x14ac:dyDescent="0.15">
      <c r="A532" s="6">
        <v>531</v>
      </c>
      <c r="B532" s="7" t="s">
        <v>9</v>
      </c>
      <c r="C532" s="8">
        <v>1889</v>
      </c>
      <c r="D532" s="9">
        <v>45439</v>
      </c>
      <c r="E532" s="13" t="str">
        <f>+HYPERLINK("http://trademark.i-assist.jp/data/china/image_1889th/77012710.pdf","77012710")</f>
        <v>77012710</v>
      </c>
      <c r="F532" s="7" t="s">
        <v>1485</v>
      </c>
      <c r="G532" s="7" t="s">
        <v>1373</v>
      </c>
      <c r="H532" s="7" t="s">
        <v>1486</v>
      </c>
      <c r="I532" s="9">
        <v>45350</v>
      </c>
    </row>
    <row r="533" spans="1:9" x14ac:dyDescent="0.15">
      <c r="A533" s="6">
        <v>532</v>
      </c>
      <c r="B533" s="7" t="s">
        <v>9</v>
      </c>
      <c r="C533" s="8">
        <v>1889</v>
      </c>
      <c r="D533" s="9">
        <v>45439</v>
      </c>
      <c r="E533" s="13" t="str">
        <f>+HYPERLINK("http://trademark.i-assist.jp/data/china/image_1889th/77012725.pdf","77012725")</f>
        <v>77012725</v>
      </c>
      <c r="F533" s="7" t="s">
        <v>1487</v>
      </c>
      <c r="G533" s="7" t="s">
        <v>1488</v>
      </c>
      <c r="H533" s="7" t="s">
        <v>42</v>
      </c>
      <c r="I533" s="9">
        <v>45350</v>
      </c>
    </row>
    <row r="534" spans="1:9" x14ac:dyDescent="0.15">
      <c r="A534" s="6">
        <v>533</v>
      </c>
      <c r="B534" s="7" t="s">
        <v>9</v>
      </c>
      <c r="C534" s="8">
        <v>1889</v>
      </c>
      <c r="D534" s="9">
        <v>45439</v>
      </c>
      <c r="E534" s="13" t="str">
        <f>+HYPERLINK("http://trademark.i-assist.jp/data/china/image_1889th/77013027.pdf","77013027")</f>
        <v>77013027</v>
      </c>
      <c r="F534" s="7" t="s">
        <v>1489</v>
      </c>
      <c r="G534" s="7" t="s">
        <v>1490</v>
      </c>
      <c r="H534" s="7" t="s">
        <v>1491</v>
      </c>
      <c r="I534" s="9">
        <v>45350</v>
      </c>
    </row>
    <row r="535" spans="1:9" ht="27" x14ac:dyDescent="0.15">
      <c r="A535" s="6">
        <v>534</v>
      </c>
      <c r="B535" s="7" t="s">
        <v>9</v>
      </c>
      <c r="C535" s="8">
        <v>1889</v>
      </c>
      <c r="D535" s="9">
        <v>45439</v>
      </c>
      <c r="E535" s="13" t="str">
        <f>+HYPERLINK("http://trademark.i-assist.jp/data/china/image_1889th/77013209.pdf","77013209")</f>
        <v>77013209</v>
      </c>
      <c r="F535" s="7" t="s">
        <v>1492</v>
      </c>
      <c r="G535" s="7" t="s">
        <v>1493</v>
      </c>
      <c r="H535" s="7" t="s">
        <v>1494</v>
      </c>
      <c r="I535" s="9">
        <v>45350</v>
      </c>
    </row>
    <row r="536" spans="1:9" x14ac:dyDescent="0.15">
      <c r="A536" s="6">
        <v>535</v>
      </c>
      <c r="B536" s="7" t="s">
        <v>9</v>
      </c>
      <c r="C536" s="8">
        <v>1889</v>
      </c>
      <c r="D536" s="9">
        <v>45439</v>
      </c>
      <c r="E536" s="13" t="str">
        <f>+HYPERLINK("http://trademark.i-assist.jp/data/china/image_1889th/77013401.pdf","77013401")</f>
        <v>77013401</v>
      </c>
      <c r="F536" s="7" t="s">
        <v>1495</v>
      </c>
      <c r="G536" s="7" t="s">
        <v>1496</v>
      </c>
      <c r="H536" s="7" t="s">
        <v>1497</v>
      </c>
      <c r="I536" s="9">
        <v>45350</v>
      </c>
    </row>
    <row r="537" spans="1:9" ht="27" x14ac:dyDescent="0.15">
      <c r="A537" s="6">
        <v>536</v>
      </c>
      <c r="B537" s="7" t="s">
        <v>9</v>
      </c>
      <c r="C537" s="8">
        <v>1889</v>
      </c>
      <c r="D537" s="9">
        <v>45439</v>
      </c>
      <c r="E537" s="13" t="str">
        <f>+HYPERLINK("http://trademark.i-assist.jp/data/china/image_1889th/77013536.pdf","77013536")</f>
        <v>77013536</v>
      </c>
      <c r="F537" s="7" t="s">
        <v>134</v>
      </c>
      <c r="G537" s="7" t="s">
        <v>1498</v>
      </c>
      <c r="H537" s="7" t="s">
        <v>1499</v>
      </c>
      <c r="I537" s="9">
        <v>45350</v>
      </c>
    </row>
    <row r="538" spans="1:9" x14ac:dyDescent="0.15">
      <c r="A538" s="6">
        <v>537</v>
      </c>
      <c r="B538" s="7" t="s">
        <v>9</v>
      </c>
      <c r="C538" s="8">
        <v>1889</v>
      </c>
      <c r="D538" s="9">
        <v>45439</v>
      </c>
      <c r="E538" s="13" t="str">
        <f>+HYPERLINK("http://trademark.i-assist.jp/data/china/image_1889th/77013680.pdf","77013680")</f>
        <v>77013680</v>
      </c>
      <c r="F538" s="7" t="s">
        <v>1500</v>
      </c>
      <c r="G538" s="7" t="s">
        <v>1501</v>
      </c>
      <c r="H538" s="7" t="s">
        <v>1502</v>
      </c>
      <c r="I538" s="9">
        <v>45350</v>
      </c>
    </row>
    <row r="539" spans="1:9" x14ac:dyDescent="0.15">
      <c r="A539" s="6">
        <v>538</v>
      </c>
      <c r="B539" s="7" t="s">
        <v>9</v>
      </c>
      <c r="C539" s="8">
        <v>1889</v>
      </c>
      <c r="D539" s="9">
        <v>45439</v>
      </c>
      <c r="E539" s="13" t="str">
        <f>+HYPERLINK("http://trademark.i-assist.jp/data/china/image_1889th/77013908.pdf","77013908")</f>
        <v>77013908</v>
      </c>
      <c r="F539" s="7" t="s">
        <v>1503</v>
      </c>
      <c r="G539" s="7" t="s">
        <v>1504</v>
      </c>
      <c r="H539" s="7" t="s">
        <v>1505</v>
      </c>
      <c r="I539" s="9">
        <v>45350</v>
      </c>
    </row>
    <row r="540" spans="1:9" x14ac:dyDescent="0.15">
      <c r="A540" s="6">
        <v>539</v>
      </c>
      <c r="B540" s="7" t="s">
        <v>9</v>
      </c>
      <c r="C540" s="8">
        <v>1889</v>
      </c>
      <c r="D540" s="9">
        <v>45439</v>
      </c>
      <c r="E540" s="13" t="str">
        <f>+HYPERLINK("http://trademark.i-assist.jp/data/china/image_1889th/77014411.pdf","77014411")</f>
        <v>77014411</v>
      </c>
      <c r="F540" s="7" t="s">
        <v>1506</v>
      </c>
      <c r="G540" s="7" t="s">
        <v>1373</v>
      </c>
      <c r="H540" s="7" t="s">
        <v>1507</v>
      </c>
      <c r="I540" s="9">
        <v>45350</v>
      </c>
    </row>
    <row r="541" spans="1:9" x14ac:dyDescent="0.15">
      <c r="A541" s="6">
        <v>540</v>
      </c>
      <c r="B541" s="7" t="s">
        <v>9</v>
      </c>
      <c r="C541" s="8">
        <v>1889</v>
      </c>
      <c r="D541" s="9">
        <v>45439</v>
      </c>
      <c r="E541" s="13" t="str">
        <f>+HYPERLINK("http://trademark.i-assist.jp/data/china/image_1889th/77014508.pdf","77014508")</f>
        <v>77014508</v>
      </c>
      <c r="F541" s="7" t="s">
        <v>1508</v>
      </c>
      <c r="G541" s="7" t="s">
        <v>1509</v>
      </c>
      <c r="H541" s="7" t="s">
        <v>1510</v>
      </c>
      <c r="I541" s="9">
        <v>45350</v>
      </c>
    </row>
    <row r="542" spans="1:9" x14ac:dyDescent="0.15">
      <c r="A542" s="6">
        <v>541</v>
      </c>
      <c r="B542" s="7" t="s">
        <v>9</v>
      </c>
      <c r="C542" s="8">
        <v>1889</v>
      </c>
      <c r="D542" s="9">
        <v>45439</v>
      </c>
      <c r="E542" s="13" t="str">
        <f>+HYPERLINK("http://trademark.i-assist.jp/data/china/image_1889th/77014809.pdf","77014809")</f>
        <v>77014809</v>
      </c>
      <c r="F542" s="7" t="s">
        <v>1511</v>
      </c>
      <c r="G542" s="7" t="s">
        <v>1512</v>
      </c>
      <c r="H542" s="7" t="s">
        <v>1513</v>
      </c>
      <c r="I542" s="9">
        <v>45350</v>
      </c>
    </row>
    <row r="543" spans="1:9" x14ac:dyDescent="0.15">
      <c r="A543" s="6">
        <v>542</v>
      </c>
      <c r="B543" s="7" t="s">
        <v>9</v>
      </c>
      <c r="C543" s="8">
        <v>1889</v>
      </c>
      <c r="D543" s="9">
        <v>45439</v>
      </c>
      <c r="E543" s="13" t="str">
        <f>+HYPERLINK("http://trademark.i-assist.jp/data/china/image_1889th/77015722.pdf","77015722")</f>
        <v>77015722</v>
      </c>
      <c r="F543" s="7" t="s">
        <v>1514</v>
      </c>
      <c r="G543" s="7" t="s">
        <v>1515</v>
      </c>
      <c r="H543" s="7" t="s">
        <v>1516</v>
      </c>
      <c r="I543" s="9">
        <v>45351</v>
      </c>
    </row>
    <row r="544" spans="1:9" x14ac:dyDescent="0.15">
      <c r="A544" s="6">
        <v>543</v>
      </c>
      <c r="B544" s="7" t="s">
        <v>9</v>
      </c>
      <c r="C544" s="8">
        <v>1889</v>
      </c>
      <c r="D544" s="9">
        <v>45439</v>
      </c>
      <c r="E544" s="13" t="str">
        <f>+HYPERLINK("http://trademark.i-assist.jp/data/china/image_1889th/77015983A.pdf","77015983A")</f>
        <v>77015983A</v>
      </c>
      <c r="F544" s="7" t="s">
        <v>1517</v>
      </c>
      <c r="G544" s="7" t="s">
        <v>1518</v>
      </c>
      <c r="H544" s="7" t="s">
        <v>1519</v>
      </c>
      <c r="I544" s="9">
        <v>45351</v>
      </c>
    </row>
    <row r="545" spans="1:9" x14ac:dyDescent="0.15">
      <c r="A545" s="6">
        <v>544</v>
      </c>
      <c r="B545" s="7" t="s">
        <v>9</v>
      </c>
      <c r="C545" s="8">
        <v>1889</v>
      </c>
      <c r="D545" s="9">
        <v>45439</v>
      </c>
      <c r="E545" s="13" t="str">
        <f>+HYPERLINK("http://trademark.i-assist.jp/data/china/image_1889th/77016054.pdf","77016054")</f>
        <v>77016054</v>
      </c>
      <c r="F545" s="7" t="s">
        <v>1520</v>
      </c>
      <c r="G545" s="7" t="s">
        <v>1521</v>
      </c>
      <c r="H545" s="7" t="s">
        <v>1522</v>
      </c>
      <c r="I545" s="9">
        <v>45351</v>
      </c>
    </row>
    <row r="546" spans="1:9" x14ac:dyDescent="0.15">
      <c r="A546" s="6">
        <v>545</v>
      </c>
      <c r="B546" s="7" t="s">
        <v>9</v>
      </c>
      <c r="C546" s="8">
        <v>1889</v>
      </c>
      <c r="D546" s="9">
        <v>45439</v>
      </c>
      <c r="E546" s="13" t="str">
        <f>+HYPERLINK("http://trademark.i-assist.jp/data/china/image_1889th/77017884.pdf","77017884")</f>
        <v>77017884</v>
      </c>
      <c r="F546" s="7" t="s">
        <v>1523</v>
      </c>
      <c r="G546" s="7" t="s">
        <v>1524</v>
      </c>
      <c r="H546" s="7" t="s">
        <v>1525</v>
      </c>
      <c r="I546" s="9">
        <v>45351</v>
      </c>
    </row>
    <row r="547" spans="1:9" x14ac:dyDescent="0.15">
      <c r="A547" s="6">
        <v>546</v>
      </c>
      <c r="B547" s="7" t="s">
        <v>9</v>
      </c>
      <c r="C547" s="8">
        <v>1889</v>
      </c>
      <c r="D547" s="9">
        <v>45439</v>
      </c>
      <c r="E547" s="13" t="str">
        <f>+HYPERLINK("http://trademark.i-assist.jp/data/china/image_1889th/77017898.pdf","77017898")</f>
        <v>77017898</v>
      </c>
      <c r="F547" s="7" t="s">
        <v>1526</v>
      </c>
      <c r="G547" s="7" t="s">
        <v>1524</v>
      </c>
      <c r="H547" s="7" t="s">
        <v>1527</v>
      </c>
      <c r="I547" s="9">
        <v>45351</v>
      </c>
    </row>
    <row r="548" spans="1:9" ht="27" x14ac:dyDescent="0.15">
      <c r="A548" s="6">
        <v>547</v>
      </c>
      <c r="B548" s="7" t="s">
        <v>9</v>
      </c>
      <c r="C548" s="8">
        <v>1889</v>
      </c>
      <c r="D548" s="9">
        <v>45439</v>
      </c>
      <c r="E548" s="13" t="str">
        <f>+HYPERLINK("http://trademark.i-assist.jp/data/china/image_1889th/77019194.pdf","77019194")</f>
        <v>77019194</v>
      </c>
      <c r="F548" s="7" t="s">
        <v>1528</v>
      </c>
      <c r="G548" s="7" t="s">
        <v>1529</v>
      </c>
      <c r="H548" s="7" t="s">
        <v>1530</v>
      </c>
      <c r="I548" s="9">
        <v>45351</v>
      </c>
    </row>
    <row r="549" spans="1:9" ht="27" x14ac:dyDescent="0.15">
      <c r="A549" s="6">
        <v>548</v>
      </c>
      <c r="B549" s="7" t="s">
        <v>9</v>
      </c>
      <c r="C549" s="8">
        <v>1889</v>
      </c>
      <c r="D549" s="9">
        <v>45439</v>
      </c>
      <c r="E549" s="13" t="str">
        <f>+HYPERLINK("http://trademark.i-assist.jp/data/china/image_1889th/77020767.pdf","77020767")</f>
        <v>77020767</v>
      </c>
      <c r="F549" s="7" t="s">
        <v>1531</v>
      </c>
      <c r="G549" s="7" t="s">
        <v>1532</v>
      </c>
      <c r="H549" s="7" t="s">
        <v>1533</v>
      </c>
      <c r="I549" s="9">
        <v>45351</v>
      </c>
    </row>
    <row r="550" spans="1:9" x14ac:dyDescent="0.15">
      <c r="A550" s="6">
        <v>549</v>
      </c>
      <c r="B550" s="7" t="s">
        <v>9</v>
      </c>
      <c r="C550" s="8">
        <v>1889</v>
      </c>
      <c r="D550" s="9">
        <v>45439</v>
      </c>
      <c r="E550" s="13" t="str">
        <f>+HYPERLINK("http://trademark.i-assist.jp/data/china/image_1889th/77021099.pdf","77021099")</f>
        <v>77021099</v>
      </c>
      <c r="F550" s="7" t="s">
        <v>1534</v>
      </c>
      <c r="G550" s="7" t="s">
        <v>1535</v>
      </c>
      <c r="H550" s="7" t="s">
        <v>1536</v>
      </c>
      <c r="I550" s="9">
        <v>45351</v>
      </c>
    </row>
    <row r="551" spans="1:9" x14ac:dyDescent="0.15">
      <c r="A551" s="6">
        <v>550</v>
      </c>
      <c r="B551" s="7" t="s">
        <v>9</v>
      </c>
      <c r="C551" s="8">
        <v>1889</v>
      </c>
      <c r="D551" s="9">
        <v>45439</v>
      </c>
      <c r="E551" s="13" t="str">
        <f>+HYPERLINK("http://trademark.i-assist.jp/data/china/image_1889th/77021978.pdf","77021978")</f>
        <v>77021978</v>
      </c>
      <c r="F551" s="7" t="s">
        <v>1537</v>
      </c>
      <c r="G551" s="7" t="s">
        <v>1538</v>
      </c>
      <c r="H551" s="7" t="s">
        <v>1539</v>
      </c>
      <c r="I551" s="9">
        <v>45351</v>
      </c>
    </row>
    <row r="552" spans="1:9" x14ac:dyDescent="0.15">
      <c r="A552" s="6">
        <v>551</v>
      </c>
      <c r="B552" s="7" t="s">
        <v>9</v>
      </c>
      <c r="C552" s="8">
        <v>1889</v>
      </c>
      <c r="D552" s="9">
        <v>45439</v>
      </c>
      <c r="E552" s="13" t="str">
        <f>+HYPERLINK("http://trademark.i-assist.jp/data/china/image_1889th/77022895.pdf","77022895")</f>
        <v>77022895</v>
      </c>
      <c r="F552" s="7" t="s">
        <v>1540</v>
      </c>
      <c r="G552" s="7" t="s">
        <v>1541</v>
      </c>
      <c r="H552" s="7" t="s">
        <v>1542</v>
      </c>
      <c r="I552" s="9">
        <v>45351</v>
      </c>
    </row>
    <row r="553" spans="1:9" x14ac:dyDescent="0.15">
      <c r="A553" s="6">
        <v>552</v>
      </c>
      <c r="B553" s="7" t="s">
        <v>9</v>
      </c>
      <c r="C553" s="8">
        <v>1889</v>
      </c>
      <c r="D553" s="9">
        <v>45439</v>
      </c>
      <c r="E553" s="13" t="str">
        <f>+HYPERLINK("http://trademark.i-assist.jp/data/china/image_1889th/77023822.pdf","77023822")</f>
        <v>77023822</v>
      </c>
      <c r="F553" s="7" t="s">
        <v>1543</v>
      </c>
      <c r="G553" s="7" t="s">
        <v>1544</v>
      </c>
      <c r="H553" s="7" t="s">
        <v>1545</v>
      </c>
      <c r="I553" s="9">
        <v>45351</v>
      </c>
    </row>
    <row r="554" spans="1:9" x14ac:dyDescent="0.15">
      <c r="A554" s="6">
        <v>553</v>
      </c>
      <c r="B554" s="7" t="s">
        <v>9</v>
      </c>
      <c r="C554" s="8">
        <v>1889</v>
      </c>
      <c r="D554" s="9">
        <v>45439</v>
      </c>
      <c r="E554" s="13" t="str">
        <f>+HYPERLINK("http://trademark.i-assist.jp/data/china/image_1889th/77024159.pdf","77024159")</f>
        <v>77024159</v>
      </c>
      <c r="F554" s="7" t="s">
        <v>1546</v>
      </c>
      <c r="G554" s="7" t="s">
        <v>1547</v>
      </c>
      <c r="H554" s="7" t="s">
        <v>1548</v>
      </c>
      <c r="I554" s="9">
        <v>45351</v>
      </c>
    </row>
    <row r="555" spans="1:9" x14ac:dyDescent="0.15">
      <c r="A555" s="6">
        <v>554</v>
      </c>
      <c r="B555" s="7" t="s">
        <v>9</v>
      </c>
      <c r="C555" s="8">
        <v>1889</v>
      </c>
      <c r="D555" s="9">
        <v>45439</v>
      </c>
      <c r="E555" s="13" t="str">
        <f>+HYPERLINK("http://trademark.i-assist.jp/data/china/image_1889th/77024463.pdf","77024463")</f>
        <v>77024463</v>
      </c>
      <c r="F555" s="7" t="s">
        <v>1549</v>
      </c>
      <c r="G555" s="7" t="s">
        <v>1550</v>
      </c>
      <c r="H555" s="7" t="s">
        <v>1551</v>
      </c>
      <c r="I555" s="9">
        <v>45351</v>
      </c>
    </row>
    <row r="556" spans="1:9" ht="27" x14ac:dyDescent="0.15">
      <c r="A556" s="6">
        <v>555</v>
      </c>
      <c r="B556" s="7" t="s">
        <v>9</v>
      </c>
      <c r="C556" s="8">
        <v>1889</v>
      </c>
      <c r="D556" s="9">
        <v>45439</v>
      </c>
      <c r="E556" s="13" t="str">
        <f>+HYPERLINK("http://trademark.i-assist.jp/data/china/image_1889th/77026730.pdf","77026730")</f>
        <v>77026730</v>
      </c>
      <c r="F556" s="7" t="s">
        <v>1552</v>
      </c>
      <c r="G556" s="7" t="s">
        <v>1529</v>
      </c>
      <c r="H556" s="7" t="s">
        <v>1553</v>
      </c>
      <c r="I556" s="9">
        <v>45351</v>
      </c>
    </row>
    <row r="557" spans="1:9" x14ac:dyDescent="0.15">
      <c r="A557" s="6">
        <v>556</v>
      </c>
      <c r="B557" s="7" t="s">
        <v>9</v>
      </c>
      <c r="C557" s="8">
        <v>1889</v>
      </c>
      <c r="D557" s="9">
        <v>45439</v>
      </c>
      <c r="E557" s="13" t="str">
        <f>+HYPERLINK("http://trademark.i-assist.jp/data/china/image_1889th/77027983.pdf","77027983")</f>
        <v>77027983</v>
      </c>
      <c r="F557" s="7" t="s">
        <v>1554</v>
      </c>
      <c r="G557" s="7" t="s">
        <v>1555</v>
      </c>
      <c r="H557" s="7" t="s">
        <v>1556</v>
      </c>
      <c r="I557" s="9">
        <v>45351</v>
      </c>
    </row>
    <row r="558" spans="1:9" x14ac:dyDescent="0.15">
      <c r="A558" s="6">
        <v>557</v>
      </c>
      <c r="B558" s="7" t="s">
        <v>9</v>
      </c>
      <c r="C558" s="8">
        <v>1889</v>
      </c>
      <c r="D558" s="9">
        <v>45439</v>
      </c>
      <c r="E558" s="13" t="str">
        <f>+HYPERLINK("http://trademark.i-assist.jp/data/china/image_1889th/77028132.pdf","77028132")</f>
        <v>77028132</v>
      </c>
      <c r="F558" s="7" t="s">
        <v>1557</v>
      </c>
      <c r="G558" s="7" t="s">
        <v>1558</v>
      </c>
      <c r="H558" s="7" t="s">
        <v>1559</v>
      </c>
      <c r="I558" s="9">
        <v>45351</v>
      </c>
    </row>
    <row r="559" spans="1:9" ht="27" x14ac:dyDescent="0.15">
      <c r="A559" s="6">
        <v>558</v>
      </c>
      <c r="B559" s="7" t="s">
        <v>9</v>
      </c>
      <c r="C559" s="8">
        <v>1889</v>
      </c>
      <c r="D559" s="9">
        <v>45439</v>
      </c>
      <c r="E559" s="13" t="str">
        <f>+HYPERLINK("http://trademark.i-assist.jp/data/china/image_1889th/77028161.pdf","77028161")</f>
        <v>77028161</v>
      </c>
      <c r="F559" s="7" t="s">
        <v>1560</v>
      </c>
      <c r="G559" s="7" t="s">
        <v>1561</v>
      </c>
      <c r="H559" s="7" t="s">
        <v>1562</v>
      </c>
      <c r="I559" s="9">
        <v>45351</v>
      </c>
    </row>
    <row r="560" spans="1:9" x14ac:dyDescent="0.15">
      <c r="A560" s="6">
        <v>559</v>
      </c>
      <c r="B560" s="7" t="s">
        <v>9</v>
      </c>
      <c r="C560" s="8">
        <v>1889</v>
      </c>
      <c r="D560" s="9">
        <v>45439</v>
      </c>
      <c r="E560" s="13" t="str">
        <f>+HYPERLINK("http://trademark.i-assist.jp/data/china/image_1889th/77028621.pdf","77028621")</f>
        <v>77028621</v>
      </c>
      <c r="F560" s="7" t="s">
        <v>1563</v>
      </c>
      <c r="G560" s="7" t="s">
        <v>1564</v>
      </c>
      <c r="H560" s="7" t="s">
        <v>1565</v>
      </c>
      <c r="I560" s="9">
        <v>45351</v>
      </c>
    </row>
    <row r="561" spans="1:9" x14ac:dyDescent="0.15">
      <c r="A561" s="6">
        <v>560</v>
      </c>
      <c r="B561" s="7" t="s">
        <v>9</v>
      </c>
      <c r="C561" s="8">
        <v>1889</v>
      </c>
      <c r="D561" s="9">
        <v>45439</v>
      </c>
      <c r="E561" s="13" t="str">
        <f>+HYPERLINK("http://trademark.i-assist.jp/data/china/image_1889th/77029481.pdf","77029481")</f>
        <v>77029481</v>
      </c>
      <c r="F561" s="7" t="s">
        <v>1566</v>
      </c>
      <c r="G561" s="7" t="s">
        <v>1567</v>
      </c>
      <c r="H561" s="7" t="s">
        <v>1568</v>
      </c>
      <c r="I561" s="9">
        <v>45351</v>
      </c>
    </row>
    <row r="562" spans="1:9" x14ac:dyDescent="0.15">
      <c r="A562" s="6">
        <v>561</v>
      </c>
      <c r="B562" s="7" t="s">
        <v>9</v>
      </c>
      <c r="C562" s="8">
        <v>1889</v>
      </c>
      <c r="D562" s="9">
        <v>45439</v>
      </c>
      <c r="E562" s="13" t="str">
        <f>+HYPERLINK("http://trademark.i-assist.jp/data/china/image_1889th/77029702.pdf","77029702")</f>
        <v>77029702</v>
      </c>
      <c r="F562" s="7" t="s">
        <v>1569</v>
      </c>
      <c r="G562" s="7" t="s">
        <v>1570</v>
      </c>
      <c r="H562" s="7" t="s">
        <v>1571</v>
      </c>
      <c r="I562" s="9">
        <v>45351</v>
      </c>
    </row>
    <row r="563" spans="1:9" x14ac:dyDescent="0.15">
      <c r="A563" s="6">
        <v>562</v>
      </c>
      <c r="B563" s="7" t="s">
        <v>9</v>
      </c>
      <c r="C563" s="8">
        <v>1889</v>
      </c>
      <c r="D563" s="9">
        <v>45439</v>
      </c>
      <c r="E563" s="13" t="str">
        <f>+HYPERLINK("http://trademark.i-assist.jp/data/china/image_1889th/77030064.pdf","77030064")</f>
        <v>77030064</v>
      </c>
      <c r="F563" s="7" t="s">
        <v>1572</v>
      </c>
      <c r="G563" s="7" t="s">
        <v>1573</v>
      </c>
      <c r="H563" s="7" t="s">
        <v>1574</v>
      </c>
      <c r="I563" s="9">
        <v>45351</v>
      </c>
    </row>
    <row r="564" spans="1:9" x14ac:dyDescent="0.15">
      <c r="A564" s="6">
        <v>563</v>
      </c>
      <c r="B564" s="7" t="s">
        <v>9</v>
      </c>
      <c r="C564" s="8">
        <v>1889</v>
      </c>
      <c r="D564" s="9">
        <v>45439</v>
      </c>
      <c r="E564" s="13" t="str">
        <f>+HYPERLINK("http://trademark.i-assist.jp/data/china/image_1889th/77030787.pdf","77030787")</f>
        <v>77030787</v>
      </c>
      <c r="F564" s="7" t="s">
        <v>1575</v>
      </c>
      <c r="G564" s="7" t="s">
        <v>1576</v>
      </c>
      <c r="H564" s="7" t="s">
        <v>1577</v>
      </c>
      <c r="I564" s="9">
        <v>45351</v>
      </c>
    </row>
    <row r="565" spans="1:9" x14ac:dyDescent="0.15">
      <c r="A565" s="6">
        <v>564</v>
      </c>
      <c r="B565" s="7" t="s">
        <v>9</v>
      </c>
      <c r="C565" s="8">
        <v>1889</v>
      </c>
      <c r="D565" s="9">
        <v>45439</v>
      </c>
      <c r="E565" s="13" t="str">
        <f>+HYPERLINK("http://trademark.i-assist.jp/data/china/image_1889th/77031273.pdf","77031273")</f>
        <v>77031273</v>
      </c>
      <c r="F565" s="7" t="s">
        <v>1578</v>
      </c>
      <c r="G565" s="7" t="s">
        <v>1579</v>
      </c>
      <c r="H565" s="7" t="s">
        <v>1580</v>
      </c>
      <c r="I565" s="9">
        <v>45351</v>
      </c>
    </row>
    <row r="566" spans="1:9" x14ac:dyDescent="0.15">
      <c r="A566" s="6">
        <v>565</v>
      </c>
      <c r="B566" s="7" t="s">
        <v>9</v>
      </c>
      <c r="C566" s="8">
        <v>1889</v>
      </c>
      <c r="D566" s="9">
        <v>45439</v>
      </c>
      <c r="E566" s="13" t="str">
        <f>+HYPERLINK("http://trademark.i-assist.jp/data/china/image_1889th/77031784.pdf","77031784")</f>
        <v>77031784</v>
      </c>
      <c r="F566" s="7" t="s">
        <v>1581</v>
      </c>
      <c r="G566" s="7" t="s">
        <v>1582</v>
      </c>
      <c r="H566" s="7" t="s">
        <v>1583</v>
      </c>
      <c r="I566" s="9">
        <v>45351</v>
      </c>
    </row>
    <row r="567" spans="1:9" x14ac:dyDescent="0.15">
      <c r="A567" s="6">
        <v>566</v>
      </c>
      <c r="B567" s="7" t="s">
        <v>9</v>
      </c>
      <c r="C567" s="8">
        <v>1889</v>
      </c>
      <c r="D567" s="9">
        <v>45439</v>
      </c>
      <c r="E567" s="13" t="str">
        <f>+HYPERLINK("http://trademark.i-assist.jp/data/china/image_1889th/77031828.pdf","77031828")</f>
        <v>77031828</v>
      </c>
      <c r="F567" s="7" t="s">
        <v>1584</v>
      </c>
      <c r="G567" s="7" t="s">
        <v>1585</v>
      </c>
      <c r="H567" s="7" t="s">
        <v>1586</v>
      </c>
      <c r="I567" s="9">
        <v>45351</v>
      </c>
    </row>
    <row r="568" spans="1:9" x14ac:dyDescent="0.15">
      <c r="A568" s="6">
        <v>567</v>
      </c>
      <c r="B568" s="7" t="s">
        <v>9</v>
      </c>
      <c r="C568" s="8">
        <v>1889</v>
      </c>
      <c r="D568" s="9">
        <v>45439</v>
      </c>
      <c r="E568" s="13" t="str">
        <f>+HYPERLINK("http://trademark.i-assist.jp/data/china/image_1889th/77033132.pdf","77033132")</f>
        <v>77033132</v>
      </c>
      <c r="F568" s="7" t="s">
        <v>1587</v>
      </c>
      <c r="G568" s="7" t="s">
        <v>1588</v>
      </c>
      <c r="H568" s="7" t="s">
        <v>1589</v>
      </c>
      <c r="I568" s="9">
        <v>45351</v>
      </c>
    </row>
    <row r="569" spans="1:9" x14ac:dyDescent="0.15">
      <c r="A569" s="6">
        <v>568</v>
      </c>
      <c r="B569" s="7" t="s">
        <v>9</v>
      </c>
      <c r="C569" s="8">
        <v>1889</v>
      </c>
      <c r="D569" s="9">
        <v>45439</v>
      </c>
      <c r="E569" s="13" t="str">
        <f>+HYPERLINK("http://trademark.i-assist.jp/data/china/image_1889th/77033496.pdf","77033496")</f>
        <v>77033496</v>
      </c>
      <c r="F569" s="7" t="s">
        <v>1590</v>
      </c>
      <c r="G569" s="7" t="s">
        <v>1591</v>
      </c>
      <c r="H569" s="7" t="s">
        <v>1592</v>
      </c>
      <c r="I569" s="9">
        <v>45351</v>
      </c>
    </row>
    <row r="570" spans="1:9" ht="27" x14ac:dyDescent="0.15">
      <c r="A570" s="6">
        <v>569</v>
      </c>
      <c r="B570" s="7" t="s">
        <v>9</v>
      </c>
      <c r="C570" s="8">
        <v>1889</v>
      </c>
      <c r="D570" s="9">
        <v>45439</v>
      </c>
      <c r="E570" s="13" t="str">
        <f>+HYPERLINK("http://trademark.i-assist.jp/data/china/image_1889th/77033616.pdf","77033616")</f>
        <v>77033616</v>
      </c>
      <c r="F570" s="7" t="s">
        <v>1593</v>
      </c>
      <c r="G570" s="7" t="s">
        <v>1594</v>
      </c>
      <c r="H570" s="7" t="s">
        <v>1595</v>
      </c>
      <c r="I570" s="9">
        <v>45351</v>
      </c>
    </row>
    <row r="571" spans="1:9" x14ac:dyDescent="0.15">
      <c r="A571" s="6">
        <v>570</v>
      </c>
      <c r="B571" s="7" t="s">
        <v>9</v>
      </c>
      <c r="C571" s="8">
        <v>1889</v>
      </c>
      <c r="D571" s="9">
        <v>45439</v>
      </c>
      <c r="E571" s="13" t="str">
        <f>+HYPERLINK("http://trademark.i-assist.jp/data/china/image_1889th/77033648.pdf","77033648")</f>
        <v>77033648</v>
      </c>
      <c r="F571" s="7" t="s">
        <v>1596</v>
      </c>
      <c r="G571" s="7" t="s">
        <v>1597</v>
      </c>
      <c r="H571" s="7" t="s">
        <v>1598</v>
      </c>
      <c r="I571" s="9">
        <v>45351</v>
      </c>
    </row>
    <row r="572" spans="1:9" x14ac:dyDescent="0.15">
      <c r="A572" s="6">
        <v>571</v>
      </c>
      <c r="B572" s="7" t="s">
        <v>9</v>
      </c>
      <c r="C572" s="8">
        <v>1889</v>
      </c>
      <c r="D572" s="9">
        <v>45439</v>
      </c>
      <c r="E572" s="13" t="str">
        <f>+HYPERLINK("http://trademark.i-assist.jp/data/china/image_1889th/77033677.pdf","77033677")</f>
        <v>77033677</v>
      </c>
      <c r="F572" s="7" t="s">
        <v>1599</v>
      </c>
      <c r="G572" s="7" t="s">
        <v>1600</v>
      </c>
      <c r="H572" s="7" t="s">
        <v>1601</v>
      </c>
      <c r="I572" s="9">
        <v>45351</v>
      </c>
    </row>
    <row r="573" spans="1:9" x14ac:dyDescent="0.15">
      <c r="A573" s="6">
        <v>572</v>
      </c>
      <c r="B573" s="7" t="s">
        <v>9</v>
      </c>
      <c r="C573" s="8">
        <v>1889</v>
      </c>
      <c r="D573" s="9">
        <v>45439</v>
      </c>
      <c r="E573" s="13" t="str">
        <f>+HYPERLINK("http://trademark.i-assist.jp/data/china/image_1889th/77034093.pdf","77034093")</f>
        <v>77034093</v>
      </c>
      <c r="F573" s="7" t="s">
        <v>1602</v>
      </c>
      <c r="G573" s="7" t="s">
        <v>1603</v>
      </c>
      <c r="H573" s="7" t="s">
        <v>1604</v>
      </c>
      <c r="I573" s="9">
        <v>45351</v>
      </c>
    </row>
    <row r="574" spans="1:9" x14ac:dyDescent="0.15">
      <c r="A574" s="6">
        <v>573</v>
      </c>
      <c r="B574" s="7" t="s">
        <v>9</v>
      </c>
      <c r="C574" s="8">
        <v>1889</v>
      </c>
      <c r="D574" s="9">
        <v>45439</v>
      </c>
      <c r="E574" s="13" t="str">
        <f>+HYPERLINK("http://trademark.i-assist.jp/data/china/image_1889th/77035484.pdf","77035484")</f>
        <v>77035484</v>
      </c>
      <c r="F574" s="7" t="s">
        <v>1605</v>
      </c>
      <c r="G574" s="7" t="s">
        <v>1606</v>
      </c>
      <c r="H574" s="7" t="s">
        <v>1607</v>
      </c>
      <c r="I574" s="9">
        <v>45351</v>
      </c>
    </row>
    <row r="575" spans="1:9" x14ac:dyDescent="0.15">
      <c r="A575" s="6">
        <v>574</v>
      </c>
      <c r="B575" s="7" t="s">
        <v>9</v>
      </c>
      <c r="C575" s="8">
        <v>1889</v>
      </c>
      <c r="D575" s="9">
        <v>45439</v>
      </c>
      <c r="E575" s="13" t="str">
        <f>+HYPERLINK("http://trademark.i-assist.jp/data/china/image_1889th/77035520.pdf","77035520")</f>
        <v>77035520</v>
      </c>
      <c r="F575" s="7" t="s">
        <v>1608</v>
      </c>
      <c r="G575" s="7" t="s">
        <v>1609</v>
      </c>
      <c r="H575" s="7" t="s">
        <v>1610</v>
      </c>
      <c r="I575" s="9">
        <v>45351</v>
      </c>
    </row>
    <row r="576" spans="1:9" x14ac:dyDescent="0.15">
      <c r="A576" s="6">
        <v>575</v>
      </c>
      <c r="B576" s="7" t="s">
        <v>9</v>
      </c>
      <c r="C576" s="8">
        <v>1889</v>
      </c>
      <c r="D576" s="9">
        <v>45439</v>
      </c>
      <c r="E576" s="13" t="str">
        <f>+HYPERLINK("http://trademark.i-assist.jp/data/china/image_1889th/77035710.pdf","77035710")</f>
        <v>77035710</v>
      </c>
      <c r="F576" s="7" t="s">
        <v>1611</v>
      </c>
      <c r="G576" s="7" t="s">
        <v>1612</v>
      </c>
      <c r="H576" s="7" t="s">
        <v>1613</v>
      </c>
      <c r="I576" s="9">
        <v>45351</v>
      </c>
    </row>
    <row r="577" spans="1:9" x14ac:dyDescent="0.15">
      <c r="A577" s="6">
        <v>576</v>
      </c>
      <c r="B577" s="7" t="s">
        <v>9</v>
      </c>
      <c r="C577" s="8">
        <v>1889</v>
      </c>
      <c r="D577" s="9">
        <v>45439</v>
      </c>
      <c r="E577" s="13" t="str">
        <f>+HYPERLINK("http://trademark.i-assist.jp/data/china/image_1889th/77035736.pdf","77035736")</f>
        <v>77035736</v>
      </c>
      <c r="F577" s="7" t="s">
        <v>1614</v>
      </c>
      <c r="G577" s="7" t="s">
        <v>1615</v>
      </c>
      <c r="H577" s="7" t="s">
        <v>1616</v>
      </c>
      <c r="I577" s="9">
        <v>45351</v>
      </c>
    </row>
    <row r="578" spans="1:9" ht="27" x14ac:dyDescent="0.15">
      <c r="A578" s="6">
        <v>577</v>
      </c>
      <c r="B578" s="7" t="s">
        <v>9</v>
      </c>
      <c r="C578" s="8">
        <v>1889</v>
      </c>
      <c r="D578" s="9">
        <v>45439</v>
      </c>
      <c r="E578" s="13" t="str">
        <f>+HYPERLINK("http://trademark.i-assist.jp/data/china/image_1889th/77036235.pdf","77036235")</f>
        <v>77036235</v>
      </c>
      <c r="F578" s="7" t="s">
        <v>1617</v>
      </c>
      <c r="G578" s="7" t="s">
        <v>1618</v>
      </c>
      <c r="H578" s="7" t="s">
        <v>1619</v>
      </c>
      <c r="I578" s="9">
        <v>45351</v>
      </c>
    </row>
    <row r="579" spans="1:9" x14ac:dyDescent="0.15">
      <c r="A579" s="6">
        <v>578</v>
      </c>
      <c r="B579" s="7" t="s">
        <v>9</v>
      </c>
      <c r="C579" s="8">
        <v>1889</v>
      </c>
      <c r="D579" s="9">
        <v>45439</v>
      </c>
      <c r="E579" s="13" t="str">
        <f>+HYPERLINK("http://trademark.i-assist.jp/data/china/image_1889th/77036420.pdf","77036420")</f>
        <v>77036420</v>
      </c>
      <c r="F579" s="7" t="s">
        <v>1620</v>
      </c>
      <c r="G579" s="7" t="s">
        <v>1621</v>
      </c>
      <c r="H579" s="7" t="s">
        <v>1622</v>
      </c>
      <c r="I579" s="9">
        <v>45351</v>
      </c>
    </row>
    <row r="580" spans="1:9" x14ac:dyDescent="0.15">
      <c r="A580" s="6">
        <v>579</v>
      </c>
      <c r="B580" s="7" t="s">
        <v>9</v>
      </c>
      <c r="C580" s="8">
        <v>1889</v>
      </c>
      <c r="D580" s="9">
        <v>45439</v>
      </c>
      <c r="E580" s="13" t="str">
        <f>+HYPERLINK("http://trademark.i-assist.jp/data/china/image_1889th/77036897.pdf","77036897")</f>
        <v>77036897</v>
      </c>
      <c r="F580" s="7" t="s">
        <v>1623</v>
      </c>
      <c r="G580" s="7" t="s">
        <v>1624</v>
      </c>
      <c r="H580" s="7" t="s">
        <v>1625</v>
      </c>
      <c r="I580" s="9">
        <v>45351</v>
      </c>
    </row>
    <row r="581" spans="1:9" x14ac:dyDescent="0.15">
      <c r="A581" s="6">
        <v>580</v>
      </c>
      <c r="B581" s="7" t="s">
        <v>9</v>
      </c>
      <c r="C581" s="8">
        <v>1889</v>
      </c>
      <c r="D581" s="9">
        <v>45439</v>
      </c>
      <c r="E581" s="13" t="str">
        <f>+HYPERLINK("http://trademark.i-assist.jp/data/china/image_1889th/77037555.pdf","77037555")</f>
        <v>77037555</v>
      </c>
      <c r="F581" s="7" t="s">
        <v>1626</v>
      </c>
      <c r="G581" s="7" t="s">
        <v>1627</v>
      </c>
      <c r="H581" s="7" t="s">
        <v>1628</v>
      </c>
      <c r="I581" s="9">
        <v>45351</v>
      </c>
    </row>
    <row r="582" spans="1:9" x14ac:dyDescent="0.15">
      <c r="A582" s="6">
        <v>581</v>
      </c>
      <c r="B582" s="7" t="s">
        <v>9</v>
      </c>
      <c r="C582" s="8">
        <v>1889</v>
      </c>
      <c r="D582" s="9">
        <v>45439</v>
      </c>
      <c r="E582" s="13" t="str">
        <f>+HYPERLINK("http://trademark.i-assist.jp/data/china/image_1889th/77037709.pdf","77037709")</f>
        <v>77037709</v>
      </c>
      <c r="F582" s="7" t="s">
        <v>1629</v>
      </c>
      <c r="G582" s="7" t="s">
        <v>1630</v>
      </c>
      <c r="H582" s="7" t="s">
        <v>1631</v>
      </c>
      <c r="I582" s="9">
        <v>45351</v>
      </c>
    </row>
    <row r="583" spans="1:9" x14ac:dyDescent="0.15">
      <c r="A583" s="6">
        <v>582</v>
      </c>
      <c r="B583" s="7" t="s">
        <v>9</v>
      </c>
      <c r="C583" s="8">
        <v>1889</v>
      </c>
      <c r="D583" s="9">
        <v>45439</v>
      </c>
      <c r="E583" s="13" t="str">
        <f>+HYPERLINK("http://trademark.i-assist.jp/data/china/image_1889th/77037938.pdf","77037938")</f>
        <v>77037938</v>
      </c>
      <c r="F583" s="7" t="s">
        <v>1632</v>
      </c>
      <c r="G583" s="7" t="s">
        <v>1633</v>
      </c>
      <c r="H583" s="7" t="s">
        <v>1634</v>
      </c>
      <c r="I583" s="9">
        <v>45351</v>
      </c>
    </row>
    <row r="584" spans="1:9" x14ac:dyDescent="0.15">
      <c r="A584" s="6">
        <v>583</v>
      </c>
      <c r="B584" s="7" t="s">
        <v>9</v>
      </c>
      <c r="C584" s="8">
        <v>1889</v>
      </c>
      <c r="D584" s="9">
        <v>45439</v>
      </c>
      <c r="E584" s="13" t="str">
        <f>+HYPERLINK("http://trademark.i-assist.jp/data/china/image_1889th/77039274.pdf","77039274")</f>
        <v>77039274</v>
      </c>
      <c r="F584" s="7" t="s">
        <v>1635</v>
      </c>
      <c r="G584" s="7" t="s">
        <v>1636</v>
      </c>
      <c r="H584" s="7" t="s">
        <v>1637</v>
      </c>
      <c r="I584" s="9">
        <v>45352</v>
      </c>
    </row>
    <row r="585" spans="1:9" x14ac:dyDescent="0.15">
      <c r="A585" s="6">
        <v>584</v>
      </c>
      <c r="B585" s="7" t="s">
        <v>9</v>
      </c>
      <c r="C585" s="8">
        <v>1889</v>
      </c>
      <c r="D585" s="9">
        <v>45439</v>
      </c>
      <c r="E585" s="13" t="str">
        <f>+HYPERLINK("http://trademark.i-assist.jp/data/china/image_1889th/77039471.pdf","77039471")</f>
        <v>77039471</v>
      </c>
      <c r="F585" s="7" t="s">
        <v>1638</v>
      </c>
      <c r="G585" s="7" t="s">
        <v>1639</v>
      </c>
      <c r="H585" s="7" t="s">
        <v>1640</v>
      </c>
      <c r="I585" s="9">
        <v>45352</v>
      </c>
    </row>
    <row r="586" spans="1:9" x14ac:dyDescent="0.15">
      <c r="A586" s="6">
        <v>585</v>
      </c>
      <c r="B586" s="7" t="s">
        <v>9</v>
      </c>
      <c r="C586" s="8">
        <v>1889</v>
      </c>
      <c r="D586" s="9">
        <v>45439</v>
      </c>
      <c r="E586" s="13" t="str">
        <f>+HYPERLINK("http://trademark.i-assist.jp/data/china/image_1889th/77039848.pdf","77039848")</f>
        <v>77039848</v>
      </c>
      <c r="F586" s="7" t="s">
        <v>1641</v>
      </c>
      <c r="G586" s="7" t="s">
        <v>1642</v>
      </c>
      <c r="H586" s="7" t="s">
        <v>1643</v>
      </c>
      <c r="I586" s="9">
        <v>45352</v>
      </c>
    </row>
    <row r="587" spans="1:9" x14ac:dyDescent="0.15">
      <c r="A587" s="6">
        <v>586</v>
      </c>
      <c r="B587" s="7" t="s">
        <v>9</v>
      </c>
      <c r="C587" s="8">
        <v>1889</v>
      </c>
      <c r="D587" s="9">
        <v>45439</v>
      </c>
      <c r="E587" s="13" t="str">
        <f>+HYPERLINK("http://trademark.i-assist.jp/data/china/image_1889th/77040459.pdf","77040459")</f>
        <v>77040459</v>
      </c>
      <c r="F587" s="7" t="s">
        <v>1644</v>
      </c>
      <c r="G587" s="7" t="s">
        <v>1645</v>
      </c>
      <c r="H587" s="7" t="s">
        <v>1646</v>
      </c>
      <c r="I587" s="9">
        <v>45352</v>
      </c>
    </row>
    <row r="588" spans="1:9" ht="27" x14ac:dyDescent="0.15">
      <c r="A588" s="6">
        <v>587</v>
      </c>
      <c r="B588" s="7" t="s">
        <v>9</v>
      </c>
      <c r="C588" s="8">
        <v>1889</v>
      </c>
      <c r="D588" s="9">
        <v>45439</v>
      </c>
      <c r="E588" s="13" t="str">
        <f>+HYPERLINK("http://trademark.i-assist.jp/data/china/image_1889th/77040682.pdf","77040682")</f>
        <v>77040682</v>
      </c>
      <c r="F588" s="7" t="s">
        <v>1647</v>
      </c>
      <c r="G588" s="7" t="s">
        <v>289</v>
      </c>
      <c r="H588" s="7" t="s">
        <v>1648</v>
      </c>
      <c r="I588" s="9">
        <v>45352</v>
      </c>
    </row>
    <row r="589" spans="1:9" x14ac:dyDescent="0.15">
      <c r="A589" s="6">
        <v>588</v>
      </c>
      <c r="B589" s="7" t="s">
        <v>9</v>
      </c>
      <c r="C589" s="8">
        <v>1889</v>
      </c>
      <c r="D589" s="9">
        <v>45439</v>
      </c>
      <c r="E589" s="13" t="str">
        <f>+HYPERLINK("http://trademark.i-assist.jp/data/china/image_1889th/77042786.pdf","77042786")</f>
        <v>77042786</v>
      </c>
      <c r="F589" s="7" t="s">
        <v>1649</v>
      </c>
      <c r="G589" s="7" t="s">
        <v>1650</v>
      </c>
      <c r="H589" s="7" t="s">
        <v>1651</v>
      </c>
      <c r="I589" s="9">
        <v>45352</v>
      </c>
    </row>
    <row r="590" spans="1:9" x14ac:dyDescent="0.15">
      <c r="A590" s="6">
        <v>589</v>
      </c>
      <c r="B590" s="7" t="s">
        <v>9</v>
      </c>
      <c r="C590" s="8">
        <v>1889</v>
      </c>
      <c r="D590" s="9">
        <v>45439</v>
      </c>
      <c r="E590" s="13" t="str">
        <f>+HYPERLINK("http://trademark.i-assist.jp/data/china/image_1889th/77042872.pdf","77042872")</f>
        <v>77042872</v>
      </c>
      <c r="F590" s="7" t="s">
        <v>1652</v>
      </c>
      <c r="G590" s="7" t="s">
        <v>1653</v>
      </c>
      <c r="H590" s="7" t="s">
        <v>1654</v>
      </c>
      <c r="I590" s="9">
        <v>45352</v>
      </c>
    </row>
    <row r="591" spans="1:9" x14ac:dyDescent="0.15">
      <c r="A591" s="6">
        <v>590</v>
      </c>
      <c r="B591" s="7" t="s">
        <v>9</v>
      </c>
      <c r="C591" s="8">
        <v>1889</v>
      </c>
      <c r="D591" s="9">
        <v>45439</v>
      </c>
      <c r="E591" s="13" t="str">
        <f>+HYPERLINK("http://trademark.i-assist.jp/data/china/image_1889th/77042975.pdf","77042975")</f>
        <v>77042975</v>
      </c>
      <c r="F591" s="7" t="s">
        <v>1655</v>
      </c>
      <c r="G591" s="7" t="s">
        <v>1656</v>
      </c>
      <c r="H591" s="7" t="s">
        <v>1657</v>
      </c>
      <c r="I591" s="9">
        <v>45352</v>
      </c>
    </row>
    <row r="592" spans="1:9" ht="27" x14ac:dyDescent="0.15">
      <c r="A592" s="6">
        <v>591</v>
      </c>
      <c r="B592" s="7" t="s">
        <v>9</v>
      </c>
      <c r="C592" s="8">
        <v>1889</v>
      </c>
      <c r="D592" s="9">
        <v>45439</v>
      </c>
      <c r="E592" s="13" t="str">
        <f>+HYPERLINK("http://trademark.i-assist.jp/data/china/image_1889th/77045452.pdf","77045452")</f>
        <v>77045452</v>
      </c>
      <c r="F592" s="7" t="s">
        <v>134</v>
      </c>
      <c r="G592" s="7" t="s">
        <v>1658</v>
      </c>
      <c r="H592" s="7" t="s">
        <v>1659</v>
      </c>
      <c r="I592" s="9">
        <v>45352</v>
      </c>
    </row>
    <row r="593" spans="1:9" ht="27" x14ac:dyDescent="0.15">
      <c r="A593" s="6">
        <v>592</v>
      </c>
      <c r="B593" s="7" t="s">
        <v>9</v>
      </c>
      <c r="C593" s="8">
        <v>1889</v>
      </c>
      <c r="D593" s="9">
        <v>45439</v>
      </c>
      <c r="E593" s="13" t="str">
        <f>+HYPERLINK("http://trademark.i-assist.jp/data/china/image_1889th/77046416.pdf","77046416")</f>
        <v>77046416</v>
      </c>
      <c r="F593" s="7" t="s">
        <v>1660</v>
      </c>
      <c r="G593" s="7" t="s">
        <v>1661</v>
      </c>
      <c r="H593" s="7" t="s">
        <v>1662</v>
      </c>
      <c r="I593" s="9">
        <v>45352</v>
      </c>
    </row>
    <row r="594" spans="1:9" ht="27" x14ac:dyDescent="0.15">
      <c r="A594" s="6">
        <v>593</v>
      </c>
      <c r="B594" s="7" t="s">
        <v>9</v>
      </c>
      <c r="C594" s="8">
        <v>1889</v>
      </c>
      <c r="D594" s="9">
        <v>45439</v>
      </c>
      <c r="E594" s="13" t="str">
        <f>+HYPERLINK("http://trademark.i-assist.jp/data/china/image_1889th/77047270.pdf","77047270")</f>
        <v>77047270</v>
      </c>
      <c r="F594" s="7" t="s">
        <v>1663</v>
      </c>
      <c r="G594" s="7" t="s">
        <v>1664</v>
      </c>
      <c r="H594" s="7" t="s">
        <v>1665</v>
      </c>
      <c r="I594" s="9">
        <v>45352</v>
      </c>
    </row>
    <row r="595" spans="1:9" x14ac:dyDescent="0.15">
      <c r="A595" s="6">
        <v>594</v>
      </c>
      <c r="B595" s="7" t="s">
        <v>9</v>
      </c>
      <c r="C595" s="8">
        <v>1889</v>
      </c>
      <c r="D595" s="9">
        <v>45439</v>
      </c>
      <c r="E595" s="13" t="str">
        <f>+HYPERLINK("http://trademark.i-assist.jp/data/china/image_1889th/77047419.pdf","77047419")</f>
        <v>77047419</v>
      </c>
      <c r="F595" s="7" t="s">
        <v>1666</v>
      </c>
      <c r="G595" s="7" t="s">
        <v>1667</v>
      </c>
      <c r="H595" s="7" t="s">
        <v>1668</v>
      </c>
      <c r="I595" s="9">
        <v>45352</v>
      </c>
    </row>
    <row r="596" spans="1:9" x14ac:dyDescent="0.15">
      <c r="A596" s="6">
        <v>595</v>
      </c>
      <c r="B596" s="7" t="s">
        <v>9</v>
      </c>
      <c r="C596" s="8">
        <v>1889</v>
      </c>
      <c r="D596" s="9">
        <v>45439</v>
      </c>
      <c r="E596" s="13" t="str">
        <f>+HYPERLINK("http://trademark.i-assist.jp/data/china/image_1889th/77048981.pdf","77048981")</f>
        <v>77048981</v>
      </c>
      <c r="F596" s="7" t="s">
        <v>1669</v>
      </c>
      <c r="G596" s="7" t="s">
        <v>1670</v>
      </c>
      <c r="H596" s="7" t="s">
        <v>1671</v>
      </c>
      <c r="I596" s="9">
        <v>45352</v>
      </c>
    </row>
    <row r="597" spans="1:9" ht="27" x14ac:dyDescent="0.15">
      <c r="A597" s="6">
        <v>596</v>
      </c>
      <c r="B597" s="7" t="s">
        <v>9</v>
      </c>
      <c r="C597" s="8">
        <v>1889</v>
      </c>
      <c r="D597" s="9">
        <v>45439</v>
      </c>
      <c r="E597" s="13" t="str">
        <f>+HYPERLINK("http://trademark.i-assist.jp/data/china/image_1889th/77049878.pdf","77049878")</f>
        <v>77049878</v>
      </c>
      <c r="F597" s="7" t="s">
        <v>1672</v>
      </c>
      <c r="G597" s="7" t="s">
        <v>289</v>
      </c>
      <c r="H597" s="7" t="s">
        <v>1673</v>
      </c>
      <c r="I597" s="9">
        <v>45352</v>
      </c>
    </row>
    <row r="598" spans="1:9" x14ac:dyDescent="0.15">
      <c r="A598" s="6">
        <v>597</v>
      </c>
      <c r="B598" s="7" t="s">
        <v>9</v>
      </c>
      <c r="C598" s="8">
        <v>1889</v>
      </c>
      <c r="D598" s="9">
        <v>45439</v>
      </c>
      <c r="E598" s="13" t="str">
        <f>+HYPERLINK("http://trademark.i-assist.jp/data/china/image_1889th/77050343.pdf","77050343")</f>
        <v>77050343</v>
      </c>
      <c r="F598" s="7" t="s">
        <v>1674</v>
      </c>
      <c r="G598" s="7" t="s">
        <v>1653</v>
      </c>
      <c r="H598" s="7" t="s">
        <v>1675</v>
      </c>
      <c r="I598" s="9">
        <v>45352</v>
      </c>
    </row>
    <row r="599" spans="1:9" x14ac:dyDescent="0.15">
      <c r="A599" s="6">
        <v>598</v>
      </c>
      <c r="B599" s="7" t="s">
        <v>9</v>
      </c>
      <c r="C599" s="8">
        <v>1889</v>
      </c>
      <c r="D599" s="9">
        <v>45439</v>
      </c>
      <c r="E599" s="13" t="str">
        <f>+HYPERLINK("http://trademark.i-assist.jp/data/china/image_1889th/77050430.pdf","77050430")</f>
        <v>77050430</v>
      </c>
      <c r="F599" s="7" t="s">
        <v>1676</v>
      </c>
      <c r="G599" s="7" t="s">
        <v>1677</v>
      </c>
      <c r="H599" s="7" t="s">
        <v>1678</v>
      </c>
      <c r="I599" s="9">
        <v>45352</v>
      </c>
    </row>
    <row r="600" spans="1:9" x14ac:dyDescent="0.15">
      <c r="A600" s="6">
        <v>599</v>
      </c>
      <c r="B600" s="7" t="s">
        <v>9</v>
      </c>
      <c r="C600" s="8">
        <v>1889</v>
      </c>
      <c r="D600" s="9">
        <v>45439</v>
      </c>
      <c r="E600" s="13" t="str">
        <f>+HYPERLINK("http://trademark.i-assist.jp/data/china/image_1889th/77050747.pdf","77050747")</f>
        <v>77050747</v>
      </c>
      <c r="F600" s="7" t="s">
        <v>1679</v>
      </c>
      <c r="G600" s="7" t="s">
        <v>1680</v>
      </c>
      <c r="H600" s="7" t="s">
        <v>1681</v>
      </c>
      <c r="I600" s="9">
        <v>45352</v>
      </c>
    </row>
    <row r="601" spans="1:9" x14ac:dyDescent="0.15">
      <c r="A601" s="6">
        <v>600</v>
      </c>
      <c r="B601" s="7" t="s">
        <v>9</v>
      </c>
      <c r="C601" s="8">
        <v>1889</v>
      </c>
      <c r="D601" s="9">
        <v>45439</v>
      </c>
      <c r="E601" s="13" t="str">
        <f>+HYPERLINK("http://trademark.i-assist.jp/data/china/image_1889th/77050970.pdf","77050970")</f>
        <v>77050970</v>
      </c>
      <c r="F601" s="7" t="s">
        <v>1682</v>
      </c>
      <c r="G601" s="7" t="s">
        <v>1683</v>
      </c>
      <c r="H601" s="7" t="s">
        <v>1684</v>
      </c>
      <c r="I601" s="9">
        <v>45352</v>
      </c>
    </row>
    <row r="602" spans="1:9" ht="27" x14ac:dyDescent="0.15">
      <c r="A602" s="6">
        <v>601</v>
      </c>
      <c r="B602" s="7" t="s">
        <v>9</v>
      </c>
      <c r="C602" s="8">
        <v>1889</v>
      </c>
      <c r="D602" s="9">
        <v>45439</v>
      </c>
      <c r="E602" s="13" t="str">
        <f>+HYPERLINK("http://trademark.i-assist.jp/data/china/image_1889th/77052769.pdf","77052769")</f>
        <v>77052769</v>
      </c>
      <c r="F602" s="7" t="s">
        <v>1685</v>
      </c>
      <c r="G602" s="7" t="s">
        <v>1686</v>
      </c>
      <c r="H602" s="7" t="s">
        <v>1687</v>
      </c>
      <c r="I602" s="9">
        <v>45352</v>
      </c>
    </row>
    <row r="603" spans="1:9" x14ac:dyDescent="0.15">
      <c r="A603" s="6">
        <v>602</v>
      </c>
      <c r="B603" s="7" t="s">
        <v>9</v>
      </c>
      <c r="C603" s="8">
        <v>1889</v>
      </c>
      <c r="D603" s="9">
        <v>45439</v>
      </c>
      <c r="E603" s="13" t="str">
        <f>+HYPERLINK("http://trademark.i-assist.jp/data/china/image_1889th/77053001.pdf","77053001")</f>
        <v>77053001</v>
      </c>
      <c r="F603" s="7" t="s">
        <v>1688</v>
      </c>
      <c r="G603" s="7" t="s">
        <v>1689</v>
      </c>
      <c r="H603" s="7" t="s">
        <v>1690</v>
      </c>
      <c r="I603" s="9">
        <v>45352</v>
      </c>
    </row>
    <row r="604" spans="1:9" ht="27" x14ac:dyDescent="0.15">
      <c r="A604" s="6">
        <v>603</v>
      </c>
      <c r="B604" s="7" t="s">
        <v>9</v>
      </c>
      <c r="C604" s="8">
        <v>1889</v>
      </c>
      <c r="D604" s="9">
        <v>45439</v>
      </c>
      <c r="E604" s="13" t="str">
        <f>+HYPERLINK("http://trademark.i-assist.jp/data/china/image_1889th/77053069.pdf","77053069")</f>
        <v>77053069</v>
      </c>
      <c r="F604" s="7" t="s">
        <v>1691</v>
      </c>
      <c r="G604" s="7" t="s">
        <v>1692</v>
      </c>
      <c r="H604" s="7" t="s">
        <v>1693</v>
      </c>
      <c r="I604" s="9">
        <v>45352</v>
      </c>
    </row>
    <row r="605" spans="1:9" x14ac:dyDescent="0.15">
      <c r="A605" s="6">
        <v>604</v>
      </c>
      <c r="B605" s="7" t="s">
        <v>9</v>
      </c>
      <c r="C605" s="8">
        <v>1889</v>
      </c>
      <c r="D605" s="9">
        <v>45439</v>
      </c>
      <c r="E605" s="13" t="str">
        <f>+HYPERLINK("http://trademark.i-assist.jp/data/china/image_1889th/77053240.pdf","77053240")</f>
        <v>77053240</v>
      </c>
      <c r="F605" s="7" t="s">
        <v>1694</v>
      </c>
      <c r="G605" s="7" t="s">
        <v>1683</v>
      </c>
      <c r="H605" s="7" t="s">
        <v>1695</v>
      </c>
      <c r="I605" s="9">
        <v>45352</v>
      </c>
    </row>
    <row r="606" spans="1:9" x14ac:dyDescent="0.15">
      <c r="A606" s="6">
        <v>605</v>
      </c>
      <c r="B606" s="7" t="s">
        <v>9</v>
      </c>
      <c r="C606" s="8">
        <v>1889</v>
      </c>
      <c r="D606" s="9">
        <v>45439</v>
      </c>
      <c r="E606" s="13" t="str">
        <f>+HYPERLINK("http://trademark.i-assist.jp/data/china/image_1889th/77053842.pdf","77053842")</f>
        <v>77053842</v>
      </c>
      <c r="F606" s="7" t="s">
        <v>1696</v>
      </c>
      <c r="G606" s="7" t="s">
        <v>1697</v>
      </c>
      <c r="H606" s="7" t="s">
        <v>1698</v>
      </c>
      <c r="I606" s="9">
        <v>45352</v>
      </c>
    </row>
    <row r="607" spans="1:9" x14ac:dyDescent="0.15">
      <c r="A607" s="6">
        <v>606</v>
      </c>
      <c r="B607" s="7" t="s">
        <v>9</v>
      </c>
      <c r="C607" s="8">
        <v>1889</v>
      </c>
      <c r="D607" s="9">
        <v>45439</v>
      </c>
      <c r="E607" s="13" t="str">
        <f>+HYPERLINK("http://trademark.i-assist.jp/data/china/image_1889th/77053950.pdf","77053950")</f>
        <v>77053950</v>
      </c>
      <c r="F607" s="7" t="s">
        <v>1699</v>
      </c>
      <c r="G607" s="7" t="s">
        <v>1683</v>
      </c>
      <c r="H607" s="7" t="s">
        <v>1700</v>
      </c>
      <c r="I607" s="9">
        <v>45352</v>
      </c>
    </row>
    <row r="608" spans="1:9" ht="27" x14ac:dyDescent="0.15">
      <c r="A608" s="6">
        <v>607</v>
      </c>
      <c r="B608" s="7" t="s">
        <v>9</v>
      </c>
      <c r="C608" s="8">
        <v>1889</v>
      </c>
      <c r="D608" s="9">
        <v>45439</v>
      </c>
      <c r="E608" s="13" t="str">
        <f>+HYPERLINK("http://trademark.i-assist.jp/data/china/image_1889th/77054125.pdf","77054125")</f>
        <v>77054125</v>
      </c>
      <c r="F608" s="7" t="s">
        <v>1701</v>
      </c>
      <c r="G608" s="7" t="s">
        <v>1702</v>
      </c>
      <c r="H608" s="7" t="s">
        <v>1703</v>
      </c>
      <c r="I608" s="9">
        <v>45352</v>
      </c>
    </row>
    <row r="609" spans="1:9" x14ac:dyDescent="0.15">
      <c r="A609" s="6">
        <v>608</v>
      </c>
      <c r="B609" s="7" t="s">
        <v>9</v>
      </c>
      <c r="C609" s="8">
        <v>1889</v>
      </c>
      <c r="D609" s="9">
        <v>45439</v>
      </c>
      <c r="E609" s="13" t="str">
        <f>+HYPERLINK("http://trademark.i-assist.jp/data/china/image_1889th/77054361.pdf","77054361")</f>
        <v>77054361</v>
      </c>
      <c r="F609" s="7" t="s">
        <v>1704</v>
      </c>
      <c r="G609" s="7" t="s">
        <v>1705</v>
      </c>
      <c r="H609" s="7" t="s">
        <v>1706</v>
      </c>
      <c r="I609" s="9">
        <v>45352</v>
      </c>
    </row>
    <row r="610" spans="1:9" ht="27" x14ac:dyDescent="0.15">
      <c r="A610" s="6">
        <v>609</v>
      </c>
      <c r="B610" s="7" t="s">
        <v>9</v>
      </c>
      <c r="C610" s="8">
        <v>1889</v>
      </c>
      <c r="D610" s="9">
        <v>45439</v>
      </c>
      <c r="E610" s="13" t="str">
        <f>+HYPERLINK("http://trademark.i-assist.jp/data/china/image_1889th/77054420.pdf","77054420")</f>
        <v>77054420</v>
      </c>
      <c r="F610" s="7" t="s">
        <v>1707</v>
      </c>
      <c r="G610" s="7" t="s">
        <v>1708</v>
      </c>
      <c r="H610" s="7" t="s">
        <v>1709</v>
      </c>
      <c r="I610" s="9">
        <v>45352</v>
      </c>
    </row>
    <row r="611" spans="1:9" x14ac:dyDescent="0.15">
      <c r="A611" s="6">
        <v>610</v>
      </c>
      <c r="B611" s="7" t="s">
        <v>9</v>
      </c>
      <c r="C611" s="8">
        <v>1889</v>
      </c>
      <c r="D611" s="9">
        <v>45439</v>
      </c>
      <c r="E611" s="13" t="str">
        <f>+HYPERLINK("http://trademark.i-assist.jp/data/china/image_1889th/77055420.pdf","77055420")</f>
        <v>77055420</v>
      </c>
      <c r="F611" s="7" t="s">
        <v>1710</v>
      </c>
      <c r="G611" s="7" t="s">
        <v>1711</v>
      </c>
      <c r="H611" s="7" t="s">
        <v>1712</v>
      </c>
      <c r="I611" s="9">
        <v>45352</v>
      </c>
    </row>
    <row r="612" spans="1:9" x14ac:dyDescent="0.15">
      <c r="A612" s="6">
        <v>611</v>
      </c>
      <c r="B612" s="7" t="s">
        <v>9</v>
      </c>
      <c r="C612" s="8">
        <v>1889</v>
      </c>
      <c r="D612" s="9">
        <v>45439</v>
      </c>
      <c r="E612" s="13" t="str">
        <f>+HYPERLINK("http://trademark.i-assist.jp/data/china/image_1889th/77055619.pdf","77055619")</f>
        <v>77055619</v>
      </c>
      <c r="F612" s="7" t="s">
        <v>1713</v>
      </c>
      <c r="G612" s="7" t="s">
        <v>1714</v>
      </c>
      <c r="H612" s="7" t="s">
        <v>1715</v>
      </c>
      <c r="I612" s="9">
        <v>45352</v>
      </c>
    </row>
    <row r="613" spans="1:9" x14ac:dyDescent="0.15">
      <c r="A613" s="6">
        <v>612</v>
      </c>
      <c r="B613" s="7" t="s">
        <v>9</v>
      </c>
      <c r="C613" s="8">
        <v>1889</v>
      </c>
      <c r="D613" s="9">
        <v>45439</v>
      </c>
      <c r="E613" s="13" t="str">
        <f>+HYPERLINK("http://trademark.i-assist.jp/data/china/image_1889th/77056218.pdf","77056218")</f>
        <v>77056218</v>
      </c>
      <c r="F613" s="7" t="s">
        <v>1716</v>
      </c>
      <c r="G613" s="7" t="s">
        <v>1717</v>
      </c>
      <c r="H613" s="7" t="s">
        <v>1718</v>
      </c>
      <c r="I613" s="9">
        <v>45352</v>
      </c>
    </row>
    <row r="614" spans="1:9" x14ac:dyDescent="0.15">
      <c r="A614" s="6">
        <v>613</v>
      </c>
      <c r="B614" s="7" t="s">
        <v>9</v>
      </c>
      <c r="C614" s="8">
        <v>1889</v>
      </c>
      <c r="D614" s="9">
        <v>45439</v>
      </c>
      <c r="E614" s="13" t="str">
        <f>+HYPERLINK("http://trademark.i-assist.jp/data/china/image_1889th/77057345.pdf","77057345")</f>
        <v>77057345</v>
      </c>
      <c r="F614" s="7" t="s">
        <v>1719</v>
      </c>
      <c r="G614" s="7" t="s">
        <v>1720</v>
      </c>
      <c r="H614" s="7" t="s">
        <v>1721</v>
      </c>
      <c r="I614" s="9">
        <v>45352</v>
      </c>
    </row>
    <row r="615" spans="1:9" x14ac:dyDescent="0.15">
      <c r="A615" s="6">
        <v>614</v>
      </c>
      <c r="B615" s="7" t="s">
        <v>9</v>
      </c>
      <c r="C615" s="8">
        <v>1889</v>
      </c>
      <c r="D615" s="9">
        <v>45439</v>
      </c>
      <c r="E615" s="13" t="str">
        <f>+HYPERLINK("http://trademark.i-assist.jp/data/china/image_1889th/77057456.pdf","77057456")</f>
        <v>77057456</v>
      </c>
      <c r="F615" s="7" t="s">
        <v>1722</v>
      </c>
      <c r="G615" s="7" t="s">
        <v>1723</v>
      </c>
      <c r="H615" s="7" t="s">
        <v>1724</v>
      </c>
      <c r="I615" s="9">
        <v>45352</v>
      </c>
    </row>
    <row r="616" spans="1:9" ht="27" x14ac:dyDescent="0.15">
      <c r="A616" s="6">
        <v>615</v>
      </c>
      <c r="B616" s="7" t="s">
        <v>9</v>
      </c>
      <c r="C616" s="8">
        <v>1889</v>
      </c>
      <c r="D616" s="9">
        <v>45439</v>
      </c>
      <c r="E616" s="13" t="str">
        <f>+HYPERLINK("http://trademark.i-assist.jp/data/china/image_1889th/77057575.pdf","77057575")</f>
        <v>77057575</v>
      </c>
      <c r="F616" s="7" t="s">
        <v>1725</v>
      </c>
      <c r="G616" s="7" t="s">
        <v>1726</v>
      </c>
      <c r="H616" s="7" t="s">
        <v>1727</v>
      </c>
      <c r="I616" s="9">
        <v>45352</v>
      </c>
    </row>
    <row r="617" spans="1:9" ht="27" x14ac:dyDescent="0.15">
      <c r="A617" s="6">
        <v>616</v>
      </c>
      <c r="B617" s="7" t="s">
        <v>9</v>
      </c>
      <c r="C617" s="8">
        <v>1889</v>
      </c>
      <c r="D617" s="9">
        <v>45439</v>
      </c>
      <c r="E617" s="13" t="str">
        <f>+HYPERLINK("http://trademark.i-assist.jp/data/china/image_1889th/77057988.pdf","77057988")</f>
        <v>77057988</v>
      </c>
      <c r="F617" s="7" t="s">
        <v>1728</v>
      </c>
      <c r="G617" s="7" t="s">
        <v>1729</v>
      </c>
      <c r="H617" s="7" t="s">
        <v>1730</v>
      </c>
      <c r="I617" s="9">
        <v>45352</v>
      </c>
    </row>
    <row r="618" spans="1:9" x14ac:dyDescent="0.15">
      <c r="A618" s="6">
        <v>617</v>
      </c>
      <c r="B618" s="7" t="s">
        <v>9</v>
      </c>
      <c r="C618" s="8">
        <v>1889</v>
      </c>
      <c r="D618" s="9">
        <v>45439</v>
      </c>
      <c r="E618" s="13" t="str">
        <f>+HYPERLINK("http://trademark.i-assist.jp/data/china/image_1889th/77058759.pdf","77058759")</f>
        <v>77058759</v>
      </c>
      <c r="F618" s="7" t="s">
        <v>1731</v>
      </c>
      <c r="G618" s="7" t="s">
        <v>1732</v>
      </c>
      <c r="H618" s="7" t="s">
        <v>1733</v>
      </c>
      <c r="I618" s="9">
        <v>45352</v>
      </c>
    </row>
    <row r="619" spans="1:9" x14ac:dyDescent="0.15">
      <c r="A619" s="6">
        <v>618</v>
      </c>
      <c r="B619" s="7" t="s">
        <v>9</v>
      </c>
      <c r="C619" s="8">
        <v>1889</v>
      </c>
      <c r="D619" s="9">
        <v>45439</v>
      </c>
      <c r="E619" s="13" t="str">
        <f>+HYPERLINK("http://trademark.i-assist.jp/data/china/image_1889th/77059205.pdf","77059205")</f>
        <v>77059205</v>
      </c>
      <c r="F619" s="7" t="s">
        <v>134</v>
      </c>
      <c r="G619" s="7" t="s">
        <v>1734</v>
      </c>
      <c r="H619" s="7" t="s">
        <v>1735</v>
      </c>
      <c r="I619" s="9">
        <v>45352</v>
      </c>
    </row>
    <row r="620" spans="1:9" ht="27" x14ac:dyDescent="0.15">
      <c r="A620" s="6">
        <v>619</v>
      </c>
      <c r="B620" s="7" t="s">
        <v>9</v>
      </c>
      <c r="C620" s="8">
        <v>1889</v>
      </c>
      <c r="D620" s="9">
        <v>45439</v>
      </c>
      <c r="E620" s="13" t="str">
        <f>+HYPERLINK("http://trademark.i-assist.jp/data/china/image_1889th/77059223.pdf","77059223")</f>
        <v>77059223</v>
      </c>
      <c r="F620" s="7" t="s">
        <v>1736</v>
      </c>
      <c r="G620" s="7" t="s">
        <v>1737</v>
      </c>
      <c r="H620" s="7" t="s">
        <v>1738</v>
      </c>
      <c r="I620" s="9">
        <v>45352</v>
      </c>
    </row>
    <row r="621" spans="1:9" ht="27" x14ac:dyDescent="0.15">
      <c r="A621" s="6">
        <v>620</v>
      </c>
      <c r="B621" s="7" t="s">
        <v>9</v>
      </c>
      <c r="C621" s="8">
        <v>1889</v>
      </c>
      <c r="D621" s="9">
        <v>45439</v>
      </c>
      <c r="E621" s="13" t="str">
        <f>+HYPERLINK("http://trademark.i-assist.jp/data/china/image_1889th/77059349.pdf","77059349")</f>
        <v>77059349</v>
      </c>
      <c r="F621" s="7" t="s">
        <v>1739</v>
      </c>
      <c r="G621" s="7" t="s">
        <v>1740</v>
      </c>
      <c r="H621" s="7" t="s">
        <v>1741</v>
      </c>
      <c r="I621" s="9">
        <v>45352</v>
      </c>
    </row>
    <row r="622" spans="1:9" x14ac:dyDescent="0.15">
      <c r="A622" s="6">
        <v>621</v>
      </c>
      <c r="B622" s="7" t="s">
        <v>9</v>
      </c>
      <c r="C622" s="8">
        <v>1889</v>
      </c>
      <c r="D622" s="9">
        <v>45439</v>
      </c>
      <c r="E622" s="13" t="str">
        <f>+HYPERLINK("http://trademark.i-assist.jp/data/china/image_1889th/77059441.pdf","77059441")</f>
        <v>77059441</v>
      </c>
      <c r="F622" s="7" t="s">
        <v>134</v>
      </c>
      <c r="G622" s="7" t="s">
        <v>1742</v>
      </c>
      <c r="H622" s="7" t="s">
        <v>1743</v>
      </c>
      <c r="I622" s="9">
        <v>45352</v>
      </c>
    </row>
    <row r="623" spans="1:9" ht="27" x14ac:dyDescent="0.15">
      <c r="A623" s="6">
        <v>622</v>
      </c>
      <c r="B623" s="7" t="s">
        <v>9</v>
      </c>
      <c r="C623" s="8">
        <v>1889</v>
      </c>
      <c r="D623" s="9">
        <v>45439</v>
      </c>
      <c r="E623" s="13" t="str">
        <f>+HYPERLINK("http://trademark.i-assist.jp/data/china/image_1889th/77059928.pdf","77059928")</f>
        <v>77059928</v>
      </c>
      <c r="F623" s="7" t="s">
        <v>1744</v>
      </c>
      <c r="G623" s="7" t="s">
        <v>1745</v>
      </c>
      <c r="H623" s="7" t="s">
        <v>1746</v>
      </c>
      <c r="I623" s="9">
        <v>45352</v>
      </c>
    </row>
    <row r="624" spans="1:9" x14ac:dyDescent="0.15">
      <c r="A624" s="6">
        <v>623</v>
      </c>
      <c r="B624" s="7" t="s">
        <v>9</v>
      </c>
      <c r="C624" s="8">
        <v>1889</v>
      </c>
      <c r="D624" s="9">
        <v>45439</v>
      </c>
      <c r="E624" s="13" t="str">
        <f>+HYPERLINK("http://trademark.i-assist.jp/data/china/image_1889th/77060086.pdf","77060086")</f>
        <v>77060086</v>
      </c>
      <c r="F624" s="7" t="s">
        <v>1747</v>
      </c>
      <c r="G624" s="7" t="s">
        <v>1748</v>
      </c>
      <c r="H624" s="7" t="s">
        <v>1749</v>
      </c>
      <c r="I624" s="9">
        <v>45352</v>
      </c>
    </row>
    <row r="625" spans="1:9" x14ac:dyDescent="0.15">
      <c r="A625" s="6">
        <v>624</v>
      </c>
      <c r="B625" s="7" t="s">
        <v>9</v>
      </c>
      <c r="C625" s="8">
        <v>1889</v>
      </c>
      <c r="D625" s="9">
        <v>45439</v>
      </c>
      <c r="E625" s="13" t="str">
        <f>+HYPERLINK("http://trademark.i-assist.jp/data/china/image_1889th/77061246.pdf","77061246")</f>
        <v>77061246</v>
      </c>
      <c r="F625" s="7" t="s">
        <v>1750</v>
      </c>
      <c r="G625" s="7" t="s">
        <v>1751</v>
      </c>
      <c r="H625" s="7" t="s">
        <v>1752</v>
      </c>
      <c r="I625" s="9">
        <v>45352</v>
      </c>
    </row>
    <row r="626" spans="1:9" x14ac:dyDescent="0.15">
      <c r="A626" s="6">
        <v>625</v>
      </c>
      <c r="B626" s="7" t="s">
        <v>9</v>
      </c>
      <c r="C626" s="8">
        <v>1889</v>
      </c>
      <c r="D626" s="9">
        <v>45439</v>
      </c>
      <c r="E626" s="13" t="str">
        <f>+HYPERLINK("http://trademark.i-assist.jp/data/china/image_1889th/77061713.pdf","77061713")</f>
        <v>77061713</v>
      </c>
      <c r="F626" s="7" t="s">
        <v>1753</v>
      </c>
      <c r="G626" s="7" t="s">
        <v>1723</v>
      </c>
      <c r="H626" s="7" t="s">
        <v>1754</v>
      </c>
      <c r="I626" s="9">
        <v>45352</v>
      </c>
    </row>
    <row r="627" spans="1:9" ht="27" x14ac:dyDescent="0.15">
      <c r="A627" s="6">
        <v>626</v>
      </c>
      <c r="B627" s="7" t="s">
        <v>9</v>
      </c>
      <c r="C627" s="8">
        <v>1889</v>
      </c>
      <c r="D627" s="9">
        <v>45439</v>
      </c>
      <c r="E627" s="13" t="str">
        <f>+HYPERLINK("http://trademark.i-assist.jp/data/china/image_1889th/77061763A.pdf","77061763A")</f>
        <v>77061763A</v>
      </c>
      <c r="F627" s="7" t="s">
        <v>1755</v>
      </c>
      <c r="G627" s="7" t="s">
        <v>1756</v>
      </c>
      <c r="H627" s="7" t="s">
        <v>1757</v>
      </c>
      <c r="I627" s="9">
        <v>45352</v>
      </c>
    </row>
    <row r="628" spans="1:9" x14ac:dyDescent="0.15">
      <c r="A628" s="6">
        <v>627</v>
      </c>
      <c r="B628" s="7" t="s">
        <v>9</v>
      </c>
      <c r="C628" s="8">
        <v>1889</v>
      </c>
      <c r="D628" s="9">
        <v>45439</v>
      </c>
      <c r="E628" s="13" t="str">
        <f>+HYPERLINK("http://trademark.i-assist.jp/data/china/image_1889th/77062408.pdf","77062408")</f>
        <v>77062408</v>
      </c>
      <c r="F628" s="7" t="s">
        <v>1758</v>
      </c>
      <c r="G628" s="7" t="s">
        <v>1759</v>
      </c>
      <c r="H628" s="7" t="s">
        <v>1760</v>
      </c>
      <c r="I628" s="9">
        <v>45352</v>
      </c>
    </row>
    <row r="629" spans="1:9" ht="27" x14ac:dyDescent="0.15">
      <c r="A629" s="6">
        <v>628</v>
      </c>
      <c r="B629" s="7" t="s">
        <v>9</v>
      </c>
      <c r="C629" s="8">
        <v>1889</v>
      </c>
      <c r="D629" s="9">
        <v>45439</v>
      </c>
      <c r="E629" s="13" t="str">
        <f>+HYPERLINK("http://trademark.i-assist.jp/data/china/image_1889th/77062669.pdf","77062669")</f>
        <v>77062669</v>
      </c>
      <c r="F629" s="7" t="s">
        <v>1761</v>
      </c>
      <c r="G629" s="7" t="s">
        <v>1762</v>
      </c>
      <c r="H629" s="7" t="s">
        <v>1763</v>
      </c>
      <c r="I629" s="9">
        <v>45352</v>
      </c>
    </row>
    <row r="630" spans="1:9" x14ac:dyDescent="0.15">
      <c r="A630" s="6">
        <v>629</v>
      </c>
      <c r="B630" s="7" t="s">
        <v>9</v>
      </c>
      <c r="C630" s="8">
        <v>1889</v>
      </c>
      <c r="D630" s="9">
        <v>45439</v>
      </c>
      <c r="E630" s="13" t="str">
        <f>+HYPERLINK("http://trademark.i-assist.jp/data/china/image_1889th/77064158.pdf","77064158")</f>
        <v>77064158</v>
      </c>
      <c r="F630" s="7" t="s">
        <v>1764</v>
      </c>
      <c r="G630" s="7" t="s">
        <v>1765</v>
      </c>
      <c r="H630" s="7" t="s">
        <v>1766</v>
      </c>
      <c r="I630" s="9">
        <v>45353</v>
      </c>
    </row>
    <row r="631" spans="1:9" ht="27" x14ac:dyDescent="0.15">
      <c r="A631" s="6">
        <v>630</v>
      </c>
      <c r="B631" s="7" t="s">
        <v>9</v>
      </c>
      <c r="C631" s="8">
        <v>1889</v>
      </c>
      <c r="D631" s="9">
        <v>45439</v>
      </c>
      <c r="E631" s="13" t="str">
        <f>+HYPERLINK("http://trademark.i-assist.jp/data/china/image_1889th/77064465.pdf","77064465")</f>
        <v>77064465</v>
      </c>
      <c r="F631" s="7" t="s">
        <v>1767</v>
      </c>
      <c r="G631" s="7" t="s">
        <v>1768</v>
      </c>
      <c r="H631" s="7" t="s">
        <v>1769</v>
      </c>
      <c r="I631" s="9">
        <v>45353</v>
      </c>
    </row>
    <row r="632" spans="1:9" x14ac:dyDescent="0.15">
      <c r="A632" s="6">
        <v>631</v>
      </c>
      <c r="B632" s="7" t="s">
        <v>9</v>
      </c>
      <c r="C632" s="8">
        <v>1889</v>
      </c>
      <c r="D632" s="9">
        <v>45439</v>
      </c>
      <c r="E632" s="13" t="str">
        <f>+HYPERLINK("http://trademark.i-assist.jp/data/china/image_1889th/77066399.pdf","77066399")</f>
        <v>77066399</v>
      </c>
      <c r="F632" s="7" t="s">
        <v>1770</v>
      </c>
      <c r="G632" s="7" t="s">
        <v>632</v>
      </c>
      <c r="H632" s="7" t="s">
        <v>1771</v>
      </c>
      <c r="I632" s="9">
        <v>45353</v>
      </c>
    </row>
    <row r="633" spans="1:9" x14ac:dyDescent="0.15">
      <c r="A633" s="6">
        <v>632</v>
      </c>
      <c r="B633" s="7" t="s">
        <v>9</v>
      </c>
      <c r="C633" s="8">
        <v>1889</v>
      </c>
      <c r="D633" s="9">
        <v>45439</v>
      </c>
      <c r="E633" s="13" t="str">
        <f>+HYPERLINK("http://trademark.i-assist.jp/data/china/image_1889th/77067050.pdf","77067050")</f>
        <v>77067050</v>
      </c>
      <c r="F633" s="7" t="s">
        <v>1772</v>
      </c>
      <c r="G633" s="7" t="s">
        <v>1773</v>
      </c>
      <c r="H633" s="7" t="s">
        <v>1774</v>
      </c>
      <c r="I633" s="9">
        <v>45353</v>
      </c>
    </row>
    <row r="634" spans="1:9" x14ac:dyDescent="0.15">
      <c r="A634" s="6">
        <v>633</v>
      </c>
      <c r="B634" s="7" t="s">
        <v>9</v>
      </c>
      <c r="C634" s="8">
        <v>1889</v>
      </c>
      <c r="D634" s="9">
        <v>45439</v>
      </c>
      <c r="E634" s="13" t="str">
        <f>+HYPERLINK("http://trademark.i-assist.jp/data/china/image_1889th/77067164.pdf","77067164")</f>
        <v>77067164</v>
      </c>
      <c r="F634" s="7" t="s">
        <v>1775</v>
      </c>
      <c r="G634" s="7" t="s">
        <v>1776</v>
      </c>
      <c r="H634" s="7" t="s">
        <v>1777</v>
      </c>
      <c r="I634" s="9">
        <v>45353</v>
      </c>
    </row>
    <row r="635" spans="1:9" x14ac:dyDescent="0.15">
      <c r="A635" s="6">
        <v>634</v>
      </c>
      <c r="B635" s="7" t="s">
        <v>9</v>
      </c>
      <c r="C635" s="8">
        <v>1889</v>
      </c>
      <c r="D635" s="9">
        <v>45439</v>
      </c>
      <c r="E635" s="13" t="str">
        <f>+HYPERLINK("http://trademark.i-assist.jp/data/china/image_1889th/77067239.pdf","77067239")</f>
        <v>77067239</v>
      </c>
      <c r="F635" s="7" t="s">
        <v>1778</v>
      </c>
      <c r="G635" s="7" t="s">
        <v>1779</v>
      </c>
      <c r="H635" s="7" t="s">
        <v>1780</v>
      </c>
      <c r="I635" s="9">
        <v>45353</v>
      </c>
    </row>
    <row r="636" spans="1:9" x14ac:dyDescent="0.15">
      <c r="A636" s="6">
        <v>635</v>
      </c>
      <c r="B636" s="7" t="s">
        <v>9</v>
      </c>
      <c r="C636" s="8">
        <v>1889</v>
      </c>
      <c r="D636" s="9">
        <v>45439</v>
      </c>
      <c r="E636" s="13" t="str">
        <f>+HYPERLINK("http://trademark.i-assist.jp/data/china/image_1889th/77068019.pdf","77068019")</f>
        <v>77068019</v>
      </c>
      <c r="F636" s="7" t="s">
        <v>1781</v>
      </c>
      <c r="G636" s="7" t="s">
        <v>1782</v>
      </c>
      <c r="H636" s="7" t="s">
        <v>1783</v>
      </c>
      <c r="I636" s="9">
        <v>45353</v>
      </c>
    </row>
    <row r="637" spans="1:9" x14ac:dyDescent="0.15">
      <c r="A637" s="6">
        <v>636</v>
      </c>
      <c r="B637" s="7" t="s">
        <v>9</v>
      </c>
      <c r="C637" s="8">
        <v>1889</v>
      </c>
      <c r="D637" s="9">
        <v>45439</v>
      </c>
      <c r="E637" s="13" t="str">
        <f>+HYPERLINK("http://trademark.i-assist.jp/data/china/image_1889th/77068152.pdf","77068152")</f>
        <v>77068152</v>
      </c>
      <c r="F637" s="7" t="s">
        <v>1784</v>
      </c>
      <c r="G637" s="7" t="s">
        <v>1785</v>
      </c>
      <c r="H637" s="7" t="s">
        <v>1786</v>
      </c>
      <c r="I637" s="9">
        <v>45353</v>
      </c>
    </row>
    <row r="638" spans="1:9" x14ac:dyDescent="0.15">
      <c r="A638" s="6">
        <v>637</v>
      </c>
      <c r="B638" s="7" t="s">
        <v>9</v>
      </c>
      <c r="C638" s="8">
        <v>1889</v>
      </c>
      <c r="D638" s="9">
        <v>45439</v>
      </c>
      <c r="E638" s="13" t="str">
        <f>+HYPERLINK("http://trademark.i-assist.jp/data/china/image_1889th/77068737.pdf","77068737")</f>
        <v>77068737</v>
      </c>
      <c r="F638" s="7" t="s">
        <v>1787</v>
      </c>
      <c r="G638" s="7" t="s">
        <v>1788</v>
      </c>
      <c r="H638" s="7" t="s">
        <v>1789</v>
      </c>
      <c r="I638" s="9">
        <v>45353</v>
      </c>
    </row>
    <row r="639" spans="1:9" x14ac:dyDescent="0.15">
      <c r="A639" s="6">
        <v>638</v>
      </c>
      <c r="B639" s="7" t="s">
        <v>9</v>
      </c>
      <c r="C639" s="8">
        <v>1889</v>
      </c>
      <c r="D639" s="9">
        <v>45439</v>
      </c>
      <c r="E639" s="13" t="str">
        <f>+HYPERLINK("http://trademark.i-assist.jp/data/china/image_1889th/77069489.pdf","77069489")</f>
        <v>77069489</v>
      </c>
      <c r="F639" s="7" t="s">
        <v>1790</v>
      </c>
      <c r="G639" s="7" t="s">
        <v>1791</v>
      </c>
      <c r="H639" s="7" t="s">
        <v>1792</v>
      </c>
      <c r="I639" s="9">
        <v>45354</v>
      </c>
    </row>
    <row r="640" spans="1:9" x14ac:dyDescent="0.15">
      <c r="A640" s="6">
        <v>639</v>
      </c>
      <c r="B640" s="7" t="s">
        <v>9</v>
      </c>
      <c r="C640" s="8">
        <v>1889</v>
      </c>
      <c r="D640" s="9">
        <v>45439</v>
      </c>
      <c r="E640" s="13" t="str">
        <f>+HYPERLINK("http://trademark.i-assist.jp/data/china/image_1889th/77069503.pdf","77069503")</f>
        <v>77069503</v>
      </c>
      <c r="F640" s="7" t="s">
        <v>1793</v>
      </c>
      <c r="G640" s="7" t="s">
        <v>1794</v>
      </c>
      <c r="H640" s="7" t="s">
        <v>1795</v>
      </c>
      <c r="I640" s="9">
        <v>45354</v>
      </c>
    </row>
    <row r="641" spans="1:9" x14ac:dyDescent="0.15">
      <c r="A641" s="6">
        <v>640</v>
      </c>
      <c r="B641" s="7" t="s">
        <v>9</v>
      </c>
      <c r="C641" s="8">
        <v>1889</v>
      </c>
      <c r="D641" s="9">
        <v>45439</v>
      </c>
      <c r="E641" s="13" t="str">
        <f>+HYPERLINK("http://trademark.i-assist.jp/data/china/image_1889th/77070270.pdf","77070270")</f>
        <v>77070270</v>
      </c>
      <c r="F641" s="7" t="s">
        <v>1796</v>
      </c>
      <c r="G641" s="7" t="s">
        <v>1797</v>
      </c>
      <c r="H641" s="7" t="s">
        <v>1798</v>
      </c>
      <c r="I641" s="9">
        <v>45354</v>
      </c>
    </row>
    <row r="642" spans="1:9" ht="27" x14ac:dyDescent="0.15">
      <c r="A642" s="6">
        <v>641</v>
      </c>
      <c r="B642" s="7" t="s">
        <v>9</v>
      </c>
      <c r="C642" s="8">
        <v>1889</v>
      </c>
      <c r="D642" s="9">
        <v>45439</v>
      </c>
      <c r="E642" s="13" t="str">
        <f>+HYPERLINK("http://trademark.i-assist.jp/data/china/image_1889th/77070745.pdf","77070745")</f>
        <v>77070745</v>
      </c>
      <c r="F642" s="7" t="s">
        <v>134</v>
      </c>
      <c r="G642" s="7" t="s">
        <v>1799</v>
      </c>
      <c r="H642" s="7" t="s">
        <v>1800</v>
      </c>
      <c r="I642" s="9">
        <v>45354</v>
      </c>
    </row>
    <row r="643" spans="1:9" ht="27" x14ac:dyDescent="0.15">
      <c r="A643" s="6">
        <v>642</v>
      </c>
      <c r="B643" s="7" t="s">
        <v>9</v>
      </c>
      <c r="C643" s="8">
        <v>1889</v>
      </c>
      <c r="D643" s="9">
        <v>45439</v>
      </c>
      <c r="E643" s="13" t="str">
        <f>+HYPERLINK("http://trademark.i-assist.jp/data/china/image_1889th/77070926.pdf","77070926")</f>
        <v>77070926</v>
      </c>
      <c r="F643" s="7" t="s">
        <v>1801</v>
      </c>
      <c r="G643" s="7" t="s">
        <v>1802</v>
      </c>
      <c r="H643" s="7" t="s">
        <v>1803</v>
      </c>
      <c r="I643" s="9">
        <v>45354</v>
      </c>
    </row>
    <row r="644" spans="1:9" ht="27" x14ac:dyDescent="0.15">
      <c r="A644" s="6">
        <v>643</v>
      </c>
      <c r="B644" s="7" t="s">
        <v>9</v>
      </c>
      <c r="C644" s="8">
        <v>1889</v>
      </c>
      <c r="D644" s="9">
        <v>45439</v>
      </c>
      <c r="E644" s="13" t="str">
        <f>+HYPERLINK("http://trademark.i-assist.jp/data/china/image_1889th/77070930.pdf","77070930")</f>
        <v>77070930</v>
      </c>
      <c r="F644" s="7" t="s">
        <v>1804</v>
      </c>
      <c r="G644" s="7" t="s">
        <v>1805</v>
      </c>
      <c r="H644" s="7" t="s">
        <v>1806</v>
      </c>
      <c r="I644" s="9">
        <v>45354</v>
      </c>
    </row>
    <row r="645" spans="1:9" x14ac:dyDescent="0.15">
      <c r="A645" s="6">
        <v>644</v>
      </c>
      <c r="B645" s="7" t="s">
        <v>9</v>
      </c>
      <c r="C645" s="8">
        <v>1889</v>
      </c>
      <c r="D645" s="9">
        <v>45439</v>
      </c>
      <c r="E645" s="13" t="str">
        <f>+HYPERLINK("http://trademark.i-assist.jp/data/china/image_1889th/77071602.pdf","77071602")</f>
        <v>77071602</v>
      </c>
      <c r="F645" s="7" t="s">
        <v>1807</v>
      </c>
      <c r="G645" s="7" t="s">
        <v>1808</v>
      </c>
      <c r="H645" s="7" t="s">
        <v>1809</v>
      </c>
      <c r="I645" s="9">
        <v>45354</v>
      </c>
    </row>
    <row r="646" spans="1:9" ht="27" x14ac:dyDescent="0.15">
      <c r="A646" s="6">
        <v>645</v>
      </c>
      <c r="B646" s="7" t="s">
        <v>9</v>
      </c>
      <c r="C646" s="8">
        <v>1889</v>
      </c>
      <c r="D646" s="9">
        <v>45439</v>
      </c>
      <c r="E646" s="13" t="str">
        <f>+HYPERLINK("http://trademark.i-assist.jp/data/china/image_1889th/77071705.pdf","77071705")</f>
        <v>77071705</v>
      </c>
      <c r="F646" s="7" t="s">
        <v>1810</v>
      </c>
      <c r="G646" s="7" t="s">
        <v>1802</v>
      </c>
      <c r="H646" s="7" t="s">
        <v>1811</v>
      </c>
      <c r="I646" s="9">
        <v>45354</v>
      </c>
    </row>
    <row r="647" spans="1:9" ht="27" x14ac:dyDescent="0.15">
      <c r="A647" s="6">
        <v>646</v>
      </c>
      <c r="B647" s="7" t="s">
        <v>9</v>
      </c>
      <c r="C647" s="8">
        <v>1889</v>
      </c>
      <c r="D647" s="9">
        <v>45439</v>
      </c>
      <c r="E647" s="13" t="str">
        <f>+HYPERLINK("http://trademark.i-assist.jp/data/china/image_1889th/77071707.pdf","77071707")</f>
        <v>77071707</v>
      </c>
      <c r="F647" s="7" t="s">
        <v>1812</v>
      </c>
      <c r="G647" s="7" t="s">
        <v>1802</v>
      </c>
      <c r="H647" s="7" t="s">
        <v>1813</v>
      </c>
      <c r="I647" s="9">
        <v>45354</v>
      </c>
    </row>
    <row r="648" spans="1:9" x14ac:dyDescent="0.15">
      <c r="A648" s="6">
        <v>647</v>
      </c>
      <c r="B648" s="7" t="s">
        <v>9</v>
      </c>
      <c r="C648" s="8">
        <v>1889</v>
      </c>
      <c r="D648" s="9">
        <v>45439</v>
      </c>
      <c r="E648" s="13" t="str">
        <f>+HYPERLINK("http://trademark.i-assist.jp/data/china/image_1889th/77071764.pdf","77071764")</f>
        <v>77071764</v>
      </c>
      <c r="F648" s="7" t="s">
        <v>134</v>
      </c>
      <c r="G648" s="7" t="s">
        <v>1814</v>
      </c>
      <c r="H648" s="7" t="s">
        <v>1815</v>
      </c>
      <c r="I648" s="9">
        <v>45354</v>
      </c>
    </row>
    <row r="649" spans="1:9" x14ac:dyDescent="0.15">
      <c r="A649" s="6">
        <v>648</v>
      </c>
      <c r="B649" s="7" t="s">
        <v>9</v>
      </c>
      <c r="C649" s="8">
        <v>1889</v>
      </c>
      <c r="D649" s="9">
        <v>45439</v>
      </c>
      <c r="E649" s="13" t="str">
        <f>+HYPERLINK("http://trademark.i-assist.jp/data/china/image_1889th/77072174.pdf","77072174")</f>
        <v>77072174</v>
      </c>
      <c r="F649" s="7" t="s">
        <v>1816</v>
      </c>
      <c r="G649" s="7" t="s">
        <v>1817</v>
      </c>
      <c r="H649" s="7" t="s">
        <v>1818</v>
      </c>
      <c r="I649" s="9">
        <v>45355</v>
      </c>
    </row>
    <row r="650" spans="1:9" x14ac:dyDescent="0.15">
      <c r="A650" s="6">
        <v>649</v>
      </c>
      <c r="B650" s="7" t="s">
        <v>9</v>
      </c>
      <c r="C650" s="8">
        <v>1889</v>
      </c>
      <c r="D650" s="9">
        <v>45439</v>
      </c>
      <c r="E650" s="13" t="str">
        <f>+HYPERLINK("http://trademark.i-assist.jp/data/china/image_1889th/77072484.pdf","77072484")</f>
        <v>77072484</v>
      </c>
      <c r="F650" s="7" t="s">
        <v>1819</v>
      </c>
      <c r="G650" s="7" t="s">
        <v>1820</v>
      </c>
      <c r="H650" s="7" t="s">
        <v>1821</v>
      </c>
      <c r="I650" s="9">
        <v>45355</v>
      </c>
    </row>
    <row r="651" spans="1:9" ht="27" x14ac:dyDescent="0.15">
      <c r="A651" s="6">
        <v>650</v>
      </c>
      <c r="B651" s="7" t="s">
        <v>9</v>
      </c>
      <c r="C651" s="8">
        <v>1889</v>
      </c>
      <c r="D651" s="9">
        <v>45439</v>
      </c>
      <c r="E651" s="13" t="str">
        <f>+HYPERLINK("http://trademark.i-assist.jp/data/china/image_1889th/77072589.pdf","77072589")</f>
        <v>77072589</v>
      </c>
      <c r="F651" s="7" t="s">
        <v>1822</v>
      </c>
      <c r="G651" s="7" t="s">
        <v>1823</v>
      </c>
      <c r="H651" s="7" t="s">
        <v>1824</v>
      </c>
      <c r="I651" s="9">
        <v>45355</v>
      </c>
    </row>
    <row r="652" spans="1:9" ht="27" x14ac:dyDescent="0.15">
      <c r="A652" s="6">
        <v>651</v>
      </c>
      <c r="B652" s="7" t="s">
        <v>9</v>
      </c>
      <c r="C652" s="8">
        <v>1889</v>
      </c>
      <c r="D652" s="9">
        <v>45439</v>
      </c>
      <c r="E652" s="13" t="str">
        <f>+HYPERLINK("http://trademark.i-assist.jp/data/china/image_1889th/77072636.pdf","77072636")</f>
        <v>77072636</v>
      </c>
      <c r="F652" s="7" t="s">
        <v>1825</v>
      </c>
      <c r="G652" s="7" t="s">
        <v>1826</v>
      </c>
      <c r="H652" s="7" t="s">
        <v>1827</v>
      </c>
      <c r="I652" s="9">
        <v>45355</v>
      </c>
    </row>
    <row r="653" spans="1:9" x14ac:dyDescent="0.15">
      <c r="A653" s="6">
        <v>652</v>
      </c>
      <c r="B653" s="7" t="s">
        <v>9</v>
      </c>
      <c r="C653" s="8">
        <v>1889</v>
      </c>
      <c r="D653" s="9">
        <v>45439</v>
      </c>
      <c r="E653" s="13" t="str">
        <f>+HYPERLINK("http://trademark.i-assist.jp/data/china/image_1889th/77073002.pdf","77073002")</f>
        <v>77073002</v>
      </c>
      <c r="F653" s="7" t="s">
        <v>1828</v>
      </c>
      <c r="G653" s="7" t="s">
        <v>1829</v>
      </c>
      <c r="H653" s="7" t="s">
        <v>1830</v>
      </c>
      <c r="I653" s="9">
        <v>45355</v>
      </c>
    </row>
    <row r="654" spans="1:9" x14ac:dyDescent="0.15">
      <c r="A654" s="6">
        <v>653</v>
      </c>
      <c r="B654" s="7" t="s">
        <v>9</v>
      </c>
      <c r="C654" s="8">
        <v>1889</v>
      </c>
      <c r="D654" s="9">
        <v>45439</v>
      </c>
      <c r="E654" s="13" t="str">
        <f>+HYPERLINK("http://trademark.i-assist.jp/data/china/image_1889th/77073055.pdf","77073055")</f>
        <v>77073055</v>
      </c>
      <c r="F654" s="7" t="s">
        <v>1831</v>
      </c>
      <c r="G654" s="7" t="s">
        <v>1832</v>
      </c>
      <c r="H654" s="7" t="s">
        <v>1833</v>
      </c>
      <c r="I654" s="9">
        <v>45355</v>
      </c>
    </row>
    <row r="655" spans="1:9" ht="27" x14ac:dyDescent="0.15">
      <c r="A655" s="6">
        <v>654</v>
      </c>
      <c r="B655" s="7" t="s">
        <v>9</v>
      </c>
      <c r="C655" s="8">
        <v>1889</v>
      </c>
      <c r="D655" s="9">
        <v>45439</v>
      </c>
      <c r="E655" s="13" t="str">
        <f>+HYPERLINK("http://trademark.i-assist.jp/data/china/image_1889th/77073145.pdf","77073145")</f>
        <v>77073145</v>
      </c>
      <c r="F655" s="7" t="s">
        <v>1834</v>
      </c>
      <c r="G655" s="7" t="s">
        <v>1835</v>
      </c>
      <c r="H655" s="7" t="s">
        <v>1836</v>
      </c>
      <c r="I655" s="9">
        <v>45355</v>
      </c>
    </row>
    <row r="656" spans="1:9" ht="27" x14ac:dyDescent="0.15">
      <c r="A656" s="6">
        <v>655</v>
      </c>
      <c r="B656" s="7" t="s">
        <v>9</v>
      </c>
      <c r="C656" s="8">
        <v>1889</v>
      </c>
      <c r="D656" s="9">
        <v>45439</v>
      </c>
      <c r="E656" s="13" t="str">
        <f>+HYPERLINK("http://trademark.i-assist.jp/data/china/image_1889th/77073204.pdf","77073204")</f>
        <v>77073204</v>
      </c>
      <c r="F656" s="7" t="s">
        <v>1837</v>
      </c>
      <c r="G656" s="7" t="s">
        <v>1838</v>
      </c>
      <c r="H656" s="7" t="s">
        <v>1839</v>
      </c>
      <c r="I656" s="9">
        <v>45355</v>
      </c>
    </row>
    <row r="657" spans="1:9" x14ac:dyDescent="0.15">
      <c r="A657" s="6">
        <v>656</v>
      </c>
      <c r="B657" s="7" t="s">
        <v>9</v>
      </c>
      <c r="C657" s="8">
        <v>1889</v>
      </c>
      <c r="D657" s="9">
        <v>45439</v>
      </c>
      <c r="E657" s="13" t="str">
        <f>+HYPERLINK("http://trademark.i-assist.jp/data/china/image_1889th/77073216.pdf","77073216")</f>
        <v>77073216</v>
      </c>
      <c r="F657" s="7" t="s">
        <v>1840</v>
      </c>
      <c r="G657" s="7" t="s">
        <v>1841</v>
      </c>
      <c r="H657" s="7" t="s">
        <v>1842</v>
      </c>
      <c r="I657" s="9">
        <v>45355</v>
      </c>
    </row>
    <row r="658" spans="1:9" x14ac:dyDescent="0.15">
      <c r="A658" s="6">
        <v>657</v>
      </c>
      <c r="B658" s="7" t="s">
        <v>9</v>
      </c>
      <c r="C658" s="8">
        <v>1889</v>
      </c>
      <c r="D658" s="9">
        <v>45439</v>
      </c>
      <c r="E658" s="13" t="str">
        <f>+HYPERLINK("http://trademark.i-assist.jp/data/china/image_1889th/77073385.pdf","77073385")</f>
        <v>77073385</v>
      </c>
      <c r="F658" s="7" t="s">
        <v>1843</v>
      </c>
      <c r="G658" s="7" t="s">
        <v>1844</v>
      </c>
      <c r="H658" s="7" t="s">
        <v>1845</v>
      </c>
      <c r="I658" s="9">
        <v>45355</v>
      </c>
    </row>
    <row r="659" spans="1:9" x14ac:dyDescent="0.15">
      <c r="A659" s="6">
        <v>658</v>
      </c>
      <c r="B659" s="7" t="s">
        <v>9</v>
      </c>
      <c r="C659" s="8">
        <v>1889</v>
      </c>
      <c r="D659" s="9">
        <v>45439</v>
      </c>
      <c r="E659" s="13" t="str">
        <f>+HYPERLINK("http://trademark.i-assist.jp/data/china/image_1889th/77073782.pdf","77073782")</f>
        <v>77073782</v>
      </c>
      <c r="F659" s="7" t="s">
        <v>1846</v>
      </c>
      <c r="G659" s="7" t="s">
        <v>1847</v>
      </c>
      <c r="H659" s="7" t="s">
        <v>1848</v>
      </c>
      <c r="I659" s="9">
        <v>45355</v>
      </c>
    </row>
    <row r="660" spans="1:9" x14ac:dyDescent="0.15">
      <c r="A660" s="6">
        <v>659</v>
      </c>
      <c r="B660" s="7" t="s">
        <v>9</v>
      </c>
      <c r="C660" s="8">
        <v>1889</v>
      </c>
      <c r="D660" s="9">
        <v>45439</v>
      </c>
      <c r="E660" s="13" t="str">
        <f>+HYPERLINK("http://trademark.i-assist.jp/data/china/image_1889th/77073812.pdf","77073812")</f>
        <v>77073812</v>
      </c>
      <c r="F660" s="7" t="s">
        <v>1849</v>
      </c>
      <c r="G660" s="7" t="s">
        <v>1850</v>
      </c>
      <c r="H660" s="7" t="s">
        <v>1851</v>
      </c>
      <c r="I660" s="9">
        <v>45355</v>
      </c>
    </row>
    <row r="661" spans="1:9" x14ac:dyDescent="0.15">
      <c r="A661" s="6">
        <v>660</v>
      </c>
      <c r="B661" s="7" t="s">
        <v>9</v>
      </c>
      <c r="C661" s="8">
        <v>1889</v>
      </c>
      <c r="D661" s="9">
        <v>45439</v>
      </c>
      <c r="E661" s="13" t="str">
        <f>+HYPERLINK("http://trademark.i-assist.jp/data/china/image_1889th/77074964.pdf","77074964")</f>
        <v>77074964</v>
      </c>
      <c r="F661" s="7" t="s">
        <v>1852</v>
      </c>
      <c r="G661" s="7" t="s">
        <v>1853</v>
      </c>
      <c r="H661" s="7" t="s">
        <v>1854</v>
      </c>
      <c r="I661" s="9">
        <v>45355</v>
      </c>
    </row>
    <row r="662" spans="1:9" x14ac:dyDescent="0.15">
      <c r="A662" s="6">
        <v>661</v>
      </c>
      <c r="B662" s="7" t="s">
        <v>9</v>
      </c>
      <c r="C662" s="8">
        <v>1889</v>
      </c>
      <c r="D662" s="9">
        <v>45439</v>
      </c>
      <c r="E662" s="13" t="str">
        <f>+HYPERLINK("http://trademark.i-assist.jp/data/china/image_1889th/77075185.pdf","77075185")</f>
        <v>77075185</v>
      </c>
      <c r="F662" s="7" t="s">
        <v>1855</v>
      </c>
      <c r="G662" s="7" t="s">
        <v>1856</v>
      </c>
      <c r="H662" s="7" t="s">
        <v>1857</v>
      </c>
      <c r="I662" s="9">
        <v>45355</v>
      </c>
    </row>
    <row r="663" spans="1:9" x14ac:dyDescent="0.15">
      <c r="A663" s="6">
        <v>662</v>
      </c>
      <c r="B663" s="7" t="s">
        <v>9</v>
      </c>
      <c r="C663" s="8">
        <v>1889</v>
      </c>
      <c r="D663" s="9">
        <v>45439</v>
      </c>
      <c r="E663" s="13" t="str">
        <f>+HYPERLINK("http://trademark.i-assist.jp/data/china/image_1889th/77076065.pdf","77076065")</f>
        <v>77076065</v>
      </c>
      <c r="F663" s="7" t="s">
        <v>1858</v>
      </c>
      <c r="G663" s="7" t="s">
        <v>637</v>
      </c>
      <c r="H663" s="7" t="s">
        <v>1859</v>
      </c>
      <c r="I663" s="9">
        <v>45355</v>
      </c>
    </row>
    <row r="664" spans="1:9" x14ac:dyDescent="0.15">
      <c r="A664" s="6">
        <v>663</v>
      </c>
      <c r="B664" s="7" t="s">
        <v>9</v>
      </c>
      <c r="C664" s="8">
        <v>1889</v>
      </c>
      <c r="D664" s="9">
        <v>45439</v>
      </c>
      <c r="E664" s="13" t="str">
        <f>+HYPERLINK("http://trademark.i-assist.jp/data/china/image_1889th/77076188.pdf","77076188")</f>
        <v>77076188</v>
      </c>
      <c r="F664" s="7" t="s">
        <v>1860</v>
      </c>
      <c r="G664" s="7" t="s">
        <v>1861</v>
      </c>
      <c r="H664" s="7" t="s">
        <v>1862</v>
      </c>
      <c r="I664" s="9">
        <v>45355</v>
      </c>
    </row>
    <row r="665" spans="1:9" x14ac:dyDescent="0.15">
      <c r="A665" s="6">
        <v>664</v>
      </c>
      <c r="B665" s="7" t="s">
        <v>9</v>
      </c>
      <c r="C665" s="8">
        <v>1889</v>
      </c>
      <c r="D665" s="9">
        <v>45439</v>
      </c>
      <c r="E665" s="13" t="str">
        <f>+HYPERLINK("http://trademark.i-assist.jp/data/china/image_1889th/77076280.pdf","77076280")</f>
        <v>77076280</v>
      </c>
      <c r="F665" s="7" t="s">
        <v>1863</v>
      </c>
      <c r="G665" s="7" t="s">
        <v>1864</v>
      </c>
      <c r="H665" s="7" t="s">
        <v>1865</v>
      </c>
      <c r="I665" s="9">
        <v>45355</v>
      </c>
    </row>
    <row r="666" spans="1:9" x14ac:dyDescent="0.15">
      <c r="A666" s="6">
        <v>665</v>
      </c>
      <c r="B666" s="7" t="s">
        <v>9</v>
      </c>
      <c r="C666" s="8">
        <v>1889</v>
      </c>
      <c r="D666" s="9">
        <v>45439</v>
      </c>
      <c r="E666" s="13" t="str">
        <f>+HYPERLINK("http://trademark.i-assist.jp/data/china/image_1889th/77076484.pdf","77076484")</f>
        <v>77076484</v>
      </c>
      <c r="F666" s="7" t="s">
        <v>1866</v>
      </c>
      <c r="G666" s="7" t="s">
        <v>1867</v>
      </c>
      <c r="H666" s="7" t="s">
        <v>1868</v>
      </c>
      <c r="I666" s="9">
        <v>45355</v>
      </c>
    </row>
    <row r="667" spans="1:9" x14ac:dyDescent="0.15">
      <c r="A667" s="6">
        <v>666</v>
      </c>
      <c r="B667" s="7" t="s">
        <v>9</v>
      </c>
      <c r="C667" s="8">
        <v>1889</v>
      </c>
      <c r="D667" s="9">
        <v>45439</v>
      </c>
      <c r="E667" s="13" t="str">
        <f>+HYPERLINK("http://trademark.i-assist.jp/data/china/image_1889th/77076891.pdf","77076891")</f>
        <v>77076891</v>
      </c>
      <c r="F667" s="7" t="s">
        <v>1869</v>
      </c>
      <c r="G667" s="7" t="s">
        <v>1870</v>
      </c>
      <c r="H667" s="7" t="s">
        <v>1871</v>
      </c>
      <c r="I667" s="9">
        <v>45355</v>
      </c>
    </row>
    <row r="668" spans="1:9" x14ac:dyDescent="0.15">
      <c r="A668" s="6">
        <v>667</v>
      </c>
      <c r="B668" s="7" t="s">
        <v>9</v>
      </c>
      <c r="C668" s="8">
        <v>1889</v>
      </c>
      <c r="D668" s="9">
        <v>45439</v>
      </c>
      <c r="E668" s="13" t="str">
        <f>+HYPERLINK("http://trademark.i-assist.jp/data/china/image_1889th/77077000.pdf","77077000")</f>
        <v>77077000</v>
      </c>
      <c r="F668" s="7" t="s">
        <v>1872</v>
      </c>
      <c r="G668" s="7" t="s">
        <v>1873</v>
      </c>
      <c r="H668" s="7" t="s">
        <v>1874</v>
      </c>
      <c r="I668" s="9">
        <v>45355</v>
      </c>
    </row>
    <row r="669" spans="1:9" x14ac:dyDescent="0.15">
      <c r="A669" s="6">
        <v>668</v>
      </c>
      <c r="B669" s="7" t="s">
        <v>9</v>
      </c>
      <c r="C669" s="8">
        <v>1889</v>
      </c>
      <c r="D669" s="9">
        <v>45439</v>
      </c>
      <c r="E669" s="13" t="str">
        <f>+HYPERLINK("http://trademark.i-assist.jp/data/china/image_1889th/77078110.pdf","77078110")</f>
        <v>77078110</v>
      </c>
      <c r="F669" s="7" t="s">
        <v>1875</v>
      </c>
      <c r="G669" s="7" t="s">
        <v>697</v>
      </c>
      <c r="H669" s="7" t="s">
        <v>1876</v>
      </c>
      <c r="I669" s="9">
        <v>45355</v>
      </c>
    </row>
    <row r="670" spans="1:9" x14ac:dyDescent="0.15">
      <c r="A670" s="6">
        <v>669</v>
      </c>
      <c r="B670" s="7" t="s">
        <v>9</v>
      </c>
      <c r="C670" s="8">
        <v>1889</v>
      </c>
      <c r="D670" s="9">
        <v>45439</v>
      </c>
      <c r="E670" s="13" t="str">
        <f>+HYPERLINK("http://trademark.i-assist.jp/data/china/image_1889th/77078253.pdf","77078253")</f>
        <v>77078253</v>
      </c>
      <c r="F670" s="7" t="s">
        <v>1877</v>
      </c>
      <c r="G670" s="7" t="s">
        <v>1878</v>
      </c>
      <c r="H670" s="7" t="s">
        <v>1879</v>
      </c>
      <c r="I670" s="9">
        <v>45355</v>
      </c>
    </row>
    <row r="671" spans="1:9" x14ac:dyDescent="0.15">
      <c r="A671" s="6">
        <v>670</v>
      </c>
      <c r="B671" s="7" t="s">
        <v>9</v>
      </c>
      <c r="C671" s="8">
        <v>1889</v>
      </c>
      <c r="D671" s="9">
        <v>45439</v>
      </c>
      <c r="E671" s="13" t="str">
        <f>+HYPERLINK("http://trademark.i-assist.jp/data/china/image_1889th/77078258.pdf","77078258")</f>
        <v>77078258</v>
      </c>
      <c r="F671" s="7" t="s">
        <v>1880</v>
      </c>
      <c r="G671" s="7" t="s">
        <v>1878</v>
      </c>
      <c r="H671" s="7" t="s">
        <v>1881</v>
      </c>
      <c r="I671" s="9">
        <v>45355</v>
      </c>
    </row>
    <row r="672" spans="1:9" x14ac:dyDescent="0.15">
      <c r="A672" s="6">
        <v>671</v>
      </c>
      <c r="B672" s="7" t="s">
        <v>9</v>
      </c>
      <c r="C672" s="8">
        <v>1889</v>
      </c>
      <c r="D672" s="9">
        <v>45439</v>
      </c>
      <c r="E672" s="13" t="str">
        <f>+HYPERLINK("http://trademark.i-assist.jp/data/china/image_1889th/77078795.pdf","77078795")</f>
        <v>77078795</v>
      </c>
      <c r="F672" s="7" t="s">
        <v>1882</v>
      </c>
      <c r="G672" s="7" t="s">
        <v>1883</v>
      </c>
      <c r="H672" s="7" t="s">
        <v>1884</v>
      </c>
      <c r="I672" s="9">
        <v>45355</v>
      </c>
    </row>
    <row r="673" spans="1:9" x14ac:dyDescent="0.15">
      <c r="A673" s="6">
        <v>672</v>
      </c>
      <c r="B673" s="7" t="s">
        <v>9</v>
      </c>
      <c r="C673" s="8">
        <v>1889</v>
      </c>
      <c r="D673" s="9">
        <v>45439</v>
      </c>
      <c r="E673" s="13" t="str">
        <f>+HYPERLINK("http://trademark.i-assist.jp/data/china/image_1889th/77078960.pdf","77078960")</f>
        <v>77078960</v>
      </c>
      <c r="F673" s="7" t="s">
        <v>1885</v>
      </c>
      <c r="G673" s="7" t="s">
        <v>1886</v>
      </c>
      <c r="H673" s="7" t="s">
        <v>1887</v>
      </c>
      <c r="I673" s="9">
        <v>45355</v>
      </c>
    </row>
    <row r="674" spans="1:9" x14ac:dyDescent="0.15">
      <c r="A674" s="6">
        <v>673</v>
      </c>
      <c r="B674" s="7" t="s">
        <v>9</v>
      </c>
      <c r="C674" s="8">
        <v>1889</v>
      </c>
      <c r="D674" s="9">
        <v>45439</v>
      </c>
      <c r="E674" s="13" t="str">
        <f>+HYPERLINK("http://trademark.i-assist.jp/data/china/image_1889th/77079172.pdf","77079172")</f>
        <v>77079172</v>
      </c>
      <c r="F674" s="7" t="s">
        <v>1888</v>
      </c>
      <c r="G674" s="7" t="s">
        <v>1889</v>
      </c>
      <c r="H674" s="7" t="s">
        <v>1890</v>
      </c>
      <c r="I674" s="9">
        <v>45355</v>
      </c>
    </row>
    <row r="675" spans="1:9" x14ac:dyDescent="0.15">
      <c r="A675" s="6">
        <v>674</v>
      </c>
      <c r="B675" s="7" t="s">
        <v>9</v>
      </c>
      <c r="C675" s="8">
        <v>1889</v>
      </c>
      <c r="D675" s="9">
        <v>45439</v>
      </c>
      <c r="E675" s="13" t="str">
        <f>+HYPERLINK("http://trademark.i-assist.jp/data/china/image_1889th/77079292.pdf","77079292")</f>
        <v>77079292</v>
      </c>
      <c r="F675" s="7" t="s">
        <v>1891</v>
      </c>
      <c r="G675" s="7" t="s">
        <v>1892</v>
      </c>
      <c r="H675" s="7" t="s">
        <v>1893</v>
      </c>
      <c r="I675" s="9">
        <v>45355</v>
      </c>
    </row>
    <row r="676" spans="1:9" x14ac:dyDescent="0.15">
      <c r="A676" s="6">
        <v>675</v>
      </c>
      <c r="B676" s="7" t="s">
        <v>9</v>
      </c>
      <c r="C676" s="8">
        <v>1889</v>
      </c>
      <c r="D676" s="9">
        <v>45439</v>
      </c>
      <c r="E676" s="13" t="str">
        <f>+HYPERLINK("http://trademark.i-assist.jp/data/china/image_1889th/77079391.pdf","77079391")</f>
        <v>77079391</v>
      </c>
      <c r="F676" s="7" t="s">
        <v>1894</v>
      </c>
      <c r="G676" s="7" t="s">
        <v>1895</v>
      </c>
      <c r="H676" s="7" t="s">
        <v>1896</v>
      </c>
      <c r="I676" s="9">
        <v>45355</v>
      </c>
    </row>
    <row r="677" spans="1:9" ht="27" x14ac:dyDescent="0.15">
      <c r="A677" s="6">
        <v>676</v>
      </c>
      <c r="B677" s="7" t="s">
        <v>9</v>
      </c>
      <c r="C677" s="8">
        <v>1889</v>
      </c>
      <c r="D677" s="9">
        <v>45439</v>
      </c>
      <c r="E677" s="13" t="str">
        <f>+HYPERLINK("http://trademark.i-assist.jp/data/china/image_1889th/77079415.pdf","77079415")</f>
        <v>77079415</v>
      </c>
      <c r="F677" s="7" t="s">
        <v>1897</v>
      </c>
      <c r="G677" s="7" t="s">
        <v>1898</v>
      </c>
      <c r="H677" s="7" t="s">
        <v>1899</v>
      </c>
      <c r="I677" s="9">
        <v>45355</v>
      </c>
    </row>
    <row r="678" spans="1:9" x14ac:dyDescent="0.15">
      <c r="A678" s="6">
        <v>677</v>
      </c>
      <c r="B678" s="7" t="s">
        <v>9</v>
      </c>
      <c r="C678" s="8">
        <v>1889</v>
      </c>
      <c r="D678" s="9">
        <v>45439</v>
      </c>
      <c r="E678" s="13" t="str">
        <f>+HYPERLINK("http://trademark.i-assist.jp/data/china/image_1889th/77080622.pdf","77080622")</f>
        <v>77080622</v>
      </c>
      <c r="F678" s="7" t="s">
        <v>1900</v>
      </c>
      <c r="G678" s="7" t="s">
        <v>1901</v>
      </c>
      <c r="H678" s="7" t="s">
        <v>1902</v>
      </c>
      <c r="I678" s="9">
        <v>45355</v>
      </c>
    </row>
    <row r="679" spans="1:9" x14ac:dyDescent="0.15">
      <c r="A679" s="6">
        <v>678</v>
      </c>
      <c r="B679" s="7" t="s">
        <v>9</v>
      </c>
      <c r="C679" s="8">
        <v>1889</v>
      </c>
      <c r="D679" s="9">
        <v>45439</v>
      </c>
      <c r="E679" s="13" t="str">
        <f>+HYPERLINK("http://trademark.i-assist.jp/data/china/image_1889th/77080706.pdf","77080706")</f>
        <v>77080706</v>
      </c>
      <c r="F679" s="7" t="s">
        <v>1903</v>
      </c>
      <c r="G679" s="7" t="s">
        <v>1904</v>
      </c>
      <c r="H679" s="7" t="s">
        <v>1905</v>
      </c>
      <c r="I679" s="9">
        <v>45355</v>
      </c>
    </row>
    <row r="680" spans="1:9" ht="27" x14ac:dyDescent="0.15">
      <c r="A680" s="6">
        <v>679</v>
      </c>
      <c r="B680" s="7" t="s">
        <v>9</v>
      </c>
      <c r="C680" s="8">
        <v>1889</v>
      </c>
      <c r="D680" s="9">
        <v>45439</v>
      </c>
      <c r="E680" s="13" t="str">
        <f>+HYPERLINK("http://trademark.i-assist.jp/data/china/image_1889th/77080755.pdf","77080755")</f>
        <v>77080755</v>
      </c>
      <c r="F680" s="7" t="s">
        <v>1906</v>
      </c>
      <c r="G680" s="7" t="s">
        <v>1907</v>
      </c>
      <c r="H680" s="7" t="s">
        <v>1908</v>
      </c>
      <c r="I680" s="9">
        <v>45355</v>
      </c>
    </row>
    <row r="681" spans="1:9" x14ac:dyDescent="0.15">
      <c r="A681" s="6">
        <v>680</v>
      </c>
      <c r="B681" s="7" t="s">
        <v>9</v>
      </c>
      <c r="C681" s="8">
        <v>1889</v>
      </c>
      <c r="D681" s="9">
        <v>45439</v>
      </c>
      <c r="E681" s="13" t="str">
        <f>+HYPERLINK("http://trademark.i-assist.jp/data/china/image_1889th/77080978.pdf","77080978")</f>
        <v>77080978</v>
      </c>
      <c r="F681" s="7" t="s">
        <v>1909</v>
      </c>
      <c r="G681" s="7" t="s">
        <v>1910</v>
      </c>
      <c r="H681" s="7" t="s">
        <v>1911</v>
      </c>
      <c r="I681" s="9">
        <v>45355</v>
      </c>
    </row>
    <row r="682" spans="1:9" x14ac:dyDescent="0.15">
      <c r="A682" s="6">
        <v>681</v>
      </c>
      <c r="B682" s="7" t="s">
        <v>9</v>
      </c>
      <c r="C682" s="8">
        <v>1889</v>
      </c>
      <c r="D682" s="9">
        <v>45439</v>
      </c>
      <c r="E682" s="13" t="str">
        <f>+HYPERLINK("http://trademark.i-assist.jp/data/china/image_1889th/77080989.pdf","77080989")</f>
        <v>77080989</v>
      </c>
      <c r="F682" s="7" t="s">
        <v>1912</v>
      </c>
      <c r="G682" s="7" t="s">
        <v>1913</v>
      </c>
      <c r="H682" s="7" t="s">
        <v>1914</v>
      </c>
      <c r="I682" s="9">
        <v>45355</v>
      </c>
    </row>
    <row r="683" spans="1:9" x14ac:dyDescent="0.15">
      <c r="A683" s="6">
        <v>682</v>
      </c>
      <c r="B683" s="7" t="s">
        <v>9</v>
      </c>
      <c r="C683" s="8">
        <v>1889</v>
      </c>
      <c r="D683" s="9">
        <v>45439</v>
      </c>
      <c r="E683" s="13" t="str">
        <f>+HYPERLINK("http://trademark.i-assist.jp/data/china/image_1889th/77081171.pdf","77081171")</f>
        <v>77081171</v>
      </c>
      <c r="F683" s="7" t="s">
        <v>1915</v>
      </c>
      <c r="G683" s="7" t="s">
        <v>1916</v>
      </c>
      <c r="H683" s="7" t="s">
        <v>1917</v>
      </c>
      <c r="I683" s="9">
        <v>45355</v>
      </c>
    </row>
    <row r="684" spans="1:9" x14ac:dyDescent="0.15">
      <c r="A684" s="6">
        <v>683</v>
      </c>
      <c r="B684" s="7" t="s">
        <v>9</v>
      </c>
      <c r="C684" s="8">
        <v>1889</v>
      </c>
      <c r="D684" s="9">
        <v>45439</v>
      </c>
      <c r="E684" s="13" t="str">
        <f>+HYPERLINK("http://trademark.i-assist.jp/data/china/image_1889th/77081185.pdf","77081185")</f>
        <v>77081185</v>
      </c>
      <c r="F684" s="7" t="s">
        <v>1918</v>
      </c>
      <c r="G684" s="7" t="s">
        <v>1919</v>
      </c>
      <c r="H684" s="7" t="s">
        <v>1920</v>
      </c>
      <c r="I684" s="9">
        <v>45355</v>
      </c>
    </row>
    <row r="685" spans="1:9" x14ac:dyDescent="0.15">
      <c r="A685" s="6">
        <v>684</v>
      </c>
      <c r="B685" s="7" t="s">
        <v>9</v>
      </c>
      <c r="C685" s="8">
        <v>1889</v>
      </c>
      <c r="D685" s="9">
        <v>45439</v>
      </c>
      <c r="E685" s="13" t="str">
        <f>+HYPERLINK("http://trademark.i-assist.jp/data/china/image_1889th/77081214.pdf","77081214")</f>
        <v>77081214</v>
      </c>
      <c r="F685" s="7" t="s">
        <v>1921</v>
      </c>
      <c r="G685" s="7" t="s">
        <v>1922</v>
      </c>
      <c r="H685" s="7" t="s">
        <v>1923</v>
      </c>
      <c r="I685" s="9">
        <v>45355</v>
      </c>
    </row>
    <row r="686" spans="1:9" x14ac:dyDescent="0.15">
      <c r="A686" s="6">
        <v>685</v>
      </c>
      <c r="B686" s="7" t="s">
        <v>9</v>
      </c>
      <c r="C686" s="8">
        <v>1889</v>
      </c>
      <c r="D686" s="9">
        <v>45439</v>
      </c>
      <c r="E686" s="13" t="str">
        <f>+HYPERLINK("http://trademark.i-assist.jp/data/china/image_1889th/77081222.pdf","77081222")</f>
        <v>77081222</v>
      </c>
      <c r="F686" s="7" t="s">
        <v>1924</v>
      </c>
      <c r="G686" s="7" t="s">
        <v>1925</v>
      </c>
      <c r="H686" s="7" t="s">
        <v>1926</v>
      </c>
      <c r="I686" s="9">
        <v>45355</v>
      </c>
    </row>
    <row r="687" spans="1:9" x14ac:dyDescent="0.15">
      <c r="A687" s="6">
        <v>686</v>
      </c>
      <c r="B687" s="7" t="s">
        <v>9</v>
      </c>
      <c r="C687" s="8">
        <v>1889</v>
      </c>
      <c r="D687" s="9">
        <v>45439</v>
      </c>
      <c r="E687" s="13" t="str">
        <f>+HYPERLINK("http://trademark.i-assist.jp/data/china/image_1889th/77081785.pdf","77081785")</f>
        <v>77081785</v>
      </c>
      <c r="F687" s="7" t="s">
        <v>1927</v>
      </c>
      <c r="G687" s="7" t="s">
        <v>1928</v>
      </c>
      <c r="H687" s="7" t="s">
        <v>1929</v>
      </c>
      <c r="I687" s="9">
        <v>45355</v>
      </c>
    </row>
    <row r="688" spans="1:9" x14ac:dyDescent="0.15">
      <c r="A688" s="6">
        <v>687</v>
      </c>
      <c r="B688" s="7" t="s">
        <v>9</v>
      </c>
      <c r="C688" s="8">
        <v>1889</v>
      </c>
      <c r="D688" s="9">
        <v>45439</v>
      </c>
      <c r="E688" s="13" t="str">
        <f>+HYPERLINK("http://trademark.i-assist.jp/data/china/image_1889th/77082170.pdf","77082170")</f>
        <v>77082170</v>
      </c>
      <c r="F688" s="7" t="s">
        <v>1930</v>
      </c>
      <c r="G688" s="7" t="s">
        <v>1931</v>
      </c>
      <c r="H688" s="7" t="s">
        <v>1932</v>
      </c>
      <c r="I688" s="9">
        <v>45355</v>
      </c>
    </row>
    <row r="689" spans="1:9" x14ac:dyDescent="0.15">
      <c r="A689" s="6">
        <v>688</v>
      </c>
      <c r="B689" s="7" t="s">
        <v>9</v>
      </c>
      <c r="C689" s="8">
        <v>1889</v>
      </c>
      <c r="D689" s="9">
        <v>45439</v>
      </c>
      <c r="E689" s="13" t="str">
        <f>+HYPERLINK("http://trademark.i-assist.jp/data/china/image_1889th/77082629.pdf","77082629")</f>
        <v>77082629</v>
      </c>
      <c r="F689" s="7" t="s">
        <v>1933</v>
      </c>
      <c r="G689" s="7" t="s">
        <v>1934</v>
      </c>
      <c r="H689" s="7" t="s">
        <v>1935</v>
      </c>
      <c r="I689" s="9">
        <v>45355</v>
      </c>
    </row>
    <row r="690" spans="1:9" x14ac:dyDescent="0.15">
      <c r="A690" s="6">
        <v>689</v>
      </c>
      <c r="B690" s="7" t="s">
        <v>9</v>
      </c>
      <c r="C690" s="8">
        <v>1889</v>
      </c>
      <c r="D690" s="9">
        <v>45439</v>
      </c>
      <c r="E690" s="13" t="str">
        <f>+HYPERLINK("http://trademark.i-assist.jp/data/china/image_1889th/77082918.pdf","77082918")</f>
        <v>77082918</v>
      </c>
      <c r="F690" s="7" t="s">
        <v>1936</v>
      </c>
      <c r="G690" s="7" t="s">
        <v>1937</v>
      </c>
      <c r="H690" s="7" t="s">
        <v>1938</v>
      </c>
      <c r="I690" s="9">
        <v>45355</v>
      </c>
    </row>
    <row r="691" spans="1:9" ht="27" x14ac:dyDescent="0.15">
      <c r="A691" s="6">
        <v>690</v>
      </c>
      <c r="B691" s="7" t="s">
        <v>9</v>
      </c>
      <c r="C691" s="8">
        <v>1889</v>
      </c>
      <c r="D691" s="9">
        <v>45439</v>
      </c>
      <c r="E691" s="13" t="str">
        <f>+HYPERLINK("http://trademark.i-assist.jp/data/china/image_1889th/77082977.pdf","77082977")</f>
        <v>77082977</v>
      </c>
      <c r="F691" s="7" t="s">
        <v>1939</v>
      </c>
      <c r="G691" s="7" t="s">
        <v>1940</v>
      </c>
      <c r="H691" s="7" t="s">
        <v>1941</v>
      </c>
      <c r="I691" s="9">
        <v>45355</v>
      </c>
    </row>
    <row r="692" spans="1:9" ht="27" x14ac:dyDescent="0.15">
      <c r="A692" s="6">
        <v>691</v>
      </c>
      <c r="B692" s="7" t="s">
        <v>9</v>
      </c>
      <c r="C692" s="8">
        <v>1889</v>
      </c>
      <c r="D692" s="9">
        <v>45439</v>
      </c>
      <c r="E692" s="13" t="str">
        <f>+HYPERLINK("http://trademark.i-assist.jp/data/china/image_1889th/77083321.pdf","77083321")</f>
        <v>77083321</v>
      </c>
      <c r="F692" s="7" t="s">
        <v>1942</v>
      </c>
      <c r="G692" s="7" t="s">
        <v>1943</v>
      </c>
      <c r="H692" s="7" t="s">
        <v>1944</v>
      </c>
      <c r="I692" s="9">
        <v>45355</v>
      </c>
    </row>
    <row r="693" spans="1:9" ht="40.5" x14ac:dyDescent="0.15">
      <c r="A693" s="6">
        <v>692</v>
      </c>
      <c r="B693" s="7" t="s">
        <v>9</v>
      </c>
      <c r="C693" s="8">
        <v>1889</v>
      </c>
      <c r="D693" s="9">
        <v>45439</v>
      </c>
      <c r="E693" s="13" t="str">
        <f>+HYPERLINK("http://trademark.i-assist.jp/data/china/image_1889th/77083464.pdf","77083464")</f>
        <v>77083464</v>
      </c>
      <c r="F693" s="7" t="s">
        <v>1945</v>
      </c>
      <c r="G693" s="7" t="s">
        <v>1946</v>
      </c>
      <c r="H693" s="7" t="s">
        <v>1947</v>
      </c>
      <c r="I693" s="9">
        <v>45355</v>
      </c>
    </row>
    <row r="694" spans="1:9" ht="27" x14ac:dyDescent="0.15">
      <c r="A694" s="6">
        <v>693</v>
      </c>
      <c r="B694" s="7" t="s">
        <v>9</v>
      </c>
      <c r="C694" s="8">
        <v>1889</v>
      </c>
      <c r="D694" s="9">
        <v>45439</v>
      </c>
      <c r="E694" s="13" t="str">
        <f>+HYPERLINK("http://trademark.i-assist.jp/data/china/image_1889th/77083513.pdf","77083513")</f>
        <v>77083513</v>
      </c>
      <c r="F694" s="7" t="s">
        <v>1948</v>
      </c>
      <c r="G694" s="7" t="s">
        <v>1949</v>
      </c>
      <c r="H694" s="7" t="s">
        <v>1950</v>
      </c>
      <c r="I694" s="9">
        <v>45355</v>
      </c>
    </row>
    <row r="695" spans="1:9" x14ac:dyDescent="0.15">
      <c r="A695" s="6">
        <v>694</v>
      </c>
      <c r="B695" s="7" t="s">
        <v>9</v>
      </c>
      <c r="C695" s="8">
        <v>1889</v>
      </c>
      <c r="D695" s="9">
        <v>45439</v>
      </c>
      <c r="E695" s="13" t="str">
        <f>+HYPERLINK("http://trademark.i-assist.jp/data/china/image_1889th/77084049.pdf","77084049")</f>
        <v>77084049</v>
      </c>
      <c r="F695" s="7" t="s">
        <v>1951</v>
      </c>
      <c r="G695" s="7" t="s">
        <v>1952</v>
      </c>
      <c r="H695" s="7" t="s">
        <v>1953</v>
      </c>
      <c r="I695" s="9">
        <v>45355</v>
      </c>
    </row>
    <row r="696" spans="1:9" x14ac:dyDescent="0.15">
      <c r="A696" s="6">
        <v>695</v>
      </c>
      <c r="B696" s="7" t="s">
        <v>9</v>
      </c>
      <c r="C696" s="8">
        <v>1889</v>
      </c>
      <c r="D696" s="9">
        <v>45439</v>
      </c>
      <c r="E696" s="13" t="str">
        <f>+HYPERLINK("http://trademark.i-assist.jp/data/china/image_1889th/77084400.pdf","77084400")</f>
        <v>77084400</v>
      </c>
      <c r="F696" s="7" t="s">
        <v>1954</v>
      </c>
      <c r="G696" s="7" t="s">
        <v>1955</v>
      </c>
      <c r="H696" s="7" t="s">
        <v>1956</v>
      </c>
      <c r="I696" s="9">
        <v>45355</v>
      </c>
    </row>
    <row r="697" spans="1:9" ht="27" x14ac:dyDescent="0.15">
      <c r="A697" s="6">
        <v>696</v>
      </c>
      <c r="B697" s="7" t="s">
        <v>9</v>
      </c>
      <c r="C697" s="8">
        <v>1889</v>
      </c>
      <c r="D697" s="9">
        <v>45439</v>
      </c>
      <c r="E697" s="13" t="str">
        <f>+HYPERLINK("http://trademark.i-assist.jp/data/china/image_1889th/77084884.pdf","77084884")</f>
        <v>77084884</v>
      </c>
      <c r="F697" s="7" t="s">
        <v>1957</v>
      </c>
      <c r="G697" s="7" t="s">
        <v>1958</v>
      </c>
      <c r="H697" s="7" t="s">
        <v>1959</v>
      </c>
      <c r="I697" s="9">
        <v>45355</v>
      </c>
    </row>
    <row r="698" spans="1:9" x14ac:dyDescent="0.15">
      <c r="A698" s="6">
        <v>697</v>
      </c>
      <c r="B698" s="7" t="s">
        <v>9</v>
      </c>
      <c r="C698" s="8">
        <v>1889</v>
      </c>
      <c r="D698" s="9">
        <v>45439</v>
      </c>
      <c r="E698" s="13" t="str">
        <f>+HYPERLINK("http://trademark.i-assist.jp/data/china/image_1889th/77085960.pdf","77085960")</f>
        <v>77085960</v>
      </c>
      <c r="F698" s="7" t="s">
        <v>1960</v>
      </c>
      <c r="G698" s="7" t="s">
        <v>1961</v>
      </c>
      <c r="H698" s="7" t="s">
        <v>1962</v>
      </c>
      <c r="I698" s="9">
        <v>45355</v>
      </c>
    </row>
    <row r="699" spans="1:9" x14ac:dyDescent="0.15">
      <c r="A699" s="6">
        <v>698</v>
      </c>
      <c r="B699" s="7" t="s">
        <v>9</v>
      </c>
      <c r="C699" s="8">
        <v>1889</v>
      </c>
      <c r="D699" s="9">
        <v>45439</v>
      </c>
      <c r="E699" s="13" t="str">
        <f>+HYPERLINK("http://trademark.i-assist.jp/data/china/image_1889th/77086464.pdf","77086464")</f>
        <v>77086464</v>
      </c>
      <c r="F699" s="7" t="s">
        <v>1963</v>
      </c>
      <c r="G699" s="7" t="s">
        <v>1964</v>
      </c>
      <c r="H699" s="7" t="s">
        <v>1965</v>
      </c>
      <c r="I699" s="9">
        <v>45355</v>
      </c>
    </row>
    <row r="700" spans="1:9" x14ac:dyDescent="0.15">
      <c r="A700" s="6">
        <v>699</v>
      </c>
      <c r="B700" s="7" t="s">
        <v>9</v>
      </c>
      <c r="C700" s="8">
        <v>1889</v>
      </c>
      <c r="D700" s="9">
        <v>45439</v>
      </c>
      <c r="E700" s="13" t="str">
        <f>+HYPERLINK("http://trademark.i-assist.jp/data/china/image_1889th/77086700.pdf","77086700")</f>
        <v>77086700</v>
      </c>
      <c r="F700" s="7" t="s">
        <v>1966</v>
      </c>
      <c r="G700" s="7" t="s">
        <v>1967</v>
      </c>
      <c r="H700" s="7" t="s">
        <v>1968</v>
      </c>
      <c r="I700" s="9">
        <v>45355</v>
      </c>
    </row>
    <row r="701" spans="1:9" x14ac:dyDescent="0.15">
      <c r="A701" s="6">
        <v>700</v>
      </c>
      <c r="B701" s="7" t="s">
        <v>9</v>
      </c>
      <c r="C701" s="8">
        <v>1889</v>
      </c>
      <c r="D701" s="9">
        <v>45439</v>
      </c>
      <c r="E701" s="13" t="str">
        <f>+HYPERLINK("http://trademark.i-assist.jp/data/china/image_1889th/77086822.pdf","77086822")</f>
        <v>77086822</v>
      </c>
      <c r="F701" s="7" t="s">
        <v>1969</v>
      </c>
      <c r="G701" s="7" t="s">
        <v>1970</v>
      </c>
      <c r="H701" s="7" t="s">
        <v>1971</v>
      </c>
      <c r="I701" s="9">
        <v>45355</v>
      </c>
    </row>
    <row r="702" spans="1:9" x14ac:dyDescent="0.15">
      <c r="A702" s="6">
        <v>701</v>
      </c>
      <c r="B702" s="7" t="s">
        <v>9</v>
      </c>
      <c r="C702" s="8">
        <v>1889</v>
      </c>
      <c r="D702" s="9">
        <v>45439</v>
      </c>
      <c r="E702" s="13" t="str">
        <f>+HYPERLINK("http://trademark.i-assist.jp/data/china/image_1889th/77087386.pdf","77087386")</f>
        <v>77087386</v>
      </c>
      <c r="F702" s="7" t="s">
        <v>1972</v>
      </c>
      <c r="G702" s="7" t="s">
        <v>1973</v>
      </c>
      <c r="H702" s="7" t="s">
        <v>1974</v>
      </c>
      <c r="I702" s="9">
        <v>45355</v>
      </c>
    </row>
    <row r="703" spans="1:9" x14ac:dyDescent="0.15">
      <c r="A703" s="6">
        <v>702</v>
      </c>
      <c r="B703" s="7" t="s">
        <v>9</v>
      </c>
      <c r="C703" s="8">
        <v>1889</v>
      </c>
      <c r="D703" s="9">
        <v>45439</v>
      </c>
      <c r="E703" s="13" t="str">
        <f>+HYPERLINK("http://trademark.i-assist.jp/data/china/image_1889th/77087652.pdf","77087652")</f>
        <v>77087652</v>
      </c>
      <c r="F703" s="7" t="s">
        <v>1975</v>
      </c>
      <c r="G703" s="7" t="s">
        <v>1976</v>
      </c>
      <c r="H703" s="7" t="s">
        <v>1977</v>
      </c>
      <c r="I703" s="9">
        <v>45355</v>
      </c>
    </row>
    <row r="704" spans="1:9" x14ac:dyDescent="0.15">
      <c r="A704" s="6">
        <v>703</v>
      </c>
      <c r="B704" s="7" t="s">
        <v>9</v>
      </c>
      <c r="C704" s="8">
        <v>1889</v>
      </c>
      <c r="D704" s="9">
        <v>45439</v>
      </c>
      <c r="E704" s="13" t="str">
        <f>+HYPERLINK("http://trademark.i-assist.jp/data/china/image_1889th/77087743.pdf","77087743")</f>
        <v>77087743</v>
      </c>
      <c r="F704" s="7" t="s">
        <v>1978</v>
      </c>
      <c r="G704" s="7" t="s">
        <v>1847</v>
      </c>
      <c r="H704" s="7" t="s">
        <v>1979</v>
      </c>
      <c r="I704" s="9">
        <v>45355</v>
      </c>
    </row>
    <row r="705" spans="1:9" x14ac:dyDescent="0.15">
      <c r="A705" s="6">
        <v>704</v>
      </c>
      <c r="B705" s="7" t="s">
        <v>9</v>
      </c>
      <c r="C705" s="8">
        <v>1889</v>
      </c>
      <c r="D705" s="9">
        <v>45439</v>
      </c>
      <c r="E705" s="13" t="str">
        <f>+HYPERLINK("http://trademark.i-assist.jp/data/china/image_1889th/77087851.pdf","77087851")</f>
        <v>77087851</v>
      </c>
      <c r="F705" s="7" t="s">
        <v>1980</v>
      </c>
      <c r="G705" s="7" t="s">
        <v>1981</v>
      </c>
      <c r="H705" s="7" t="s">
        <v>1982</v>
      </c>
      <c r="I705" s="9">
        <v>45355</v>
      </c>
    </row>
    <row r="706" spans="1:9" x14ac:dyDescent="0.15">
      <c r="A706" s="6">
        <v>705</v>
      </c>
      <c r="B706" s="7" t="s">
        <v>9</v>
      </c>
      <c r="C706" s="8">
        <v>1889</v>
      </c>
      <c r="D706" s="9">
        <v>45439</v>
      </c>
      <c r="E706" s="13" t="str">
        <f>+HYPERLINK("http://trademark.i-assist.jp/data/china/image_1889th/77088197.pdf","77088197")</f>
        <v>77088197</v>
      </c>
      <c r="F706" s="7" t="s">
        <v>134</v>
      </c>
      <c r="G706" s="7" t="s">
        <v>1983</v>
      </c>
      <c r="H706" s="7" t="s">
        <v>1984</v>
      </c>
      <c r="I706" s="9">
        <v>45355</v>
      </c>
    </row>
    <row r="707" spans="1:9" x14ac:dyDescent="0.15">
      <c r="A707" s="6">
        <v>706</v>
      </c>
      <c r="B707" s="7" t="s">
        <v>9</v>
      </c>
      <c r="C707" s="8">
        <v>1889</v>
      </c>
      <c r="D707" s="9">
        <v>45439</v>
      </c>
      <c r="E707" s="13" t="str">
        <f>+HYPERLINK("http://trademark.i-assist.jp/data/china/image_1889th/77088640.pdf","77088640")</f>
        <v>77088640</v>
      </c>
      <c r="F707" s="7" t="s">
        <v>1985</v>
      </c>
      <c r="G707" s="7" t="s">
        <v>1986</v>
      </c>
      <c r="H707" s="7" t="s">
        <v>1987</v>
      </c>
      <c r="I707" s="9">
        <v>45355</v>
      </c>
    </row>
    <row r="708" spans="1:9" x14ac:dyDescent="0.15">
      <c r="A708" s="6">
        <v>707</v>
      </c>
      <c r="B708" s="7" t="s">
        <v>9</v>
      </c>
      <c r="C708" s="8">
        <v>1889</v>
      </c>
      <c r="D708" s="9">
        <v>45439</v>
      </c>
      <c r="E708" s="13" t="str">
        <f>+HYPERLINK("http://trademark.i-assist.jp/data/china/image_1889th/77088890.pdf","77088890")</f>
        <v>77088890</v>
      </c>
      <c r="F708" s="7" t="s">
        <v>1988</v>
      </c>
      <c r="G708" s="7" t="s">
        <v>1989</v>
      </c>
      <c r="H708" s="7" t="s">
        <v>1990</v>
      </c>
      <c r="I708" s="9">
        <v>45355</v>
      </c>
    </row>
    <row r="709" spans="1:9" x14ac:dyDescent="0.15">
      <c r="A709" s="6">
        <v>708</v>
      </c>
      <c r="B709" s="7" t="s">
        <v>9</v>
      </c>
      <c r="C709" s="8">
        <v>1889</v>
      </c>
      <c r="D709" s="9">
        <v>45439</v>
      </c>
      <c r="E709" s="13" t="str">
        <f>+HYPERLINK("http://trademark.i-assist.jp/data/china/image_1889th/77088943.pdf","77088943")</f>
        <v>77088943</v>
      </c>
      <c r="F709" s="7" t="s">
        <v>1991</v>
      </c>
      <c r="G709" s="7" t="s">
        <v>1992</v>
      </c>
      <c r="H709" s="7" t="s">
        <v>1993</v>
      </c>
      <c r="I709" s="9">
        <v>45355</v>
      </c>
    </row>
    <row r="710" spans="1:9" x14ac:dyDescent="0.15">
      <c r="A710" s="6">
        <v>709</v>
      </c>
      <c r="B710" s="7" t="s">
        <v>9</v>
      </c>
      <c r="C710" s="8">
        <v>1889</v>
      </c>
      <c r="D710" s="9">
        <v>45439</v>
      </c>
      <c r="E710" s="13" t="str">
        <f>+HYPERLINK("http://trademark.i-assist.jp/data/china/image_1889th/77089036.pdf","77089036")</f>
        <v>77089036</v>
      </c>
      <c r="F710" s="7" t="s">
        <v>1994</v>
      </c>
      <c r="G710" s="7" t="s">
        <v>1937</v>
      </c>
      <c r="H710" s="7" t="s">
        <v>1995</v>
      </c>
      <c r="I710" s="9">
        <v>45355</v>
      </c>
    </row>
    <row r="711" spans="1:9" x14ac:dyDescent="0.15">
      <c r="A711" s="6">
        <v>710</v>
      </c>
      <c r="B711" s="7" t="s">
        <v>9</v>
      </c>
      <c r="C711" s="8">
        <v>1889</v>
      </c>
      <c r="D711" s="9">
        <v>45439</v>
      </c>
      <c r="E711" s="13" t="str">
        <f>+HYPERLINK("http://trademark.i-assist.jp/data/china/image_1889th/77089487.pdf","77089487")</f>
        <v>77089487</v>
      </c>
      <c r="F711" s="7" t="s">
        <v>1996</v>
      </c>
      <c r="G711" s="7" t="s">
        <v>1997</v>
      </c>
      <c r="H711" s="7" t="s">
        <v>1998</v>
      </c>
      <c r="I711" s="9">
        <v>45355</v>
      </c>
    </row>
    <row r="712" spans="1:9" x14ac:dyDescent="0.15">
      <c r="A712" s="6">
        <v>711</v>
      </c>
      <c r="B712" s="7" t="s">
        <v>9</v>
      </c>
      <c r="C712" s="8">
        <v>1889</v>
      </c>
      <c r="D712" s="9">
        <v>45439</v>
      </c>
      <c r="E712" s="13" t="str">
        <f>+HYPERLINK("http://trademark.i-assist.jp/data/china/image_1889th/77089548.pdf","77089548")</f>
        <v>77089548</v>
      </c>
      <c r="F712" s="7" t="s">
        <v>1999</v>
      </c>
      <c r="G712" s="7" t="s">
        <v>1021</v>
      </c>
      <c r="H712" s="7" t="s">
        <v>2000</v>
      </c>
      <c r="I712" s="9">
        <v>45355</v>
      </c>
    </row>
    <row r="713" spans="1:9" ht="27" x14ac:dyDescent="0.15">
      <c r="A713" s="6">
        <v>712</v>
      </c>
      <c r="B713" s="7" t="s">
        <v>9</v>
      </c>
      <c r="C713" s="8">
        <v>1889</v>
      </c>
      <c r="D713" s="9">
        <v>45439</v>
      </c>
      <c r="E713" s="13" t="str">
        <f>+HYPERLINK("http://trademark.i-assist.jp/data/china/image_1889th/77090094.pdf","77090094")</f>
        <v>77090094</v>
      </c>
      <c r="F713" s="7" t="s">
        <v>2001</v>
      </c>
      <c r="G713" s="7" t="s">
        <v>2002</v>
      </c>
      <c r="H713" s="7" t="s">
        <v>2003</v>
      </c>
      <c r="I713" s="9">
        <v>45355</v>
      </c>
    </row>
    <row r="714" spans="1:9" ht="27" x14ac:dyDescent="0.15">
      <c r="A714" s="6">
        <v>713</v>
      </c>
      <c r="B714" s="7" t="s">
        <v>9</v>
      </c>
      <c r="C714" s="8">
        <v>1889</v>
      </c>
      <c r="D714" s="9">
        <v>45439</v>
      </c>
      <c r="E714" s="13" t="str">
        <f>+HYPERLINK("http://trademark.i-assist.jp/data/china/image_1889th/77090113.pdf","77090113")</f>
        <v>77090113</v>
      </c>
      <c r="F714" s="7" t="s">
        <v>2004</v>
      </c>
      <c r="G714" s="7" t="s">
        <v>2002</v>
      </c>
      <c r="H714" s="7" t="s">
        <v>2005</v>
      </c>
      <c r="I714" s="9">
        <v>45355</v>
      </c>
    </row>
    <row r="715" spans="1:9" ht="27" x14ac:dyDescent="0.15">
      <c r="A715" s="6">
        <v>714</v>
      </c>
      <c r="B715" s="7" t="s">
        <v>9</v>
      </c>
      <c r="C715" s="8">
        <v>1889</v>
      </c>
      <c r="D715" s="9">
        <v>45439</v>
      </c>
      <c r="E715" s="13" t="str">
        <f>+HYPERLINK("http://trademark.i-assist.jp/data/china/image_1889th/77090188.pdf","77090188")</f>
        <v>77090188</v>
      </c>
      <c r="F715" s="7" t="s">
        <v>2006</v>
      </c>
      <c r="G715" s="7" t="s">
        <v>2002</v>
      </c>
      <c r="H715" s="7" t="s">
        <v>2007</v>
      </c>
      <c r="I715" s="9">
        <v>45355</v>
      </c>
    </row>
    <row r="716" spans="1:9" ht="27" x14ac:dyDescent="0.15">
      <c r="A716" s="6">
        <v>715</v>
      </c>
      <c r="B716" s="7" t="s">
        <v>9</v>
      </c>
      <c r="C716" s="8">
        <v>1889</v>
      </c>
      <c r="D716" s="9">
        <v>45439</v>
      </c>
      <c r="E716" s="13" t="str">
        <f>+HYPERLINK("http://trademark.i-assist.jp/data/china/image_1889th/77090196.pdf","77090196")</f>
        <v>77090196</v>
      </c>
      <c r="F716" s="7" t="s">
        <v>2008</v>
      </c>
      <c r="G716" s="7" t="s">
        <v>2002</v>
      </c>
      <c r="H716" s="7" t="s">
        <v>2009</v>
      </c>
      <c r="I716" s="9">
        <v>45355</v>
      </c>
    </row>
    <row r="717" spans="1:9" x14ac:dyDescent="0.15">
      <c r="A717" s="6">
        <v>716</v>
      </c>
      <c r="B717" s="7" t="s">
        <v>9</v>
      </c>
      <c r="C717" s="8">
        <v>1889</v>
      </c>
      <c r="D717" s="9">
        <v>45439</v>
      </c>
      <c r="E717" s="13" t="str">
        <f>+HYPERLINK("http://trademark.i-assist.jp/data/china/image_1889th/77090246.pdf","77090246")</f>
        <v>77090246</v>
      </c>
      <c r="F717" s="7" t="s">
        <v>2010</v>
      </c>
      <c r="G717" s="7" t="s">
        <v>2011</v>
      </c>
      <c r="H717" s="7" t="s">
        <v>2012</v>
      </c>
      <c r="I717" s="9">
        <v>45355</v>
      </c>
    </row>
    <row r="718" spans="1:9" x14ac:dyDescent="0.15">
      <c r="A718" s="6">
        <v>717</v>
      </c>
      <c r="B718" s="7" t="s">
        <v>9</v>
      </c>
      <c r="C718" s="8">
        <v>1889</v>
      </c>
      <c r="D718" s="9">
        <v>45439</v>
      </c>
      <c r="E718" s="13" t="str">
        <f>+HYPERLINK("http://trademark.i-assist.jp/data/china/image_1889th/77090258.pdf","77090258")</f>
        <v>77090258</v>
      </c>
      <c r="F718" s="7" t="s">
        <v>2013</v>
      </c>
      <c r="G718" s="7" t="s">
        <v>1847</v>
      </c>
      <c r="H718" s="7" t="s">
        <v>2014</v>
      </c>
      <c r="I718" s="9">
        <v>45355</v>
      </c>
    </row>
    <row r="719" spans="1:9" x14ac:dyDescent="0.15">
      <c r="A719" s="6">
        <v>718</v>
      </c>
      <c r="B719" s="7" t="s">
        <v>9</v>
      </c>
      <c r="C719" s="8">
        <v>1889</v>
      </c>
      <c r="D719" s="9">
        <v>45439</v>
      </c>
      <c r="E719" s="13" t="str">
        <f>+HYPERLINK("http://trademark.i-assist.jp/data/china/image_1889th/77090273.pdf","77090273")</f>
        <v>77090273</v>
      </c>
      <c r="F719" s="7" t="s">
        <v>2015</v>
      </c>
      <c r="G719" s="7" t="s">
        <v>2016</v>
      </c>
      <c r="H719" s="7" t="s">
        <v>2017</v>
      </c>
      <c r="I719" s="9">
        <v>45355</v>
      </c>
    </row>
    <row r="720" spans="1:9" ht="27" x14ac:dyDescent="0.15">
      <c r="A720" s="6">
        <v>719</v>
      </c>
      <c r="B720" s="7" t="s">
        <v>9</v>
      </c>
      <c r="C720" s="8">
        <v>1889</v>
      </c>
      <c r="D720" s="9">
        <v>45439</v>
      </c>
      <c r="E720" s="13" t="str">
        <f>+HYPERLINK("http://trademark.i-assist.jp/data/china/image_1889th/77090471.pdf","77090471")</f>
        <v>77090471</v>
      </c>
      <c r="F720" s="7" t="s">
        <v>2018</v>
      </c>
      <c r="G720" s="7" t="s">
        <v>2002</v>
      </c>
      <c r="H720" s="7" t="s">
        <v>2019</v>
      </c>
      <c r="I720" s="9">
        <v>45355</v>
      </c>
    </row>
    <row r="721" spans="1:9" ht="27" x14ac:dyDescent="0.15">
      <c r="A721" s="6">
        <v>720</v>
      </c>
      <c r="B721" s="7" t="s">
        <v>9</v>
      </c>
      <c r="C721" s="8">
        <v>1889</v>
      </c>
      <c r="D721" s="9">
        <v>45439</v>
      </c>
      <c r="E721" s="13" t="str">
        <f>+HYPERLINK("http://trademark.i-assist.jp/data/china/image_1889th/77091205.pdf","77091205")</f>
        <v>77091205</v>
      </c>
      <c r="F721" s="7" t="s">
        <v>2020</v>
      </c>
      <c r="G721" s="7" t="s">
        <v>2021</v>
      </c>
      <c r="H721" s="7" t="s">
        <v>2022</v>
      </c>
      <c r="I721" s="9">
        <v>45355</v>
      </c>
    </row>
    <row r="722" spans="1:9" x14ac:dyDescent="0.15">
      <c r="A722" s="6">
        <v>721</v>
      </c>
      <c r="B722" s="7" t="s">
        <v>9</v>
      </c>
      <c r="C722" s="8">
        <v>1889</v>
      </c>
      <c r="D722" s="9">
        <v>45439</v>
      </c>
      <c r="E722" s="13" t="str">
        <f>+HYPERLINK("http://trademark.i-assist.jp/data/china/image_1889th/77091460.pdf","77091460")</f>
        <v>77091460</v>
      </c>
      <c r="F722" s="7" t="s">
        <v>2023</v>
      </c>
      <c r="G722" s="7" t="s">
        <v>2024</v>
      </c>
      <c r="H722" s="7" t="s">
        <v>2025</v>
      </c>
      <c r="I722" s="9">
        <v>45355</v>
      </c>
    </row>
    <row r="723" spans="1:9" x14ac:dyDescent="0.15">
      <c r="A723" s="6">
        <v>722</v>
      </c>
      <c r="B723" s="7" t="s">
        <v>9</v>
      </c>
      <c r="C723" s="8">
        <v>1889</v>
      </c>
      <c r="D723" s="9">
        <v>45439</v>
      </c>
      <c r="E723" s="13" t="str">
        <f>+HYPERLINK("http://trademark.i-assist.jp/data/china/image_1889th/77091473.pdf","77091473")</f>
        <v>77091473</v>
      </c>
      <c r="F723" s="7" t="s">
        <v>2026</v>
      </c>
      <c r="G723" s="7" t="s">
        <v>2027</v>
      </c>
      <c r="H723" s="7" t="s">
        <v>2028</v>
      </c>
      <c r="I723" s="9">
        <v>45355</v>
      </c>
    </row>
    <row r="724" spans="1:9" x14ac:dyDescent="0.15">
      <c r="A724" s="6">
        <v>723</v>
      </c>
      <c r="B724" s="7" t="s">
        <v>9</v>
      </c>
      <c r="C724" s="8">
        <v>1889</v>
      </c>
      <c r="D724" s="9">
        <v>45439</v>
      </c>
      <c r="E724" s="13" t="str">
        <f>+HYPERLINK("http://trademark.i-assist.jp/data/china/image_1889th/77091690.pdf","77091690")</f>
        <v>77091690</v>
      </c>
      <c r="F724" s="7" t="s">
        <v>2029</v>
      </c>
      <c r="G724" s="7" t="s">
        <v>2030</v>
      </c>
      <c r="H724" s="7" t="s">
        <v>2031</v>
      </c>
      <c r="I724" s="9">
        <v>45355</v>
      </c>
    </row>
    <row r="725" spans="1:9" ht="27" x14ac:dyDescent="0.15">
      <c r="A725" s="6">
        <v>724</v>
      </c>
      <c r="B725" s="7" t="s">
        <v>9</v>
      </c>
      <c r="C725" s="8">
        <v>1889</v>
      </c>
      <c r="D725" s="9">
        <v>45439</v>
      </c>
      <c r="E725" s="13" t="str">
        <f>+HYPERLINK("http://trademark.i-assist.jp/data/china/image_1889th/77091693.pdf","77091693")</f>
        <v>77091693</v>
      </c>
      <c r="F725" s="7" t="s">
        <v>2032</v>
      </c>
      <c r="G725" s="7" t="s">
        <v>2033</v>
      </c>
      <c r="H725" s="7" t="s">
        <v>2034</v>
      </c>
      <c r="I725" s="9">
        <v>45355</v>
      </c>
    </row>
    <row r="726" spans="1:9" x14ac:dyDescent="0.15">
      <c r="A726" s="6">
        <v>725</v>
      </c>
      <c r="B726" s="7" t="s">
        <v>9</v>
      </c>
      <c r="C726" s="8">
        <v>1889</v>
      </c>
      <c r="D726" s="9">
        <v>45439</v>
      </c>
      <c r="E726" s="13" t="str">
        <f>+HYPERLINK("http://trademark.i-assist.jp/data/china/image_1889th/77091900.pdf","77091900")</f>
        <v>77091900</v>
      </c>
      <c r="F726" s="7" t="s">
        <v>2035</v>
      </c>
      <c r="G726" s="7" t="s">
        <v>1928</v>
      </c>
      <c r="H726" s="7" t="s">
        <v>2036</v>
      </c>
      <c r="I726" s="9">
        <v>45355</v>
      </c>
    </row>
    <row r="727" spans="1:9" x14ac:dyDescent="0.15">
      <c r="A727" s="6">
        <v>726</v>
      </c>
      <c r="B727" s="7" t="s">
        <v>9</v>
      </c>
      <c r="C727" s="8">
        <v>1889</v>
      </c>
      <c r="D727" s="9">
        <v>45439</v>
      </c>
      <c r="E727" s="13" t="str">
        <f>+HYPERLINK("http://trademark.i-assist.jp/data/china/image_1889th/77092327.pdf","77092327")</f>
        <v>77092327</v>
      </c>
      <c r="F727" s="7" t="s">
        <v>2037</v>
      </c>
      <c r="G727" s="7" t="s">
        <v>2038</v>
      </c>
      <c r="H727" s="7" t="s">
        <v>2039</v>
      </c>
      <c r="I727" s="9">
        <v>45355</v>
      </c>
    </row>
    <row r="728" spans="1:9" x14ac:dyDescent="0.15">
      <c r="A728" s="6">
        <v>727</v>
      </c>
      <c r="B728" s="7" t="s">
        <v>9</v>
      </c>
      <c r="C728" s="8">
        <v>1889</v>
      </c>
      <c r="D728" s="9">
        <v>45439</v>
      </c>
      <c r="E728" s="13" t="str">
        <f>+HYPERLINK("http://trademark.i-assist.jp/data/china/image_1889th/77092360.pdf","77092360")</f>
        <v>77092360</v>
      </c>
      <c r="F728" s="7" t="s">
        <v>2040</v>
      </c>
      <c r="G728" s="7" t="s">
        <v>2041</v>
      </c>
      <c r="H728" s="7" t="s">
        <v>2042</v>
      </c>
      <c r="I728" s="9">
        <v>45355</v>
      </c>
    </row>
    <row r="729" spans="1:9" x14ac:dyDescent="0.15">
      <c r="A729" s="6">
        <v>728</v>
      </c>
      <c r="B729" s="7" t="s">
        <v>9</v>
      </c>
      <c r="C729" s="8">
        <v>1889</v>
      </c>
      <c r="D729" s="9">
        <v>45439</v>
      </c>
      <c r="E729" s="13" t="str">
        <f>+HYPERLINK("http://trademark.i-assist.jp/data/china/image_1889th/77092770.pdf","77092770")</f>
        <v>77092770</v>
      </c>
      <c r="F729" s="7" t="s">
        <v>2043</v>
      </c>
      <c r="G729" s="7" t="s">
        <v>2044</v>
      </c>
      <c r="H729" s="7" t="s">
        <v>2045</v>
      </c>
      <c r="I729" s="9">
        <v>45355</v>
      </c>
    </row>
    <row r="730" spans="1:9" x14ac:dyDescent="0.15">
      <c r="A730" s="6">
        <v>729</v>
      </c>
      <c r="B730" s="7" t="s">
        <v>9</v>
      </c>
      <c r="C730" s="8">
        <v>1889</v>
      </c>
      <c r="D730" s="9">
        <v>45439</v>
      </c>
      <c r="E730" s="13" t="str">
        <f>+HYPERLINK("http://trademark.i-assist.jp/data/china/image_1889th/77093101.pdf","77093101")</f>
        <v>77093101</v>
      </c>
      <c r="F730" s="7" t="s">
        <v>2046</v>
      </c>
      <c r="G730" s="7" t="s">
        <v>2047</v>
      </c>
      <c r="H730" s="7" t="s">
        <v>2048</v>
      </c>
      <c r="I730" s="9">
        <v>45355</v>
      </c>
    </row>
    <row r="731" spans="1:9" x14ac:dyDescent="0.15">
      <c r="A731" s="6">
        <v>730</v>
      </c>
      <c r="B731" s="7" t="s">
        <v>9</v>
      </c>
      <c r="C731" s="8">
        <v>1889</v>
      </c>
      <c r="D731" s="9">
        <v>45439</v>
      </c>
      <c r="E731" s="13" t="str">
        <f>+HYPERLINK("http://trademark.i-assist.jp/data/china/image_1889th/77093358.pdf","77093358")</f>
        <v>77093358</v>
      </c>
      <c r="F731" s="7" t="s">
        <v>2049</v>
      </c>
      <c r="G731" s="7" t="s">
        <v>2050</v>
      </c>
      <c r="H731" s="7" t="s">
        <v>2051</v>
      </c>
      <c r="I731" s="9">
        <v>45355</v>
      </c>
    </row>
    <row r="732" spans="1:9" x14ac:dyDescent="0.15">
      <c r="A732" s="6">
        <v>731</v>
      </c>
      <c r="B732" s="7" t="s">
        <v>9</v>
      </c>
      <c r="C732" s="8">
        <v>1889</v>
      </c>
      <c r="D732" s="9">
        <v>45439</v>
      </c>
      <c r="E732" s="13" t="str">
        <f>+HYPERLINK("http://trademark.i-assist.jp/data/china/image_1889th/77093735.pdf","77093735")</f>
        <v>77093735</v>
      </c>
      <c r="F732" s="7" t="s">
        <v>2052</v>
      </c>
      <c r="G732" s="7" t="s">
        <v>2024</v>
      </c>
      <c r="H732" s="7" t="s">
        <v>2053</v>
      </c>
      <c r="I732" s="9">
        <v>45355</v>
      </c>
    </row>
    <row r="733" spans="1:9" x14ac:dyDescent="0.15">
      <c r="A733" s="6">
        <v>732</v>
      </c>
      <c r="B733" s="7" t="s">
        <v>9</v>
      </c>
      <c r="C733" s="8">
        <v>1889</v>
      </c>
      <c r="D733" s="9">
        <v>45439</v>
      </c>
      <c r="E733" s="13" t="str">
        <f>+HYPERLINK("http://trademark.i-assist.jp/data/china/image_1889th/77093864.pdf","77093864")</f>
        <v>77093864</v>
      </c>
      <c r="F733" s="7" t="s">
        <v>2054</v>
      </c>
      <c r="G733" s="7" t="s">
        <v>2055</v>
      </c>
      <c r="H733" s="7" t="s">
        <v>2056</v>
      </c>
      <c r="I733" s="9">
        <v>45355</v>
      </c>
    </row>
    <row r="734" spans="1:9" x14ac:dyDescent="0.15">
      <c r="A734" s="6">
        <v>733</v>
      </c>
      <c r="B734" s="7" t="s">
        <v>9</v>
      </c>
      <c r="C734" s="8">
        <v>1889</v>
      </c>
      <c r="D734" s="9">
        <v>45439</v>
      </c>
      <c r="E734" s="13" t="str">
        <f>+HYPERLINK("http://trademark.i-assist.jp/data/china/image_1889th/77093867.pdf","77093867")</f>
        <v>77093867</v>
      </c>
      <c r="F734" s="7" t="s">
        <v>2057</v>
      </c>
      <c r="G734" s="7" t="s">
        <v>2058</v>
      </c>
      <c r="H734" s="7" t="s">
        <v>2059</v>
      </c>
      <c r="I734" s="9">
        <v>45355</v>
      </c>
    </row>
    <row r="735" spans="1:9" x14ac:dyDescent="0.15">
      <c r="A735" s="6">
        <v>734</v>
      </c>
      <c r="B735" s="7" t="s">
        <v>9</v>
      </c>
      <c r="C735" s="8">
        <v>1889</v>
      </c>
      <c r="D735" s="9">
        <v>45439</v>
      </c>
      <c r="E735" s="13" t="str">
        <f>+HYPERLINK("http://trademark.i-assist.jp/data/china/image_1889th/77093891.pdf","77093891")</f>
        <v>77093891</v>
      </c>
      <c r="F735" s="7" t="s">
        <v>2060</v>
      </c>
      <c r="G735" s="7" t="s">
        <v>1853</v>
      </c>
      <c r="H735" s="7" t="s">
        <v>2061</v>
      </c>
      <c r="I735" s="9">
        <v>45355</v>
      </c>
    </row>
    <row r="736" spans="1:9" x14ac:dyDescent="0.15">
      <c r="A736" s="6">
        <v>735</v>
      </c>
      <c r="B736" s="7" t="s">
        <v>9</v>
      </c>
      <c r="C736" s="8">
        <v>1889</v>
      </c>
      <c r="D736" s="9">
        <v>45439</v>
      </c>
      <c r="E736" s="13" t="str">
        <f>+HYPERLINK("http://trademark.i-assist.jp/data/china/image_1889th/77094311.pdf","77094311")</f>
        <v>77094311</v>
      </c>
      <c r="F736" s="7" t="s">
        <v>2062</v>
      </c>
      <c r="G736" s="7" t="s">
        <v>2063</v>
      </c>
      <c r="H736" s="7" t="s">
        <v>2064</v>
      </c>
      <c r="I736" s="9">
        <v>45355</v>
      </c>
    </row>
    <row r="737" spans="1:9" x14ac:dyDescent="0.15">
      <c r="A737" s="6">
        <v>736</v>
      </c>
      <c r="B737" s="7" t="s">
        <v>9</v>
      </c>
      <c r="C737" s="8">
        <v>1889</v>
      </c>
      <c r="D737" s="9">
        <v>45439</v>
      </c>
      <c r="E737" s="13" t="str">
        <f>+HYPERLINK("http://trademark.i-assist.jp/data/china/image_1889th/77094653.pdf","77094653")</f>
        <v>77094653</v>
      </c>
      <c r="F737" s="7" t="s">
        <v>2065</v>
      </c>
      <c r="G737" s="7" t="s">
        <v>2066</v>
      </c>
      <c r="H737" s="7" t="s">
        <v>2067</v>
      </c>
      <c r="I737" s="9">
        <v>45355</v>
      </c>
    </row>
    <row r="738" spans="1:9" ht="27" x14ac:dyDescent="0.15">
      <c r="A738" s="6">
        <v>737</v>
      </c>
      <c r="B738" s="7" t="s">
        <v>9</v>
      </c>
      <c r="C738" s="8">
        <v>1889</v>
      </c>
      <c r="D738" s="9">
        <v>45439</v>
      </c>
      <c r="E738" s="13" t="str">
        <f>+HYPERLINK("http://trademark.i-assist.jp/data/china/image_1889th/77094868.pdf","77094868")</f>
        <v>77094868</v>
      </c>
      <c r="F738" s="7" t="s">
        <v>2068</v>
      </c>
      <c r="G738" s="7" t="s">
        <v>2069</v>
      </c>
      <c r="H738" s="7" t="s">
        <v>2070</v>
      </c>
      <c r="I738" s="9">
        <v>45355</v>
      </c>
    </row>
    <row r="739" spans="1:9" x14ac:dyDescent="0.15">
      <c r="A739" s="6">
        <v>738</v>
      </c>
      <c r="B739" s="7" t="s">
        <v>9</v>
      </c>
      <c r="C739" s="8">
        <v>1889</v>
      </c>
      <c r="D739" s="9">
        <v>45439</v>
      </c>
      <c r="E739" s="13" t="str">
        <f>+HYPERLINK("http://trademark.i-assist.jp/data/china/image_1889th/77094900.pdf","77094900")</f>
        <v>77094900</v>
      </c>
      <c r="F739" s="7" t="s">
        <v>2071</v>
      </c>
      <c r="G739" s="7" t="s">
        <v>2072</v>
      </c>
      <c r="H739" s="7" t="s">
        <v>2073</v>
      </c>
      <c r="I739" s="9">
        <v>45355</v>
      </c>
    </row>
    <row r="740" spans="1:9" x14ac:dyDescent="0.15">
      <c r="A740" s="6">
        <v>739</v>
      </c>
      <c r="B740" s="7" t="s">
        <v>9</v>
      </c>
      <c r="C740" s="8">
        <v>1889</v>
      </c>
      <c r="D740" s="9">
        <v>45439</v>
      </c>
      <c r="E740" s="13" t="str">
        <f>+HYPERLINK("http://trademark.i-assist.jp/data/china/image_1889th/77095107.pdf","77095107")</f>
        <v>77095107</v>
      </c>
      <c r="F740" s="7" t="s">
        <v>2074</v>
      </c>
      <c r="G740" s="7" t="s">
        <v>2075</v>
      </c>
      <c r="H740" s="7" t="s">
        <v>2076</v>
      </c>
      <c r="I740" s="9">
        <v>45355</v>
      </c>
    </row>
    <row r="741" spans="1:9" x14ac:dyDescent="0.15">
      <c r="A741" s="6">
        <v>740</v>
      </c>
      <c r="B741" s="7" t="s">
        <v>9</v>
      </c>
      <c r="C741" s="8">
        <v>1889</v>
      </c>
      <c r="D741" s="9">
        <v>45439</v>
      </c>
      <c r="E741" s="13" t="str">
        <f>+HYPERLINK("http://trademark.i-assist.jp/data/china/image_1889th/77095141.pdf","77095141")</f>
        <v>77095141</v>
      </c>
      <c r="F741" s="7" t="s">
        <v>2077</v>
      </c>
      <c r="G741" s="7" t="s">
        <v>1853</v>
      </c>
      <c r="H741" s="7" t="s">
        <v>2078</v>
      </c>
      <c r="I741" s="9">
        <v>45355</v>
      </c>
    </row>
    <row r="742" spans="1:9" x14ac:dyDescent="0.15">
      <c r="A742" s="6">
        <v>741</v>
      </c>
      <c r="B742" s="7" t="s">
        <v>9</v>
      </c>
      <c r="C742" s="8">
        <v>1889</v>
      </c>
      <c r="D742" s="9">
        <v>45439</v>
      </c>
      <c r="E742" s="13" t="str">
        <f>+HYPERLINK("http://trademark.i-assist.jp/data/china/image_1889th/77095214.pdf","77095214")</f>
        <v>77095214</v>
      </c>
      <c r="F742" s="7" t="s">
        <v>2079</v>
      </c>
      <c r="G742" s="7" t="s">
        <v>1853</v>
      </c>
      <c r="H742" s="7" t="s">
        <v>2080</v>
      </c>
      <c r="I742" s="9">
        <v>45355</v>
      </c>
    </row>
    <row r="743" spans="1:9" x14ac:dyDescent="0.15">
      <c r="A743" s="6">
        <v>742</v>
      </c>
      <c r="B743" s="7" t="s">
        <v>9</v>
      </c>
      <c r="C743" s="8">
        <v>1889</v>
      </c>
      <c r="D743" s="9">
        <v>45439</v>
      </c>
      <c r="E743" s="13" t="str">
        <f>+HYPERLINK("http://trademark.i-assist.jp/data/china/image_1889th/77095223.pdf","77095223")</f>
        <v>77095223</v>
      </c>
      <c r="F743" s="7" t="s">
        <v>134</v>
      </c>
      <c r="G743" s="7" t="s">
        <v>2081</v>
      </c>
      <c r="H743" s="7" t="s">
        <v>2082</v>
      </c>
      <c r="I743" s="9">
        <v>45355</v>
      </c>
    </row>
    <row r="744" spans="1:9" x14ac:dyDescent="0.15">
      <c r="A744" s="6">
        <v>743</v>
      </c>
      <c r="B744" s="7" t="s">
        <v>9</v>
      </c>
      <c r="C744" s="8">
        <v>1889</v>
      </c>
      <c r="D744" s="9">
        <v>45439</v>
      </c>
      <c r="E744" s="13" t="str">
        <f>+HYPERLINK("http://trademark.i-assist.jp/data/china/image_1889th/77095939.pdf","77095939")</f>
        <v>77095939</v>
      </c>
      <c r="F744" s="7" t="s">
        <v>2083</v>
      </c>
      <c r="G744" s="7" t="s">
        <v>2084</v>
      </c>
      <c r="H744" s="7" t="s">
        <v>2085</v>
      </c>
      <c r="I744" s="9">
        <v>45355</v>
      </c>
    </row>
    <row r="745" spans="1:9" x14ac:dyDescent="0.15">
      <c r="A745" s="6">
        <v>744</v>
      </c>
      <c r="B745" s="7" t="s">
        <v>9</v>
      </c>
      <c r="C745" s="8">
        <v>1889</v>
      </c>
      <c r="D745" s="9">
        <v>45439</v>
      </c>
      <c r="E745" s="13" t="str">
        <f>+HYPERLINK("http://trademark.i-assist.jp/data/china/image_1889th/77095953.pdf","77095953")</f>
        <v>77095953</v>
      </c>
      <c r="F745" s="7" t="s">
        <v>2086</v>
      </c>
      <c r="G745" s="7" t="s">
        <v>2087</v>
      </c>
      <c r="H745" s="7" t="s">
        <v>2088</v>
      </c>
      <c r="I745" s="9">
        <v>45355</v>
      </c>
    </row>
    <row r="746" spans="1:9" x14ac:dyDescent="0.15">
      <c r="A746" s="6">
        <v>745</v>
      </c>
      <c r="B746" s="7" t="s">
        <v>9</v>
      </c>
      <c r="C746" s="8">
        <v>1889</v>
      </c>
      <c r="D746" s="9">
        <v>45439</v>
      </c>
      <c r="E746" s="13" t="str">
        <f>+HYPERLINK("http://trademark.i-assist.jp/data/china/image_1889th/77096338.pdf","77096338")</f>
        <v>77096338</v>
      </c>
      <c r="F746" s="7" t="s">
        <v>2089</v>
      </c>
      <c r="G746" s="7" t="s">
        <v>2090</v>
      </c>
      <c r="H746" s="7" t="s">
        <v>2091</v>
      </c>
      <c r="I746" s="9">
        <v>45355</v>
      </c>
    </row>
    <row r="747" spans="1:9" x14ac:dyDescent="0.15">
      <c r="A747" s="6">
        <v>746</v>
      </c>
      <c r="B747" s="7" t="s">
        <v>9</v>
      </c>
      <c r="C747" s="8">
        <v>1889</v>
      </c>
      <c r="D747" s="9">
        <v>45439</v>
      </c>
      <c r="E747" s="13" t="str">
        <f>+HYPERLINK("http://trademark.i-assist.jp/data/china/image_1889th/77096459.pdf","77096459")</f>
        <v>77096459</v>
      </c>
      <c r="F747" s="7" t="s">
        <v>2092</v>
      </c>
      <c r="G747" s="7" t="s">
        <v>1853</v>
      </c>
      <c r="H747" s="7" t="s">
        <v>2093</v>
      </c>
      <c r="I747" s="9">
        <v>45355</v>
      </c>
    </row>
    <row r="748" spans="1:9" x14ac:dyDescent="0.15">
      <c r="A748" s="6">
        <v>747</v>
      </c>
      <c r="B748" s="7" t="s">
        <v>9</v>
      </c>
      <c r="C748" s="8">
        <v>1889</v>
      </c>
      <c r="D748" s="9">
        <v>45439</v>
      </c>
      <c r="E748" s="13" t="str">
        <f>+HYPERLINK("http://trademark.i-assist.jp/data/china/image_1889th/77097205.pdf","77097205")</f>
        <v>77097205</v>
      </c>
      <c r="F748" s="7" t="s">
        <v>2094</v>
      </c>
      <c r="G748" s="7" t="s">
        <v>2095</v>
      </c>
      <c r="H748" s="7" t="s">
        <v>2096</v>
      </c>
      <c r="I748" s="9">
        <v>45355</v>
      </c>
    </row>
    <row r="749" spans="1:9" ht="27" x14ac:dyDescent="0.15">
      <c r="A749" s="6">
        <v>748</v>
      </c>
      <c r="B749" s="7" t="s">
        <v>9</v>
      </c>
      <c r="C749" s="8">
        <v>1889</v>
      </c>
      <c r="D749" s="9">
        <v>45439</v>
      </c>
      <c r="E749" s="13" t="str">
        <f>+HYPERLINK("http://trademark.i-assist.jp/data/china/image_1889th/77097235.pdf","77097235")</f>
        <v>77097235</v>
      </c>
      <c r="F749" s="7" t="s">
        <v>2097</v>
      </c>
      <c r="G749" s="7" t="s">
        <v>2002</v>
      </c>
      <c r="H749" s="7" t="s">
        <v>2098</v>
      </c>
      <c r="I749" s="9">
        <v>45355</v>
      </c>
    </row>
    <row r="750" spans="1:9" x14ac:dyDescent="0.15">
      <c r="A750" s="6">
        <v>749</v>
      </c>
      <c r="B750" s="7" t="s">
        <v>9</v>
      </c>
      <c r="C750" s="8">
        <v>1889</v>
      </c>
      <c r="D750" s="9">
        <v>45439</v>
      </c>
      <c r="E750" s="13" t="str">
        <f>+HYPERLINK("http://trademark.i-assist.jp/data/china/image_1889th/77098400.pdf","77098400")</f>
        <v>77098400</v>
      </c>
      <c r="F750" s="7" t="s">
        <v>2099</v>
      </c>
      <c r="G750" s="7" t="s">
        <v>2100</v>
      </c>
      <c r="H750" s="7" t="s">
        <v>2101</v>
      </c>
      <c r="I750" s="9">
        <v>45356</v>
      </c>
    </row>
    <row r="751" spans="1:9" x14ac:dyDescent="0.15">
      <c r="A751" s="6">
        <v>750</v>
      </c>
      <c r="B751" s="7" t="s">
        <v>9</v>
      </c>
      <c r="C751" s="8">
        <v>1889</v>
      </c>
      <c r="D751" s="9">
        <v>45439</v>
      </c>
      <c r="E751" s="13" t="str">
        <f>+HYPERLINK("http://trademark.i-assist.jp/data/china/image_1889th/77098460.pdf","77098460")</f>
        <v>77098460</v>
      </c>
      <c r="F751" s="7" t="s">
        <v>2102</v>
      </c>
      <c r="G751" s="7" t="s">
        <v>2103</v>
      </c>
      <c r="H751" s="7" t="s">
        <v>2104</v>
      </c>
      <c r="I751" s="9">
        <v>45356</v>
      </c>
    </row>
    <row r="752" spans="1:9" ht="27" x14ac:dyDescent="0.15">
      <c r="A752" s="6">
        <v>751</v>
      </c>
      <c r="B752" s="7" t="s">
        <v>9</v>
      </c>
      <c r="C752" s="8">
        <v>1889</v>
      </c>
      <c r="D752" s="9">
        <v>45439</v>
      </c>
      <c r="E752" s="13" t="str">
        <f>+HYPERLINK("http://trademark.i-assist.jp/data/china/image_1889th/77098664.pdf","77098664")</f>
        <v>77098664</v>
      </c>
      <c r="F752" s="7" t="s">
        <v>2105</v>
      </c>
      <c r="G752" s="7" t="s">
        <v>2106</v>
      </c>
      <c r="H752" s="7" t="s">
        <v>2107</v>
      </c>
      <c r="I752" s="9">
        <v>45356</v>
      </c>
    </row>
    <row r="753" spans="1:9" x14ac:dyDescent="0.15">
      <c r="A753" s="6">
        <v>752</v>
      </c>
      <c r="B753" s="7" t="s">
        <v>9</v>
      </c>
      <c r="C753" s="8">
        <v>1889</v>
      </c>
      <c r="D753" s="9">
        <v>45439</v>
      </c>
      <c r="E753" s="13" t="str">
        <f>+HYPERLINK("http://trademark.i-assist.jp/data/china/image_1889th/77098841.pdf","77098841")</f>
        <v>77098841</v>
      </c>
      <c r="F753" s="7" t="s">
        <v>2108</v>
      </c>
      <c r="G753" s="7" t="s">
        <v>2109</v>
      </c>
      <c r="H753" s="7" t="s">
        <v>2110</v>
      </c>
      <c r="I753" s="9">
        <v>45356</v>
      </c>
    </row>
    <row r="754" spans="1:9" x14ac:dyDescent="0.15">
      <c r="A754" s="6">
        <v>753</v>
      </c>
      <c r="B754" s="7" t="s">
        <v>9</v>
      </c>
      <c r="C754" s="8">
        <v>1889</v>
      </c>
      <c r="D754" s="9">
        <v>45439</v>
      </c>
      <c r="E754" s="13" t="str">
        <f>+HYPERLINK("http://trademark.i-assist.jp/data/china/image_1889th/77099119.pdf","77099119")</f>
        <v>77099119</v>
      </c>
      <c r="F754" s="7" t="s">
        <v>2111</v>
      </c>
      <c r="G754" s="7" t="s">
        <v>2112</v>
      </c>
      <c r="H754" s="7" t="s">
        <v>2113</v>
      </c>
      <c r="I754" s="9">
        <v>45356</v>
      </c>
    </row>
    <row r="755" spans="1:9" x14ac:dyDescent="0.15">
      <c r="A755" s="6">
        <v>754</v>
      </c>
      <c r="B755" s="7" t="s">
        <v>9</v>
      </c>
      <c r="C755" s="8">
        <v>1889</v>
      </c>
      <c r="D755" s="9">
        <v>45439</v>
      </c>
      <c r="E755" s="13" t="str">
        <f>+HYPERLINK("http://trademark.i-assist.jp/data/china/image_1889th/77099163.pdf","77099163")</f>
        <v>77099163</v>
      </c>
      <c r="F755" s="7" t="s">
        <v>2114</v>
      </c>
      <c r="G755" s="7" t="s">
        <v>2115</v>
      </c>
      <c r="H755" s="7" t="s">
        <v>2116</v>
      </c>
      <c r="I755" s="9">
        <v>45356</v>
      </c>
    </row>
    <row r="756" spans="1:9" x14ac:dyDescent="0.15">
      <c r="A756" s="6">
        <v>755</v>
      </c>
      <c r="B756" s="7" t="s">
        <v>9</v>
      </c>
      <c r="C756" s="8">
        <v>1889</v>
      </c>
      <c r="D756" s="9">
        <v>45439</v>
      </c>
      <c r="E756" s="13" t="str">
        <f>+HYPERLINK("http://trademark.i-assist.jp/data/china/image_1889th/77100042.pdf","77100042")</f>
        <v>77100042</v>
      </c>
      <c r="F756" s="7" t="s">
        <v>2117</v>
      </c>
      <c r="G756" s="7" t="s">
        <v>2118</v>
      </c>
      <c r="H756" s="7" t="s">
        <v>2119</v>
      </c>
      <c r="I756" s="9">
        <v>45356</v>
      </c>
    </row>
    <row r="757" spans="1:9" x14ac:dyDescent="0.15">
      <c r="A757" s="6">
        <v>756</v>
      </c>
      <c r="B757" s="7" t="s">
        <v>9</v>
      </c>
      <c r="C757" s="8">
        <v>1889</v>
      </c>
      <c r="D757" s="9">
        <v>45439</v>
      </c>
      <c r="E757" s="13" t="str">
        <f>+HYPERLINK("http://trademark.i-assist.jp/data/china/image_1889th/77100097.pdf","77100097")</f>
        <v>77100097</v>
      </c>
      <c r="F757" s="7" t="s">
        <v>2120</v>
      </c>
      <c r="G757" s="7" t="s">
        <v>2121</v>
      </c>
      <c r="H757" s="7" t="s">
        <v>2122</v>
      </c>
      <c r="I757" s="9">
        <v>45356</v>
      </c>
    </row>
    <row r="758" spans="1:9" x14ac:dyDescent="0.15">
      <c r="A758" s="6">
        <v>757</v>
      </c>
      <c r="B758" s="7" t="s">
        <v>9</v>
      </c>
      <c r="C758" s="8">
        <v>1889</v>
      </c>
      <c r="D758" s="9">
        <v>45439</v>
      </c>
      <c r="E758" s="13" t="str">
        <f>+HYPERLINK("http://trademark.i-assist.jp/data/china/image_1889th/77100453.pdf","77100453")</f>
        <v>77100453</v>
      </c>
      <c r="F758" s="7" t="s">
        <v>2123</v>
      </c>
      <c r="G758" s="7" t="s">
        <v>2124</v>
      </c>
      <c r="H758" s="7" t="s">
        <v>2125</v>
      </c>
      <c r="I758" s="9">
        <v>45356</v>
      </c>
    </row>
    <row r="759" spans="1:9" ht="27" x14ac:dyDescent="0.15">
      <c r="A759" s="6">
        <v>758</v>
      </c>
      <c r="B759" s="7" t="s">
        <v>9</v>
      </c>
      <c r="C759" s="8">
        <v>1889</v>
      </c>
      <c r="D759" s="9">
        <v>45439</v>
      </c>
      <c r="E759" s="13" t="str">
        <f>+HYPERLINK("http://trademark.i-assist.jp/data/china/image_1889th/77100674.pdf","77100674")</f>
        <v>77100674</v>
      </c>
      <c r="F759" s="7" t="s">
        <v>2126</v>
      </c>
      <c r="G759" s="7" t="s">
        <v>2127</v>
      </c>
      <c r="H759" s="7" t="s">
        <v>2128</v>
      </c>
      <c r="I759" s="9">
        <v>45356</v>
      </c>
    </row>
    <row r="760" spans="1:9" x14ac:dyDescent="0.15">
      <c r="A760" s="6">
        <v>759</v>
      </c>
      <c r="B760" s="7" t="s">
        <v>9</v>
      </c>
      <c r="C760" s="8">
        <v>1889</v>
      </c>
      <c r="D760" s="9">
        <v>45439</v>
      </c>
      <c r="E760" s="13" t="str">
        <f>+HYPERLINK("http://trademark.i-assist.jp/data/china/image_1889th/77100684.pdf","77100684")</f>
        <v>77100684</v>
      </c>
      <c r="F760" s="7" t="s">
        <v>2129</v>
      </c>
      <c r="G760" s="7" t="s">
        <v>2130</v>
      </c>
      <c r="H760" s="7" t="s">
        <v>2131</v>
      </c>
      <c r="I760" s="9">
        <v>45356</v>
      </c>
    </row>
    <row r="761" spans="1:9" x14ac:dyDescent="0.15">
      <c r="A761" s="6">
        <v>760</v>
      </c>
      <c r="B761" s="7" t="s">
        <v>9</v>
      </c>
      <c r="C761" s="8">
        <v>1889</v>
      </c>
      <c r="D761" s="9">
        <v>45439</v>
      </c>
      <c r="E761" s="13" t="str">
        <f>+HYPERLINK("http://trademark.i-assist.jp/data/china/image_1889th/77100689.pdf","77100689")</f>
        <v>77100689</v>
      </c>
      <c r="F761" s="7" t="s">
        <v>2132</v>
      </c>
      <c r="G761" s="7" t="s">
        <v>2133</v>
      </c>
      <c r="H761" s="7" t="s">
        <v>2134</v>
      </c>
      <c r="I761" s="9">
        <v>45356</v>
      </c>
    </row>
    <row r="762" spans="1:9" ht="27" x14ac:dyDescent="0.15">
      <c r="A762" s="6">
        <v>761</v>
      </c>
      <c r="B762" s="7" t="s">
        <v>9</v>
      </c>
      <c r="C762" s="8">
        <v>1889</v>
      </c>
      <c r="D762" s="9">
        <v>45439</v>
      </c>
      <c r="E762" s="13" t="str">
        <f>+HYPERLINK("http://trademark.i-assist.jp/data/china/image_1889th/77100720.pdf","77100720")</f>
        <v>77100720</v>
      </c>
      <c r="F762" s="7" t="s">
        <v>2135</v>
      </c>
      <c r="G762" s="7" t="s">
        <v>2136</v>
      </c>
      <c r="H762" s="7" t="s">
        <v>2137</v>
      </c>
      <c r="I762" s="9">
        <v>45356</v>
      </c>
    </row>
    <row r="763" spans="1:9" x14ac:dyDescent="0.15">
      <c r="A763" s="6">
        <v>762</v>
      </c>
      <c r="B763" s="7" t="s">
        <v>9</v>
      </c>
      <c r="C763" s="8">
        <v>1889</v>
      </c>
      <c r="D763" s="9">
        <v>45439</v>
      </c>
      <c r="E763" s="13" t="str">
        <f>+HYPERLINK("http://trademark.i-assist.jp/data/china/image_1889th/77100766.pdf","77100766")</f>
        <v>77100766</v>
      </c>
      <c r="F763" s="7" t="s">
        <v>2138</v>
      </c>
      <c r="G763" s="7" t="s">
        <v>2139</v>
      </c>
      <c r="H763" s="7" t="s">
        <v>2140</v>
      </c>
      <c r="I763" s="9">
        <v>45356</v>
      </c>
    </row>
    <row r="764" spans="1:9" x14ac:dyDescent="0.15">
      <c r="A764" s="6">
        <v>763</v>
      </c>
      <c r="B764" s="7" t="s">
        <v>9</v>
      </c>
      <c r="C764" s="8">
        <v>1889</v>
      </c>
      <c r="D764" s="9">
        <v>45439</v>
      </c>
      <c r="E764" s="13" t="str">
        <f>+HYPERLINK("http://trademark.i-assist.jp/data/china/image_1889th/77101966.pdf","77101966")</f>
        <v>77101966</v>
      </c>
      <c r="F764" s="7" t="s">
        <v>2141</v>
      </c>
      <c r="G764" s="7" t="s">
        <v>2142</v>
      </c>
      <c r="H764" s="7" t="s">
        <v>2143</v>
      </c>
      <c r="I764" s="9">
        <v>45356</v>
      </c>
    </row>
    <row r="765" spans="1:9" x14ac:dyDescent="0.15">
      <c r="A765" s="6">
        <v>764</v>
      </c>
      <c r="B765" s="7" t="s">
        <v>9</v>
      </c>
      <c r="C765" s="8">
        <v>1889</v>
      </c>
      <c r="D765" s="9">
        <v>45439</v>
      </c>
      <c r="E765" s="13" t="str">
        <f>+HYPERLINK("http://trademark.i-assist.jp/data/china/image_1889th/77102880.pdf","77102880")</f>
        <v>77102880</v>
      </c>
      <c r="F765" s="7" t="s">
        <v>2144</v>
      </c>
      <c r="G765" s="7" t="s">
        <v>2145</v>
      </c>
      <c r="H765" s="7" t="s">
        <v>2146</v>
      </c>
      <c r="I765" s="9">
        <v>45356</v>
      </c>
    </row>
    <row r="766" spans="1:9" x14ac:dyDescent="0.15">
      <c r="A766" s="6">
        <v>765</v>
      </c>
      <c r="B766" s="7" t="s">
        <v>9</v>
      </c>
      <c r="C766" s="8">
        <v>1889</v>
      </c>
      <c r="D766" s="9">
        <v>45439</v>
      </c>
      <c r="E766" s="13" t="str">
        <f>+HYPERLINK("http://trademark.i-assist.jp/data/china/image_1889th/77102901.pdf","77102901")</f>
        <v>77102901</v>
      </c>
      <c r="F766" s="7" t="s">
        <v>2147</v>
      </c>
      <c r="G766" s="7" t="s">
        <v>2148</v>
      </c>
      <c r="H766" s="7" t="s">
        <v>2149</v>
      </c>
      <c r="I766" s="9">
        <v>45356</v>
      </c>
    </row>
    <row r="767" spans="1:9" x14ac:dyDescent="0.15">
      <c r="A767" s="6">
        <v>766</v>
      </c>
      <c r="B767" s="7" t="s">
        <v>9</v>
      </c>
      <c r="C767" s="8">
        <v>1889</v>
      </c>
      <c r="D767" s="9">
        <v>45439</v>
      </c>
      <c r="E767" s="13" t="str">
        <f>+HYPERLINK("http://trademark.i-assist.jp/data/china/image_1889th/77102966.pdf","77102966")</f>
        <v>77102966</v>
      </c>
      <c r="F767" s="7" t="s">
        <v>134</v>
      </c>
      <c r="G767" s="7" t="s">
        <v>2150</v>
      </c>
      <c r="H767" s="7" t="s">
        <v>2151</v>
      </c>
      <c r="I767" s="9">
        <v>45356</v>
      </c>
    </row>
    <row r="768" spans="1:9" ht="27" x14ac:dyDescent="0.15">
      <c r="A768" s="6">
        <v>767</v>
      </c>
      <c r="B768" s="7" t="s">
        <v>9</v>
      </c>
      <c r="C768" s="8">
        <v>1889</v>
      </c>
      <c r="D768" s="9">
        <v>45439</v>
      </c>
      <c r="E768" s="13" t="str">
        <f>+HYPERLINK("http://trademark.i-assist.jp/data/china/image_1889th/77104043.pdf","77104043")</f>
        <v>77104043</v>
      </c>
      <c r="F768" s="7" t="s">
        <v>2152</v>
      </c>
      <c r="G768" s="7" t="s">
        <v>2136</v>
      </c>
      <c r="H768" s="7" t="s">
        <v>2153</v>
      </c>
      <c r="I768" s="9">
        <v>45356</v>
      </c>
    </row>
    <row r="769" spans="1:9" x14ac:dyDescent="0.15">
      <c r="A769" s="6">
        <v>768</v>
      </c>
      <c r="B769" s="7" t="s">
        <v>9</v>
      </c>
      <c r="C769" s="8">
        <v>1889</v>
      </c>
      <c r="D769" s="9">
        <v>45439</v>
      </c>
      <c r="E769" s="13" t="str">
        <f>+HYPERLINK("http://trademark.i-assist.jp/data/china/image_1889th/77104099.pdf","77104099")</f>
        <v>77104099</v>
      </c>
      <c r="F769" s="7" t="s">
        <v>2154</v>
      </c>
      <c r="G769" s="7" t="s">
        <v>2155</v>
      </c>
      <c r="H769" s="7" t="s">
        <v>2156</v>
      </c>
      <c r="I769" s="9">
        <v>45356</v>
      </c>
    </row>
    <row r="770" spans="1:9" x14ac:dyDescent="0.15">
      <c r="A770" s="6">
        <v>769</v>
      </c>
      <c r="B770" s="7" t="s">
        <v>9</v>
      </c>
      <c r="C770" s="8">
        <v>1889</v>
      </c>
      <c r="D770" s="9">
        <v>45439</v>
      </c>
      <c r="E770" s="13" t="str">
        <f>+HYPERLINK("http://trademark.i-assist.jp/data/china/image_1889th/77104265.pdf","77104265")</f>
        <v>77104265</v>
      </c>
      <c r="F770" s="7" t="s">
        <v>2157</v>
      </c>
      <c r="G770" s="7" t="s">
        <v>2158</v>
      </c>
      <c r="H770" s="7" t="s">
        <v>2159</v>
      </c>
      <c r="I770" s="9">
        <v>45356</v>
      </c>
    </row>
    <row r="771" spans="1:9" x14ac:dyDescent="0.15">
      <c r="A771" s="6">
        <v>770</v>
      </c>
      <c r="B771" s="7" t="s">
        <v>9</v>
      </c>
      <c r="C771" s="8">
        <v>1889</v>
      </c>
      <c r="D771" s="9">
        <v>45439</v>
      </c>
      <c r="E771" s="13" t="str">
        <f>+HYPERLINK("http://trademark.i-assist.jp/data/china/image_1889th/77104433.pdf","77104433")</f>
        <v>77104433</v>
      </c>
      <c r="F771" s="7" t="s">
        <v>2160</v>
      </c>
      <c r="G771" s="7" t="s">
        <v>2161</v>
      </c>
      <c r="H771" s="7" t="s">
        <v>2162</v>
      </c>
      <c r="I771" s="9">
        <v>45356</v>
      </c>
    </row>
    <row r="772" spans="1:9" x14ac:dyDescent="0.15">
      <c r="A772" s="6">
        <v>771</v>
      </c>
      <c r="B772" s="7" t="s">
        <v>9</v>
      </c>
      <c r="C772" s="8">
        <v>1889</v>
      </c>
      <c r="D772" s="9">
        <v>45439</v>
      </c>
      <c r="E772" s="13" t="str">
        <f>+HYPERLINK("http://trademark.i-assist.jp/data/china/image_1889th/77105049.pdf","77105049")</f>
        <v>77105049</v>
      </c>
      <c r="F772" s="7" t="s">
        <v>2163</v>
      </c>
      <c r="G772" s="7" t="s">
        <v>2164</v>
      </c>
      <c r="H772" s="7" t="s">
        <v>2165</v>
      </c>
      <c r="I772" s="9">
        <v>45356</v>
      </c>
    </row>
    <row r="773" spans="1:9" x14ac:dyDescent="0.15">
      <c r="A773" s="6">
        <v>772</v>
      </c>
      <c r="B773" s="7" t="s">
        <v>9</v>
      </c>
      <c r="C773" s="8">
        <v>1889</v>
      </c>
      <c r="D773" s="9">
        <v>45439</v>
      </c>
      <c r="E773" s="13" t="str">
        <f>+HYPERLINK("http://trademark.i-assist.jp/data/china/image_1889th/77105085.pdf","77105085")</f>
        <v>77105085</v>
      </c>
      <c r="F773" s="7" t="s">
        <v>2166</v>
      </c>
      <c r="G773" s="7" t="s">
        <v>2167</v>
      </c>
      <c r="H773" s="7" t="s">
        <v>2168</v>
      </c>
      <c r="I773" s="9">
        <v>45356</v>
      </c>
    </row>
    <row r="774" spans="1:9" x14ac:dyDescent="0.15">
      <c r="A774" s="6">
        <v>773</v>
      </c>
      <c r="B774" s="7" t="s">
        <v>9</v>
      </c>
      <c r="C774" s="8">
        <v>1889</v>
      </c>
      <c r="D774" s="9">
        <v>45439</v>
      </c>
      <c r="E774" s="13" t="str">
        <f>+HYPERLINK("http://trademark.i-assist.jp/data/china/image_1889th/77105299.pdf","77105299")</f>
        <v>77105299</v>
      </c>
      <c r="F774" s="7" t="s">
        <v>2169</v>
      </c>
      <c r="G774" s="7" t="s">
        <v>2112</v>
      </c>
      <c r="H774" s="7" t="s">
        <v>2170</v>
      </c>
      <c r="I774" s="9">
        <v>45356</v>
      </c>
    </row>
    <row r="775" spans="1:9" x14ac:dyDescent="0.15">
      <c r="A775" s="6">
        <v>774</v>
      </c>
      <c r="B775" s="7" t="s">
        <v>9</v>
      </c>
      <c r="C775" s="8">
        <v>1889</v>
      </c>
      <c r="D775" s="9">
        <v>45439</v>
      </c>
      <c r="E775" s="13" t="str">
        <f>+HYPERLINK("http://trademark.i-assist.jp/data/china/image_1889th/77105356.pdf","77105356")</f>
        <v>77105356</v>
      </c>
      <c r="F775" s="7" t="s">
        <v>2171</v>
      </c>
      <c r="G775" s="7" t="s">
        <v>2172</v>
      </c>
      <c r="H775" s="7" t="s">
        <v>2173</v>
      </c>
      <c r="I775" s="9">
        <v>45356</v>
      </c>
    </row>
    <row r="776" spans="1:9" x14ac:dyDescent="0.15">
      <c r="A776" s="6">
        <v>775</v>
      </c>
      <c r="B776" s="7" t="s">
        <v>9</v>
      </c>
      <c r="C776" s="8">
        <v>1889</v>
      </c>
      <c r="D776" s="9">
        <v>45439</v>
      </c>
      <c r="E776" s="13" t="str">
        <f>+HYPERLINK("http://trademark.i-assist.jp/data/china/image_1889th/77106019.pdf","77106019")</f>
        <v>77106019</v>
      </c>
      <c r="F776" s="7" t="s">
        <v>134</v>
      </c>
      <c r="G776" s="7" t="s">
        <v>2174</v>
      </c>
      <c r="H776" s="7" t="s">
        <v>2175</v>
      </c>
      <c r="I776" s="9">
        <v>45356</v>
      </c>
    </row>
    <row r="777" spans="1:9" x14ac:dyDescent="0.15">
      <c r="A777" s="6">
        <v>776</v>
      </c>
      <c r="B777" s="7" t="s">
        <v>9</v>
      </c>
      <c r="C777" s="8">
        <v>1889</v>
      </c>
      <c r="D777" s="9">
        <v>45439</v>
      </c>
      <c r="E777" s="13" t="str">
        <f>+HYPERLINK("http://trademark.i-assist.jp/data/china/image_1889th/77106271.pdf","77106271")</f>
        <v>77106271</v>
      </c>
      <c r="F777" s="7" t="s">
        <v>2176</v>
      </c>
      <c r="G777" s="7" t="s">
        <v>2177</v>
      </c>
      <c r="H777" s="7" t="s">
        <v>2178</v>
      </c>
      <c r="I777" s="9">
        <v>45356</v>
      </c>
    </row>
    <row r="778" spans="1:9" x14ac:dyDescent="0.15">
      <c r="A778" s="6">
        <v>777</v>
      </c>
      <c r="B778" s="7" t="s">
        <v>9</v>
      </c>
      <c r="C778" s="8">
        <v>1889</v>
      </c>
      <c r="D778" s="9">
        <v>45439</v>
      </c>
      <c r="E778" s="13" t="str">
        <f>+HYPERLINK("http://trademark.i-assist.jp/data/china/image_1889th/77106712.pdf","77106712")</f>
        <v>77106712</v>
      </c>
      <c r="F778" s="7" t="s">
        <v>2179</v>
      </c>
      <c r="G778" s="7" t="s">
        <v>501</v>
      </c>
      <c r="H778" s="7" t="s">
        <v>2180</v>
      </c>
      <c r="I778" s="9">
        <v>45356</v>
      </c>
    </row>
    <row r="779" spans="1:9" x14ac:dyDescent="0.15">
      <c r="A779" s="6">
        <v>778</v>
      </c>
      <c r="B779" s="7" t="s">
        <v>9</v>
      </c>
      <c r="C779" s="8">
        <v>1889</v>
      </c>
      <c r="D779" s="9">
        <v>45439</v>
      </c>
      <c r="E779" s="13" t="str">
        <f>+HYPERLINK("http://trademark.i-assist.jp/data/china/image_1889th/77106765.pdf","77106765")</f>
        <v>77106765</v>
      </c>
      <c r="F779" s="7" t="s">
        <v>2181</v>
      </c>
      <c r="G779" s="7" t="s">
        <v>2112</v>
      </c>
      <c r="H779" s="7" t="s">
        <v>2182</v>
      </c>
      <c r="I779" s="9">
        <v>45356</v>
      </c>
    </row>
    <row r="780" spans="1:9" x14ac:dyDescent="0.15">
      <c r="A780" s="6">
        <v>779</v>
      </c>
      <c r="B780" s="7" t="s">
        <v>9</v>
      </c>
      <c r="C780" s="8">
        <v>1889</v>
      </c>
      <c r="D780" s="9">
        <v>45439</v>
      </c>
      <c r="E780" s="13" t="str">
        <f>+HYPERLINK("http://trademark.i-assist.jp/data/china/image_1889th/77106811.pdf","77106811")</f>
        <v>77106811</v>
      </c>
      <c r="F780" s="7" t="s">
        <v>2183</v>
      </c>
      <c r="G780" s="7" t="s">
        <v>2184</v>
      </c>
      <c r="H780" s="7" t="s">
        <v>2185</v>
      </c>
      <c r="I780" s="9">
        <v>45356</v>
      </c>
    </row>
    <row r="781" spans="1:9" x14ac:dyDescent="0.15">
      <c r="A781" s="6">
        <v>780</v>
      </c>
      <c r="B781" s="7" t="s">
        <v>9</v>
      </c>
      <c r="C781" s="8">
        <v>1889</v>
      </c>
      <c r="D781" s="9">
        <v>45439</v>
      </c>
      <c r="E781" s="13" t="str">
        <f>+HYPERLINK("http://trademark.i-assist.jp/data/china/image_1889th/77107092.pdf","77107092")</f>
        <v>77107092</v>
      </c>
      <c r="F781" s="7" t="s">
        <v>2186</v>
      </c>
      <c r="G781" s="7" t="s">
        <v>2187</v>
      </c>
      <c r="H781" s="7" t="s">
        <v>2188</v>
      </c>
      <c r="I781" s="9">
        <v>45356</v>
      </c>
    </row>
    <row r="782" spans="1:9" ht="27" x14ac:dyDescent="0.15">
      <c r="A782" s="6">
        <v>781</v>
      </c>
      <c r="B782" s="7" t="s">
        <v>9</v>
      </c>
      <c r="C782" s="8">
        <v>1889</v>
      </c>
      <c r="D782" s="9">
        <v>45439</v>
      </c>
      <c r="E782" s="13" t="str">
        <f>+HYPERLINK("http://trademark.i-assist.jp/data/china/image_1889th/77108410.pdf","77108410")</f>
        <v>77108410</v>
      </c>
      <c r="F782" s="7" t="s">
        <v>2189</v>
      </c>
      <c r="G782" s="7" t="s">
        <v>2190</v>
      </c>
      <c r="H782" s="7" t="s">
        <v>2191</v>
      </c>
      <c r="I782" s="9">
        <v>45356</v>
      </c>
    </row>
    <row r="783" spans="1:9" ht="27" x14ac:dyDescent="0.15">
      <c r="A783" s="6">
        <v>782</v>
      </c>
      <c r="B783" s="7" t="s">
        <v>9</v>
      </c>
      <c r="C783" s="8">
        <v>1889</v>
      </c>
      <c r="D783" s="9">
        <v>45439</v>
      </c>
      <c r="E783" s="13" t="str">
        <f>+HYPERLINK("http://trademark.i-assist.jp/data/china/image_1889th/77108703.pdf","77108703")</f>
        <v>77108703</v>
      </c>
      <c r="F783" s="7" t="s">
        <v>2192</v>
      </c>
      <c r="G783" s="7" t="s">
        <v>2193</v>
      </c>
      <c r="H783" s="7" t="s">
        <v>2194</v>
      </c>
      <c r="I783" s="9">
        <v>45356</v>
      </c>
    </row>
    <row r="784" spans="1:9" ht="27" x14ac:dyDescent="0.15">
      <c r="A784" s="6">
        <v>783</v>
      </c>
      <c r="B784" s="7" t="s">
        <v>9</v>
      </c>
      <c r="C784" s="8">
        <v>1889</v>
      </c>
      <c r="D784" s="9">
        <v>45439</v>
      </c>
      <c r="E784" s="13" t="str">
        <f>+HYPERLINK("http://trademark.i-assist.jp/data/china/image_1889th/77108708.pdf","77108708")</f>
        <v>77108708</v>
      </c>
      <c r="F784" s="7" t="s">
        <v>2195</v>
      </c>
      <c r="G784" s="7" t="s">
        <v>2196</v>
      </c>
      <c r="H784" s="7" t="s">
        <v>2197</v>
      </c>
      <c r="I784" s="9">
        <v>45356</v>
      </c>
    </row>
    <row r="785" spans="1:9" ht="27" x14ac:dyDescent="0.15">
      <c r="A785" s="6">
        <v>784</v>
      </c>
      <c r="B785" s="7" t="s">
        <v>9</v>
      </c>
      <c r="C785" s="8">
        <v>1889</v>
      </c>
      <c r="D785" s="9">
        <v>45439</v>
      </c>
      <c r="E785" s="13" t="str">
        <f>+HYPERLINK("http://trademark.i-assist.jp/data/china/image_1889th/77108960.pdf","77108960")</f>
        <v>77108960</v>
      </c>
      <c r="F785" s="7" t="s">
        <v>2198</v>
      </c>
      <c r="G785" s="7" t="s">
        <v>2199</v>
      </c>
      <c r="H785" s="7" t="s">
        <v>2200</v>
      </c>
      <c r="I785" s="9">
        <v>45356</v>
      </c>
    </row>
    <row r="786" spans="1:9" x14ac:dyDescent="0.15">
      <c r="A786" s="6">
        <v>785</v>
      </c>
      <c r="B786" s="7" t="s">
        <v>9</v>
      </c>
      <c r="C786" s="8">
        <v>1889</v>
      </c>
      <c r="D786" s="9">
        <v>45439</v>
      </c>
      <c r="E786" s="13" t="str">
        <f>+HYPERLINK("http://trademark.i-assist.jp/data/china/image_1889th/77109589.pdf","77109589")</f>
        <v>77109589</v>
      </c>
      <c r="F786" s="7" t="s">
        <v>2201</v>
      </c>
      <c r="G786" s="7" t="s">
        <v>2202</v>
      </c>
      <c r="H786" s="7" t="s">
        <v>2203</v>
      </c>
      <c r="I786" s="9">
        <v>45356</v>
      </c>
    </row>
    <row r="787" spans="1:9" x14ac:dyDescent="0.15">
      <c r="A787" s="6">
        <v>786</v>
      </c>
      <c r="B787" s="7" t="s">
        <v>9</v>
      </c>
      <c r="C787" s="8">
        <v>1889</v>
      </c>
      <c r="D787" s="9">
        <v>45439</v>
      </c>
      <c r="E787" s="13" t="str">
        <f>+HYPERLINK("http://trademark.i-assist.jp/data/china/image_1889th/77110362.pdf","77110362")</f>
        <v>77110362</v>
      </c>
      <c r="F787" s="7" t="s">
        <v>2204</v>
      </c>
      <c r="G787" s="7" t="s">
        <v>2205</v>
      </c>
      <c r="H787" s="7" t="s">
        <v>2206</v>
      </c>
      <c r="I787" s="9">
        <v>45356</v>
      </c>
    </row>
    <row r="788" spans="1:9" x14ac:dyDescent="0.15">
      <c r="A788" s="6">
        <v>787</v>
      </c>
      <c r="B788" s="7" t="s">
        <v>9</v>
      </c>
      <c r="C788" s="8">
        <v>1889</v>
      </c>
      <c r="D788" s="9">
        <v>45439</v>
      </c>
      <c r="E788" s="13" t="str">
        <f>+HYPERLINK("http://trademark.i-assist.jp/data/china/image_1889th/77110694.pdf","77110694")</f>
        <v>77110694</v>
      </c>
      <c r="F788" s="7" t="s">
        <v>2207</v>
      </c>
      <c r="G788" s="7" t="s">
        <v>2208</v>
      </c>
      <c r="H788" s="7" t="s">
        <v>2209</v>
      </c>
      <c r="I788" s="9">
        <v>45356</v>
      </c>
    </row>
    <row r="789" spans="1:9" x14ac:dyDescent="0.15">
      <c r="A789" s="6">
        <v>788</v>
      </c>
      <c r="B789" s="7" t="s">
        <v>9</v>
      </c>
      <c r="C789" s="8">
        <v>1889</v>
      </c>
      <c r="D789" s="9">
        <v>45439</v>
      </c>
      <c r="E789" s="13" t="str">
        <f>+HYPERLINK("http://trademark.i-assist.jp/data/china/image_1889th/77110736.pdf","77110736")</f>
        <v>77110736</v>
      </c>
      <c r="F789" s="7" t="s">
        <v>2210</v>
      </c>
      <c r="G789" s="7" t="s">
        <v>2211</v>
      </c>
      <c r="H789" s="7" t="s">
        <v>2212</v>
      </c>
      <c r="I789" s="9">
        <v>45356</v>
      </c>
    </row>
    <row r="790" spans="1:9" x14ac:dyDescent="0.15">
      <c r="A790" s="6">
        <v>789</v>
      </c>
      <c r="B790" s="7" t="s">
        <v>9</v>
      </c>
      <c r="C790" s="8">
        <v>1889</v>
      </c>
      <c r="D790" s="9">
        <v>45439</v>
      </c>
      <c r="E790" s="13" t="str">
        <f>+HYPERLINK("http://trademark.i-assist.jp/data/china/image_1889th/77111094.pdf","77111094")</f>
        <v>77111094</v>
      </c>
      <c r="F790" s="7" t="s">
        <v>2213</v>
      </c>
      <c r="G790" s="7" t="s">
        <v>2214</v>
      </c>
      <c r="H790" s="7" t="s">
        <v>2215</v>
      </c>
      <c r="I790" s="9">
        <v>45356</v>
      </c>
    </row>
    <row r="791" spans="1:9" x14ac:dyDescent="0.15">
      <c r="A791" s="6">
        <v>790</v>
      </c>
      <c r="B791" s="7" t="s">
        <v>9</v>
      </c>
      <c r="C791" s="8">
        <v>1889</v>
      </c>
      <c r="D791" s="9">
        <v>45439</v>
      </c>
      <c r="E791" s="13" t="str">
        <f>+HYPERLINK("http://trademark.i-assist.jp/data/china/image_1889th/77111780.pdf","77111780")</f>
        <v>77111780</v>
      </c>
      <c r="F791" s="7" t="s">
        <v>2216</v>
      </c>
      <c r="G791" s="7" t="s">
        <v>2217</v>
      </c>
      <c r="H791" s="7" t="s">
        <v>2218</v>
      </c>
      <c r="I791" s="9">
        <v>45356</v>
      </c>
    </row>
    <row r="792" spans="1:9" x14ac:dyDescent="0.15">
      <c r="A792" s="6">
        <v>791</v>
      </c>
      <c r="B792" s="7" t="s">
        <v>9</v>
      </c>
      <c r="C792" s="8">
        <v>1889</v>
      </c>
      <c r="D792" s="9">
        <v>45439</v>
      </c>
      <c r="E792" s="13" t="str">
        <f>+HYPERLINK("http://trademark.i-assist.jp/data/china/image_1889th/77112228.pdf","77112228")</f>
        <v>77112228</v>
      </c>
      <c r="F792" s="7" t="s">
        <v>2219</v>
      </c>
      <c r="G792" s="7" t="s">
        <v>2220</v>
      </c>
      <c r="H792" s="7" t="s">
        <v>2221</v>
      </c>
      <c r="I792" s="9">
        <v>45356</v>
      </c>
    </row>
    <row r="793" spans="1:9" ht="27" x14ac:dyDescent="0.15">
      <c r="A793" s="6">
        <v>792</v>
      </c>
      <c r="B793" s="7" t="s">
        <v>9</v>
      </c>
      <c r="C793" s="8">
        <v>1889</v>
      </c>
      <c r="D793" s="9">
        <v>45439</v>
      </c>
      <c r="E793" s="13" t="str">
        <f>+HYPERLINK("http://trademark.i-assist.jp/data/china/image_1889th/77112261.pdf","77112261")</f>
        <v>77112261</v>
      </c>
      <c r="F793" s="7" t="s">
        <v>2222</v>
      </c>
      <c r="G793" s="7" t="s">
        <v>2223</v>
      </c>
      <c r="H793" s="7" t="s">
        <v>2224</v>
      </c>
      <c r="I793" s="9">
        <v>45356</v>
      </c>
    </row>
    <row r="794" spans="1:9" x14ac:dyDescent="0.15">
      <c r="A794" s="6">
        <v>793</v>
      </c>
      <c r="B794" s="7" t="s">
        <v>9</v>
      </c>
      <c r="C794" s="8">
        <v>1889</v>
      </c>
      <c r="D794" s="9">
        <v>45439</v>
      </c>
      <c r="E794" s="13" t="str">
        <f>+HYPERLINK("http://trademark.i-assist.jp/data/china/image_1889th/77112312.pdf","77112312")</f>
        <v>77112312</v>
      </c>
      <c r="F794" s="7" t="s">
        <v>134</v>
      </c>
      <c r="G794" s="7" t="s">
        <v>2225</v>
      </c>
      <c r="H794" s="7" t="s">
        <v>2226</v>
      </c>
      <c r="I794" s="9">
        <v>45356</v>
      </c>
    </row>
    <row r="795" spans="1:9" x14ac:dyDescent="0.15">
      <c r="A795" s="6">
        <v>794</v>
      </c>
      <c r="B795" s="7" t="s">
        <v>9</v>
      </c>
      <c r="C795" s="8">
        <v>1889</v>
      </c>
      <c r="D795" s="9">
        <v>45439</v>
      </c>
      <c r="E795" s="13" t="str">
        <f>+HYPERLINK("http://trademark.i-assist.jp/data/china/image_1889th/77112504.pdf","77112504")</f>
        <v>77112504</v>
      </c>
      <c r="F795" s="7" t="s">
        <v>2227</v>
      </c>
      <c r="G795" s="7" t="s">
        <v>2228</v>
      </c>
      <c r="H795" s="7" t="s">
        <v>2229</v>
      </c>
      <c r="I795" s="9">
        <v>45356</v>
      </c>
    </row>
    <row r="796" spans="1:9" x14ac:dyDescent="0.15">
      <c r="A796" s="6">
        <v>795</v>
      </c>
      <c r="B796" s="7" t="s">
        <v>9</v>
      </c>
      <c r="C796" s="8">
        <v>1889</v>
      </c>
      <c r="D796" s="9">
        <v>45439</v>
      </c>
      <c r="E796" s="13" t="str">
        <f>+HYPERLINK("http://trademark.i-assist.jp/data/china/image_1889th/77112747.pdf","77112747")</f>
        <v>77112747</v>
      </c>
      <c r="F796" s="7" t="s">
        <v>2230</v>
      </c>
      <c r="G796" s="7" t="s">
        <v>2231</v>
      </c>
      <c r="H796" s="7" t="s">
        <v>2232</v>
      </c>
      <c r="I796" s="9">
        <v>45356</v>
      </c>
    </row>
    <row r="797" spans="1:9" ht="27" x14ac:dyDescent="0.15">
      <c r="A797" s="6">
        <v>796</v>
      </c>
      <c r="B797" s="7" t="s">
        <v>9</v>
      </c>
      <c r="C797" s="8">
        <v>1889</v>
      </c>
      <c r="D797" s="9">
        <v>45439</v>
      </c>
      <c r="E797" s="13" t="str">
        <f>+HYPERLINK("http://trademark.i-assist.jp/data/china/image_1889th/77112807.pdf","77112807")</f>
        <v>77112807</v>
      </c>
      <c r="F797" s="7" t="s">
        <v>2233</v>
      </c>
      <c r="G797" s="7" t="s">
        <v>2234</v>
      </c>
      <c r="H797" s="7" t="s">
        <v>2235</v>
      </c>
      <c r="I797" s="9">
        <v>45356</v>
      </c>
    </row>
    <row r="798" spans="1:9" ht="27" x14ac:dyDescent="0.15">
      <c r="A798" s="6">
        <v>797</v>
      </c>
      <c r="B798" s="7" t="s">
        <v>9</v>
      </c>
      <c r="C798" s="8">
        <v>1889</v>
      </c>
      <c r="D798" s="9">
        <v>45439</v>
      </c>
      <c r="E798" s="13" t="str">
        <f>+HYPERLINK("http://trademark.i-assist.jp/data/china/image_1889th/77112917.pdf","77112917")</f>
        <v>77112917</v>
      </c>
      <c r="F798" s="7" t="s">
        <v>2236</v>
      </c>
      <c r="G798" s="7" t="s">
        <v>2237</v>
      </c>
      <c r="H798" s="7" t="s">
        <v>2238</v>
      </c>
      <c r="I798" s="9">
        <v>45356</v>
      </c>
    </row>
    <row r="799" spans="1:9" x14ac:dyDescent="0.15">
      <c r="A799" s="6">
        <v>798</v>
      </c>
      <c r="B799" s="7" t="s">
        <v>9</v>
      </c>
      <c r="C799" s="8">
        <v>1889</v>
      </c>
      <c r="D799" s="9">
        <v>45439</v>
      </c>
      <c r="E799" s="13" t="str">
        <f>+HYPERLINK("http://trademark.i-assist.jp/data/china/image_1889th/77112950.pdf","77112950")</f>
        <v>77112950</v>
      </c>
      <c r="F799" s="7" t="s">
        <v>2239</v>
      </c>
      <c r="G799" s="7" t="s">
        <v>2240</v>
      </c>
      <c r="H799" s="7" t="s">
        <v>2241</v>
      </c>
      <c r="I799" s="9">
        <v>45356</v>
      </c>
    </row>
    <row r="800" spans="1:9" ht="27" x14ac:dyDescent="0.15">
      <c r="A800" s="6">
        <v>799</v>
      </c>
      <c r="B800" s="7" t="s">
        <v>9</v>
      </c>
      <c r="C800" s="8">
        <v>1889</v>
      </c>
      <c r="D800" s="9">
        <v>45439</v>
      </c>
      <c r="E800" s="13" t="str">
        <f>+HYPERLINK("http://trademark.i-assist.jp/data/china/image_1889th/77113314.pdf","77113314")</f>
        <v>77113314</v>
      </c>
      <c r="F800" s="7" t="s">
        <v>2242</v>
      </c>
      <c r="G800" s="7" t="s">
        <v>2243</v>
      </c>
      <c r="H800" s="7" t="s">
        <v>2244</v>
      </c>
      <c r="I800" s="9">
        <v>45356</v>
      </c>
    </row>
    <row r="801" spans="1:9" x14ac:dyDescent="0.15">
      <c r="A801" s="6">
        <v>800</v>
      </c>
      <c r="B801" s="7" t="s">
        <v>9</v>
      </c>
      <c r="C801" s="8">
        <v>1889</v>
      </c>
      <c r="D801" s="9">
        <v>45439</v>
      </c>
      <c r="E801" s="13" t="str">
        <f>+HYPERLINK("http://trademark.i-assist.jp/data/china/image_1889th/77114022.pdf","77114022")</f>
        <v>77114022</v>
      </c>
      <c r="F801" s="7" t="s">
        <v>2245</v>
      </c>
      <c r="G801" s="7" t="s">
        <v>2246</v>
      </c>
      <c r="H801" s="7" t="s">
        <v>2247</v>
      </c>
      <c r="I801" s="9">
        <v>45356</v>
      </c>
    </row>
    <row r="802" spans="1:9" ht="27" x14ac:dyDescent="0.15">
      <c r="A802" s="6">
        <v>801</v>
      </c>
      <c r="B802" s="7" t="s">
        <v>9</v>
      </c>
      <c r="C802" s="8">
        <v>1889</v>
      </c>
      <c r="D802" s="9">
        <v>45439</v>
      </c>
      <c r="E802" s="13" t="str">
        <f>+HYPERLINK("http://trademark.i-assist.jp/data/china/image_1889th/77114266.pdf","77114266")</f>
        <v>77114266</v>
      </c>
      <c r="F802" s="7" t="s">
        <v>2248</v>
      </c>
      <c r="G802" s="7" t="s">
        <v>2249</v>
      </c>
      <c r="H802" s="7" t="s">
        <v>2250</v>
      </c>
      <c r="I802" s="9">
        <v>45356</v>
      </c>
    </row>
    <row r="803" spans="1:9" x14ac:dyDescent="0.15">
      <c r="A803" s="6">
        <v>802</v>
      </c>
      <c r="B803" s="7" t="s">
        <v>9</v>
      </c>
      <c r="C803" s="8">
        <v>1889</v>
      </c>
      <c r="D803" s="9">
        <v>45439</v>
      </c>
      <c r="E803" s="13" t="str">
        <f>+HYPERLINK("http://trademark.i-assist.jp/data/china/image_1889th/77114271.pdf","77114271")</f>
        <v>77114271</v>
      </c>
      <c r="F803" s="7" t="s">
        <v>2251</v>
      </c>
      <c r="G803" s="7" t="s">
        <v>2252</v>
      </c>
      <c r="H803" s="7" t="s">
        <v>2253</v>
      </c>
      <c r="I803" s="9">
        <v>45356</v>
      </c>
    </row>
    <row r="804" spans="1:9" x14ac:dyDescent="0.15">
      <c r="A804" s="6">
        <v>803</v>
      </c>
      <c r="B804" s="7" t="s">
        <v>9</v>
      </c>
      <c r="C804" s="8">
        <v>1889</v>
      </c>
      <c r="D804" s="9">
        <v>45439</v>
      </c>
      <c r="E804" s="13" t="str">
        <f>+HYPERLINK("http://trademark.i-assist.jp/data/china/image_1889th/77114399.pdf","77114399")</f>
        <v>77114399</v>
      </c>
      <c r="F804" s="7" t="s">
        <v>2254</v>
      </c>
      <c r="G804" s="7" t="s">
        <v>2255</v>
      </c>
      <c r="H804" s="7" t="s">
        <v>2256</v>
      </c>
      <c r="I804" s="9">
        <v>45356</v>
      </c>
    </row>
    <row r="805" spans="1:9" x14ac:dyDescent="0.15">
      <c r="A805" s="6">
        <v>804</v>
      </c>
      <c r="B805" s="7" t="s">
        <v>9</v>
      </c>
      <c r="C805" s="8">
        <v>1889</v>
      </c>
      <c r="D805" s="9">
        <v>45439</v>
      </c>
      <c r="E805" s="13" t="str">
        <f>+HYPERLINK("http://trademark.i-assist.jp/data/china/image_1889th/77115049.pdf","77115049")</f>
        <v>77115049</v>
      </c>
      <c r="F805" s="7" t="s">
        <v>2257</v>
      </c>
      <c r="G805" s="7" t="s">
        <v>2258</v>
      </c>
      <c r="H805" s="7" t="s">
        <v>2259</v>
      </c>
      <c r="I805" s="9">
        <v>45356</v>
      </c>
    </row>
    <row r="806" spans="1:9" x14ac:dyDescent="0.15">
      <c r="A806" s="6">
        <v>805</v>
      </c>
      <c r="B806" s="7" t="s">
        <v>9</v>
      </c>
      <c r="C806" s="8">
        <v>1889</v>
      </c>
      <c r="D806" s="9">
        <v>45439</v>
      </c>
      <c r="E806" s="13" t="str">
        <f>+HYPERLINK("http://trademark.i-assist.jp/data/china/image_1889th/77115663.pdf","77115663")</f>
        <v>77115663</v>
      </c>
      <c r="F806" s="7" t="s">
        <v>2260</v>
      </c>
      <c r="G806" s="7" t="s">
        <v>2261</v>
      </c>
      <c r="H806" s="7" t="s">
        <v>2262</v>
      </c>
      <c r="I806" s="9">
        <v>45356</v>
      </c>
    </row>
    <row r="807" spans="1:9" x14ac:dyDescent="0.15">
      <c r="A807" s="6">
        <v>806</v>
      </c>
      <c r="B807" s="7" t="s">
        <v>9</v>
      </c>
      <c r="C807" s="8">
        <v>1889</v>
      </c>
      <c r="D807" s="9">
        <v>45439</v>
      </c>
      <c r="E807" s="13" t="str">
        <f>+HYPERLINK("http://trademark.i-assist.jp/data/china/image_1889th/77116114.pdf","77116114")</f>
        <v>77116114</v>
      </c>
      <c r="F807" s="7" t="s">
        <v>2263</v>
      </c>
      <c r="G807" s="7" t="s">
        <v>2264</v>
      </c>
      <c r="H807" s="7" t="s">
        <v>2265</v>
      </c>
      <c r="I807" s="9">
        <v>45356</v>
      </c>
    </row>
    <row r="808" spans="1:9" x14ac:dyDescent="0.15">
      <c r="A808" s="6">
        <v>807</v>
      </c>
      <c r="B808" s="7" t="s">
        <v>9</v>
      </c>
      <c r="C808" s="8">
        <v>1889</v>
      </c>
      <c r="D808" s="9">
        <v>45439</v>
      </c>
      <c r="E808" s="13" t="str">
        <f>+HYPERLINK("http://trademark.i-assist.jp/data/china/image_1889th/77116377.pdf","77116377")</f>
        <v>77116377</v>
      </c>
      <c r="F808" s="7" t="s">
        <v>2266</v>
      </c>
      <c r="G808" s="7" t="s">
        <v>2267</v>
      </c>
      <c r="H808" s="7" t="s">
        <v>2268</v>
      </c>
      <c r="I808" s="9">
        <v>45356</v>
      </c>
    </row>
    <row r="809" spans="1:9" x14ac:dyDescent="0.15">
      <c r="A809" s="6">
        <v>808</v>
      </c>
      <c r="B809" s="7" t="s">
        <v>9</v>
      </c>
      <c r="C809" s="8">
        <v>1889</v>
      </c>
      <c r="D809" s="9">
        <v>45439</v>
      </c>
      <c r="E809" s="13" t="str">
        <f>+HYPERLINK("http://trademark.i-assist.jp/data/china/image_1889th/77116379.pdf","77116379")</f>
        <v>77116379</v>
      </c>
      <c r="F809" s="7" t="s">
        <v>2269</v>
      </c>
      <c r="G809" s="7" t="s">
        <v>2145</v>
      </c>
      <c r="H809" s="7" t="s">
        <v>2270</v>
      </c>
      <c r="I809" s="9">
        <v>45356</v>
      </c>
    </row>
    <row r="810" spans="1:9" ht="27" x14ac:dyDescent="0.15">
      <c r="A810" s="6">
        <v>809</v>
      </c>
      <c r="B810" s="7" t="s">
        <v>9</v>
      </c>
      <c r="C810" s="8">
        <v>1889</v>
      </c>
      <c r="D810" s="9">
        <v>45439</v>
      </c>
      <c r="E810" s="13" t="str">
        <f>+HYPERLINK("http://trademark.i-assist.jp/data/china/image_1889th/77116470.pdf","77116470")</f>
        <v>77116470</v>
      </c>
      <c r="F810" s="7" t="s">
        <v>2271</v>
      </c>
      <c r="G810" s="7" t="s">
        <v>2272</v>
      </c>
      <c r="H810" s="7" t="s">
        <v>2273</v>
      </c>
      <c r="I810" s="9">
        <v>45356</v>
      </c>
    </row>
    <row r="811" spans="1:9" x14ac:dyDescent="0.15">
      <c r="A811" s="6">
        <v>810</v>
      </c>
      <c r="B811" s="7" t="s">
        <v>9</v>
      </c>
      <c r="C811" s="8">
        <v>1889</v>
      </c>
      <c r="D811" s="9">
        <v>45439</v>
      </c>
      <c r="E811" s="13" t="str">
        <f>+HYPERLINK("http://trademark.i-assist.jp/data/china/image_1889th/77116692.pdf","77116692")</f>
        <v>77116692</v>
      </c>
      <c r="F811" s="7" t="s">
        <v>2274</v>
      </c>
      <c r="G811" s="7" t="s">
        <v>2275</v>
      </c>
      <c r="H811" s="7" t="s">
        <v>2276</v>
      </c>
      <c r="I811" s="9">
        <v>45356</v>
      </c>
    </row>
    <row r="812" spans="1:9" x14ac:dyDescent="0.15">
      <c r="A812" s="6">
        <v>811</v>
      </c>
      <c r="B812" s="7" t="s">
        <v>9</v>
      </c>
      <c r="C812" s="8">
        <v>1889</v>
      </c>
      <c r="D812" s="9">
        <v>45439</v>
      </c>
      <c r="E812" s="13" t="str">
        <f>+HYPERLINK("http://trademark.i-assist.jp/data/china/image_1889th/77117276.pdf","77117276")</f>
        <v>77117276</v>
      </c>
      <c r="F812" s="7" t="s">
        <v>2277</v>
      </c>
      <c r="G812" s="7" t="s">
        <v>2278</v>
      </c>
      <c r="H812" s="7" t="s">
        <v>2279</v>
      </c>
      <c r="I812" s="9">
        <v>45356</v>
      </c>
    </row>
    <row r="813" spans="1:9" x14ac:dyDescent="0.15">
      <c r="A813" s="6">
        <v>812</v>
      </c>
      <c r="B813" s="7" t="s">
        <v>9</v>
      </c>
      <c r="C813" s="8">
        <v>1889</v>
      </c>
      <c r="D813" s="9">
        <v>45439</v>
      </c>
      <c r="E813" s="13" t="str">
        <f>+HYPERLINK("http://trademark.i-assist.jp/data/china/image_1889th/77117629.pdf","77117629")</f>
        <v>77117629</v>
      </c>
      <c r="F813" s="7" t="s">
        <v>2280</v>
      </c>
      <c r="G813" s="7" t="s">
        <v>2281</v>
      </c>
      <c r="H813" s="7" t="s">
        <v>2282</v>
      </c>
      <c r="I813" s="9">
        <v>45356</v>
      </c>
    </row>
    <row r="814" spans="1:9" x14ac:dyDescent="0.15">
      <c r="A814" s="6">
        <v>813</v>
      </c>
      <c r="B814" s="7" t="s">
        <v>9</v>
      </c>
      <c r="C814" s="8">
        <v>1889</v>
      </c>
      <c r="D814" s="9">
        <v>45439</v>
      </c>
      <c r="E814" s="13" t="str">
        <f>+HYPERLINK("http://trademark.i-assist.jp/data/china/image_1889th/77118126.pdf","77118126")</f>
        <v>77118126</v>
      </c>
      <c r="F814" s="7" t="s">
        <v>2283</v>
      </c>
      <c r="G814" s="7" t="s">
        <v>2284</v>
      </c>
      <c r="H814" s="7" t="s">
        <v>2285</v>
      </c>
      <c r="I814" s="9">
        <v>45356</v>
      </c>
    </row>
    <row r="815" spans="1:9" x14ac:dyDescent="0.15">
      <c r="A815" s="6">
        <v>814</v>
      </c>
      <c r="B815" s="7" t="s">
        <v>9</v>
      </c>
      <c r="C815" s="8">
        <v>1889</v>
      </c>
      <c r="D815" s="9">
        <v>45439</v>
      </c>
      <c r="E815" s="13" t="str">
        <f>+HYPERLINK("http://trademark.i-assist.jp/data/china/image_1889th/77118252.pdf","77118252")</f>
        <v>77118252</v>
      </c>
      <c r="F815" s="7" t="s">
        <v>2286</v>
      </c>
      <c r="G815" s="7" t="s">
        <v>2287</v>
      </c>
      <c r="H815" s="7" t="s">
        <v>2288</v>
      </c>
      <c r="I815" s="9">
        <v>45356</v>
      </c>
    </row>
    <row r="816" spans="1:9" x14ac:dyDescent="0.15">
      <c r="A816" s="6">
        <v>815</v>
      </c>
      <c r="B816" s="7" t="s">
        <v>9</v>
      </c>
      <c r="C816" s="8">
        <v>1889</v>
      </c>
      <c r="D816" s="9">
        <v>45439</v>
      </c>
      <c r="E816" s="13" t="str">
        <f>+HYPERLINK("http://trademark.i-assist.jp/data/china/image_1889th/77118308.pdf","77118308")</f>
        <v>77118308</v>
      </c>
      <c r="F816" s="7" t="s">
        <v>2289</v>
      </c>
      <c r="G816" s="7" t="s">
        <v>2290</v>
      </c>
      <c r="H816" s="7" t="s">
        <v>2291</v>
      </c>
      <c r="I816" s="9">
        <v>45356</v>
      </c>
    </row>
    <row r="817" spans="1:9" x14ac:dyDescent="0.15">
      <c r="A817" s="6">
        <v>816</v>
      </c>
      <c r="B817" s="7" t="s">
        <v>9</v>
      </c>
      <c r="C817" s="8">
        <v>1889</v>
      </c>
      <c r="D817" s="9">
        <v>45439</v>
      </c>
      <c r="E817" s="13" t="str">
        <f>+HYPERLINK("http://trademark.i-assist.jp/data/china/image_1889th/77118444.pdf","77118444")</f>
        <v>77118444</v>
      </c>
      <c r="F817" s="7" t="s">
        <v>2292</v>
      </c>
      <c r="G817" s="7" t="s">
        <v>2293</v>
      </c>
      <c r="H817" s="7" t="s">
        <v>2294</v>
      </c>
      <c r="I817" s="9">
        <v>45356</v>
      </c>
    </row>
    <row r="818" spans="1:9" x14ac:dyDescent="0.15">
      <c r="A818" s="6">
        <v>817</v>
      </c>
      <c r="B818" s="7" t="s">
        <v>9</v>
      </c>
      <c r="C818" s="8">
        <v>1889</v>
      </c>
      <c r="D818" s="9">
        <v>45439</v>
      </c>
      <c r="E818" s="13" t="str">
        <f>+HYPERLINK("http://trademark.i-assist.jp/data/china/image_1889th/77118558.pdf","77118558")</f>
        <v>77118558</v>
      </c>
      <c r="F818" s="7" t="s">
        <v>2295</v>
      </c>
      <c r="G818" s="7" t="s">
        <v>2296</v>
      </c>
      <c r="H818" s="7" t="s">
        <v>2297</v>
      </c>
      <c r="I818" s="9">
        <v>45356</v>
      </c>
    </row>
    <row r="819" spans="1:9" x14ac:dyDescent="0.15">
      <c r="A819" s="6">
        <v>818</v>
      </c>
      <c r="B819" s="7" t="s">
        <v>9</v>
      </c>
      <c r="C819" s="8">
        <v>1889</v>
      </c>
      <c r="D819" s="9">
        <v>45439</v>
      </c>
      <c r="E819" s="13" t="str">
        <f>+HYPERLINK("http://trademark.i-assist.jp/data/china/image_1889th/77118709.pdf","77118709")</f>
        <v>77118709</v>
      </c>
      <c r="F819" s="7" t="s">
        <v>2298</v>
      </c>
      <c r="G819" s="7" t="s">
        <v>2299</v>
      </c>
      <c r="H819" s="7" t="s">
        <v>2300</v>
      </c>
      <c r="I819" s="9">
        <v>45356</v>
      </c>
    </row>
    <row r="820" spans="1:9" x14ac:dyDescent="0.15">
      <c r="A820" s="6">
        <v>819</v>
      </c>
      <c r="B820" s="7" t="s">
        <v>9</v>
      </c>
      <c r="C820" s="8">
        <v>1889</v>
      </c>
      <c r="D820" s="9">
        <v>45439</v>
      </c>
      <c r="E820" s="13" t="str">
        <f>+HYPERLINK("http://trademark.i-assist.jp/data/china/image_1889th/77119062.pdf","77119062")</f>
        <v>77119062</v>
      </c>
      <c r="F820" s="7" t="s">
        <v>2301</v>
      </c>
      <c r="G820" s="7" t="s">
        <v>2246</v>
      </c>
      <c r="H820" s="7" t="s">
        <v>2302</v>
      </c>
      <c r="I820" s="9">
        <v>45356</v>
      </c>
    </row>
    <row r="821" spans="1:9" x14ac:dyDescent="0.15">
      <c r="A821" s="6">
        <v>820</v>
      </c>
      <c r="B821" s="7" t="s">
        <v>9</v>
      </c>
      <c r="C821" s="8">
        <v>1889</v>
      </c>
      <c r="D821" s="9">
        <v>45439</v>
      </c>
      <c r="E821" s="13" t="str">
        <f>+HYPERLINK("http://trademark.i-assist.jp/data/china/image_1889th/77119149.pdf","77119149")</f>
        <v>77119149</v>
      </c>
      <c r="F821" s="7" t="s">
        <v>2303</v>
      </c>
      <c r="G821" s="7" t="s">
        <v>2304</v>
      </c>
      <c r="H821" s="7" t="s">
        <v>2305</v>
      </c>
      <c r="I821" s="9">
        <v>45356</v>
      </c>
    </row>
    <row r="822" spans="1:9" x14ac:dyDescent="0.15">
      <c r="A822" s="6">
        <v>821</v>
      </c>
      <c r="B822" s="7" t="s">
        <v>9</v>
      </c>
      <c r="C822" s="8">
        <v>1889</v>
      </c>
      <c r="D822" s="9">
        <v>45439</v>
      </c>
      <c r="E822" s="13" t="str">
        <f>+HYPERLINK("http://trademark.i-assist.jp/data/china/image_1889th/77119174.pdf","77119174")</f>
        <v>77119174</v>
      </c>
      <c r="F822" s="7" t="s">
        <v>2306</v>
      </c>
      <c r="G822" s="7" t="s">
        <v>2307</v>
      </c>
      <c r="H822" s="7" t="s">
        <v>2308</v>
      </c>
      <c r="I822" s="9">
        <v>45356</v>
      </c>
    </row>
    <row r="823" spans="1:9" ht="27" x14ac:dyDescent="0.15">
      <c r="A823" s="6">
        <v>822</v>
      </c>
      <c r="B823" s="7" t="s">
        <v>9</v>
      </c>
      <c r="C823" s="8">
        <v>1889</v>
      </c>
      <c r="D823" s="9">
        <v>45439</v>
      </c>
      <c r="E823" s="13" t="str">
        <f>+HYPERLINK("http://trademark.i-assist.jp/data/china/image_1889th/77119221.pdf","77119221")</f>
        <v>77119221</v>
      </c>
      <c r="F823" s="7" t="s">
        <v>2242</v>
      </c>
      <c r="G823" s="7" t="s">
        <v>2243</v>
      </c>
      <c r="H823" s="7" t="s">
        <v>2309</v>
      </c>
      <c r="I823" s="9">
        <v>45356</v>
      </c>
    </row>
    <row r="824" spans="1:9" x14ac:dyDescent="0.15">
      <c r="A824" s="6">
        <v>823</v>
      </c>
      <c r="B824" s="7" t="s">
        <v>9</v>
      </c>
      <c r="C824" s="8">
        <v>1889</v>
      </c>
      <c r="D824" s="9">
        <v>45439</v>
      </c>
      <c r="E824" s="13" t="str">
        <f>+HYPERLINK("http://trademark.i-assist.jp/data/china/image_1889th/77119628.pdf","77119628")</f>
        <v>77119628</v>
      </c>
      <c r="F824" s="7" t="s">
        <v>2310</v>
      </c>
      <c r="G824" s="7" t="s">
        <v>2311</v>
      </c>
      <c r="H824" s="7" t="s">
        <v>2312</v>
      </c>
      <c r="I824" s="9">
        <v>45356</v>
      </c>
    </row>
    <row r="825" spans="1:9" ht="27" x14ac:dyDescent="0.15">
      <c r="A825" s="6">
        <v>824</v>
      </c>
      <c r="B825" s="7" t="s">
        <v>9</v>
      </c>
      <c r="C825" s="8">
        <v>1889</v>
      </c>
      <c r="D825" s="9">
        <v>45439</v>
      </c>
      <c r="E825" s="13" t="str">
        <f>+HYPERLINK("http://trademark.i-assist.jp/data/china/image_1889th/77119734.pdf","77119734")</f>
        <v>77119734</v>
      </c>
      <c r="F825" s="7" t="s">
        <v>2313</v>
      </c>
      <c r="G825" s="7" t="s">
        <v>2314</v>
      </c>
      <c r="H825" s="7" t="s">
        <v>2315</v>
      </c>
      <c r="I825" s="9">
        <v>45356</v>
      </c>
    </row>
    <row r="826" spans="1:9" x14ac:dyDescent="0.15">
      <c r="A826" s="6">
        <v>825</v>
      </c>
      <c r="B826" s="7" t="s">
        <v>9</v>
      </c>
      <c r="C826" s="8">
        <v>1889</v>
      </c>
      <c r="D826" s="9">
        <v>45439</v>
      </c>
      <c r="E826" s="13" t="str">
        <f>+HYPERLINK("http://trademark.i-assist.jp/data/china/image_1889th/77119889.pdf","77119889")</f>
        <v>77119889</v>
      </c>
      <c r="F826" s="7" t="s">
        <v>2316</v>
      </c>
      <c r="G826" s="7" t="s">
        <v>2317</v>
      </c>
      <c r="H826" s="7" t="s">
        <v>2318</v>
      </c>
      <c r="I826" s="9">
        <v>45356</v>
      </c>
    </row>
    <row r="827" spans="1:9" x14ac:dyDescent="0.15">
      <c r="A827" s="6">
        <v>826</v>
      </c>
      <c r="B827" s="7" t="s">
        <v>9</v>
      </c>
      <c r="C827" s="8">
        <v>1889</v>
      </c>
      <c r="D827" s="9">
        <v>45439</v>
      </c>
      <c r="E827" s="13" t="str">
        <f>+HYPERLINK("http://trademark.i-assist.jp/data/china/image_1889th/77119994.pdf","77119994")</f>
        <v>77119994</v>
      </c>
      <c r="F827" s="7" t="s">
        <v>2319</v>
      </c>
      <c r="G827" s="7" t="s">
        <v>2320</v>
      </c>
      <c r="H827" s="7" t="s">
        <v>2321</v>
      </c>
      <c r="I827" s="9">
        <v>45356</v>
      </c>
    </row>
    <row r="828" spans="1:9" ht="27" x14ac:dyDescent="0.15">
      <c r="A828" s="6">
        <v>827</v>
      </c>
      <c r="B828" s="7" t="s">
        <v>9</v>
      </c>
      <c r="C828" s="8">
        <v>1889</v>
      </c>
      <c r="D828" s="9">
        <v>45439</v>
      </c>
      <c r="E828" s="13" t="str">
        <f>+HYPERLINK("http://trademark.i-assist.jp/data/china/image_1889th/77120328.pdf","77120328")</f>
        <v>77120328</v>
      </c>
      <c r="F828" s="7" t="s">
        <v>2322</v>
      </c>
      <c r="G828" s="7" t="s">
        <v>2249</v>
      </c>
      <c r="H828" s="7" t="s">
        <v>2323</v>
      </c>
      <c r="I828" s="9">
        <v>45356</v>
      </c>
    </row>
    <row r="829" spans="1:9" x14ac:dyDescent="0.15">
      <c r="A829" s="6">
        <v>828</v>
      </c>
      <c r="B829" s="7" t="s">
        <v>9</v>
      </c>
      <c r="C829" s="8">
        <v>1889</v>
      </c>
      <c r="D829" s="9">
        <v>45439</v>
      </c>
      <c r="E829" s="13" t="str">
        <f>+HYPERLINK("http://trademark.i-assist.jp/data/china/image_1889th/77120403.pdf","77120403")</f>
        <v>77120403</v>
      </c>
      <c r="F829" s="7" t="s">
        <v>2324</v>
      </c>
      <c r="G829" s="7" t="s">
        <v>2325</v>
      </c>
      <c r="H829" s="7" t="s">
        <v>2326</v>
      </c>
      <c r="I829" s="9">
        <v>45356</v>
      </c>
    </row>
    <row r="830" spans="1:9" ht="27" x14ac:dyDescent="0.15">
      <c r="A830" s="6">
        <v>829</v>
      </c>
      <c r="B830" s="7" t="s">
        <v>9</v>
      </c>
      <c r="C830" s="8">
        <v>1889</v>
      </c>
      <c r="D830" s="9">
        <v>45439</v>
      </c>
      <c r="E830" s="13" t="str">
        <f>+HYPERLINK("http://trademark.i-assist.jp/data/china/image_1889th/77120718.pdf","77120718")</f>
        <v>77120718</v>
      </c>
      <c r="F830" s="7" t="s">
        <v>134</v>
      </c>
      <c r="G830" s="7" t="s">
        <v>2327</v>
      </c>
      <c r="H830" s="7" t="s">
        <v>2328</v>
      </c>
      <c r="I830" s="9">
        <v>45356</v>
      </c>
    </row>
    <row r="831" spans="1:9" x14ac:dyDescent="0.15">
      <c r="A831" s="6">
        <v>830</v>
      </c>
      <c r="B831" s="7" t="s">
        <v>9</v>
      </c>
      <c r="C831" s="8">
        <v>1889</v>
      </c>
      <c r="D831" s="9">
        <v>45439</v>
      </c>
      <c r="E831" s="13" t="str">
        <f>+HYPERLINK("http://trademark.i-assist.jp/data/china/image_1889th/77120808.pdf","77120808")</f>
        <v>77120808</v>
      </c>
      <c r="F831" s="7" t="s">
        <v>2329</v>
      </c>
      <c r="G831" s="7" t="s">
        <v>2330</v>
      </c>
      <c r="H831" s="7" t="s">
        <v>2331</v>
      </c>
      <c r="I831" s="9">
        <v>45356</v>
      </c>
    </row>
    <row r="832" spans="1:9" x14ac:dyDescent="0.15">
      <c r="A832" s="6">
        <v>831</v>
      </c>
      <c r="B832" s="7" t="s">
        <v>9</v>
      </c>
      <c r="C832" s="8">
        <v>1889</v>
      </c>
      <c r="D832" s="9">
        <v>45439</v>
      </c>
      <c r="E832" s="13" t="str">
        <f>+HYPERLINK("http://trademark.i-assist.jp/data/china/image_1889th/77120984.pdf","77120984")</f>
        <v>77120984</v>
      </c>
      <c r="F832" s="7" t="s">
        <v>2332</v>
      </c>
      <c r="G832" s="7" t="s">
        <v>2333</v>
      </c>
      <c r="H832" s="7" t="s">
        <v>2334</v>
      </c>
      <c r="I832" s="9">
        <v>45356</v>
      </c>
    </row>
    <row r="833" spans="1:9" x14ac:dyDescent="0.15">
      <c r="A833" s="6">
        <v>832</v>
      </c>
      <c r="B833" s="7" t="s">
        <v>9</v>
      </c>
      <c r="C833" s="8">
        <v>1889</v>
      </c>
      <c r="D833" s="9">
        <v>45439</v>
      </c>
      <c r="E833" s="13" t="str">
        <f>+HYPERLINK("http://trademark.i-assist.jp/data/china/image_1889th/77121301.pdf","77121301")</f>
        <v>77121301</v>
      </c>
      <c r="F833" s="7" t="s">
        <v>2335</v>
      </c>
      <c r="G833" s="7" t="s">
        <v>2336</v>
      </c>
      <c r="H833" s="7" t="s">
        <v>2337</v>
      </c>
      <c r="I833" s="9">
        <v>45356</v>
      </c>
    </row>
    <row r="834" spans="1:9" ht="27" x14ac:dyDescent="0.15">
      <c r="A834" s="6">
        <v>833</v>
      </c>
      <c r="B834" s="7" t="s">
        <v>9</v>
      </c>
      <c r="C834" s="8">
        <v>1889</v>
      </c>
      <c r="D834" s="9">
        <v>45439</v>
      </c>
      <c r="E834" s="13" t="str">
        <f>+HYPERLINK("http://trademark.i-assist.jp/data/china/image_1889th/77122074.pdf","77122074")</f>
        <v>77122074</v>
      </c>
      <c r="F834" s="7" t="s">
        <v>2338</v>
      </c>
      <c r="G834" s="7" t="s">
        <v>2339</v>
      </c>
      <c r="H834" s="7" t="s">
        <v>2340</v>
      </c>
      <c r="I834" s="9">
        <v>45356</v>
      </c>
    </row>
    <row r="835" spans="1:9" x14ac:dyDescent="0.15">
      <c r="A835" s="6">
        <v>834</v>
      </c>
      <c r="B835" s="7" t="s">
        <v>9</v>
      </c>
      <c r="C835" s="8">
        <v>1889</v>
      </c>
      <c r="D835" s="9">
        <v>45439</v>
      </c>
      <c r="E835" s="13" t="str">
        <f>+HYPERLINK("http://trademark.i-assist.jp/data/china/image_1889th/77122268.pdf","77122268")</f>
        <v>77122268</v>
      </c>
      <c r="F835" s="7" t="s">
        <v>2341</v>
      </c>
      <c r="G835" s="7" t="s">
        <v>2342</v>
      </c>
      <c r="H835" s="7" t="s">
        <v>2343</v>
      </c>
      <c r="I835" s="9">
        <v>45356</v>
      </c>
    </row>
    <row r="836" spans="1:9" x14ac:dyDescent="0.15">
      <c r="A836" s="6">
        <v>835</v>
      </c>
      <c r="B836" s="7" t="s">
        <v>9</v>
      </c>
      <c r="C836" s="8">
        <v>1889</v>
      </c>
      <c r="D836" s="9">
        <v>45439</v>
      </c>
      <c r="E836" s="13" t="str">
        <f>+HYPERLINK("http://trademark.i-assist.jp/data/china/image_1889th/77122421.pdf","77122421")</f>
        <v>77122421</v>
      </c>
      <c r="F836" s="7" t="s">
        <v>2344</v>
      </c>
      <c r="G836" s="7" t="s">
        <v>2345</v>
      </c>
      <c r="H836" s="7" t="s">
        <v>2346</v>
      </c>
      <c r="I836" s="9">
        <v>45356</v>
      </c>
    </row>
    <row r="837" spans="1:9" x14ac:dyDescent="0.15">
      <c r="A837" s="6">
        <v>836</v>
      </c>
      <c r="B837" s="7" t="s">
        <v>9</v>
      </c>
      <c r="C837" s="8">
        <v>1889</v>
      </c>
      <c r="D837" s="9">
        <v>45439</v>
      </c>
      <c r="E837" s="13" t="str">
        <f>+HYPERLINK("http://trademark.i-assist.jp/data/china/image_1889th/77122713.pdf","77122713")</f>
        <v>77122713</v>
      </c>
      <c r="F837" s="7" t="s">
        <v>2347</v>
      </c>
      <c r="G837" s="7" t="s">
        <v>1844</v>
      </c>
      <c r="H837" s="7" t="s">
        <v>2348</v>
      </c>
      <c r="I837" s="9">
        <v>45356</v>
      </c>
    </row>
    <row r="838" spans="1:9" x14ac:dyDescent="0.15">
      <c r="A838" s="6">
        <v>837</v>
      </c>
      <c r="B838" s="7" t="s">
        <v>9</v>
      </c>
      <c r="C838" s="8">
        <v>1889</v>
      </c>
      <c r="D838" s="9">
        <v>45439</v>
      </c>
      <c r="E838" s="13" t="str">
        <f>+HYPERLINK("http://trademark.i-assist.jp/data/china/image_1889th/77122738.pdf","77122738")</f>
        <v>77122738</v>
      </c>
      <c r="F838" s="7" t="s">
        <v>2349</v>
      </c>
      <c r="G838" s="7" t="s">
        <v>2350</v>
      </c>
      <c r="H838" s="7" t="s">
        <v>2351</v>
      </c>
      <c r="I838" s="9">
        <v>45356</v>
      </c>
    </row>
    <row r="839" spans="1:9" x14ac:dyDescent="0.15">
      <c r="A839" s="6">
        <v>838</v>
      </c>
      <c r="B839" s="7" t="s">
        <v>9</v>
      </c>
      <c r="C839" s="8">
        <v>1889</v>
      </c>
      <c r="D839" s="9">
        <v>45439</v>
      </c>
      <c r="E839" s="13" t="str">
        <f>+HYPERLINK("http://trademark.i-assist.jp/data/china/image_1889th/77122898.pdf","77122898")</f>
        <v>77122898</v>
      </c>
      <c r="F839" s="7" t="s">
        <v>2352</v>
      </c>
      <c r="G839" s="7" t="s">
        <v>2353</v>
      </c>
      <c r="H839" s="7" t="s">
        <v>2354</v>
      </c>
      <c r="I839" s="9">
        <v>45356</v>
      </c>
    </row>
    <row r="840" spans="1:9" x14ac:dyDescent="0.15">
      <c r="A840" s="6">
        <v>839</v>
      </c>
      <c r="B840" s="7" t="s">
        <v>9</v>
      </c>
      <c r="C840" s="8">
        <v>1889</v>
      </c>
      <c r="D840" s="9">
        <v>45439</v>
      </c>
      <c r="E840" s="13" t="str">
        <f>+HYPERLINK("http://trademark.i-assist.jp/data/china/image_1889th/77123325.pdf","77123325")</f>
        <v>77123325</v>
      </c>
      <c r="F840" s="7" t="s">
        <v>2355</v>
      </c>
      <c r="G840" s="7" t="s">
        <v>2356</v>
      </c>
      <c r="H840" s="7" t="s">
        <v>2357</v>
      </c>
      <c r="I840" s="9">
        <v>45356</v>
      </c>
    </row>
    <row r="841" spans="1:9" x14ac:dyDescent="0.15">
      <c r="A841" s="6">
        <v>840</v>
      </c>
      <c r="B841" s="7" t="s">
        <v>9</v>
      </c>
      <c r="C841" s="8">
        <v>1889</v>
      </c>
      <c r="D841" s="9">
        <v>45439</v>
      </c>
      <c r="E841" s="13" t="str">
        <f>+HYPERLINK("http://trademark.i-assist.jp/data/china/image_1889th/77123788.pdf","77123788")</f>
        <v>77123788</v>
      </c>
      <c r="F841" s="7" t="s">
        <v>2358</v>
      </c>
      <c r="G841" s="7" t="s">
        <v>2359</v>
      </c>
      <c r="H841" s="7" t="s">
        <v>2360</v>
      </c>
      <c r="I841" s="9">
        <v>45357</v>
      </c>
    </row>
    <row r="842" spans="1:9" x14ac:dyDescent="0.15">
      <c r="A842" s="6">
        <v>841</v>
      </c>
      <c r="B842" s="7" t="s">
        <v>9</v>
      </c>
      <c r="C842" s="8">
        <v>1889</v>
      </c>
      <c r="D842" s="9">
        <v>45439</v>
      </c>
      <c r="E842" s="13" t="str">
        <f>+HYPERLINK("http://trademark.i-assist.jp/data/china/image_1889th/77124108.pdf","77124108")</f>
        <v>77124108</v>
      </c>
      <c r="F842" s="7" t="s">
        <v>2361</v>
      </c>
      <c r="G842" s="7" t="s">
        <v>2362</v>
      </c>
      <c r="H842" s="7" t="s">
        <v>2363</v>
      </c>
      <c r="I842" s="9">
        <v>45357</v>
      </c>
    </row>
    <row r="843" spans="1:9" x14ac:dyDescent="0.15">
      <c r="A843" s="6">
        <v>842</v>
      </c>
      <c r="B843" s="7" t="s">
        <v>9</v>
      </c>
      <c r="C843" s="8">
        <v>1889</v>
      </c>
      <c r="D843" s="9">
        <v>45439</v>
      </c>
      <c r="E843" s="13" t="str">
        <f>+HYPERLINK("http://trademark.i-assist.jp/data/china/image_1889th/77124283.pdf","77124283")</f>
        <v>77124283</v>
      </c>
      <c r="F843" s="7" t="s">
        <v>2364</v>
      </c>
      <c r="G843" s="7" t="s">
        <v>2365</v>
      </c>
      <c r="H843" s="7" t="s">
        <v>2366</v>
      </c>
      <c r="I843" s="9">
        <v>45357</v>
      </c>
    </row>
    <row r="844" spans="1:9" x14ac:dyDescent="0.15">
      <c r="A844" s="6">
        <v>843</v>
      </c>
      <c r="B844" s="7" t="s">
        <v>9</v>
      </c>
      <c r="C844" s="8">
        <v>1889</v>
      </c>
      <c r="D844" s="9">
        <v>45439</v>
      </c>
      <c r="E844" s="13" t="str">
        <f>+HYPERLINK("http://trademark.i-assist.jp/data/china/image_1889th/77125222.pdf","77125222")</f>
        <v>77125222</v>
      </c>
      <c r="F844" s="7" t="s">
        <v>2367</v>
      </c>
      <c r="G844" s="7" t="s">
        <v>2368</v>
      </c>
      <c r="H844" s="7" t="s">
        <v>2369</v>
      </c>
      <c r="I844" s="9">
        <v>45357</v>
      </c>
    </row>
    <row r="845" spans="1:9" x14ac:dyDescent="0.15">
      <c r="A845" s="6">
        <v>844</v>
      </c>
      <c r="B845" s="7" t="s">
        <v>9</v>
      </c>
      <c r="C845" s="8">
        <v>1889</v>
      </c>
      <c r="D845" s="9">
        <v>45439</v>
      </c>
      <c r="E845" s="13" t="str">
        <f>+HYPERLINK("http://trademark.i-assist.jp/data/china/image_1889th/77126739.pdf","77126739")</f>
        <v>77126739</v>
      </c>
      <c r="F845" s="7" t="s">
        <v>2370</v>
      </c>
      <c r="G845" s="7" t="s">
        <v>2371</v>
      </c>
      <c r="H845" s="7" t="s">
        <v>2372</v>
      </c>
      <c r="I845" s="9">
        <v>45357</v>
      </c>
    </row>
    <row r="846" spans="1:9" x14ac:dyDescent="0.15">
      <c r="A846" s="6">
        <v>845</v>
      </c>
      <c r="B846" s="7" t="s">
        <v>9</v>
      </c>
      <c r="C846" s="8">
        <v>1889</v>
      </c>
      <c r="D846" s="9">
        <v>45439</v>
      </c>
      <c r="E846" s="13" t="str">
        <f>+HYPERLINK("http://trademark.i-assist.jp/data/china/image_1889th/77126933.pdf","77126933")</f>
        <v>77126933</v>
      </c>
      <c r="F846" s="7" t="s">
        <v>2373</v>
      </c>
      <c r="G846" s="7" t="s">
        <v>2374</v>
      </c>
      <c r="H846" s="7" t="s">
        <v>2375</v>
      </c>
      <c r="I846" s="9">
        <v>45357</v>
      </c>
    </row>
    <row r="847" spans="1:9" x14ac:dyDescent="0.15">
      <c r="A847" s="6">
        <v>846</v>
      </c>
      <c r="B847" s="7" t="s">
        <v>9</v>
      </c>
      <c r="C847" s="8">
        <v>1889</v>
      </c>
      <c r="D847" s="9">
        <v>45439</v>
      </c>
      <c r="E847" s="13" t="str">
        <f>+HYPERLINK("http://trademark.i-assist.jp/data/china/image_1889th/77127043.pdf","77127043")</f>
        <v>77127043</v>
      </c>
      <c r="F847" s="7" t="s">
        <v>2376</v>
      </c>
      <c r="G847" s="7" t="s">
        <v>2377</v>
      </c>
      <c r="H847" s="7" t="s">
        <v>2378</v>
      </c>
      <c r="I847" s="9">
        <v>45357</v>
      </c>
    </row>
    <row r="848" spans="1:9" x14ac:dyDescent="0.15">
      <c r="A848" s="6">
        <v>847</v>
      </c>
      <c r="B848" s="7" t="s">
        <v>9</v>
      </c>
      <c r="C848" s="8">
        <v>1889</v>
      </c>
      <c r="D848" s="9">
        <v>45439</v>
      </c>
      <c r="E848" s="13" t="str">
        <f>+HYPERLINK("http://trademark.i-assist.jp/data/china/image_1889th/77127172.pdf","77127172")</f>
        <v>77127172</v>
      </c>
      <c r="F848" s="7" t="s">
        <v>2379</v>
      </c>
      <c r="G848" s="7" t="s">
        <v>2380</v>
      </c>
      <c r="H848" s="7" t="s">
        <v>2381</v>
      </c>
      <c r="I848" s="9">
        <v>45357</v>
      </c>
    </row>
    <row r="849" spans="1:9" x14ac:dyDescent="0.15">
      <c r="A849" s="6">
        <v>848</v>
      </c>
      <c r="B849" s="7" t="s">
        <v>9</v>
      </c>
      <c r="C849" s="8">
        <v>1889</v>
      </c>
      <c r="D849" s="9">
        <v>45439</v>
      </c>
      <c r="E849" s="13" t="str">
        <f>+HYPERLINK("http://trademark.i-assist.jp/data/china/image_1889th/77128600.pdf","77128600")</f>
        <v>77128600</v>
      </c>
      <c r="F849" s="7" t="s">
        <v>2382</v>
      </c>
      <c r="G849" s="7" t="s">
        <v>2202</v>
      </c>
      <c r="H849" s="7" t="s">
        <v>2383</v>
      </c>
      <c r="I849" s="9">
        <v>45357</v>
      </c>
    </row>
    <row r="850" spans="1:9" x14ac:dyDescent="0.15">
      <c r="A850" s="6">
        <v>849</v>
      </c>
      <c r="B850" s="7" t="s">
        <v>9</v>
      </c>
      <c r="C850" s="8">
        <v>1889</v>
      </c>
      <c r="D850" s="9">
        <v>45439</v>
      </c>
      <c r="E850" s="13" t="str">
        <f>+HYPERLINK("http://trademark.i-assist.jp/data/china/image_1889th/77128819.pdf","77128819")</f>
        <v>77128819</v>
      </c>
      <c r="F850" s="7" t="s">
        <v>2384</v>
      </c>
      <c r="G850" s="7" t="s">
        <v>2385</v>
      </c>
      <c r="H850" s="7" t="s">
        <v>2386</v>
      </c>
      <c r="I850" s="9">
        <v>45357</v>
      </c>
    </row>
    <row r="851" spans="1:9" ht="27" x14ac:dyDescent="0.15">
      <c r="A851" s="6">
        <v>850</v>
      </c>
      <c r="B851" s="7" t="s">
        <v>9</v>
      </c>
      <c r="C851" s="8">
        <v>1889</v>
      </c>
      <c r="D851" s="9">
        <v>45439</v>
      </c>
      <c r="E851" s="13" t="str">
        <f>+HYPERLINK("http://trademark.i-assist.jp/data/china/image_1889th/77128872.pdf","77128872")</f>
        <v>77128872</v>
      </c>
      <c r="F851" s="7" t="s">
        <v>2387</v>
      </c>
      <c r="G851" s="7" t="s">
        <v>2388</v>
      </c>
      <c r="H851" s="7" t="s">
        <v>2389</v>
      </c>
      <c r="I851" s="9">
        <v>45357</v>
      </c>
    </row>
    <row r="852" spans="1:9" x14ac:dyDescent="0.15">
      <c r="A852" s="6">
        <v>851</v>
      </c>
      <c r="B852" s="7" t="s">
        <v>9</v>
      </c>
      <c r="C852" s="8">
        <v>1889</v>
      </c>
      <c r="D852" s="9">
        <v>45439</v>
      </c>
      <c r="E852" s="13" t="str">
        <f>+HYPERLINK("http://trademark.i-assist.jp/data/china/image_1889th/77129062.pdf","77129062")</f>
        <v>77129062</v>
      </c>
      <c r="F852" s="7" t="s">
        <v>2390</v>
      </c>
      <c r="G852" s="7" t="s">
        <v>2391</v>
      </c>
      <c r="H852" s="7" t="s">
        <v>2392</v>
      </c>
      <c r="I852" s="9">
        <v>45357</v>
      </c>
    </row>
    <row r="853" spans="1:9" x14ac:dyDescent="0.15">
      <c r="A853" s="6">
        <v>852</v>
      </c>
      <c r="B853" s="7" t="s">
        <v>9</v>
      </c>
      <c r="C853" s="8">
        <v>1889</v>
      </c>
      <c r="D853" s="9">
        <v>45439</v>
      </c>
      <c r="E853" s="13" t="str">
        <f>+HYPERLINK("http://trademark.i-assist.jp/data/china/image_1889th/77129374.pdf","77129374")</f>
        <v>77129374</v>
      </c>
      <c r="F853" s="7" t="s">
        <v>2393</v>
      </c>
      <c r="G853" s="7" t="s">
        <v>2394</v>
      </c>
      <c r="H853" s="7" t="s">
        <v>2395</v>
      </c>
      <c r="I853" s="9">
        <v>45357</v>
      </c>
    </row>
    <row r="854" spans="1:9" x14ac:dyDescent="0.15">
      <c r="A854" s="6">
        <v>853</v>
      </c>
      <c r="B854" s="7" t="s">
        <v>9</v>
      </c>
      <c r="C854" s="8">
        <v>1889</v>
      </c>
      <c r="D854" s="9">
        <v>45439</v>
      </c>
      <c r="E854" s="13" t="str">
        <f>+HYPERLINK("http://trademark.i-assist.jp/data/china/image_1889th/77129527.pdf","77129527")</f>
        <v>77129527</v>
      </c>
      <c r="F854" s="7" t="s">
        <v>2396</v>
      </c>
      <c r="G854" s="7" t="s">
        <v>2397</v>
      </c>
      <c r="H854" s="7" t="s">
        <v>2398</v>
      </c>
      <c r="I854" s="9">
        <v>45357</v>
      </c>
    </row>
    <row r="855" spans="1:9" x14ac:dyDescent="0.15">
      <c r="A855" s="6">
        <v>854</v>
      </c>
      <c r="B855" s="7" t="s">
        <v>9</v>
      </c>
      <c r="C855" s="8">
        <v>1889</v>
      </c>
      <c r="D855" s="9">
        <v>45439</v>
      </c>
      <c r="E855" s="13" t="str">
        <f>+HYPERLINK("http://trademark.i-assist.jp/data/china/image_1889th/77129622.pdf","77129622")</f>
        <v>77129622</v>
      </c>
      <c r="F855" s="7" t="s">
        <v>2364</v>
      </c>
      <c r="G855" s="7" t="s">
        <v>2365</v>
      </c>
      <c r="H855" s="7" t="s">
        <v>2399</v>
      </c>
      <c r="I855" s="9">
        <v>45357</v>
      </c>
    </row>
    <row r="856" spans="1:9" ht="27" x14ac:dyDescent="0.15">
      <c r="A856" s="6">
        <v>855</v>
      </c>
      <c r="B856" s="7" t="s">
        <v>9</v>
      </c>
      <c r="C856" s="8">
        <v>1889</v>
      </c>
      <c r="D856" s="9">
        <v>45439</v>
      </c>
      <c r="E856" s="13" t="str">
        <f>+HYPERLINK("http://trademark.i-assist.jp/data/china/image_1889th/77129744.pdf","77129744")</f>
        <v>77129744</v>
      </c>
      <c r="F856" s="7" t="s">
        <v>2400</v>
      </c>
      <c r="G856" s="7" t="s">
        <v>2401</v>
      </c>
      <c r="H856" s="7" t="s">
        <v>2402</v>
      </c>
      <c r="I856" s="9">
        <v>45357</v>
      </c>
    </row>
    <row r="857" spans="1:9" x14ac:dyDescent="0.15">
      <c r="A857" s="6">
        <v>856</v>
      </c>
      <c r="B857" s="7" t="s">
        <v>9</v>
      </c>
      <c r="C857" s="8">
        <v>1889</v>
      </c>
      <c r="D857" s="9">
        <v>45439</v>
      </c>
      <c r="E857" s="13" t="str">
        <f>+HYPERLINK("http://trademark.i-assist.jp/data/china/image_1889th/77129773.pdf","77129773")</f>
        <v>77129773</v>
      </c>
      <c r="F857" s="7" t="s">
        <v>2403</v>
      </c>
      <c r="G857" s="7" t="s">
        <v>2404</v>
      </c>
      <c r="H857" s="7" t="s">
        <v>2405</v>
      </c>
      <c r="I857" s="9">
        <v>45357</v>
      </c>
    </row>
    <row r="858" spans="1:9" x14ac:dyDescent="0.15">
      <c r="A858" s="6">
        <v>857</v>
      </c>
      <c r="B858" s="7" t="s">
        <v>9</v>
      </c>
      <c r="C858" s="8">
        <v>1889</v>
      </c>
      <c r="D858" s="9">
        <v>45439</v>
      </c>
      <c r="E858" s="13" t="str">
        <f>+HYPERLINK("http://trademark.i-assist.jp/data/china/image_1889th/77129932.pdf","77129932")</f>
        <v>77129932</v>
      </c>
      <c r="F858" s="7" t="s">
        <v>2406</v>
      </c>
      <c r="G858" s="7" t="s">
        <v>2362</v>
      </c>
      <c r="H858" s="7" t="s">
        <v>2407</v>
      </c>
      <c r="I858" s="9">
        <v>45357</v>
      </c>
    </row>
    <row r="859" spans="1:9" x14ac:dyDescent="0.15">
      <c r="A859" s="6">
        <v>858</v>
      </c>
      <c r="B859" s="7" t="s">
        <v>9</v>
      </c>
      <c r="C859" s="8">
        <v>1889</v>
      </c>
      <c r="D859" s="9">
        <v>45439</v>
      </c>
      <c r="E859" s="13" t="str">
        <f>+HYPERLINK("http://trademark.i-assist.jp/data/china/image_1889th/77130535.pdf","77130535")</f>
        <v>77130535</v>
      </c>
      <c r="F859" s="7" t="s">
        <v>2408</v>
      </c>
      <c r="G859" s="7" t="s">
        <v>2409</v>
      </c>
      <c r="H859" s="7" t="s">
        <v>2410</v>
      </c>
      <c r="I859" s="9">
        <v>45357</v>
      </c>
    </row>
    <row r="860" spans="1:9" x14ac:dyDescent="0.15">
      <c r="A860" s="6">
        <v>859</v>
      </c>
      <c r="B860" s="7" t="s">
        <v>9</v>
      </c>
      <c r="C860" s="8">
        <v>1889</v>
      </c>
      <c r="D860" s="9">
        <v>45439</v>
      </c>
      <c r="E860" s="13" t="str">
        <f>+HYPERLINK("http://trademark.i-assist.jp/data/china/image_1889th/77130597.pdf","77130597")</f>
        <v>77130597</v>
      </c>
      <c r="F860" s="7" t="s">
        <v>2411</v>
      </c>
      <c r="G860" s="7" t="s">
        <v>2412</v>
      </c>
      <c r="H860" s="7" t="s">
        <v>2413</v>
      </c>
      <c r="I860" s="9">
        <v>45357</v>
      </c>
    </row>
    <row r="861" spans="1:9" x14ac:dyDescent="0.15">
      <c r="A861" s="6">
        <v>860</v>
      </c>
      <c r="B861" s="7" t="s">
        <v>9</v>
      </c>
      <c r="C861" s="8">
        <v>1889</v>
      </c>
      <c r="D861" s="9">
        <v>45439</v>
      </c>
      <c r="E861" s="13" t="str">
        <f>+HYPERLINK("http://trademark.i-assist.jp/data/china/image_1889th/77130954.pdf","77130954")</f>
        <v>77130954</v>
      </c>
      <c r="F861" s="7" t="s">
        <v>2414</v>
      </c>
      <c r="G861" s="7" t="s">
        <v>2415</v>
      </c>
      <c r="H861" s="7" t="s">
        <v>2416</v>
      </c>
      <c r="I861" s="9">
        <v>45357</v>
      </c>
    </row>
    <row r="862" spans="1:9" x14ac:dyDescent="0.15">
      <c r="A862" s="6">
        <v>861</v>
      </c>
      <c r="B862" s="7" t="s">
        <v>9</v>
      </c>
      <c r="C862" s="8">
        <v>1889</v>
      </c>
      <c r="D862" s="9">
        <v>45439</v>
      </c>
      <c r="E862" s="13" t="str">
        <f>+HYPERLINK("http://trademark.i-assist.jp/data/china/image_1889th/77131635.pdf","77131635")</f>
        <v>77131635</v>
      </c>
      <c r="F862" s="7" t="s">
        <v>2417</v>
      </c>
      <c r="G862" s="7" t="s">
        <v>2418</v>
      </c>
      <c r="H862" s="7" t="s">
        <v>2419</v>
      </c>
      <c r="I862" s="9">
        <v>45357</v>
      </c>
    </row>
    <row r="863" spans="1:9" x14ac:dyDescent="0.15">
      <c r="A863" s="6">
        <v>862</v>
      </c>
      <c r="B863" s="7" t="s">
        <v>9</v>
      </c>
      <c r="C863" s="8">
        <v>1889</v>
      </c>
      <c r="D863" s="9">
        <v>45439</v>
      </c>
      <c r="E863" s="13" t="str">
        <f>+HYPERLINK("http://trademark.i-assist.jp/data/china/image_1889th/77131725.pdf","77131725")</f>
        <v>77131725</v>
      </c>
      <c r="F863" s="7" t="s">
        <v>2420</v>
      </c>
      <c r="G863" s="7" t="s">
        <v>2421</v>
      </c>
      <c r="H863" s="7" t="s">
        <v>2422</v>
      </c>
      <c r="I863" s="9">
        <v>45357</v>
      </c>
    </row>
    <row r="864" spans="1:9" x14ac:dyDescent="0.15">
      <c r="A864" s="6">
        <v>863</v>
      </c>
      <c r="B864" s="7" t="s">
        <v>9</v>
      </c>
      <c r="C864" s="8">
        <v>1889</v>
      </c>
      <c r="D864" s="9">
        <v>45439</v>
      </c>
      <c r="E864" s="13" t="str">
        <f>+HYPERLINK("http://trademark.i-assist.jp/data/china/image_1889th/77132733.pdf","77132733")</f>
        <v>77132733</v>
      </c>
      <c r="F864" s="7" t="s">
        <v>2423</v>
      </c>
      <c r="G864" s="7" t="s">
        <v>2424</v>
      </c>
      <c r="H864" s="7" t="s">
        <v>2425</v>
      </c>
      <c r="I864" s="9">
        <v>45357</v>
      </c>
    </row>
    <row r="865" spans="1:9" x14ac:dyDescent="0.15">
      <c r="A865" s="6">
        <v>864</v>
      </c>
      <c r="B865" s="7" t="s">
        <v>9</v>
      </c>
      <c r="C865" s="8">
        <v>1889</v>
      </c>
      <c r="D865" s="9">
        <v>45439</v>
      </c>
      <c r="E865" s="13" t="str">
        <f>+HYPERLINK("http://trademark.i-assist.jp/data/china/image_1889th/77132996.pdf","77132996")</f>
        <v>77132996</v>
      </c>
      <c r="F865" s="7" t="s">
        <v>2426</v>
      </c>
      <c r="G865" s="7" t="s">
        <v>2397</v>
      </c>
      <c r="H865" s="7" t="s">
        <v>2427</v>
      </c>
      <c r="I865" s="9">
        <v>45357</v>
      </c>
    </row>
    <row r="866" spans="1:9" ht="27" x14ac:dyDescent="0.15">
      <c r="A866" s="6">
        <v>865</v>
      </c>
      <c r="B866" s="7" t="s">
        <v>9</v>
      </c>
      <c r="C866" s="8">
        <v>1889</v>
      </c>
      <c r="D866" s="9">
        <v>45439</v>
      </c>
      <c r="E866" s="13" t="str">
        <f>+HYPERLINK("http://trademark.i-assist.jp/data/china/image_1889th/77133143.pdf","77133143")</f>
        <v>77133143</v>
      </c>
      <c r="F866" s="7" t="s">
        <v>2428</v>
      </c>
      <c r="G866" s="7" t="s">
        <v>2429</v>
      </c>
      <c r="H866" s="7" t="s">
        <v>2430</v>
      </c>
      <c r="I866" s="9">
        <v>45357</v>
      </c>
    </row>
    <row r="867" spans="1:9" x14ac:dyDescent="0.15">
      <c r="A867" s="6">
        <v>866</v>
      </c>
      <c r="B867" s="7" t="s">
        <v>9</v>
      </c>
      <c r="C867" s="8">
        <v>1889</v>
      </c>
      <c r="D867" s="9">
        <v>45439</v>
      </c>
      <c r="E867" s="13" t="str">
        <f>+HYPERLINK("http://trademark.i-assist.jp/data/china/image_1889th/77133810.pdf","77133810")</f>
        <v>77133810</v>
      </c>
      <c r="F867" s="7" t="s">
        <v>2431</v>
      </c>
      <c r="G867" s="7" t="s">
        <v>2432</v>
      </c>
      <c r="H867" s="7" t="s">
        <v>2433</v>
      </c>
      <c r="I867" s="9">
        <v>45357</v>
      </c>
    </row>
    <row r="868" spans="1:9" x14ac:dyDescent="0.15">
      <c r="A868" s="6">
        <v>867</v>
      </c>
      <c r="B868" s="7" t="s">
        <v>9</v>
      </c>
      <c r="C868" s="8">
        <v>1889</v>
      </c>
      <c r="D868" s="9">
        <v>45439</v>
      </c>
      <c r="E868" s="13" t="str">
        <f>+HYPERLINK("http://trademark.i-assist.jp/data/china/image_1889th/77134236.pdf","77134236")</f>
        <v>77134236</v>
      </c>
      <c r="F868" s="7" t="s">
        <v>2434</v>
      </c>
      <c r="G868" s="7" t="s">
        <v>2435</v>
      </c>
      <c r="H868" s="7" t="s">
        <v>2436</v>
      </c>
      <c r="I868" s="9">
        <v>45357</v>
      </c>
    </row>
    <row r="869" spans="1:9" x14ac:dyDescent="0.15">
      <c r="A869" s="6">
        <v>868</v>
      </c>
      <c r="B869" s="7" t="s">
        <v>9</v>
      </c>
      <c r="C869" s="8">
        <v>1889</v>
      </c>
      <c r="D869" s="9">
        <v>45439</v>
      </c>
      <c r="E869" s="13" t="str">
        <f>+HYPERLINK("http://trademark.i-assist.jp/data/china/image_1889th/77134720.pdf","77134720")</f>
        <v>77134720</v>
      </c>
      <c r="F869" s="7" t="s">
        <v>2437</v>
      </c>
      <c r="G869" s="7" t="s">
        <v>2438</v>
      </c>
      <c r="H869" s="7" t="s">
        <v>2439</v>
      </c>
      <c r="I869" s="9">
        <v>45357</v>
      </c>
    </row>
    <row r="870" spans="1:9" ht="27" x14ac:dyDescent="0.15">
      <c r="A870" s="6">
        <v>869</v>
      </c>
      <c r="B870" s="7" t="s">
        <v>9</v>
      </c>
      <c r="C870" s="8">
        <v>1889</v>
      </c>
      <c r="D870" s="9">
        <v>45439</v>
      </c>
      <c r="E870" s="13" t="str">
        <f>+HYPERLINK("http://trademark.i-assist.jp/data/china/image_1889th/77134958.pdf","77134958")</f>
        <v>77134958</v>
      </c>
      <c r="F870" s="7" t="s">
        <v>2440</v>
      </c>
      <c r="G870" s="7" t="s">
        <v>2441</v>
      </c>
      <c r="H870" s="7" t="s">
        <v>2442</v>
      </c>
      <c r="I870" s="9">
        <v>45357</v>
      </c>
    </row>
    <row r="871" spans="1:9" ht="27" x14ac:dyDescent="0.15">
      <c r="A871" s="6">
        <v>870</v>
      </c>
      <c r="B871" s="7" t="s">
        <v>9</v>
      </c>
      <c r="C871" s="8">
        <v>1889</v>
      </c>
      <c r="D871" s="9">
        <v>45439</v>
      </c>
      <c r="E871" s="13" t="str">
        <f>+HYPERLINK("http://trademark.i-assist.jp/data/china/image_1889th/77135340.pdf","77135340")</f>
        <v>77135340</v>
      </c>
      <c r="F871" s="7" t="s">
        <v>2443</v>
      </c>
      <c r="G871" s="7" t="s">
        <v>2444</v>
      </c>
      <c r="H871" s="7" t="s">
        <v>2445</v>
      </c>
      <c r="I871" s="9">
        <v>45357</v>
      </c>
    </row>
    <row r="872" spans="1:9" x14ac:dyDescent="0.15">
      <c r="A872" s="6">
        <v>871</v>
      </c>
      <c r="B872" s="7" t="s">
        <v>9</v>
      </c>
      <c r="C872" s="8">
        <v>1889</v>
      </c>
      <c r="D872" s="9">
        <v>45439</v>
      </c>
      <c r="E872" s="13" t="str">
        <f>+HYPERLINK("http://trademark.i-assist.jp/data/china/image_1889th/77136876.pdf","77136876")</f>
        <v>77136876</v>
      </c>
      <c r="F872" s="7" t="s">
        <v>2446</v>
      </c>
      <c r="G872" s="7" t="s">
        <v>2447</v>
      </c>
      <c r="H872" s="7" t="s">
        <v>2448</v>
      </c>
      <c r="I872" s="9">
        <v>45357</v>
      </c>
    </row>
    <row r="873" spans="1:9" x14ac:dyDescent="0.15">
      <c r="A873" s="6">
        <v>872</v>
      </c>
      <c r="B873" s="7" t="s">
        <v>9</v>
      </c>
      <c r="C873" s="8">
        <v>1889</v>
      </c>
      <c r="D873" s="9">
        <v>45439</v>
      </c>
      <c r="E873" s="13" t="str">
        <f>+HYPERLINK("http://trademark.i-assist.jp/data/china/image_1889th/77136929.pdf","77136929")</f>
        <v>77136929</v>
      </c>
      <c r="F873" s="7" t="s">
        <v>2449</v>
      </c>
      <c r="G873" s="7" t="s">
        <v>2450</v>
      </c>
      <c r="H873" s="7" t="s">
        <v>2451</v>
      </c>
      <c r="I873" s="9">
        <v>45357</v>
      </c>
    </row>
    <row r="874" spans="1:9" ht="27" x14ac:dyDescent="0.15">
      <c r="A874" s="6">
        <v>873</v>
      </c>
      <c r="B874" s="7" t="s">
        <v>9</v>
      </c>
      <c r="C874" s="8">
        <v>1889</v>
      </c>
      <c r="D874" s="9">
        <v>45439</v>
      </c>
      <c r="E874" s="13" t="str">
        <f>+HYPERLINK("http://trademark.i-assist.jp/data/china/image_1889th/77137099.pdf","77137099")</f>
        <v>77137099</v>
      </c>
      <c r="F874" s="7" t="s">
        <v>2452</v>
      </c>
      <c r="G874" s="7" t="s">
        <v>2453</v>
      </c>
      <c r="H874" s="7" t="s">
        <v>2454</v>
      </c>
      <c r="I874" s="9">
        <v>45357</v>
      </c>
    </row>
    <row r="875" spans="1:9" x14ac:dyDescent="0.15">
      <c r="A875" s="6">
        <v>874</v>
      </c>
      <c r="B875" s="7" t="s">
        <v>9</v>
      </c>
      <c r="C875" s="8">
        <v>1889</v>
      </c>
      <c r="D875" s="9">
        <v>45439</v>
      </c>
      <c r="E875" s="13" t="str">
        <f>+HYPERLINK("http://trademark.i-assist.jp/data/china/image_1889th/77137131.pdf","77137131")</f>
        <v>77137131</v>
      </c>
      <c r="F875" s="7" t="s">
        <v>2455</v>
      </c>
      <c r="G875" s="7" t="s">
        <v>2456</v>
      </c>
      <c r="H875" s="7" t="s">
        <v>2457</v>
      </c>
      <c r="I875" s="9">
        <v>45357</v>
      </c>
    </row>
    <row r="876" spans="1:9" x14ac:dyDescent="0.15">
      <c r="A876" s="6">
        <v>875</v>
      </c>
      <c r="B876" s="7" t="s">
        <v>9</v>
      </c>
      <c r="C876" s="8">
        <v>1889</v>
      </c>
      <c r="D876" s="9">
        <v>45439</v>
      </c>
      <c r="E876" s="13" t="str">
        <f>+HYPERLINK("http://trademark.i-assist.jp/data/china/image_1889th/77137433.pdf","77137433")</f>
        <v>77137433</v>
      </c>
      <c r="F876" s="7" t="s">
        <v>2458</v>
      </c>
      <c r="G876" s="7" t="s">
        <v>2459</v>
      </c>
      <c r="H876" s="7" t="s">
        <v>2460</v>
      </c>
      <c r="I876" s="9">
        <v>45357</v>
      </c>
    </row>
    <row r="877" spans="1:9" x14ac:dyDescent="0.15">
      <c r="A877" s="6">
        <v>876</v>
      </c>
      <c r="B877" s="7" t="s">
        <v>9</v>
      </c>
      <c r="C877" s="8">
        <v>1889</v>
      </c>
      <c r="D877" s="9">
        <v>45439</v>
      </c>
      <c r="E877" s="13" t="str">
        <f>+HYPERLINK("http://trademark.i-assist.jp/data/china/image_1889th/77137450.pdf","77137450")</f>
        <v>77137450</v>
      </c>
      <c r="F877" s="7" t="s">
        <v>2461</v>
      </c>
      <c r="G877" s="7" t="s">
        <v>2462</v>
      </c>
      <c r="H877" s="7" t="s">
        <v>2463</v>
      </c>
      <c r="I877" s="9">
        <v>45357</v>
      </c>
    </row>
    <row r="878" spans="1:9" x14ac:dyDescent="0.15">
      <c r="A878" s="6">
        <v>877</v>
      </c>
      <c r="B878" s="7" t="s">
        <v>9</v>
      </c>
      <c r="C878" s="8">
        <v>1889</v>
      </c>
      <c r="D878" s="9">
        <v>45439</v>
      </c>
      <c r="E878" s="13" t="str">
        <f>+HYPERLINK("http://trademark.i-assist.jp/data/china/image_1889th/77137480.pdf","77137480")</f>
        <v>77137480</v>
      </c>
      <c r="F878" s="7" t="s">
        <v>2464</v>
      </c>
      <c r="G878" s="7" t="s">
        <v>2368</v>
      </c>
      <c r="H878" s="7" t="s">
        <v>2465</v>
      </c>
      <c r="I878" s="9">
        <v>45357</v>
      </c>
    </row>
    <row r="879" spans="1:9" x14ac:dyDescent="0.15">
      <c r="A879" s="6">
        <v>878</v>
      </c>
      <c r="B879" s="7" t="s">
        <v>9</v>
      </c>
      <c r="C879" s="8">
        <v>1889</v>
      </c>
      <c r="D879" s="9">
        <v>45439</v>
      </c>
      <c r="E879" s="13" t="str">
        <f>+HYPERLINK("http://trademark.i-assist.jp/data/china/image_1889th/77137827.pdf","77137827")</f>
        <v>77137827</v>
      </c>
      <c r="F879" s="7" t="s">
        <v>2466</v>
      </c>
      <c r="G879" s="7" t="s">
        <v>2467</v>
      </c>
      <c r="H879" s="7" t="s">
        <v>2468</v>
      </c>
      <c r="I879" s="9">
        <v>45357</v>
      </c>
    </row>
    <row r="880" spans="1:9" ht="27" x14ac:dyDescent="0.15">
      <c r="A880" s="6">
        <v>879</v>
      </c>
      <c r="B880" s="7" t="s">
        <v>9</v>
      </c>
      <c r="C880" s="8">
        <v>1889</v>
      </c>
      <c r="D880" s="9">
        <v>45439</v>
      </c>
      <c r="E880" s="13" t="str">
        <f>+HYPERLINK("http://trademark.i-assist.jp/data/china/image_1889th/77137888.pdf","77137888")</f>
        <v>77137888</v>
      </c>
      <c r="F880" s="7" t="s">
        <v>2469</v>
      </c>
      <c r="G880" s="7" t="s">
        <v>289</v>
      </c>
      <c r="H880" s="7" t="s">
        <v>2470</v>
      </c>
      <c r="I880" s="9">
        <v>45357</v>
      </c>
    </row>
    <row r="881" spans="1:9" x14ac:dyDescent="0.15">
      <c r="A881" s="6">
        <v>880</v>
      </c>
      <c r="B881" s="7" t="s">
        <v>9</v>
      </c>
      <c r="C881" s="8">
        <v>1889</v>
      </c>
      <c r="D881" s="9">
        <v>45439</v>
      </c>
      <c r="E881" s="13" t="str">
        <f>+HYPERLINK("http://trademark.i-assist.jp/data/china/image_1889th/77138023.pdf","77138023")</f>
        <v>77138023</v>
      </c>
      <c r="F881" s="7" t="s">
        <v>2471</v>
      </c>
      <c r="G881" s="7" t="s">
        <v>2472</v>
      </c>
      <c r="H881" s="7" t="s">
        <v>2473</v>
      </c>
      <c r="I881" s="9">
        <v>45357</v>
      </c>
    </row>
    <row r="882" spans="1:9" x14ac:dyDescent="0.15">
      <c r="A882" s="6">
        <v>881</v>
      </c>
      <c r="B882" s="7" t="s">
        <v>9</v>
      </c>
      <c r="C882" s="8">
        <v>1889</v>
      </c>
      <c r="D882" s="9">
        <v>45439</v>
      </c>
      <c r="E882" s="13" t="str">
        <f>+HYPERLINK("http://trademark.i-assist.jp/data/china/image_1889th/77138377.pdf","77138377")</f>
        <v>77138377</v>
      </c>
      <c r="F882" s="7" t="s">
        <v>2474</v>
      </c>
      <c r="G882" s="7" t="s">
        <v>2475</v>
      </c>
      <c r="H882" s="7" t="s">
        <v>2476</v>
      </c>
      <c r="I882" s="9">
        <v>45357</v>
      </c>
    </row>
    <row r="883" spans="1:9" ht="27" x14ac:dyDescent="0.15">
      <c r="A883" s="6">
        <v>882</v>
      </c>
      <c r="B883" s="7" t="s">
        <v>9</v>
      </c>
      <c r="C883" s="8">
        <v>1889</v>
      </c>
      <c r="D883" s="9">
        <v>45439</v>
      </c>
      <c r="E883" s="13" t="str">
        <f>+HYPERLINK("http://trademark.i-assist.jp/data/china/image_1889th/77138495.pdf","77138495")</f>
        <v>77138495</v>
      </c>
      <c r="F883" s="7" t="s">
        <v>2477</v>
      </c>
      <c r="G883" s="7" t="s">
        <v>2478</v>
      </c>
      <c r="H883" s="7" t="s">
        <v>2479</v>
      </c>
      <c r="I883" s="9">
        <v>45357</v>
      </c>
    </row>
    <row r="884" spans="1:9" x14ac:dyDescent="0.15">
      <c r="A884" s="6">
        <v>883</v>
      </c>
      <c r="B884" s="7" t="s">
        <v>9</v>
      </c>
      <c r="C884" s="8">
        <v>1889</v>
      </c>
      <c r="D884" s="9">
        <v>45439</v>
      </c>
      <c r="E884" s="13" t="str">
        <f>+HYPERLINK("http://trademark.i-assist.jp/data/china/image_1889th/77138925.pdf","77138925")</f>
        <v>77138925</v>
      </c>
      <c r="F884" s="7" t="s">
        <v>2480</v>
      </c>
      <c r="G884" s="7" t="s">
        <v>2481</v>
      </c>
      <c r="H884" s="7" t="s">
        <v>2482</v>
      </c>
      <c r="I884" s="9">
        <v>45357</v>
      </c>
    </row>
    <row r="885" spans="1:9" x14ac:dyDescent="0.15">
      <c r="A885" s="6">
        <v>884</v>
      </c>
      <c r="B885" s="7" t="s">
        <v>9</v>
      </c>
      <c r="C885" s="8">
        <v>1889</v>
      </c>
      <c r="D885" s="9">
        <v>45439</v>
      </c>
      <c r="E885" s="13" t="str">
        <f>+HYPERLINK("http://trademark.i-assist.jp/data/china/image_1889th/77139131.pdf","77139131")</f>
        <v>77139131</v>
      </c>
      <c r="F885" s="7" t="s">
        <v>2483</v>
      </c>
      <c r="G885" s="7" t="s">
        <v>2484</v>
      </c>
      <c r="H885" s="7" t="s">
        <v>2485</v>
      </c>
      <c r="I885" s="9">
        <v>45357</v>
      </c>
    </row>
    <row r="886" spans="1:9" ht="27" x14ac:dyDescent="0.15">
      <c r="A886" s="6">
        <v>885</v>
      </c>
      <c r="B886" s="7" t="s">
        <v>9</v>
      </c>
      <c r="C886" s="8">
        <v>1889</v>
      </c>
      <c r="D886" s="9">
        <v>45439</v>
      </c>
      <c r="E886" s="13" t="str">
        <f>+HYPERLINK("http://trademark.i-assist.jp/data/china/image_1889th/77139135.pdf","77139135")</f>
        <v>77139135</v>
      </c>
      <c r="F886" s="7" t="s">
        <v>2486</v>
      </c>
      <c r="G886" s="7" t="s">
        <v>289</v>
      </c>
      <c r="H886" s="7" t="s">
        <v>2487</v>
      </c>
      <c r="I886" s="9">
        <v>45357</v>
      </c>
    </row>
    <row r="887" spans="1:9" ht="27" x14ac:dyDescent="0.15">
      <c r="A887" s="6">
        <v>886</v>
      </c>
      <c r="B887" s="7" t="s">
        <v>9</v>
      </c>
      <c r="C887" s="8">
        <v>1889</v>
      </c>
      <c r="D887" s="9">
        <v>45439</v>
      </c>
      <c r="E887" s="13" t="str">
        <f>+HYPERLINK("http://trademark.i-assist.jp/data/china/image_1889th/77139144.pdf","77139144")</f>
        <v>77139144</v>
      </c>
      <c r="F887" s="7" t="s">
        <v>2488</v>
      </c>
      <c r="G887" s="7" t="s">
        <v>289</v>
      </c>
      <c r="H887" s="7" t="s">
        <v>2489</v>
      </c>
      <c r="I887" s="9">
        <v>45357</v>
      </c>
    </row>
    <row r="888" spans="1:9" x14ac:dyDescent="0.15">
      <c r="A888" s="6">
        <v>887</v>
      </c>
      <c r="B888" s="7" t="s">
        <v>9</v>
      </c>
      <c r="C888" s="8">
        <v>1889</v>
      </c>
      <c r="D888" s="9">
        <v>45439</v>
      </c>
      <c r="E888" s="13" t="str">
        <f>+HYPERLINK("http://trademark.i-assist.jp/data/china/image_1889th/77140207.pdf","77140207")</f>
        <v>77140207</v>
      </c>
      <c r="F888" s="7" t="s">
        <v>2490</v>
      </c>
      <c r="G888" s="7" t="s">
        <v>2202</v>
      </c>
      <c r="H888" s="7" t="s">
        <v>2491</v>
      </c>
      <c r="I888" s="9">
        <v>45357</v>
      </c>
    </row>
    <row r="889" spans="1:9" x14ac:dyDescent="0.15">
      <c r="A889" s="6">
        <v>888</v>
      </c>
      <c r="B889" s="7" t="s">
        <v>9</v>
      </c>
      <c r="C889" s="8">
        <v>1889</v>
      </c>
      <c r="D889" s="9">
        <v>45439</v>
      </c>
      <c r="E889" s="13" t="str">
        <f>+HYPERLINK("http://trademark.i-assist.jp/data/china/image_1889th/77140216.pdf","77140216")</f>
        <v>77140216</v>
      </c>
      <c r="F889" s="7" t="s">
        <v>2492</v>
      </c>
      <c r="G889" s="7" t="s">
        <v>2493</v>
      </c>
      <c r="H889" s="7" t="s">
        <v>2494</v>
      </c>
      <c r="I889" s="9">
        <v>45357</v>
      </c>
    </row>
    <row r="890" spans="1:9" x14ac:dyDescent="0.15">
      <c r="A890" s="6">
        <v>889</v>
      </c>
      <c r="B890" s="7" t="s">
        <v>9</v>
      </c>
      <c r="C890" s="8">
        <v>1889</v>
      </c>
      <c r="D890" s="9">
        <v>45439</v>
      </c>
      <c r="E890" s="13" t="str">
        <f>+HYPERLINK("http://trademark.i-assist.jp/data/china/image_1889th/77140239.pdf","77140239")</f>
        <v>77140239</v>
      </c>
      <c r="F890" s="7" t="s">
        <v>2495</v>
      </c>
      <c r="G890" s="7" t="s">
        <v>2496</v>
      </c>
      <c r="H890" s="7" t="s">
        <v>2497</v>
      </c>
      <c r="I890" s="9">
        <v>45357</v>
      </c>
    </row>
    <row r="891" spans="1:9" x14ac:dyDescent="0.15">
      <c r="A891" s="6">
        <v>890</v>
      </c>
      <c r="B891" s="7" t="s">
        <v>9</v>
      </c>
      <c r="C891" s="8">
        <v>1889</v>
      </c>
      <c r="D891" s="9">
        <v>45439</v>
      </c>
      <c r="E891" s="13" t="str">
        <f>+HYPERLINK("http://trademark.i-assist.jp/data/china/image_1889th/77140248.pdf","77140248")</f>
        <v>77140248</v>
      </c>
      <c r="F891" s="7" t="s">
        <v>2498</v>
      </c>
      <c r="G891" s="7" t="s">
        <v>2496</v>
      </c>
      <c r="H891" s="7" t="s">
        <v>2499</v>
      </c>
      <c r="I891" s="9">
        <v>45357</v>
      </c>
    </row>
    <row r="892" spans="1:9" x14ac:dyDescent="0.15">
      <c r="A892" s="6">
        <v>891</v>
      </c>
      <c r="B892" s="7" t="s">
        <v>9</v>
      </c>
      <c r="C892" s="8">
        <v>1889</v>
      </c>
      <c r="D892" s="9">
        <v>45439</v>
      </c>
      <c r="E892" s="13" t="str">
        <f>+HYPERLINK("http://trademark.i-assist.jp/data/china/image_1889th/77141363.pdf","77141363")</f>
        <v>77141363</v>
      </c>
      <c r="F892" s="7" t="s">
        <v>2500</v>
      </c>
      <c r="G892" s="7" t="s">
        <v>2501</v>
      </c>
      <c r="H892" s="7" t="s">
        <v>2502</v>
      </c>
      <c r="I892" s="9">
        <v>45357</v>
      </c>
    </row>
    <row r="893" spans="1:9" x14ac:dyDescent="0.15">
      <c r="A893" s="6">
        <v>892</v>
      </c>
      <c r="B893" s="7" t="s">
        <v>9</v>
      </c>
      <c r="C893" s="8">
        <v>1889</v>
      </c>
      <c r="D893" s="9">
        <v>45439</v>
      </c>
      <c r="E893" s="13" t="str">
        <f>+HYPERLINK("http://trademark.i-assist.jp/data/china/image_1889th/77141986.pdf","77141986")</f>
        <v>77141986</v>
      </c>
      <c r="F893" s="7" t="s">
        <v>2503</v>
      </c>
      <c r="G893" s="7" t="s">
        <v>2504</v>
      </c>
      <c r="H893" s="7" t="s">
        <v>2505</v>
      </c>
      <c r="I893" s="9">
        <v>45357</v>
      </c>
    </row>
    <row r="894" spans="1:9" x14ac:dyDescent="0.15">
      <c r="A894" s="6">
        <v>893</v>
      </c>
      <c r="B894" s="7" t="s">
        <v>9</v>
      </c>
      <c r="C894" s="8">
        <v>1889</v>
      </c>
      <c r="D894" s="9">
        <v>45439</v>
      </c>
      <c r="E894" s="13" t="str">
        <f>+HYPERLINK("http://trademark.i-assist.jp/data/china/image_1889th/77141995.pdf","77141995")</f>
        <v>77141995</v>
      </c>
      <c r="F894" s="7" t="s">
        <v>2506</v>
      </c>
      <c r="G894" s="7" t="s">
        <v>2507</v>
      </c>
      <c r="H894" s="7" t="s">
        <v>2508</v>
      </c>
      <c r="I894" s="9">
        <v>45357</v>
      </c>
    </row>
    <row r="895" spans="1:9" x14ac:dyDescent="0.15">
      <c r="A895" s="6">
        <v>894</v>
      </c>
      <c r="B895" s="7" t="s">
        <v>9</v>
      </c>
      <c r="C895" s="8">
        <v>1889</v>
      </c>
      <c r="D895" s="9">
        <v>45439</v>
      </c>
      <c r="E895" s="13" t="str">
        <f>+HYPERLINK("http://trademark.i-assist.jp/data/china/image_1889th/77142405.pdf","77142405")</f>
        <v>77142405</v>
      </c>
      <c r="F895" s="7" t="s">
        <v>2509</v>
      </c>
      <c r="G895" s="7" t="s">
        <v>2510</v>
      </c>
      <c r="H895" s="7" t="s">
        <v>2511</v>
      </c>
      <c r="I895" s="9">
        <v>45357</v>
      </c>
    </row>
    <row r="896" spans="1:9" x14ac:dyDescent="0.15">
      <c r="A896" s="6">
        <v>895</v>
      </c>
      <c r="B896" s="7" t="s">
        <v>9</v>
      </c>
      <c r="C896" s="8">
        <v>1889</v>
      </c>
      <c r="D896" s="9">
        <v>45439</v>
      </c>
      <c r="E896" s="13" t="str">
        <f>+HYPERLINK("http://trademark.i-assist.jp/data/china/image_1889th/77142851.pdf","77142851")</f>
        <v>77142851</v>
      </c>
      <c r="F896" s="7" t="s">
        <v>2512</v>
      </c>
      <c r="G896" s="7" t="s">
        <v>2513</v>
      </c>
      <c r="H896" s="7" t="s">
        <v>2514</v>
      </c>
      <c r="I896" s="9">
        <v>45357</v>
      </c>
    </row>
    <row r="897" spans="1:9" x14ac:dyDescent="0.15">
      <c r="A897" s="6">
        <v>896</v>
      </c>
      <c r="B897" s="7" t="s">
        <v>9</v>
      </c>
      <c r="C897" s="8">
        <v>1889</v>
      </c>
      <c r="D897" s="9">
        <v>45439</v>
      </c>
      <c r="E897" s="13" t="str">
        <f>+HYPERLINK("http://trademark.i-assist.jp/data/china/image_1889th/77142891.pdf","77142891")</f>
        <v>77142891</v>
      </c>
      <c r="F897" s="7" t="s">
        <v>2515</v>
      </c>
      <c r="G897" s="7" t="s">
        <v>2516</v>
      </c>
      <c r="H897" s="7" t="s">
        <v>2517</v>
      </c>
      <c r="I897" s="9">
        <v>45357</v>
      </c>
    </row>
    <row r="898" spans="1:9" ht="27" x14ac:dyDescent="0.15">
      <c r="A898" s="6">
        <v>897</v>
      </c>
      <c r="B898" s="7" t="s">
        <v>9</v>
      </c>
      <c r="C898" s="8">
        <v>1889</v>
      </c>
      <c r="D898" s="9">
        <v>45439</v>
      </c>
      <c r="E898" s="13" t="str">
        <f>+HYPERLINK("http://trademark.i-assist.jp/data/china/image_1889th/77143288.pdf","77143288")</f>
        <v>77143288</v>
      </c>
      <c r="F898" s="7" t="s">
        <v>2518</v>
      </c>
      <c r="G898" s="7" t="s">
        <v>2519</v>
      </c>
      <c r="H898" s="7" t="s">
        <v>2520</v>
      </c>
      <c r="I898" s="9">
        <v>45357</v>
      </c>
    </row>
    <row r="899" spans="1:9" ht="27" x14ac:dyDescent="0.15">
      <c r="A899" s="6">
        <v>898</v>
      </c>
      <c r="B899" s="7" t="s">
        <v>9</v>
      </c>
      <c r="C899" s="8">
        <v>1889</v>
      </c>
      <c r="D899" s="9">
        <v>45439</v>
      </c>
      <c r="E899" s="13" t="str">
        <f>+HYPERLINK("http://trademark.i-assist.jp/data/china/image_1889th/77143344.pdf","77143344")</f>
        <v>77143344</v>
      </c>
      <c r="F899" s="7" t="s">
        <v>2521</v>
      </c>
      <c r="G899" s="7" t="s">
        <v>2522</v>
      </c>
      <c r="H899" s="7" t="s">
        <v>2523</v>
      </c>
      <c r="I899" s="9">
        <v>45357</v>
      </c>
    </row>
    <row r="900" spans="1:9" x14ac:dyDescent="0.15">
      <c r="A900" s="6">
        <v>899</v>
      </c>
      <c r="B900" s="7" t="s">
        <v>9</v>
      </c>
      <c r="C900" s="8">
        <v>1889</v>
      </c>
      <c r="D900" s="9">
        <v>45439</v>
      </c>
      <c r="E900" s="13" t="str">
        <f>+HYPERLINK("http://trademark.i-assist.jp/data/china/image_1889th/77143591.pdf","77143591")</f>
        <v>77143591</v>
      </c>
      <c r="F900" s="7" t="s">
        <v>2524</v>
      </c>
      <c r="G900" s="7" t="s">
        <v>2525</v>
      </c>
      <c r="H900" s="7" t="s">
        <v>2526</v>
      </c>
      <c r="I900" s="9">
        <v>45357</v>
      </c>
    </row>
    <row r="901" spans="1:9" x14ac:dyDescent="0.15">
      <c r="A901" s="6">
        <v>900</v>
      </c>
      <c r="B901" s="7" t="s">
        <v>9</v>
      </c>
      <c r="C901" s="8">
        <v>1889</v>
      </c>
      <c r="D901" s="9">
        <v>45439</v>
      </c>
      <c r="E901" s="13" t="str">
        <f>+HYPERLINK("http://trademark.i-assist.jp/data/china/image_1889th/77143710.pdf","77143710")</f>
        <v>77143710</v>
      </c>
      <c r="F901" s="7" t="s">
        <v>2527</v>
      </c>
      <c r="G901" s="7" t="s">
        <v>2528</v>
      </c>
      <c r="H901" s="7" t="s">
        <v>2529</v>
      </c>
      <c r="I901" s="9">
        <v>45357</v>
      </c>
    </row>
    <row r="902" spans="1:9" ht="27" x14ac:dyDescent="0.15">
      <c r="A902" s="6">
        <v>901</v>
      </c>
      <c r="B902" s="7" t="s">
        <v>9</v>
      </c>
      <c r="C902" s="8">
        <v>1889</v>
      </c>
      <c r="D902" s="9">
        <v>45439</v>
      </c>
      <c r="E902" s="13" t="str">
        <f>+HYPERLINK("http://trademark.i-assist.jp/data/china/image_1889th/77143746.pdf","77143746")</f>
        <v>77143746</v>
      </c>
      <c r="F902" s="7" t="s">
        <v>2530</v>
      </c>
      <c r="G902" s="7" t="s">
        <v>2531</v>
      </c>
      <c r="H902" s="7" t="s">
        <v>2532</v>
      </c>
      <c r="I902" s="9">
        <v>45357</v>
      </c>
    </row>
    <row r="903" spans="1:9" x14ac:dyDescent="0.15">
      <c r="A903" s="6">
        <v>902</v>
      </c>
      <c r="B903" s="7" t="s">
        <v>9</v>
      </c>
      <c r="C903" s="8">
        <v>1889</v>
      </c>
      <c r="D903" s="9">
        <v>45439</v>
      </c>
      <c r="E903" s="13" t="str">
        <f>+HYPERLINK("http://trademark.i-assist.jp/data/china/image_1889th/77143762.pdf","77143762")</f>
        <v>77143762</v>
      </c>
      <c r="F903" s="7" t="s">
        <v>2533</v>
      </c>
      <c r="G903" s="7" t="s">
        <v>2534</v>
      </c>
      <c r="H903" s="7" t="s">
        <v>2535</v>
      </c>
      <c r="I903" s="9">
        <v>45357</v>
      </c>
    </row>
    <row r="904" spans="1:9" x14ac:dyDescent="0.15">
      <c r="A904" s="6">
        <v>903</v>
      </c>
      <c r="B904" s="7" t="s">
        <v>9</v>
      </c>
      <c r="C904" s="8">
        <v>1889</v>
      </c>
      <c r="D904" s="9">
        <v>45439</v>
      </c>
      <c r="E904" s="13" t="str">
        <f>+HYPERLINK("http://trademark.i-assist.jp/data/china/image_1889th/77144373.pdf","77144373")</f>
        <v>77144373</v>
      </c>
      <c r="F904" s="7" t="s">
        <v>2536</v>
      </c>
      <c r="G904" s="7" t="s">
        <v>2537</v>
      </c>
      <c r="H904" s="7" t="s">
        <v>2538</v>
      </c>
      <c r="I904" s="9">
        <v>45357</v>
      </c>
    </row>
    <row r="905" spans="1:9" x14ac:dyDescent="0.15">
      <c r="A905" s="6">
        <v>904</v>
      </c>
      <c r="B905" s="7" t="s">
        <v>9</v>
      </c>
      <c r="C905" s="8">
        <v>1889</v>
      </c>
      <c r="D905" s="9">
        <v>45439</v>
      </c>
      <c r="E905" s="13" t="str">
        <f>+HYPERLINK("http://trademark.i-assist.jp/data/china/image_1889th/77144736.pdf","77144736")</f>
        <v>77144736</v>
      </c>
      <c r="F905" s="7" t="s">
        <v>2539</v>
      </c>
      <c r="G905" s="7" t="s">
        <v>2481</v>
      </c>
      <c r="H905" s="7" t="s">
        <v>2540</v>
      </c>
      <c r="I905" s="9">
        <v>45357</v>
      </c>
    </row>
    <row r="906" spans="1:9" x14ac:dyDescent="0.15">
      <c r="A906" s="6">
        <v>905</v>
      </c>
      <c r="B906" s="7" t="s">
        <v>9</v>
      </c>
      <c r="C906" s="8">
        <v>1889</v>
      </c>
      <c r="D906" s="9">
        <v>45439</v>
      </c>
      <c r="E906" s="13" t="str">
        <f>+HYPERLINK("http://trademark.i-assist.jp/data/china/image_1889th/77144920.pdf","77144920")</f>
        <v>77144920</v>
      </c>
      <c r="F906" s="7" t="s">
        <v>2541</v>
      </c>
      <c r="G906" s="7" t="s">
        <v>2542</v>
      </c>
      <c r="H906" s="7" t="s">
        <v>2543</v>
      </c>
      <c r="I906" s="9">
        <v>45357</v>
      </c>
    </row>
    <row r="907" spans="1:9" x14ac:dyDescent="0.15">
      <c r="A907" s="6">
        <v>906</v>
      </c>
      <c r="B907" s="7" t="s">
        <v>9</v>
      </c>
      <c r="C907" s="8">
        <v>1889</v>
      </c>
      <c r="D907" s="9">
        <v>45439</v>
      </c>
      <c r="E907" s="13" t="str">
        <f>+HYPERLINK("http://trademark.i-assist.jp/data/china/image_1889th/77145146.pdf","77145146")</f>
        <v>77145146</v>
      </c>
      <c r="F907" s="7" t="s">
        <v>2544</v>
      </c>
      <c r="G907" s="7" t="s">
        <v>2545</v>
      </c>
      <c r="H907" s="7" t="s">
        <v>2546</v>
      </c>
      <c r="I907" s="9">
        <v>45357</v>
      </c>
    </row>
    <row r="908" spans="1:9" x14ac:dyDescent="0.15">
      <c r="A908" s="6">
        <v>907</v>
      </c>
      <c r="B908" s="7" t="s">
        <v>9</v>
      </c>
      <c r="C908" s="8">
        <v>1889</v>
      </c>
      <c r="D908" s="9">
        <v>45439</v>
      </c>
      <c r="E908" s="13" t="str">
        <f>+HYPERLINK("http://trademark.i-assist.jp/data/china/image_1889th/77145637.pdf","77145637")</f>
        <v>77145637</v>
      </c>
      <c r="F908" s="7" t="s">
        <v>2547</v>
      </c>
      <c r="G908" s="7" t="s">
        <v>2548</v>
      </c>
      <c r="H908" s="7" t="s">
        <v>2549</v>
      </c>
      <c r="I908" s="9">
        <v>45357</v>
      </c>
    </row>
    <row r="909" spans="1:9" x14ac:dyDescent="0.15">
      <c r="A909" s="6">
        <v>908</v>
      </c>
      <c r="B909" s="7" t="s">
        <v>9</v>
      </c>
      <c r="C909" s="8">
        <v>1889</v>
      </c>
      <c r="D909" s="9">
        <v>45439</v>
      </c>
      <c r="E909" s="13" t="str">
        <f>+HYPERLINK("http://trademark.i-assist.jp/data/china/image_1889th/77145708.pdf","77145708")</f>
        <v>77145708</v>
      </c>
      <c r="F909" s="7" t="s">
        <v>2550</v>
      </c>
      <c r="G909" s="7" t="s">
        <v>2475</v>
      </c>
      <c r="H909" s="7" t="s">
        <v>2551</v>
      </c>
      <c r="I909" s="9">
        <v>45357</v>
      </c>
    </row>
    <row r="910" spans="1:9" x14ac:dyDescent="0.15">
      <c r="A910" s="6">
        <v>909</v>
      </c>
      <c r="B910" s="7" t="s">
        <v>9</v>
      </c>
      <c r="C910" s="8">
        <v>1889</v>
      </c>
      <c r="D910" s="9">
        <v>45439</v>
      </c>
      <c r="E910" s="13" t="str">
        <f>+HYPERLINK("http://trademark.i-assist.jp/data/china/image_1889th/77146369.pdf","77146369")</f>
        <v>77146369</v>
      </c>
      <c r="F910" s="7" t="s">
        <v>2552</v>
      </c>
      <c r="G910" s="7" t="s">
        <v>2553</v>
      </c>
      <c r="H910" s="7" t="s">
        <v>2554</v>
      </c>
      <c r="I910" s="9">
        <v>45357</v>
      </c>
    </row>
    <row r="911" spans="1:9" x14ac:dyDescent="0.15">
      <c r="A911" s="6">
        <v>910</v>
      </c>
      <c r="B911" s="7" t="s">
        <v>9</v>
      </c>
      <c r="C911" s="8">
        <v>1889</v>
      </c>
      <c r="D911" s="9">
        <v>45439</v>
      </c>
      <c r="E911" s="13" t="str">
        <f>+HYPERLINK("http://trademark.i-assist.jp/data/china/image_1889th/77146422.pdf","77146422")</f>
        <v>77146422</v>
      </c>
      <c r="F911" s="7" t="s">
        <v>2555</v>
      </c>
      <c r="G911" s="7" t="s">
        <v>2556</v>
      </c>
      <c r="H911" s="7" t="s">
        <v>2557</v>
      </c>
      <c r="I911" s="9">
        <v>45357</v>
      </c>
    </row>
    <row r="912" spans="1:9" x14ac:dyDescent="0.15">
      <c r="A912" s="6">
        <v>911</v>
      </c>
      <c r="B912" s="7" t="s">
        <v>9</v>
      </c>
      <c r="C912" s="8">
        <v>1889</v>
      </c>
      <c r="D912" s="9">
        <v>45439</v>
      </c>
      <c r="E912" s="13" t="str">
        <f>+HYPERLINK("http://trademark.i-assist.jp/data/china/image_1889th/77146470.pdf","77146470")</f>
        <v>77146470</v>
      </c>
      <c r="F912" s="7" t="s">
        <v>2558</v>
      </c>
      <c r="G912" s="7" t="s">
        <v>2559</v>
      </c>
      <c r="H912" s="7" t="s">
        <v>2560</v>
      </c>
      <c r="I912" s="9">
        <v>45357</v>
      </c>
    </row>
    <row r="913" spans="1:9" x14ac:dyDescent="0.15">
      <c r="A913" s="6">
        <v>912</v>
      </c>
      <c r="B913" s="7" t="s">
        <v>9</v>
      </c>
      <c r="C913" s="8">
        <v>1889</v>
      </c>
      <c r="D913" s="9">
        <v>45439</v>
      </c>
      <c r="E913" s="13" t="str">
        <f>+HYPERLINK("http://trademark.i-assist.jp/data/china/image_1889th/77146977.pdf","77146977")</f>
        <v>77146977</v>
      </c>
      <c r="F913" s="7" t="s">
        <v>2561</v>
      </c>
      <c r="G913" s="7" t="s">
        <v>2562</v>
      </c>
      <c r="H913" s="7" t="s">
        <v>2563</v>
      </c>
      <c r="I913" s="9">
        <v>45357</v>
      </c>
    </row>
    <row r="914" spans="1:9" x14ac:dyDescent="0.15">
      <c r="A914" s="6">
        <v>913</v>
      </c>
      <c r="B914" s="7" t="s">
        <v>9</v>
      </c>
      <c r="C914" s="8">
        <v>1889</v>
      </c>
      <c r="D914" s="9">
        <v>45439</v>
      </c>
      <c r="E914" s="13" t="str">
        <f>+HYPERLINK("http://trademark.i-assist.jp/data/china/image_1889th/77147174.pdf","77147174")</f>
        <v>77147174</v>
      </c>
      <c r="F914" s="7" t="s">
        <v>2564</v>
      </c>
      <c r="G914" s="7" t="s">
        <v>2565</v>
      </c>
      <c r="H914" s="7" t="s">
        <v>2566</v>
      </c>
      <c r="I914" s="9">
        <v>45357</v>
      </c>
    </row>
    <row r="915" spans="1:9" x14ac:dyDescent="0.15">
      <c r="A915" s="6">
        <v>914</v>
      </c>
      <c r="B915" s="7" t="s">
        <v>9</v>
      </c>
      <c r="C915" s="8">
        <v>1889</v>
      </c>
      <c r="D915" s="9">
        <v>45439</v>
      </c>
      <c r="E915" s="13" t="str">
        <f>+HYPERLINK("http://trademark.i-assist.jp/data/china/image_1889th/77147290.pdf","77147290")</f>
        <v>77147290</v>
      </c>
      <c r="F915" s="7" t="s">
        <v>2567</v>
      </c>
      <c r="G915" s="7" t="s">
        <v>2568</v>
      </c>
      <c r="H915" s="7" t="s">
        <v>2569</v>
      </c>
      <c r="I915" s="9">
        <v>45357</v>
      </c>
    </row>
    <row r="916" spans="1:9" x14ac:dyDescent="0.15">
      <c r="A916" s="6">
        <v>915</v>
      </c>
      <c r="B916" s="7" t="s">
        <v>9</v>
      </c>
      <c r="C916" s="8">
        <v>1889</v>
      </c>
      <c r="D916" s="9">
        <v>45439</v>
      </c>
      <c r="E916" s="13" t="str">
        <f>+HYPERLINK("http://trademark.i-assist.jp/data/china/image_1889th/77147899.pdf","77147899")</f>
        <v>77147899</v>
      </c>
      <c r="F916" s="7" t="s">
        <v>2570</v>
      </c>
      <c r="G916" s="7" t="s">
        <v>2571</v>
      </c>
      <c r="H916" s="7" t="s">
        <v>2572</v>
      </c>
      <c r="I916" s="9">
        <v>45357</v>
      </c>
    </row>
    <row r="917" spans="1:9" ht="27" x14ac:dyDescent="0.15">
      <c r="A917" s="6">
        <v>916</v>
      </c>
      <c r="B917" s="7" t="s">
        <v>9</v>
      </c>
      <c r="C917" s="8">
        <v>1889</v>
      </c>
      <c r="D917" s="9">
        <v>45439</v>
      </c>
      <c r="E917" s="13" t="str">
        <f>+HYPERLINK("http://trademark.i-assist.jp/data/china/image_1889th/77148579.pdf","77148579")</f>
        <v>77148579</v>
      </c>
      <c r="F917" s="7" t="s">
        <v>2573</v>
      </c>
      <c r="G917" s="7" t="s">
        <v>2429</v>
      </c>
      <c r="H917" s="7" t="s">
        <v>2574</v>
      </c>
      <c r="I917" s="9">
        <v>45357</v>
      </c>
    </row>
    <row r="918" spans="1:9" x14ac:dyDescent="0.15">
      <c r="A918" s="6">
        <v>917</v>
      </c>
      <c r="B918" s="7" t="s">
        <v>9</v>
      </c>
      <c r="C918" s="8">
        <v>1889</v>
      </c>
      <c r="D918" s="9">
        <v>45439</v>
      </c>
      <c r="E918" s="13" t="str">
        <f>+HYPERLINK("http://trademark.i-assist.jp/data/china/image_1889th/77149360.pdf","77149360")</f>
        <v>77149360</v>
      </c>
      <c r="F918" s="7" t="s">
        <v>2575</v>
      </c>
      <c r="G918" s="7" t="s">
        <v>2576</v>
      </c>
      <c r="H918" s="7" t="s">
        <v>2577</v>
      </c>
      <c r="I918" s="9">
        <v>45358</v>
      </c>
    </row>
    <row r="919" spans="1:9" x14ac:dyDescent="0.15">
      <c r="A919" s="6">
        <v>918</v>
      </c>
      <c r="B919" s="7" t="s">
        <v>9</v>
      </c>
      <c r="C919" s="8">
        <v>1889</v>
      </c>
      <c r="D919" s="9">
        <v>45439</v>
      </c>
      <c r="E919" s="13" t="str">
        <f>+HYPERLINK("http://trademark.i-assist.jp/data/china/image_1889th/77149510.pdf","77149510")</f>
        <v>77149510</v>
      </c>
      <c r="F919" s="7" t="s">
        <v>2578</v>
      </c>
      <c r="G919" s="7" t="s">
        <v>2579</v>
      </c>
      <c r="H919" s="7" t="s">
        <v>2580</v>
      </c>
      <c r="I919" s="9">
        <v>45358</v>
      </c>
    </row>
    <row r="920" spans="1:9" x14ac:dyDescent="0.15">
      <c r="A920" s="6">
        <v>919</v>
      </c>
      <c r="B920" s="7" t="s">
        <v>9</v>
      </c>
      <c r="C920" s="8">
        <v>1889</v>
      </c>
      <c r="D920" s="9">
        <v>45439</v>
      </c>
      <c r="E920" s="13" t="str">
        <f>+HYPERLINK("http://trademark.i-assist.jp/data/china/image_1889th/77150579.pdf","77150579")</f>
        <v>77150579</v>
      </c>
      <c r="F920" s="7" t="s">
        <v>2581</v>
      </c>
      <c r="G920" s="7" t="s">
        <v>2582</v>
      </c>
      <c r="H920" s="7" t="s">
        <v>2583</v>
      </c>
      <c r="I920" s="9">
        <v>45358</v>
      </c>
    </row>
    <row r="921" spans="1:9" x14ac:dyDescent="0.15">
      <c r="A921" s="6">
        <v>920</v>
      </c>
      <c r="B921" s="7" t="s">
        <v>9</v>
      </c>
      <c r="C921" s="8">
        <v>1889</v>
      </c>
      <c r="D921" s="9">
        <v>45439</v>
      </c>
      <c r="E921" s="13" t="str">
        <f>+HYPERLINK("http://trademark.i-assist.jp/data/china/image_1889th/77150919.pdf","77150919")</f>
        <v>77150919</v>
      </c>
      <c r="F921" s="7" t="s">
        <v>2584</v>
      </c>
      <c r="G921" s="7" t="s">
        <v>2585</v>
      </c>
      <c r="H921" s="7" t="s">
        <v>2586</v>
      </c>
      <c r="I921" s="9">
        <v>45358</v>
      </c>
    </row>
    <row r="922" spans="1:9" x14ac:dyDescent="0.15">
      <c r="A922" s="6">
        <v>921</v>
      </c>
      <c r="B922" s="7" t="s">
        <v>9</v>
      </c>
      <c r="C922" s="8">
        <v>1889</v>
      </c>
      <c r="D922" s="9">
        <v>45439</v>
      </c>
      <c r="E922" s="13" t="str">
        <f>+HYPERLINK("http://trademark.i-assist.jp/data/china/image_1889th/77152073.pdf","77152073")</f>
        <v>77152073</v>
      </c>
      <c r="F922" s="7" t="s">
        <v>2587</v>
      </c>
      <c r="G922" s="7" t="s">
        <v>2588</v>
      </c>
      <c r="H922" s="7" t="s">
        <v>2589</v>
      </c>
      <c r="I922" s="9">
        <v>45358</v>
      </c>
    </row>
    <row r="923" spans="1:9" x14ac:dyDescent="0.15">
      <c r="A923" s="6">
        <v>922</v>
      </c>
      <c r="B923" s="7" t="s">
        <v>9</v>
      </c>
      <c r="C923" s="8">
        <v>1889</v>
      </c>
      <c r="D923" s="9">
        <v>45439</v>
      </c>
      <c r="E923" s="13" t="str">
        <f>+HYPERLINK("http://trademark.i-assist.jp/data/china/image_1889th/77153007.pdf","77153007")</f>
        <v>77153007</v>
      </c>
      <c r="F923" s="7" t="s">
        <v>2590</v>
      </c>
      <c r="G923" s="7" t="s">
        <v>2591</v>
      </c>
      <c r="H923" s="7" t="s">
        <v>2592</v>
      </c>
      <c r="I923" s="9">
        <v>45358</v>
      </c>
    </row>
    <row r="924" spans="1:9" x14ac:dyDescent="0.15">
      <c r="A924" s="6">
        <v>923</v>
      </c>
      <c r="B924" s="7" t="s">
        <v>9</v>
      </c>
      <c r="C924" s="8">
        <v>1889</v>
      </c>
      <c r="D924" s="9">
        <v>45439</v>
      </c>
      <c r="E924" s="13" t="str">
        <f>+HYPERLINK("http://trademark.i-assist.jp/data/china/image_1889th/77153026.pdf","77153026")</f>
        <v>77153026</v>
      </c>
      <c r="F924" s="7" t="s">
        <v>2593</v>
      </c>
      <c r="G924" s="7" t="s">
        <v>2582</v>
      </c>
      <c r="H924" s="7" t="s">
        <v>2594</v>
      </c>
      <c r="I924" s="9">
        <v>45358</v>
      </c>
    </row>
    <row r="925" spans="1:9" x14ac:dyDescent="0.15">
      <c r="A925" s="6">
        <v>924</v>
      </c>
      <c r="B925" s="7" t="s">
        <v>9</v>
      </c>
      <c r="C925" s="8">
        <v>1889</v>
      </c>
      <c r="D925" s="9">
        <v>45439</v>
      </c>
      <c r="E925" s="13" t="str">
        <f>+HYPERLINK("http://trademark.i-assist.jp/data/china/image_1889th/77153365.pdf","77153365")</f>
        <v>77153365</v>
      </c>
      <c r="F925" s="7" t="s">
        <v>2595</v>
      </c>
      <c r="G925" s="7" t="s">
        <v>2596</v>
      </c>
      <c r="H925" s="7" t="s">
        <v>2597</v>
      </c>
      <c r="I925" s="9">
        <v>45358</v>
      </c>
    </row>
    <row r="926" spans="1:9" x14ac:dyDescent="0.15">
      <c r="A926" s="6">
        <v>925</v>
      </c>
      <c r="B926" s="7" t="s">
        <v>9</v>
      </c>
      <c r="C926" s="8">
        <v>1889</v>
      </c>
      <c r="D926" s="9">
        <v>45439</v>
      </c>
      <c r="E926" s="13" t="str">
        <f>+HYPERLINK("http://trademark.i-assist.jp/data/china/image_1889th/77153368.pdf","77153368")</f>
        <v>77153368</v>
      </c>
      <c r="F926" s="7" t="s">
        <v>2598</v>
      </c>
      <c r="G926" s="7" t="s">
        <v>2596</v>
      </c>
      <c r="H926" s="7" t="s">
        <v>2599</v>
      </c>
      <c r="I926" s="9">
        <v>45358</v>
      </c>
    </row>
    <row r="927" spans="1:9" x14ac:dyDescent="0.15">
      <c r="A927" s="6">
        <v>926</v>
      </c>
      <c r="B927" s="7" t="s">
        <v>9</v>
      </c>
      <c r="C927" s="8">
        <v>1889</v>
      </c>
      <c r="D927" s="9">
        <v>45439</v>
      </c>
      <c r="E927" s="13" t="str">
        <f>+HYPERLINK("http://trademark.i-assist.jp/data/china/image_1889th/77154039.pdf","77154039")</f>
        <v>77154039</v>
      </c>
      <c r="F927" s="7" t="s">
        <v>2600</v>
      </c>
      <c r="G927" s="7" t="s">
        <v>2582</v>
      </c>
      <c r="H927" s="7" t="s">
        <v>2601</v>
      </c>
      <c r="I927" s="9">
        <v>45358</v>
      </c>
    </row>
    <row r="928" spans="1:9" x14ac:dyDescent="0.15">
      <c r="A928" s="6">
        <v>927</v>
      </c>
      <c r="B928" s="7" t="s">
        <v>9</v>
      </c>
      <c r="C928" s="8">
        <v>1889</v>
      </c>
      <c r="D928" s="9">
        <v>45439</v>
      </c>
      <c r="E928" s="13" t="str">
        <f>+HYPERLINK("http://trademark.i-assist.jp/data/china/image_1889th/77154349.pdf","77154349")</f>
        <v>77154349</v>
      </c>
      <c r="F928" s="7" t="s">
        <v>2602</v>
      </c>
      <c r="G928" s="7" t="s">
        <v>2603</v>
      </c>
      <c r="H928" s="7" t="s">
        <v>2604</v>
      </c>
      <c r="I928" s="9">
        <v>45358</v>
      </c>
    </row>
    <row r="929" spans="1:9" x14ac:dyDescent="0.15">
      <c r="A929" s="6">
        <v>928</v>
      </c>
      <c r="B929" s="7" t="s">
        <v>9</v>
      </c>
      <c r="C929" s="8">
        <v>1889</v>
      </c>
      <c r="D929" s="9">
        <v>45439</v>
      </c>
      <c r="E929" s="13" t="str">
        <f>+HYPERLINK("http://trademark.i-assist.jp/data/china/image_1889th/77155643.pdf","77155643")</f>
        <v>77155643</v>
      </c>
      <c r="F929" s="7" t="s">
        <v>2605</v>
      </c>
      <c r="G929" s="7" t="s">
        <v>2606</v>
      </c>
      <c r="H929" s="7" t="s">
        <v>2607</v>
      </c>
      <c r="I929" s="9">
        <v>45358</v>
      </c>
    </row>
    <row r="930" spans="1:9" x14ac:dyDescent="0.15">
      <c r="A930" s="6">
        <v>929</v>
      </c>
      <c r="B930" s="7" t="s">
        <v>9</v>
      </c>
      <c r="C930" s="8">
        <v>1889</v>
      </c>
      <c r="D930" s="9">
        <v>45439</v>
      </c>
      <c r="E930" s="13" t="str">
        <f>+HYPERLINK("http://trademark.i-assist.jp/data/china/image_1889th/77155799.pdf","77155799")</f>
        <v>77155799</v>
      </c>
      <c r="F930" s="7" t="s">
        <v>2608</v>
      </c>
      <c r="G930" s="7" t="s">
        <v>2609</v>
      </c>
      <c r="H930" s="7" t="s">
        <v>2610</v>
      </c>
      <c r="I930" s="9">
        <v>45358</v>
      </c>
    </row>
    <row r="931" spans="1:9" x14ac:dyDescent="0.15">
      <c r="A931" s="6">
        <v>930</v>
      </c>
      <c r="B931" s="7" t="s">
        <v>9</v>
      </c>
      <c r="C931" s="8">
        <v>1889</v>
      </c>
      <c r="D931" s="9">
        <v>45439</v>
      </c>
      <c r="E931" s="13" t="str">
        <f>+HYPERLINK("http://trademark.i-assist.jp/data/china/image_1889th/77156221.pdf","77156221")</f>
        <v>77156221</v>
      </c>
      <c r="F931" s="7" t="s">
        <v>2611</v>
      </c>
      <c r="G931" s="7" t="s">
        <v>2596</v>
      </c>
      <c r="H931" s="7" t="s">
        <v>2612</v>
      </c>
      <c r="I931" s="9">
        <v>45358</v>
      </c>
    </row>
    <row r="932" spans="1:9" x14ac:dyDescent="0.15">
      <c r="A932" s="6">
        <v>931</v>
      </c>
      <c r="B932" s="7" t="s">
        <v>9</v>
      </c>
      <c r="C932" s="8">
        <v>1889</v>
      </c>
      <c r="D932" s="9">
        <v>45439</v>
      </c>
      <c r="E932" s="13" t="str">
        <f>+HYPERLINK("http://trademark.i-assist.jp/data/china/image_1889th/77156391.pdf","77156391")</f>
        <v>77156391</v>
      </c>
      <c r="F932" s="7" t="s">
        <v>2613</v>
      </c>
      <c r="G932" s="7" t="s">
        <v>2614</v>
      </c>
      <c r="H932" s="7" t="s">
        <v>2615</v>
      </c>
      <c r="I932" s="9">
        <v>45358</v>
      </c>
    </row>
    <row r="933" spans="1:9" x14ac:dyDescent="0.15">
      <c r="A933" s="6">
        <v>932</v>
      </c>
      <c r="B933" s="7" t="s">
        <v>9</v>
      </c>
      <c r="C933" s="8">
        <v>1889</v>
      </c>
      <c r="D933" s="9">
        <v>45439</v>
      </c>
      <c r="E933" s="13" t="str">
        <f>+HYPERLINK("http://trademark.i-assist.jp/data/china/image_1889th/77156918.pdf","77156918")</f>
        <v>77156918</v>
      </c>
      <c r="F933" s="7" t="s">
        <v>2616</v>
      </c>
      <c r="G933" s="7" t="s">
        <v>2617</v>
      </c>
      <c r="H933" s="7" t="s">
        <v>2618</v>
      </c>
      <c r="I933" s="9">
        <v>45358</v>
      </c>
    </row>
    <row r="934" spans="1:9" x14ac:dyDescent="0.15">
      <c r="A934" s="6">
        <v>933</v>
      </c>
      <c r="B934" s="7" t="s">
        <v>9</v>
      </c>
      <c r="C934" s="8">
        <v>1889</v>
      </c>
      <c r="D934" s="9">
        <v>45439</v>
      </c>
      <c r="E934" s="13" t="str">
        <f>+HYPERLINK("http://trademark.i-assist.jp/data/china/image_1889th/77156936.pdf","77156936")</f>
        <v>77156936</v>
      </c>
      <c r="F934" s="7" t="s">
        <v>2619</v>
      </c>
      <c r="G934" s="7" t="s">
        <v>1504</v>
      </c>
      <c r="H934" s="7" t="s">
        <v>2620</v>
      </c>
      <c r="I934" s="9">
        <v>45358</v>
      </c>
    </row>
    <row r="935" spans="1:9" x14ac:dyDescent="0.15">
      <c r="A935" s="6">
        <v>934</v>
      </c>
      <c r="B935" s="7" t="s">
        <v>9</v>
      </c>
      <c r="C935" s="8">
        <v>1889</v>
      </c>
      <c r="D935" s="9">
        <v>45439</v>
      </c>
      <c r="E935" s="13" t="str">
        <f>+HYPERLINK("http://trademark.i-assist.jp/data/china/image_1889th/77157132.pdf","77157132")</f>
        <v>77157132</v>
      </c>
      <c r="F935" s="7" t="s">
        <v>2621</v>
      </c>
      <c r="G935" s="7" t="s">
        <v>2603</v>
      </c>
      <c r="H935" s="7" t="s">
        <v>2622</v>
      </c>
      <c r="I935" s="9">
        <v>45358</v>
      </c>
    </row>
    <row r="936" spans="1:9" x14ac:dyDescent="0.15">
      <c r="A936" s="6">
        <v>935</v>
      </c>
      <c r="B936" s="7" t="s">
        <v>9</v>
      </c>
      <c r="C936" s="8">
        <v>1889</v>
      </c>
      <c r="D936" s="9">
        <v>45439</v>
      </c>
      <c r="E936" s="13" t="str">
        <f>+HYPERLINK("http://trademark.i-assist.jp/data/china/image_1889th/77157472.pdf","77157472")</f>
        <v>77157472</v>
      </c>
      <c r="F936" s="7" t="s">
        <v>2623</v>
      </c>
      <c r="G936" s="7" t="s">
        <v>2624</v>
      </c>
      <c r="H936" s="7" t="s">
        <v>2625</v>
      </c>
      <c r="I936" s="9">
        <v>45358</v>
      </c>
    </row>
    <row r="937" spans="1:9" x14ac:dyDescent="0.15">
      <c r="A937" s="6">
        <v>936</v>
      </c>
      <c r="B937" s="7" t="s">
        <v>9</v>
      </c>
      <c r="C937" s="8">
        <v>1889</v>
      </c>
      <c r="D937" s="9">
        <v>45439</v>
      </c>
      <c r="E937" s="13" t="str">
        <f>+HYPERLINK("http://trademark.i-assist.jp/data/china/image_1889th/77158293.pdf","77158293")</f>
        <v>77158293</v>
      </c>
      <c r="F937" s="7" t="s">
        <v>2626</v>
      </c>
      <c r="G937" s="7" t="s">
        <v>2627</v>
      </c>
      <c r="H937" s="7" t="s">
        <v>2628</v>
      </c>
      <c r="I937" s="9">
        <v>45358</v>
      </c>
    </row>
    <row r="938" spans="1:9" x14ac:dyDescent="0.15">
      <c r="A938" s="6">
        <v>937</v>
      </c>
      <c r="B938" s="7" t="s">
        <v>9</v>
      </c>
      <c r="C938" s="8">
        <v>1889</v>
      </c>
      <c r="D938" s="9">
        <v>45439</v>
      </c>
      <c r="E938" s="13" t="str">
        <f>+HYPERLINK("http://trademark.i-assist.jp/data/china/image_1889th/77158442.pdf","77158442")</f>
        <v>77158442</v>
      </c>
      <c r="F938" s="7" t="s">
        <v>2629</v>
      </c>
      <c r="G938" s="7" t="s">
        <v>2630</v>
      </c>
      <c r="H938" s="7" t="s">
        <v>2631</v>
      </c>
      <c r="I938" s="9">
        <v>45358</v>
      </c>
    </row>
    <row r="939" spans="1:9" x14ac:dyDescent="0.15">
      <c r="A939" s="6">
        <v>938</v>
      </c>
      <c r="B939" s="7" t="s">
        <v>9</v>
      </c>
      <c r="C939" s="8">
        <v>1889</v>
      </c>
      <c r="D939" s="9">
        <v>45439</v>
      </c>
      <c r="E939" s="13" t="str">
        <f>+HYPERLINK("http://trademark.i-assist.jp/data/china/image_1889th/77158512.pdf","77158512")</f>
        <v>77158512</v>
      </c>
      <c r="F939" s="7" t="s">
        <v>2632</v>
      </c>
      <c r="G939" s="7" t="s">
        <v>2633</v>
      </c>
      <c r="H939" s="7" t="s">
        <v>2634</v>
      </c>
      <c r="I939" s="9">
        <v>45358</v>
      </c>
    </row>
    <row r="940" spans="1:9" x14ac:dyDescent="0.15">
      <c r="A940" s="6">
        <v>939</v>
      </c>
      <c r="B940" s="7" t="s">
        <v>9</v>
      </c>
      <c r="C940" s="8">
        <v>1889</v>
      </c>
      <c r="D940" s="9">
        <v>45439</v>
      </c>
      <c r="E940" s="13" t="str">
        <f>+HYPERLINK("http://trademark.i-assist.jp/data/china/image_1889th/77158796.pdf","77158796")</f>
        <v>77158796</v>
      </c>
      <c r="F940" s="7" t="s">
        <v>2635</v>
      </c>
      <c r="G940" s="7" t="s">
        <v>2624</v>
      </c>
      <c r="H940" s="7" t="s">
        <v>2636</v>
      </c>
      <c r="I940" s="9">
        <v>45358</v>
      </c>
    </row>
    <row r="941" spans="1:9" ht="27" x14ac:dyDescent="0.15">
      <c r="A941" s="6">
        <v>940</v>
      </c>
      <c r="B941" s="7" t="s">
        <v>9</v>
      </c>
      <c r="C941" s="8">
        <v>1889</v>
      </c>
      <c r="D941" s="9">
        <v>45439</v>
      </c>
      <c r="E941" s="13" t="str">
        <f>+HYPERLINK("http://trademark.i-assist.jp/data/china/image_1889th/77159085.pdf","77159085")</f>
        <v>77159085</v>
      </c>
      <c r="F941" s="7" t="s">
        <v>2637</v>
      </c>
      <c r="G941" s="7" t="s">
        <v>2638</v>
      </c>
      <c r="H941" s="7" t="s">
        <v>2639</v>
      </c>
      <c r="I941" s="9">
        <v>45358</v>
      </c>
    </row>
    <row r="942" spans="1:9" ht="27" x14ac:dyDescent="0.15">
      <c r="A942" s="6">
        <v>941</v>
      </c>
      <c r="B942" s="7" t="s">
        <v>9</v>
      </c>
      <c r="C942" s="8">
        <v>1889</v>
      </c>
      <c r="D942" s="9">
        <v>45439</v>
      </c>
      <c r="E942" s="13" t="str">
        <f>+HYPERLINK("http://trademark.i-assist.jp/data/china/image_1889th/77159374.pdf","77159374")</f>
        <v>77159374</v>
      </c>
      <c r="F942" s="7" t="s">
        <v>2640</v>
      </c>
      <c r="G942" s="7" t="s">
        <v>2641</v>
      </c>
      <c r="H942" s="7" t="s">
        <v>2642</v>
      </c>
      <c r="I942" s="9">
        <v>45358</v>
      </c>
    </row>
    <row r="943" spans="1:9" x14ac:dyDescent="0.15">
      <c r="A943" s="6">
        <v>942</v>
      </c>
      <c r="B943" s="7" t="s">
        <v>9</v>
      </c>
      <c r="C943" s="8">
        <v>1889</v>
      </c>
      <c r="D943" s="9">
        <v>45439</v>
      </c>
      <c r="E943" s="13" t="str">
        <f>+HYPERLINK("http://trademark.i-assist.jp/data/china/image_1889th/77159751.pdf","77159751")</f>
        <v>77159751</v>
      </c>
      <c r="F943" s="7" t="s">
        <v>2643</v>
      </c>
      <c r="G943" s="7" t="s">
        <v>2644</v>
      </c>
      <c r="H943" s="7" t="s">
        <v>2645</v>
      </c>
      <c r="I943" s="9">
        <v>45358</v>
      </c>
    </row>
    <row r="944" spans="1:9" x14ac:dyDescent="0.15">
      <c r="A944" s="6">
        <v>943</v>
      </c>
      <c r="B944" s="7" t="s">
        <v>9</v>
      </c>
      <c r="C944" s="8">
        <v>1889</v>
      </c>
      <c r="D944" s="9">
        <v>45439</v>
      </c>
      <c r="E944" s="13" t="str">
        <f>+HYPERLINK("http://trademark.i-assist.jp/data/china/image_1889th/77160018.pdf","77160018")</f>
        <v>77160018</v>
      </c>
      <c r="F944" s="7" t="s">
        <v>2646</v>
      </c>
      <c r="G944" s="7" t="s">
        <v>2647</v>
      </c>
      <c r="H944" s="7" t="s">
        <v>2648</v>
      </c>
      <c r="I944" s="9">
        <v>45358</v>
      </c>
    </row>
    <row r="945" spans="1:9" x14ac:dyDescent="0.15">
      <c r="A945" s="6">
        <v>944</v>
      </c>
      <c r="B945" s="7" t="s">
        <v>9</v>
      </c>
      <c r="C945" s="8">
        <v>1889</v>
      </c>
      <c r="D945" s="9">
        <v>45439</v>
      </c>
      <c r="E945" s="13" t="str">
        <f>+HYPERLINK("http://trademark.i-assist.jp/data/china/image_1889th/77160087.pdf","77160087")</f>
        <v>77160087</v>
      </c>
      <c r="F945" s="7" t="s">
        <v>2649</v>
      </c>
      <c r="G945" s="7" t="s">
        <v>2650</v>
      </c>
      <c r="H945" s="7" t="s">
        <v>2651</v>
      </c>
      <c r="I945" s="9">
        <v>45358</v>
      </c>
    </row>
    <row r="946" spans="1:9" x14ac:dyDescent="0.15">
      <c r="A946" s="6">
        <v>945</v>
      </c>
      <c r="B946" s="7" t="s">
        <v>9</v>
      </c>
      <c r="C946" s="8">
        <v>1889</v>
      </c>
      <c r="D946" s="9">
        <v>45439</v>
      </c>
      <c r="E946" s="13" t="str">
        <f>+HYPERLINK("http://trademark.i-assist.jp/data/china/image_1889th/77160228.pdf","77160228")</f>
        <v>77160228</v>
      </c>
      <c r="F946" s="7" t="s">
        <v>134</v>
      </c>
      <c r="G946" s="7" t="s">
        <v>2652</v>
      </c>
      <c r="H946" s="7" t="s">
        <v>2653</v>
      </c>
      <c r="I946" s="9">
        <v>45358</v>
      </c>
    </row>
    <row r="947" spans="1:9" x14ac:dyDescent="0.15">
      <c r="A947" s="6">
        <v>946</v>
      </c>
      <c r="B947" s="7" t="s">
        <v>9</v>
      </c>
      <c r="C947" s="8">
        <v>1889</v>
      </c>
      <c r="D947" s="9">
        <v>45439</v>
      </c>
      <c r="E947" s="13" t="str">
        <f>+HYPERLINK("http://trademark.i-assist.jp/data/china/image_1889th/77160483.pdf","77160483")</f>
        <v>77160483</v>
      </c>
      <c r="F947" s="7" t="s">
        <v>2654</v>
      </c>
      <c r="G947" s="7" t="s">
        <v>2655</v>
      </c>
      <c r="H947" s="7" t="s">
        <v>2656</v>
      </c>
      <c r="I947" s="9">
        <v>45358</v>
      </c>
    </row>
    <row r="948" spans="1:9" x14ac:dyDescent="0.15">
      <c r="A948" s="6">
        <v>947</v>
      </c>
      <c r="B948" s="7" t="s">
        <v>9</v>
      </c>
      <c r="C948" s="8">
        <v>1889</v>
      </c>
      <c r="D948" s="9">
        <v>45439</v>
      </c>
      <c r="E948" s="13" t="str">
        <f>+HYPERLINK("http://trademark.i-assist.jp/data/china/image_1889th/77160944.pdf","77160944")</f>
        <v>77160944</v>
      </c>
      <c r="F948" s="7" t="s">
        <v>2657</v>
      </c>
      <c r="G948" s="7" t="s">
        <v>2658</v>
      </c>
      <c r="H948" s="7" t="s">
        <v>2659</v>
      </c>
      <c r="I948" s="9">
        <v>45358</v>
      </c>
    </row>
    <row r="949" spans="1:9" ht="27" x14ac:dyDescent="0.15">
      <c r="A949" s="6">
        <v>948</v>
      </c>
      <c r="B949" s="7" t="s">
        <v>9</v>
      </c>
      <c r="C949" s="8">
        <v>1889</v>
      </c>
      <c r="D949" s="9">
        <v>45439</v>
      </c>
      <c r="E949" s="13" t="str">
        <f>+HYPERLINK("http://trademark.i-assist.jp/data/china/image_1889th/77161044.pdf","77161044")</f>
        <v>77161044</v>
      </c>
      <c r="F949" s="7" t="s">
        <v>2660</v>
      </c>
      <c r="G949" s="7" t="s">
        <v>2661</v>
      </c>
      <c r="H949" s="7" t="s">
        <v>2662</v>
      </c>
      <c r="I949" s="9">
        <v>45358</v>
      </c>
    </row>
    <row r="950" spans="1:9" x14ac:dyDescent="0.15">
      <c r="A950" s="6">
        <v>949</v>
      </c>
      <c r="B950" s="7" t="s">
        <v>9</v>
      </c>
      <c r="C950" s="8">
        <v>1889</v>
      </c>
      <c r="D950" s="9">
        <v>45439</v>
      </c>
      <c r="E950" s="13" t="str">
        <f>+HYPERLINK("http://trademark.i-assist.jp/data/china/image_1889th/77161380.pdf","77161380")</f>
        <v>77161380</v>
      </c>
      <c r="F950" s="7" t="s">
        <v>2663</v>
      </c>
      <c r="G950" s="7" t="s">
        <v>2664</v>
      </c>
      <c r="H950" s="7" t="s">
        <v>2665</v>
      </c>
      <c r="I950" s="9">
        <v>45358</v>
      </c>
    </row>
    <row r="951" spans="1:9" x14ac:dyDescent="0.15">
      <c r="A951" s="6">
        <v>950</v>
      </c>
      <c r="B951" s="7" t="s">
        <v>9</v>
      </c>
      <c r="C951" s="8">
        <v>1889</v>
      </c>
      <c r="D951" s="9">
        <v>45439</v>
      </c>
      <c r="E951" s="13" t="str">
        <f>+HYPERLINK("http://trademark.i-assist.jp/data/china/image_1889th/77161654.pdf","77161654")</f>
        <v>77161654</v>
      </c>
      <c r="F951" s="7" t="s">
        <v>2666</v>
      </c>
      <c r="G951" s="7" t="s">
        <v>2667</v>
      </c>
      <c r="H951" s="7" t="s">
        <v>2668</v>
      </c>
      <c r="I951" s="9">
        <v>45358</v>
      </c>
    </row>
    <row r="952" spans="1:9" x14ac:dyDescent="0.15">
      <c r="A952" s="6">
        <v>951</v>
      </c>
      <c r="B952" s="7" t="s">
        <v>9</v>
      </c>
      <c r="C952" s="8">
        <v>1889</v>
      </c>
      <c r="D952" s="9">
        <v>45439</v>
      </c>
      <c r="E952" s="13" t="str">
        <f>+HYPERLINK("http://trademark.i-assist.jp/data/china/image_1889th/77161991.pdf","77161991")</f>
        <v>77161991</v>
      </c>
      <c r="F952" s="7" t="s">
        <v>2669</v>
      </c>
      <c r="G952" s="7" t="s">
        <v>2670</v>
      </c>
      <c r="H952" s="7" t="s">
        <v>2671</v>
      </c>
      <c r="I952" s="9">
        <v>45358</v>
      </c>
    </row>
    <row r="953" spans="1:9" x14ac:dyDescent="0.15">
      <c r="A953" s="6">
        <v>952</v>
      </c>
      <c r="B953" s="7" t="s">
        <v>9</v>
      </c>
      <c r="C953" s="8">
        <v>1889</v>
      </c>
      <c r="D953" s="9">
        <v>45439</v>
      </c>
      <c r="E953" s="13" t="str">
        <f>+HYPERLINK("http://trademark.i-assist.jp/data/china/image_1889th/77162611.pdf","77162611")</f>
        <v>77162611</v>
      </c>
      <c r="F953" s="7" t="s">
        <v>2672</v>
      </c>
      <c r="G953" s="7" t="s">
        <v>2673</v>
      </c>
      <c r="H953" s="7" t="s">
        <v>2674</v>
      </c>
      <c r="I953" s="9">
        <v>45358</v>
      </c>
    </row>
    <row r="954" spans="1:9" x14ac:dyDescent="0.15">
      <c r="A954" s="6">
        <v>953</v>
      </c>
      <c r="B954" s="7" t="s">
        <v>9</v>
      </c>
      <c r="C954" s="8">
        <v>1889</v>
      </c>
      <c r="D954" s="9">
        <v>45439</v>
      </c>
      <c r="E954" s="13" t="str">
        <f>+HYPERLINK("http://trademark.i-assist.jp/data/china/image_1889th/77162747.pdf","77162747")</f>
        <v>77162747</v>
      </c>
      <c r="F954" s="7" t="s">
        <v>2675</v>
      </c>
      <c r="G954" s="7" t="s">
        <v>2676</v>
      </c>
      <c r="H954" s="7" t="s">
        <v>2677</v>
      </c>
      <c r="I954" s="9">
        <v>45358</v>
      </c>
    </row>
    <row r="955" spans="1:9" x14ac:dyDescent="0.15">
      <c r="A955" s="6">
        <v>954</v>
      </c>
      <c r="B955" s="7" t="s">
        <v>9</v>
      </c>
      <c r="C955" s="8">
        <v>1889</v>
      </c>
      <c r="D955" s="9">
        <v>45439</v>
      </c>
      <c r="E955" s="13" t="str">
        <f>+HYPERLINK("http://trademark.i-assist.jp/data/china/image_1889th/77163216.pdf","77163216")</f>
        <v>77163216</v>
      </c>
      <c r="F955" s="7" t="s">
        <v>2678</v>
      </c>
      <c r="G955" s="7" t="s">
        <v>2679</v>
      </c>
      <c r="H955" s="7" t="s">
        <v>2680</v>
      </c>
      <c r="I955" s="9">
        <v>45358</v>
      </c>
    </row>
    <row r="956" spans="1:9" x14ac:dyDescent="0.15">
      <c r="A956" s="6">
        <v>955</v>
      </c>
      <c r="B956" s="7" t="s">
        <v>9</v>
      </c>
      <c r="C956" s="8">
        <v>1889</v>
      </c>
      <c r="D956" s="9">
        <v>45439</v>
      </c>
      <c r="E956" s="13" t="str">
        <f>+HYPERLINK("http://trademark.i-assist.jp/data/china/image_1889th/77163240.pdf","77163240")</f>
        <v>77163240</v>
      </c>
      <c r="F956" s="7" t="s">
        <v>2681</v>
      </c>
      <c r="G956" s="7" t="s">
        <v>2682</v>
      </c>
      <c r="H956" s="7" t="s">
        <v>2683</v>
      </c>
      <c r="I956" s="9">
        <v>45358</v>
      </c>
    </row>
    <row r="957" spans="1:9" x14ac:dyDescent="0.15">
      <c r="A957" s="6">
        <v>956</v>
      </c>
      <c r="B957" s="7" t="s">
        <v>9</v>
      </c>
      <c r="C957" s="8">
        <v>1889</v>
      </c>
      <c r="D957" s="9">
        <v>45439</v>
      </c>
      <c r="E957" s="13" t="str">
        <f>+HYPERLINK("http://trademark.i-assist.jp/data/china/image_1889th/77163636.pdf","77163636")</f>
        <v>77163636</v>
      </c>
      <c r="F957" s="7" t="s">
        <v>2684</v>
      </c>
      <c r="G957" s="7" t="s">
        <v>2685</v>
      </c>
      <c r="H957" s="7" t="s">
        <v>2686</v>
      </c>
      <c r="I957" s="9">
        <v>45358</v>
      </c>
    </row>
    <row r="958" spans="1:9" x14ac:dyDescent="0.15">
      <c r="A958" s="6">
        <v>957</v>
      </c>
      <c r="B958" s="7" t="s">
        <v>9</v>
      </c>
      <c r="C958" s="8">
        <v>1889</v>
      </c>
      <c r="D958" s="9">
        <v>45439</v>
      </c>
      <c r="E958" s="13" t="str">
        <f>+HYPERLINK("http://trademark.i-assist.jp/data/china/image_1889th/77164452.pdf","77164452")</f>
        <v>77164452</v>
      </c>
      <c r="F958" s="7" t="s">
        <v>2687</v>
      </c>
      <c r="G958" s="7" t="s">
        <v>2596</v>
      </c>
      <c r="H958" s="7" t="s">
        <v>2688</v>
      </c>
      <c r="I958" s="9">
        <v>45358</v>
      </c>
    </row>
    <row r="959" spans="1:9" x14ac:dyDescent="0.15">
      <c r="A959" s="6">
        <v>958</v>
      </c>
      <c r="B959" s="7" t="s">
        <v>9</v>
      </c>
      <c r="C959" s="8">
        <v>1889</v>
      </c>
      <c r="D959" s="9">
        <v>45439</v>
      </c>
      <c r="E959" s="13" t="str">
        <f>+HYPERLINK("http://trademark.i-assist.jp/data/china/image_1889th/77164709.pdf","77164709")</f>
        <v>77164709</v>
      </c>
      <c r="F959" s="7" t="s">
        <v>2689</v>
      </c>
      <c r="G959" s="7" t="s">
        <v>2690</v>
      </c>
      <c r="H959" s="7" t="s">
        <v>2691</v>
      </c>
      <c r="I959" s="9">
        <v>45358</v>
      </c>
    </row>
    <row r="960" spans="1:9" x14ac:dyDescent="0.15">
      <c r="A960" s="6">
        <v>959</v>
      </c>
      <c r="B960" s="7" t="s">
        <v>9</v>
      </c>
      <c r="C960" s="8">
        <v>1889</v>
      </c>
      <c r="D960" s="9">
        <v>45439</v>
      </c>
      <c r="E960" s="13" t="str">
        <f>+HYPERLINK("http://trademark.i-assist.jp/data/china/image_1889th/77165534.pdf","77165534")</f>
        <v>77165534</v>
      </c>
      <c r="F960" s="7" t="s">
        <v>2692</v>
      </c>
      <c r="G960" s="7" t="s">
        <v>2693</v>
      </c>
      <c r="H960" s="7" t="s">
        <v>2694</v>
      </c>
      <c r="I960" s="9">
        <v>45358</v>
      </c>
    </row>
    <row r="961" spans="1:9" x14ac:dyDescent="0.15">
      <c r="A961" s="6">
        <v>960</v>
      </c>
      <c r="B961" s="7" t="s">
        <v>9</v>
      </c>
      <c r="C961" s="8">
        <v>1889</v>
      </c>
      <c r="D961" s="9">
        <v>45439</v>
      </c>
      <c r="E961" s="13" t="str">
        <f>+HYPERLINK("http://trademark.i-assist.jp/data/china/image_1889th/77165547.pdf","77165547")</f>
        <v>77165547</v>
      </c>
      <c r="F961" s="7" t="s">
        <v>2695</v>
      </c>
      <c r="G961" s="7" t="s">
        <v>2696</v>
      </c>
      <c r="H961" s="7" t="s">
        <v>2697</v>
      </c>
      <c r="I961" s="9">
        <v>45358</v>
      </c>
    </row>
    <row r="962" spans="1:9" x14ac:dyDescent="0.15">
      <c r="A962" s="6">
        <v>961</v>
      </c>
      <c r="B962" s="7" t="s">
        <v>9</v>
      </c>
      <c r="C962" s="8">
        <v>1889</v>
      </c>
      <c r="D962" s="9">
        <v>45439</v>
      </c>
      <c r="E962" s="13" t="str">
        <f>+HYPERLINK("http://trademark.i-assist.jp/data/china/image_1889th/77165965.pdf","77165965")</f>
        <v>77165965</v>
      </c>
      <c r="F962" s="7" t="s">
        <v>2698</v>
      </c>
      <c r="G962" s="7" t="s">
        <v>2699</v>
      </c>
      <c r="H962" s="7" t="s">
        <v>2700</v>
      </c>
      <c r="I962" s="9">
        <v>45358</v>
      </c>
    </row>
    <row r="963" spans="1:9" ht="27" x14ac:dyDescent="0.15">
      <c r="A963" s="6">
        <v>962</v>
      </c>
      <c r="B963" s="7" t="s">
        <v>9</v>
      </c>
      <c r="C963" s="8">
        <v>1889</v>
      </c>
      <c r="D963" s="9">
        <v>45439</v>
      </c>
      <c r="E963" s="13" t="str">
        <f>+HYPERLINK("http://trademark.i-assist.jp/data/china/image_1889th/77166105.pdf","77166105")</f>
        <v>77166105</v>
      </c>
      <c r="F963" s="7" t="s">
        <v>2701</v>
      </c>
      <c r="G963" s="7" t="s">
        <v>1661</v>
      </c>
      <c r="H963" s="7" t="s">
        <v>2702</v>
      </c>
      <c r="I963" s="9">
        <v>45358</v>
      </c>
    </row>
    <row r="964" spans="1:9" x14ac:dyDescent="0.15">
      <c r="A964" s="6">
        <v>963</v>
      </c>
      <c r="B964" s="7" t="s">
        <v>9</v>
      </c>
      <c r="C964" s="8">
        <v>1889</v>
      </c>
      <c r="D964" s="9">
        <v>45439</v>
      </c>
      <c r="E964" s="13" t="str">
        <f>+HYPERLINK("http://trademark.i-assist.jp/data/china/image_1889th/77166156.pdf","77166156")</f>
        <v>77166156</v>
      </c>
      <c r="F964" s="7" t="s">
        <v>2703</v>
      </c>
      <c r="G964" s="7" t="s">
        <v>2704</v>
      </c>
      <c r="H964" s="7" t="s">
        <v>2705</v>
      </c>
      <c r="I964" s="9">
        <v>45358</v>
      </c>
    </row>
    <row r="965" spans="1:9" x14ac:dyDescent="0.15">
      <c r="A965" s="6">
        <v>964</v>
      </c>
      <c r="B965" s="7" t="s">
        <v>9</v>
      </c>
      <c r="C965" s="8">
        <v>1889</v>
      </c>
      <c r="D965" s="9">
        <v>45439</v>
      </c>
      <c r="E965" s="13" t="str">
        <f>+HYPERLINK("http://trademark.i-assist.jp/data/china/image_1889th/77166227.pdf","77166227")</f>
        <v>77166227</v>
      </c>
      <c r="F965" s="7" t="s">
        <v>2706</v>
      </c>
      <c r="G965" s="7" t="s">
        <v>2707</v>
      </c>
      <c r="H965" s="7" t="s">
        <v>2708</v>
      </c>
      <c r="I965" s="9">
        <v>45358</v>
      </c>
    </row>
    <row r="966" spans="1:9" x14ac:dyDescent="0.15">
      <c r="A966" s="6">
        <v>965</v>
      </c>
      <c r="B966" s="7" t="s">
        <v>9</v>
      </c>
      <c r="C966" s="8">
        <v>1889</v>
      </c>
      <c r="D966" s="9">
        <v>45439</v>
      </c>
      <c r="E966" s="13" t="str">
        <f>+HYPERLINK("http://trademark.i-assist.jp/data/china/image_1889th/77166610.pdf","77166610")</f>
        <v>77166610</v>
      </c>
      <c r="F966" s="7" t="s">
        <v>2709</v>
      </c>
      <c r="G966" s="7" t="s">
        <v>2710</v>
      </c>
      <c r="H966" s="7" t="s">
        <v>2711</v>
      </c>
      <c r="I966" s="9">
        <v>45358</v>
      </c>
    </row>
    <row r="967" spans="1:9" x14ac:dyDescent="0.15">
      <c r="A967" s="6">
        <v>966</v>
      </c>
      <c r="B967" s="7" t="s">
        <v>9</v>
      </c>
      <c r="C967" s="8">
        <v>1889</v>
      </c>
      <c r="D967" s="9">
        <v>45439</v>
      </c>
      <c r="E967" s="13" t="str">
        <f>+HYPERLINK("http://trademark.i-assist.jp/data/china/image_1889th/77166617.pdf","77166617")</f>
        <v>77166617</v>
      </c>
      <c r="F967" s="7" t="s">
        <v>2712</v>
      </c>
      <c r="G967" s="7" t="s">
        <v>2713</v>
      </c>
      <c r="H967" s="7" t="s">
        <v>2714</v>
      </c>
      <c r="I967" s="9">
        <v>45358</v>
      </c>
    </row>
    <row r="968" spans="1:9" x14ac:dyDescent="0.15">
      <c r="A968" s="6">
        <v>967</v>
      </c>
      <c r="B968" s="7" t="s">
        <v>9</v>
      </c>
      <c r="C968" s="8">
        <v>1889</v>
      </c>
      <c r="D968" s="9">
        <v>45439</v>
      </c>
      <c r="E968" s="13" t="str">
        <f>+HYPERLINK("http://trademark.i-assist.jp/data/china/image_1889th/77167137.pdf","77167137")</f>
        <v>77167137</v>
      </c>
      <c r="F968" s="7" t="s">
        <v>2715</v>
      </c>
      <c r="G968" s="7" t="s">
        <v>2716</v>
      </c>
      <c r="H968" s="7" t="s">
        <v>2717</v>
      </c>
      <c r="I968" s="9">
        <v>45358</v>
      </c>
    </row>
    <row r="969" spans="1:9" x14ac:dyDescent="0.15">
      <c r="A969" s="6">
        <v>968</v>
      </c>
      <c r="B969" s="7" t="s">
        <v>9</v>
      </c>
      <c r="C969" s="8">
        <v>1889</v>
      </c>
      <c r="D969" s="9">
        <v>45439</v>
      </c>
      <c r="E969" s="13" t="str">
        <f>+HYPERLINK("http://trademark.i-assist.jp/data/china/image_1889th/77167510.pdf","77167510")</f>
        <v>77167510</v>
      </c>
      <c r="F969" s="7" t="s">
        <v>2718</v>
      </c>
      <c r="G969" s="7" t="s">
        <v>2719</v>
      </c>
      <c r="H969" s="7" t="s">
        <v>2720</v>
      </c>
      <c r="I969" s="9">
        <v>45358</v>
      </c>
    </row>
    <row r="970" spans="1:9" x14ac:dyDescent="0.15">
      <c r="A970" s="6">
        <v>969</v>
      </c>
      <c r="B970" s="7" t="s">
        <v>9</v>
      </c>
      <c r="C970" s="8">
        <v>1889</v>
      </c>
      <c r="D970" s="9">
        <v>45439</v>
      </c>
      <c r="E970" s="13" t="str">
        <f>+HYPERLINK("http://trademark.i-assist.jp/data/china/image_1889th/77167538.pdf","77167538")</f>
        <v>77167538</v>
      </c>
      <c r="F970" s="7" t="s">
        <v>2721</v>
      </c>
      <c r="G970" s="7" t="s">
        <v>2722</v>
      </c>
      <c r="H970" s="7" t="s">
        <v>2723</v>
      </c>
      <c r="I970" s="9">
        <v>45358</v>
      </c>
    </row>
    <row r="971" spans="1:9" x14ac:dyDescent="0.15">
      <c r="A971" s="6">
        <v>970</v>
      </c>
      <c r="B971" s="7" t="s">
        <v>9</v>
      </c>
      <c r="C971" s="8">
        <v>1889</v>
      </c>
      <c r="D971" s="9">
        <v>45439</v>
      </c>
      <c r="E971" s="13" t="str">
        <f>+HYPERLINK("http://trademark.i-assist.jp/data/china/image_1889th/77167745.pdf","77167745")</f>
        <v>77167745</v>
      </c>
      <c r="F971" s="7" t="s">
        <v>2724</v>
      </c>
      <c r="G971" s="7" t="s">
        <v>2725</v>
      </c>
      <c r="H971" s="7" t="s">
        <v>2726</v>
      </c>
      <c r="I971" s="9">
        <v>45358</v>
      </c>
    </row>
    <row r="972" spans="1:9" x14ac:dyDescent="0.15">
      <c r="A972" s="6">
        <v>971</v>
      </c>
      <c r="B972" s="7" t="s">
        <v>9</v>
      </c>
      <c r="C972" s="8">
        <v>1889</v>
      </c>
      <c r="D972" s="9">
        <v>45439</v>
      </c>
      <c r="E972" s="13" t="str">
        <f>+HYPERLINK("http://trademark.i-assist.jp/data/china/image_1889th/77168785.pdf","77168785")</f>
        <v>77168785</v>
      </c>
      <c r="F972" s="7" t="s">
        <v>2727</v>
      </c>
      <c r="G972" s="7" t="s">
        <v>2728</v>
      </c>
      <c r="H972" s="7" t="s">
        <v>2729</v>
      </c>
      <c r="I972" s="9">
        <v>45358</v>
      </c>
    </row>
    <row r="973" spans="1:9" x14ac:dyDescent="0.15">
      <c r="A973" s="6">
        <v>972</v>
      </c>
      <c r="B973" s="7" t="s">
        <v>9</v>
      </c>
      <c r="C973" s="8">
        <v>1889</v>
      </c>
      <c r="D973" s="9">
        <v>45439</v>
      </c>
      <c r="E973" s="13" t="str">
        <f>+HYPERLINK("http://trademark.i-assist.jp/data/china/image_1889th/77169902.pdf","77169902")</f>
        <v>77169902</v>
      </c>
      <c r="F973" s="7" t="s">
        <v>2730</v>
      </c>
      <c r="G973" s="7" t="s">
        <v>2731</v>
      </c>
      <c r="H973" s="7" t="s">
        <v>2732</v>
      </c>
      <c r="I973" s="9">
        <v>45358</v>
      </c>
    </row>
    <row r="974" spans="1:9" x14ac:dyDescent="0.15">
      <c r="A974" s="6">
        <v>973</v>
      </c>
      <c r="B974" s="7" t="s">
        <v>9</v>
      </c>
      <c r="C974" s="8">
        <v>1889</v>
      </c>
      <c r="D974" s="9">
        <v>45439</v>
      </c>
      <c r="E974" s="13" t="str">
        <f>+HYPERLINK("http://trademark.i-assist.jp/data/china/image_1889th/77170638.pdf","77170638")</f>
        <v>77170638</v>
      </c>
      <c r="F974" s="7" t="s">
        <v>2733</v>
      </c>
      <c r="G974" s="7" t="s">
        <v>2734</v>
      </c>
      <c r="H974" s="7" t="s">
        <v>2735</v>
      </c>
      <c r="I974" s="9">
        <v>45358</v>
      </c>
    </row>
    <row r="975" spans="1:9" x14ac:dyDescent="0.15">
      <c r="A975" s="6">
        <v>974</v>
      </c>
      <c r="B975" s="7" t="s">
        <v>9</v>
      </c>
      <c r="C975" s="8">
        <v>1889</v>
      </c>
      <c r="D975" s="9">
        <v>45439</v>
      </c>
      <c r="E975" s="13" t="str">
        <f>+HYPERLINK("http://trademark.i-assist.jp/data/china/image_1889th/77170909.pdf","77170909")</f>
        <v>77170909</v>
      </c>
      <c r="F975" s="7" t="s">
        <v>2736</v>
      </c>
      <c r="G975" s="7" t="s">
        <v>2737</v>
      </c>
      <c r="H975" s="7" t="s">
        <v>2738</v>
      </c>
      <c r="I975" s="9">
        <v>45358</v>
      </c>
    </row>
    <row r="976" spans="1:9" x14ac:dyDescent="0.15">
      <c r="A976" s="6">
        <v>975</v>
      </c>
      <c r="B976" s="7" t="s">
        <v>9</v>
      </c>
      <c r="C976" s="8">
        <v>1889</v>
      </c>
      <c r="D976" s="9">
        <v>45439</v>
      </c>
      <c r="E976" s="13" t="str">
        <f>+HYPERLINK("http://trademark.i-assist.jp/data/china/image_1889th/77171060.pdf","77171060")</f>
        <v>77171060</v>
      </c>
      <c r="F976" s="7" t="s">
        <v>2739</v>
      </c>
      <c r="G976" s="7" t="s">
        <v>2740</v>
      </c>
      <c r="H976" s="7" t="s">
        <v>2741</v>
      </c>
      <c r="I976" s="9">
        <v>45358</v>
      </c>
    </row>
    <row r="977" spans="1:9" x14ac:dyDescent="0.15">
      <c r="A977" s="6">
        <v>976</v>
      </c>
      <c r="B977" s="7" t="s">
        <v>9</v>
      </c>
      <c r="C977" s="8">
        <v>1889</v>
      </c>
      <c r="D977" s="9">
        <v>45439</v>
      </c>
      <c r="E977" s="13" t="str">
        <f>+HYPERLINK("http://trademark.i-assist.jp/data/china/image_1889th/77171771.pdf","77171771")</f>
        <v>77171771</v>
      </c>
      <c r="F977" s="7" t="s">
        <v>2742</v>
      </c>
      <c r="G977" s="7" t="s">
        <v>2743</v>
      </c>
      <c r="H977" s="7" t="s">
        <v>2744</v>
      </c>
      <c r="I977" s="9">
        <v>45358</v>
      </c>
    </row>
    <row r="978" spans="1:9" x14ac:dyDescent="0.15">
      <c r="A978" s="6">
        <v>977</v>
      </c>
      <c r="B978" s="7" t="s">
        <v>9</v>
      </c>
      <c r="C978" s="8">
        <v>1889</v>
      </c>
      <c r="D978" s="9">
        <v>45439</v>
      </c>
      <c r="E978" s="13" t="str">
        <f>+HYPERLINK("http://trademark.i-assist.jp/data/china/image_1889th/77172069.pdf","77172069")</f>
        <v>77172069</v>
      </c>
      <c r="F978" s="7" t="s">
        <v>2745</v>
      </c>
      <c r="G978" s="7" t="s">
        <v>2746</v>
      </c>
      <c r="H978" s="7" t="s">
        <v>2747</v>
      </c>
      <c r="I978" s="9">
        <v>45358</v>
      </c>
    </row>
    <row r="979" spans="1:9" ht="27" x14ac:dyDescent="0.15">
      <c r="A979" s="6">
        <v>978</v>
      </c>
      <c r="B979" s="7" t="s">
        <v>9</v>
      </c>
      <c r="C979" s="8">
        <v>1889</v>
      </c>
      <c r="D979" s="9">
        <v>45439</v>
      </c>
      <c r="E979" s="13" t="str">
        <f>+HYPERLINK("http://trademark.i-assist.jp/data/china/image_1889th/77172147.pdf","77172147")</f>
        <v>77172147</v>
      </c>
      <c r="F979" s="7" t="s">
        <v>134</v>
      </c>
      <c r="G979" s="7" t="s">
        <v>2748</v>
      </c>
      <c r="H979" s="7" t="s">
        <v>2749</v>
      </c>
      <c r="I979" s="9">
        <v>45358</v>
      </c>
    </row>
    <row r="980" spans="1:9" x14ac:dyDescent="0.15">
      <c r="A980" s="6">
        <v>979</v>
      </c>
      <c r="B980" s="7" t="s">
        <v>9</v>
      </c>
      <c r="C980" s="8">
        <v>1889</v>
      </c>
      <c r="D980" s="9">
        <v>45439</v>
      </c>
      <c r="E980" s="13" t="str">
        <f>+HYPERLINK("http://trademark.i-assist.jp/data/china/image_1889th/77172838.pdf","77172838")</f>
        <v>77172838</v>
      </c>
      <c r="F980" s="7" t="s">
        <v>2672</v>
      </c>
      <c r="G980" s="7" t="s">
        <v>2673</v>
      </c>
      <c r="H980" s="7" t="s">
        <v>2750</v>
      </c>
      <c r="I980" s="9">
        <v>45358</v>
      </c>
    </row>
    <row r="981" spans="1:9" x14ac:dyDescent="0.15">
      <c r="A981" s="6">
        <v>980</v>
      </c>
      <c r="B981" s="7" t="s">
        <v>9</v>
      </c>
      <c r="C981" s="8">
        <v>1889</v>
      </c>
      <c r="D981" s="9">
        <v>45439</v>
      </c>
      <c r="E981" s="13" t="str">
        <f>+HYPERLINK("http://trademark.i-assist.jp/data/china/image_1889th/77173233.pdf","77173233")</f>
        <v>77173233</v>
      </c>
      <c r="F981" s="7" t="s">
        <v>2751</v>
      </c>
      <c r="G981" s="7" t="s">
        <v>2752</v>
      </c>
      <c r="H981" s="7" t="s">
        <v>2753</v>
      </c>
      <c r="I981" s="9">
        <v>45358</v>
      </c>
    </row>
    <row r="982" spans="1:9" x14ac:dyDescent="0.15">
      <c r="A982" s="6">
        <v>981</v>
      </c>
      <c r="B982" s="7" t="s">
        <v>9</v>
      </c>
      <c r="C982" s="8">
        <v>1889</v>
      </c>
      <c r="D982" s="9">
        <v>45439</v>
      </c>
      <c r="E982" s="13" t="str">
        <f>+HYPERLINK("http://trademark.i-assist.jp/data/china/image_1889th/77173412.pdf","77173412")</f>
        <v>77173412</v>
      </c>
      <c r="F982" s="7" t="s">
        <v>2754</v>
      </c>
      <c r="G982" s="7" t="s">
        <v>2603</v>
      </c>
      <c r="H982" s="7" t="s">
        <v>2755</v>
      </c>
      <c r="I982" s="9">
        <v>45358</v>
      </c>
    </row>
    <row r="983" spans="1:9" x14ac:dyDescent="0.15">
      <c r="A983" s="6">
        <v>982</v>
      </c>
      <c r="B983" s="7" t="s">
        <v>9</v>
      </c>
      <c r="C983" s="8">
        <v>1889</v>
      </c>
      <c r="D983" s="9">
        <v>45439</v>
      </c>
      <c r="E983" s="13" t="str">
        <f>+HYPERLINK("http://trademark.i-assist.jp/data/china/image_1889th/77173937.pdf","77173937")</f>
        <v>77173937</v>
      </c>
      <c r="F983" s="7" t="s">
        <v>2756</v>
      </c>
      <c r="G983" s="7" t="s">
        <v>2757</v>
      </c>
      <c r="H983" s="7" t="s">
        <v>2758</v>
      </c>
      <c r="I983" s="9">
        <v>45358</v>
      </c>
    </row>
    <row r="984" spans="1:9" ht="27" x14ac:dyDescent="0.15">
      <c r="A984" s="6">
        <v>983</v>
      </c>
      <c r="B984" s="7" t="s">
        <v>9</v>
      </c>
      <c r="C984" s="8">
        <v>1889</v>
      </c>
      <c r="D984" s="9">
        <v>45439</v>
      </c>
      <c r="E984" s="13" t="str">
        <f>+HYPERLINK("http://trademark.i-assist.jp/data/china/image_1889th/77174334.pdf","77174334")</f>
        <v>77174334</v>
      </c>
      <c r="F984" s="7" t="s">
        <v>2759</v>
      </c>
      <c r="G984" s="7" t="s">
        <v>2760</v>
      </c>
      <c r="H984" s="7" t="s">
        <v>2761</v>
      </c>
      <c r="I984" s="9">
        <v>45359</v>
      </c>
    </row>
    <row r="985" spans="1:9" x14ac:dyDescent="0.15">
      <c r="A985" s="6">
        <v>984</v>
      </c>
      <c r="B985" s="7" t="s">
        <v>9</v>
      </c>
      <c r="C985" s="8">
        <v>1889</v>
      </c>
      <c r="D985" s="9">
        <v>45439</v>
      </c>
      <c r="E985" s="13" t="str">
        <f>+HYPERLINK("http://trademark.i-assist.jp/data/china/image_1889th/77175144.pdf","77175144")</f>
        <v>77175144</v>
      </c>
      <c r="F985" s="7" t="s">
        <v>2762</v>
      </c>
      <c r="G985" s="7" t="s">
        <v>2763</v>
      </c>
      <c r="H985" s="7" t="s">
        <v>2764</v>
      </c>
      <c r="I985" s="9">
        <v>45359</v>
      </c>
    </row>
    <row r="986" spans="1:9" x14ac:dyDescent="0.15">
      <c r="A986" s="6">
        <v>985</v>
      </c>
      <c r="B986" s="7" t="s">
        <v>9</v>
      </c>
      <c r="C986" s="8">
        <v>1889</v>
      </c>
      <c r="D986" s="9">
        <v>45439</v>
      </c>
      <c r="E986" s="13" t="str">
        <f>+HYPERLINK("http://trademark.i-assist.jp/data/china/image_1889th/77175353.pdf","77175353")</f>
        <v>77175353</v>
      </c>
      <c r="F986" s="7" t="s">
        <v>2765</v>
      </c>
      <c r="G986" s="7" t="s">
        <v>2766</v>
      </c>
      <c r="H986" s="7" t="s">
        <v>2767</v>
      </c>
      <c r="I986" s="9">
        <v>45359</v>
      </c>
    </row>
    <row r="987" spans="1:9" ht="27" x14ac:dyDescent="0.15">
      <c r="A987" s="6">
        <v>986</v>
      </c>
      <c r="B987" s="7" t="s">
        <v>9</v>
      </c>
      <c r="C987" s="8">
        <v>1889</v>
      </c>
      <c r="D987" s="9">
        <v>45439</v>
      </c>
      <c r="E987" s="13" t="str">
        <f>+HYPERLINK("http://trademark.i-assist.jp/data/china/image_1889th/77175544.pdf","77175544")</f>
        <v>77175544</v>
      </c>
      <c r="F987" s="7" t="s">
        <v>2768</v>
      </c>
      <c r="G987" s="7" t="s">
        <v>2769</v>
      </c>
      <c r="H987" s="7" t="s">
        <v>2770</v>
      </c>
      <c r="I987" s="9">
        <v>45359</v>
      </c>
    </row>
    <row r="988" spans="1:9" x14ac:dyDescent="0.15">
      <c r="A988" s="6">
        <v>987</v>
      </c>
      <c r="B988" s="7" t="s">
        <v>9</v>
      </c>
      <c r="C988" s="8">
        <v>1889</v>
      </c>
      <c r="D988" s="9">
        <v>45439</v>
      </c>
      <c r="E988" s="13" t="str">
        <f>+HYPERLINK("http://trademark.i-assist.jp/data/china/image_1889th/77175553.pdf","77175553")</f>
        <v>77175553</v>
      </c>
      <c r="F988" s="7" t="s">
        <v>2771</v>
      </c>
      <c r="G988" s="7" t="s">
        <v>2772</v>
      </c>
      <c r="H988" s="7" t="s">
        <v>2773</v>
      </c>
      <c r="I988" s="9">
        <v>45359</v>
      </c>
    </row>
    <row r="989" spans="1:9" x14ac:dyDescent="0.15">
      <c r="A989" s="6">
        <v>988</v>
      </c>
      <c r="B989" s="7" t="s">
        <v>9</v>
      </c>
      <c r="C989" s="8">
        <v>1889</v>
      </c>
      <c r="D989" s="9">
        <v>45439</v>
      </c>
      <c r="E989" s="13" t="str">
        <f>+HYPERLINK("http://trademark.i-assist.jp/data/china/image_1889th/77175665.pdf","77175665")</f>
        <v>77175665</v>
      </c>
      <c r="F989" s="7" t="s">
        <v>2774</v>
      </c>
      <c r="G989" s="7" t="s">
        <v>2775</v>
      </c>
      <c r="H989" s="7" t="s">
        <v>2776</v>
      </c>
      <c r="I989" s="9">
        <v>45359</v>
      </c>
    </row>
    <row r="990" spans="1:9" x14ac:dyDescent="0.15">
      <c r="A990" s="6">
        <v>989</v>
      </c>
      <c r="B990" s="7" t="s">
        <v>9</v>
      </c>
      <c r="C990" s="8">
        <v>1889</v>
      </c>
      <c r="D990" s="9">
        <v>45439</v>
      </c>
      <c r="E990" s="13" t="str">
        <f>+HYPERLINK("http://trademark.i-assist.jp/data/china/image_1889th/77175779.pdf","77175779")</f>
        <v>77175779</v>
      </c>
      <c r="F990" s="7" t="s">
        <v>2777</v>
      </c>
      <c r="G990" s="7" t="s">
        <v>2778</v>
      </c>
      <c r="H990" s="7" t="s">
        <v>2779</v>
      </c>
      <c r="I990" s="9">
        <v>45359</v>
      </c>
    </row>
    <row r="991" spans="1:9" x14ac:dyDescent="0.15">
      <c r="A991" s="6">
        <v>990</v>
      </c>
      <c r="B991" s="7" t="s">
        <v>9</v>
      </c>
      <c r="C991" s="8">
        <v>1889</v>
      </c>
      <c r="D991" s="9">
        <v>45439</v>
      </c>
      <c r="E991" s="13" t="str">
        <f>+HYPERLINK("http://trademark.i-assist.jp/data/china/image_1889th/77176087.pdf","77176087")</f>
        <v>77176087</v>
      </c>
      <c r="F991" s="7" t="s">
        <v>2780</v>
      </c>
      <c r="G991" s="7" t="s">
        <v>2781</v>
      </c>
      <c r="H991" s="7" t="s">
        <v>2782</v>
      </c>
      <c r="I991" s="9">
        <v>45359</v>
      </c>
    </row>
    <row r="992" spans="1:9" x14ac:dyDescent="0.15">
      <c r="A992" s="6">
        <v>991</v>
      </c>
      <c r="B992" s="7" t="s">
        <v>9</v>
      </c>
      <c r="C992" s="8">
        <v>1889</v>
      </c>
      <c r="D992" s="9">
        <v>45439</v>
      </c>
      <c r="E992" s="13" t="str">
        <f>+HYPERLINK("http://trademark.i-assist.jp/data/china/image_1889th/77176101.pdf","77176101")</f>
        <v>77176101</v>
      </c>
      <c r="F992" s="7" t="s">
        <v>2783</v>
      </c>
      <c r="G992" s="7" t="s">
        <v>2784</v>
      </c>
      <c r="H992" s="7" t="s">
        <v>2785</v>
      </c>
      <c r="I992" s="9">
        <v>45359</v>
      </c>
    </row>
    <row r="993" spans="1:9" x14ac:dyDescent="0.15">
      <c r="A993" s="6">
        <v>992</v>
      </c>
      <c r="B993" s="7" t="s">
        <v>9</v>
      </c>
      <c r="C993" s="8">
        <v>1889</v>
      </c>
      <c r="D993" s="9">
        <v>45439</v>
      </c>
      <c r="E993" s="13" t="str">
        <f>+HYPERLINK("http://trademark.i-assist.jp/data/china/image_1889th/77176216.pdf","77176216")</f>
        <v>77176216</v>
      </c>
      <c r="F993" s="7" t="s">
        <v>2786</v>
      </c>
      <c r="G993" s="7" t="s">
        <v>2787</v>
      </c>
      <c r="H993" s="7" t="s">
        <v>2788</v>
      </c>
      <c r="I993" s="9">
        <v>45359</v>
      </c>
    </row>
    <row r="994" spans="1:9" x14ac:dyDescent="0.15">
      <c r="A994" s="6">
        <v>993</v>
      </c>
      <c r="B994" s="7" t="s">
        <v>9</v>
      </c>
      <c r="C994" s="8">
        <v>1889</v>
      </c>
      <c r="D994" s="9">
        <v>45439</v>
      </c>
      <c r="E994" s="13" t="str">
        <f>+HYPERLINK("http://trademark.i-assist.jp/data/china/image_1889th/77176679.pdf","77176679")</f>
        <v>77176679</v>
      </c>
      <c r="F994" s="7" t="s">
        <v>2789</v>
      </c>
      <c r="G994" s="7" t="s">
        <v>2790</v>
      </c>
      <c r="H994" s="7" t="s">
        <v>2791</v>
      </c>
      <c r="I994" s="9">
        <v>45359</v>
      </c>
    </row>
    <row r="995" spans="1:9" x14ac:dyDescent="0.15">
      <c r="A995" s="6">
        <v>994</v>
      </c>
      <c r="B995" s="7" t="s">
        <v>9</v>
      </c>
      <c r="C995" s="8">
        <v>1889</v>
      </c>
      <c r="D995" s="9">
        <v>45439</v>
      </c>
      <c r="E995" s="13" t="str">
        <f>+HYPERLINK("http://trademark.i-assist.jp/data/china/image_1889th/77176758.pdf","77176758")</f>
        <v>77176758</v>
      </c>
      <c r="F995" s="7" t="s">
        <v>2792</v>
      </c>
      <c r="G995" s="7" t="s">
        <v>2793</v>
      </c>
      <c r="H995" s="7" t="s">
        <v>2794</v>
      </c>
      <c r="I995" s="9">
        <v>45359</v>
      </c>
    </row>
    <row r="996" spans="1:9" x14ac:dyDescent="0.15">
      <c r="A996" s="6">
        <v>995</v>
      </c>
      <c r="B996" s="7" t="s">
        <v>9</v>
      </c>
      <c r="C996" s="8">
        <v>1889</v>
      </c>
      <c r="D996" s="9">
        <v>45439</v>
      </c>
      <c r="E996" s="13" t="str">
        <f>+HYPERLINK("http://trademark.i-assist.jp/data/china/image_1889th/77177415.pdf","77177415")</f>
        <v>77177415</v>
      </c>
      <c r="F996" s="7" t="s">
        <v>2795</v>
      </c>
      <c r="G996" s="7" t="s">
        <v>2796</v>
      </c>
      <c r="H996" s="7" t="s">
        <v>2797</v>
      </c>
      <c r="I996" s="9">
        <v>45359</v>
      </c>
    </row>
    <row r="997" spans="1:9" ht="27" x14ac:dyDescent="0.15">
      <c r="A997" s="6">
        <v>996</v>
      </c>
      <c r="B997" s="7" t="s">
        <v>9</v>
      </c>
      <c r="C997" s="8">
        <v>1889</v>
      </c>
      <c r="D997" s="9">
        <v>45439</v>
      </c>
      <c r="E997" s="13" t="str">
        <f>+HYPERLINK("http://trademark.i-assist.jp/data/china/image_1889th/77178365.pdf","77178365")</f>
        <v>77178365</v>
      </c>
      <c r="F997" s="7" t="s">
        <v>2798</v>
      </c>
      <c r="G997" s="7" t="s">
        <v>2799</v>
      </c>
      <c r="H997" s="7" t="s">
        <v>2800</v>
      </c>
      <c r="I997" s="9">
        <v>45359</v>
      </c>
    </row>
    <row r="998" spans="1:9" x14ac:dyDescent="0.15">
      <c r="A998" s="6">
        <v>997</v>
      </c>
      <c r="B998" s="7" t="s">
        <v>9</v>
      </c>
      <c r="C998" s="8">
        <v>1889</v>
      </c>
      <c r="D998" s="9">
        <v>45439</v>
      </c>
      <c r="E998" s="13" t="str">
        <f>+HYPERLINK("http://trademark.i-assist.jp/data/china/image_1889th/77178444.pdf","77178444")</f>
        <v>77178444</v>
      </c>
      <c r="F998" s="7" t="s">
        <v>2801</v>
      </c>
      <c r="G998" s="7" t="s">
        <v>2802</v>
      </c>
      <c r="H998" s="7" t="s">
        <v>2803</v>
      </c>
      <c r="I998" s="9">
        <v>45359</v>
      </c>
    </row>
    <row r="999" spans="1:9" x14ac:dyDescent="0.15">
      <c r="A999" s="6">
        <v>998</v>
      </c>
      <c r="B999" s="7" t="s">
        <v>9</v>
      </c>
      <c r="C999" s="8">
        <v>1889</v>
      </c>
      <c r="D999" s="9">
        <v>45439</v>
      </c>
      <c r="E999" s="13" t="str">
        <f>+HYPERLINK("http://trademark.i-assist.jp/data/china/image_1889th/77178653.pdf","77178653")</f>
        <v>77178653</v>
      </c>
      <c r="F999" s="7" t="s">
        <v>2804</v>
      </c>
      <c r="G999" s="7" t="s">
        <v>2766</v>
      </c>
      <c r="H999" s="7" t="s">
        <v>2805</v>
      </c>
      <c r="I999" s="9">
        <v>45359</v>
      </c>
    </row>
    <row r="1000" spans="1:9" x14ac:dyDescent="0.15">
      <c r="A1000" s="6">
        <v>999</v>
      </c>
      <c r="B1000" s="7" t="s">
        <v>9</v>
      </c>
      <c r="C1000" s="8">
        <v>1889</v>
      </c>
      <c r="D1000" s="9">
        <v>45439</v>
      </c>
      <c r="E1000" s="13" t="str">
        <f>+HYPERLINK("http://trademark.i-assist.jp/data/china/image_1889th/77179710.pdf","77179710")</f>
        <v>77179710</v>
      </c>
      <c r="F1000" s="7" t="s">
        <v>2806</v>
      </c>
      <c r="G1000" s="7" t="s">
        <v>2796</v>
      </c>
      <c r="H1000" s="7" t="s">
        <v>2807</v>
      </c>
      <c r="I1000" s="9">
        <v>45359</v>
      </c>
    </row>
    <row r="1001" spans="1:9" x14ac:dyDescent="0.15">
      <c r="A1001" s="6">
        <v>1000</v>
      </c>
      <c r="B1001" s="7" t="s">
        <v>9</v>
      </c>
      <c r="C1001" s="8">
        <v>1889</v>
      </c>
      <c r="D1001" s="9">
        <v>45439</v>
      </c>
      <c r="E1001" s="13" t="str">
        <f>+HYPERLINK("http://trademark.i-assist.jp/data/china/image_1889th/77179726.pdf","77179726")</f>
        <v>77179726</v>
      </c>
      <c r="F1001" s="7" t="s">
        <v>2808</v>
      </c>
      <c r="G1001" s="7" t="s">
        <v>2796</v>
      </c>
      <c r="H1001" s="7" t="s">
        <v>2809</v>
      </c>
      <c r="I1001" s="9">
        <v>45359</v>
      </c>
    </row>
    <row r="1002" spans="1:9" x14ac:dyDescent="0.15">
      <c r="A1002" s="6">
        <v>1001</v>
      </c>
      <c r="B1002" s="7" t="s">
        <v>9</v>
      </c>
      <c r="C1002" s="8">
        <v>1889</v>
      </c>
      <c r="D1002" s="9">
        <v>45439</v>
      </c>
      <c r="E1002" s="13" t="str">
        <f>+HYPERLINK("http://trademark.i-assist.jp/data/china/image_1889th/77180004.pdf","77180004")</f>
        <v>77180004</v>
      </c>
      <c r="F1002" s="7" t="s">
        <v>2810</v>
      </c>
      <c r="G1002" s="7" t="s">
        <v>2811</v>
      </c>
      <c r="H1002" s="7" t="s">
        <v>2812</v>
      </c>
      <c r="I1002" s="9">
        <v>45359</v>
      </c>
    </row>
    <row r="1003" spans="1:9" x14ac:dyDescent="0.15">
      <c r="A1003" s="6">
        <v>1002</v>
      </c>
      <c r="B1003" s="7" t="s">
        <v>9</v>
      </c>
      <c r="C1003" s="8">
        <v>1889</v>
      </c>
      <c r="D1003" s="9">
        <v>45439</v>
      </c>
      <c r="E1003" s="13" t="str">
        <f>+HYPERLINK("http://trademark.i-assist.jp/data/china/image_1889th/77180024.pdf","77180024")</f>
        <v>77180024</v>
      </c>
      <c r="F1003" s="7" t="s">
        <v>2813</v>
      </c>
      <c r="G1003" s="7" t="s">
        <v>2814</v>
      </c>
      <c r="H1003" s="7" t="s">
        <v>2815</v>
      </c>
      <c r="I1003" s="9">
        <v>45359</v>
      </c>
    </row>
    <row r="1004" spans="1:9" x14ac:dyDescent="0.15">
      <c r="A1004" s="6">
        <v>1003</v>
      </c>
      <c r="B1004" s="7" t="s">
        <v>9</v>
      </c>
      <c r="C1004" s="8">
        <v>1889</v>
      </c>
      <c r="D1004" s="9">
        <v>45439</v>
      </c>
      <c r="E1004" s="13" t="str">
        <f>+HYPERLINK("http://trademark.i-assist.jp/data/china/image_1889th/77180793.pdf","77180793")</f>
        <v>77180793</v>
      </c>
      <c r="F1004" s="7" t="s">
        <v>2816</v>
      </c>
      <c r="G1004" s="7" t="s">
        <v>2817</v>
      </c>
      <c r="H1004" s="7" t="s">
        <v>2818</v>
      </c>
      <c r="I1004" s="9">
        <v>45359</v>
      </c>
    </row>
    <row r="1005" spans="1:9" x14ac:dyDescent="0.15">
      <c r="A1005" s="6">
        <v>1004</v>
      </c>
      <c r="B1005" s="7" t="s">
        <v>9</v>
      </c>
      <c r="C1005" s="8">
        <v>1889</v>
      </c>
      <c r="D1005" s="9">
        <v>45439</v>
      </c>
      <c r="E1005" s="13" t="str">
        <f>+HYPERLINK("http://trademark.i-assist.jp/data/china/image_1889th/77180840.pdf","77180840")</f>
        <v>77180840</v>
      </c>
      <c r="F1005" s="7" t="s">
        <v>2819</v>
      </c>
      <c r="G1005" s="7" t="s">
        <v>2820</v>
      </c>
      <c r="H1005" s="7" t="s">
        <v>2821</v>
      </c>
      <c r="I1005" s="9">
        <v>45359</v>
      </c>
    </row>
    <row r="1006" spans="1:9" x14ac:dyDescent="0.15">
      <c r="A1006" s="6">
        <v>1005</v>
      </c>
      <c r="B1006" s="7" t="s">
        <v>9</v>
      </c>
      <c r="C1006" s="8">
        <v>1889</v>
      </c>
      <c r="D1006" s="9">
        <v>45439</v>
      </c>
      <c r="E1006" s="13" t="str">
        <f>+HYPERLINK("http://trademark.i-assist.jp/data/china/image_1889th/77180977.pdf","77180977")</f>
        <v>77180977</v>
      </c>
      <c r="F1006" s="7" t="s">
        <v>2822</v>
      </c>
      <c r="G1006" s="7" t="s">
        <v>2823</v>
      </c>
      <c r="H1006" s="7" t="s">
        <v>2824</v>
      </c>
      <c r="I1006" s="9">
        <v>45359</v>
      </c>
    </row>
    <row r="1007" spans="1:9" x14ac:dyDescent="0.15">
      <c r="A1007" s="6">
        <v>1006</v>
      </c>
      <c r="B1007" s="7" t="s">
        <v>9</v>
      </c>
      <c r="C1007" s="8">
        <v>1889</v>
      </c>
      <c r="D1007" s="9">
        <v>45439</v>
      </c>
      <c r="E1007" s="13" t="str">
        <f>+HYPERLINK("http://trademark.i-assist.jp/data/china/image_1889th/77181730.pdf","77181730")</f>
        <v>77181730</v>
      </c>
      <c r="F1007" s="7" t="s">
        <v>2825</v>
      </c>
      <c r="G1007" s="7" t="s">
        <v>2826</v>
      </c>
      <c r="H1007" s="7" t="s">
        <v>2827</v>
      </c>
      <c r="I1007" s="9">
        <v>45360</v>
      </c>
    </row>
    <row r="1008" spans="1:9" x14ac:dyDescent="0.15">
      <c r="A1008" s="6">
        <v>1007</v>
      </c>
      <c r="B1008" s="7" t="s">
        <v>9</v>
      </c>
      <c r="C1008" s="8">
        <v>1889</v>
      </c>
      <c r="D1008" s="9">
        <v>45439</v>
      </c>
      <c r="E1008" s="13" t="str">
        <f>+HYPERLINK("http://trademark.i-assist.jp/data/china/image_1889th/77181893.pdf","77181893")</f>
        <v>77181893</v>
      </c>
      <c r="F1008" s="7" t="s">
        <v>2828</v>
      </c>
      <c r="G1008" s="7" t="s">
        <v>2829</v>
      </c>
      <c r="H1008" s="7" t="s">
        <v>2830</v>
      </c>
      <c r="I1008" s="9">
        <v>45359</v>
      </c>
    </row>
    <row r="1009" spans="1:9" x14ac:dyDescent="0.15">
      <c r="A1009" s="6">
        <v>1008</v>
      </c>
      <c r="B1009" s="7" t="s">
        <v>9</v>
      </c>
      <c r="C1009" s="8">
        <v>1889</v>
      </c>
      <c r="D1009" s="9">
        <v>45439</v>
      </c>
      <c r="E1009" s="13" t="str">
        <f>+HYPERLINK("http://trademark.i-assist.jp/data/china/image_1889th/77182040.pdf","77182040")</f>
        <v>77182040</v>
      </c>
      <c r="F1009" s="7" t="s">
        <v>2831</v>
      </c>
      <c r="G1009" s="7" t="s">
        <v>2832</v>
      </c>
      <c r="H1009" s="7" t="s">
        <v>2833</v>
      </c>
      <c r="I1009" s="9">
        <v>45359</v>
      </c>
    </row>
    <row r="1010" spans="1:9" x14ac:dyDescent="0.15">
      <c r="A1010" s="6">
        <v>1009</v>
      </c>
      <c r="B1010" s="7" t="s">
        <v>9</v>
      </c>
      <c r="C1010" s="8">
        <v>1889</v>
      </c>
      <c r="D1010" s="9">
        <v>45439</v>
      </c>
      <c r="E1010" s="13" t="str">
        <f>+HYPERLINK("http://trademark.i-assist.jp/data/china/image_1889th/77182222.pdf","77182222")</f>
        <v>77182222</v>
      </c>
      <c r="F1010" s="7" t="s">
        <v>2834</v>
      </c>
      <c r="G1010" s="7" t="s">
        <v>2835</v>
      </c>
      <c r="H1010" s="7" t="s">
        <v>2836</v>
      </c>
      <c r="I1010" s="9">
        <v>45359</v>
      </c>
    </row>
    <row r="1011" spans="1:9" x14ac:dyDescent="0.15">
      <c r="A1011" s="6">
        <v>1010</v>
      </c>
      <c r="B1011" s="7" t="s">
        <v>9</v>
      </c>
      <c r="C1011" s="8">
        <v>1889</v>
      </c>
      <c r="D1011" s="9">
        <v>45439</v>
      </c>
      <c r="E1011" s="13" t="str">
        <f>+HYPERLINK("http://trademark.i-assist.jp/data/china/image_1889th/77182697.pdf","77182697")</f>
        <v>77182697</v>
      </c>
      <c r="F1011" s="7" t="s">
        <v>134</v>
      </c>
      <c r="G1011" s="7" t="s">
        <v>2837</v>
      </c>
      <c r="H1011" s="7" t="s">
        <v>2838</v>
      </c>
      <c r="I1011" s="9">
        <v>45359</v>
      </c>
    </row>
    <row r="1012" spans="1:9" x14ac:dyDescent="0.15">
      <c r="A1012" s="6">
        <v>1011</v>
      </c>
      <c r="B1012" s="7" t="s">
        <v>9</v>
      </c>
      <c r="C1012" s="8">
        <v>1889</v>
      </c>
      <c r="D1012" s="9">
        <v>45439</v>
      </c>
      <c r="E1012" s="13" t="str">
        <f>+HYPERLINK("http://trademark.i-assist.jp/data/china/image_1889th/77182774.pdf","77182774")</f>
        <v>77182774</v>
      </c>
      <c r="F1012" s="7" t="s">
        <v>2839</v>
      </c>
      <c r="G1012" s="7" t="s">
        <v>2840</v>
      </c>
      <c r="H1012" s="7" t="s">
        <v>2841</v>
      </c>
      <c r="I1012" s="9">
        <v>45359</v>
      </c>
    </row>
    <row r="1013" spans="1:9" x14ac:dyDescent="0.15">
      <c r="A1013" s="6">
        <v>1012</v>
      </c>
      <c r="B1013" s="7" t="s">
        <v>9</v>
      </c>
      <c r="C1013" s="8">
        <v>1889</v>
      </c>
      <c r="D1013" s="9">
        <v>45439</v>
      </c>
      <c r="E1013" s="13" t="str">
        <f>+HYPERLINK("http://trademark.i-assist.jp/data/china/image_1889th/77182809.pdf","77182809")</f>
        <v>77182809</v>
      </c>
      <c r="F1013" s="7" t="s">
        <v>2842</v>
      </c>
      <c r="G1013" s="7" t="s">
        <v>2843</v>
      </c>
      <c r="H1013" s="7" t="s">
        <v>2844</v>
      </c>
      <c r="I1013" s="9">
        <v>45360</v>
      </c>
    </row>
    <row r="1014" spans="1:9" x14ac:dyDescent="0.15">
      <c r="A1014" s="6">
        <v>1013</v>
      </c>
      <c r="B1014" s="7" t="s">
        <v>9</v>
      </c>
      <c r="C1014" s="8">
        <v>1889</v>
      </c>
      <c r="D1014" s="9">
        <v>45439</v>
      </c>
      <c r="E1014" s="13" t="str">
        <f>+HYPERLINK("http://trademark.i-assist.jp/data/china/image_1889th/77183057.pdf","77183057")</f>
        <v>77183057</v>
      </c>
      <c r="F1014" s="7" t="s">
        <v>2845</v>
      </c>
      <c r="G1014" s="7" t="s">
        <v>2846</v>
      </c>
      <c r="H1014" s="7" t="s">
        <v>2847</v>
      </c>
      <c r="I1014" s="9">
        <v>45359</v>
      </c>
    </row>
    <row r="1015" spans="1:9" ht="27" x14ac:dyDescent="0.15">
      <c r="A1015" s="6">
        <v>1014</v>
      </c>
      <c r="B1015" s="7" t="s">
        <v>9</v>
      </c>
      <c r="C1015" s="8">
        <v>1889</v>
      </c>
      <c r="D1015" s="9">
        <v>45439</v>
      </c>
      <c r="E1015" s="13" t="str">
        <f>+HYPERLINK("http://trademark.i-assist.jp/data/china/image_1889th/77183317.pdf","77183317")</f>
        <v>77183317</v>
      </c>
      <c r="F1015" s="7" t="s">
        <v>2848</v>
      </c>
      <c r="G1015" s="7" t="s">
        <v>2799</v>
      </c>
      <c r="H1015" s="7" t="s">
        <v>2849</v>
      </c>
      <c r="I1015" s="9">
        <v>45359</v>
      </c>
    </row>
    <row r="1016" spans="1:9" x14ac:dyDescent="0.15">
      <c r="A1016" s="6">
        <v>1015</v>
      </c>
      <c r="B1016" s="7" t="s">
        <v>9</v>
      </c>
      <c r="C1016" s="8">
        <v>1889</v>
      </c>
      <c r="D1016" s="9">
        <v>45439</v>
      </c>
      <c r="E1016" s="13" t="str">
        <f>+HYPERLINK("http://trademark.i-assist.jp/data/china/image_1889th/77183683.pdf","77183683")</f>
        <v>77183683</v>
      </c>
      <c r="F1016" s="7" t="s">
        <v>2777</v>
      </c>
      <c r="G1016" s="7" t="s">
        <v>2778</v>
      </c>
      <c r="H1016" s="7" t="s">
        <v>2850</v>
      </c>
      <c r="I1016" s="9">
        <v>45359</v>
      </c>
    </row>
    <row r="1017" spans="1:9" x14ac:dyDescent="0.15">
      <c r="A1017" s="6">
        <v>1016</v>
      </c>
      <c r="B1017" s="7" t="s">
        <v>9</v>
      </c>
      <c r="C1017" s="8">
        <v>1889</v>
      </c>
      <c r="D1017" s="9">
        <v>45439</v>
      </c>
      <c r="E1017" s="13" t="str">
        <f>+HYPERLINK("http://trademark.i-assist.jp/data/china/image_1889th/77183751.pdf","77183751")</f>
        <v>77183751</v>
      </c>
      <c r="F1017" s="7" t="s">
        <v>2851</v>
      </c>
      <c r="G1017" s="7" t="s">
        <v>2852</v>
      </c>
      <c r="H1017" s="7" t="s">
        <v>2853</v>
      </c>
      <c r="I1017" s="9">
        <v>45359</v>
      </c>
    </row>
    <row r="1018" spans="1:9" x14ac:dyDescent="0.15">
      <c r="A1018" s="6">
        <v>1017</v>
      </c>
      <c r="B1018" s="7" t="s">
        <v>9</v>
      </c>
      <c r="C1018" s="8">
        <v>1889</v>
      </c>
      <c r="D1018" s="9">
        <v>45439</v>
      </c>
      <c r="E1018" s="13" t="str">
        <f>+HYPERLINK("http://trademark.i-assist.jp/data/china/image_1889th/77183793.pdf","77183793")</f>
        <v>77183793</v>
      </c>
      <c r="F1018" s="7" t="s">
        <v>134</v>
      </c>
      <c r="G1018" s="7" t="s">
        <v>2854</v>
      </c>
      <c r="H1018" s="7" t="s">
        <v>2855</v>
      </c>
      <c r="I1018" s="9">
        <v>45359</v>
      </c>
    </row>
    <row r="1019" spans="1:9" x14ac:dyDescent="0.15">
      <c r="A1019" s="6">
        <v>1018</v>
      </c>
      <c r="B1019" s="7" t="s">
        <v>9</v>
      </c>
      <c r="C1019" s="8">
        <v>1889</v>
      </c>
      <c r="D1019" s="9">
        <v>45439</v>
      </c>
      <c r="E1019" s="13" t="str">
        <f>+HYPERLINK("http://trademark.i-assist.jp/data/china/image_1889th/77184121.pdf","77184121")</f>
        <v>77184121</v>
      </c>
      <c r="F1019" s="7" t="s">
        <v>2856</v>
      </c>
      <c r="G1019" s="7" t="s">
        <v>2857</v>
      </c>
      <c r="H1019" s="7" t="s">
        <v>10</v>
      </c>
      <c r="I1019" s="9">
        <v>45359</v>
      </c>
    </row>
    <row r="1020" spans="1:9" x14ac:dyDescent="0.15">
      <c r="A1020" s="6">
        <v>1019</v>
      </c>
      <c r="B1020" s="7" t="s">
        <v>9</v>
      </c>
      <c r="C1020" s="8">
        <v>1889</v>
      </c>
      <c r="D1020" s="9">
        <v>45439</v>
      </c>
      <c r="E1020" s="13" t="str">
        <f>+HYPERLINK("http://trademark.i-assist.jp/data/china/image_1889th/77184364.pdf","77184364")</f>
        <v>77184364</v>
      </c>
      <c r="F1020" s="7" t="s">
        <v>2858</v>
      </c>
      <c r="G1020" s="7" t="s">
        <v>2859</v>
      </c>
      <c r="H1020" s="7" t="s">
        <v>2860</v>
      </c>
      <c r="I1020" s="9">
        <v>45359</v>
      </c>
    </row>
    <row r="1021" spans="1:9" x14ac:dyDescent="0.15">
      <c r="A1021" s="6">
        <v>1020</v>
      </c>
      <c r="B1021" s="7" t="s">
        <v>9</v>
      </c>
      <c r="C1021" s="8">
        <v>1889</v>
      </c>
      <c r="D1021" s="9">
        <v>45439</v>
      </c>
      <c r="E1021" s="13" t="str">
        <f>+HYPERLINK("http://trademark.i-assist.jp/data/china/image_1889th/77184928.pdf","77184928")</f>
        <v>77184928</v>
      </c>
      <c r="F1021" s="7" t="s">
        <v>2861</v>
      </c>
      <c r="G1021" s="7" t="s">
        <v>2862</v>
      </c>
      <c r="H1021" s="7" t="s">
        <v>2863</v>
      </c>
      <c r="I1021" s="9">
        <v>45359</v>
      </c>
    </row>
    <row r="1022" spans="1:9" x14ac:dyDescent="0.15">
      <c r="A1022" s="6">
        <v>1021</v>
      </c>
      <c r="B1022" s="7" t="s">
        <v>9</v>
      </c>
      <c r="C1022" s="8">
        <v>1889</v>
      </c>
      <c r="D1022" s="9">
        <v>45439</v>
      </c>
      <c r="E1022" s="13" t="str">
        <f>+HYPERLINK("http://trademark.i-assist.jp/data/china/image_1889th/77185084.pdf","77185084")</f>
        <v>77185084</v>
      </c>
      <c r="F1022" s="7" t="s">
        <v>2864</v>
      </c>
      <c r="G1022" s="7" t="s">
        <v>2865</v>
      </c>
      <c r="H1022" s="7" t="s">
        <v>2866</v>
      </c>
      <c r="I1022" s="9">
        <v>45359</v>
      </c>
    </row>
    <row r="1023" spans="1:9" x14ac:dyDescent="0.15">
      <c r="A1023" s="6">
        <v>1022</v>
      </c>
      <c r="B1023" s="7" t="s">
        <v>9</v>
      </c>
      <c r="C1023" s="8">
        <v>1889</v>
      </c>
      <c r="D1023" s="9">
        <v>45439</v>
      </c>
      <c r="E1023" s="13" t="str">
        <f>+HYPERLINK("http://trademark.i-assist.jp/data/china/image_1889th/77185583.pdf","77185583")</f>
        <v>77185583</v>
      </c>
      <c r="F1023" s="7" t="s">
        <v>2867</v>
      </c>
      <c r="G1023" s="7" t="s">
        <v>2478</v>
      </c>
      <c r="H1023" s="7" t="s">
        <v>2868</v>
      </c>
      <c r="I1023" s="9">
        <v>45359</v>
      </c>
    </row>
    <row r="1024" spans="1:9" x14ac:dyDescent="0.15">
      <c r="A1024" s="6">
        <v>1023</v>
      </c>
      <c r="B1024" s="7" t="s">
        <v>9</v>
      </c>
      <c r="C1024" s="8">
        <v>1889</v>
      </c>
      <c r="D1024" s="9">
        <v>45439</v>
      </c>
      <c r="E1024" s="13" t="str">
        <f>+HYPERLINK("http://trademark.i-assist.jp/data/china/image_1889th/77185835.pdf","77185835")</f>
        <v>77185835</v>
      </c>
      <c r="F1024" s="7" t="s">
        <v>2869</v>
      </c>
      <c r="G1024" s="7" t="s">
        <v>2870</v>
      </c>
      <c r="H1024" s="7" t="s">
        <v>2871</v>
      </c>
      <c r="I1024" s="9">
        <v>45359</v>
      </c>
    </row>
    <row r="1025" spans="1:9" x14ac:dyDescent="0.15">
      <c r="A1025" s="6">
        <v>1024</v>
      </c>
      <c r="B1025" s="7" t="s">
        <v>9</v>
      </c>
      <c r="C1025" s="8">
        <v>1889</v>
      </c>
      <c r="D1025" s="9">
        <v>45439</v>
      </c>
      <c r="E1025" s="13" t="str">
        <f>+HYPERLINK("http://trademark.i-assist.jp/data/china/image_1889th/77185849.pdf","77185849")</f>
        <v>77185849</v>
      </c>
      <c r="F1025" s="7" t="s">
        <v>2872</v>
      </c>
      <c r="G1025" s="7" t="s">
        <v>2873</v>
      </c>
      <c r="H1025" s="7" t="s">
        <v>2874</v>
      </c>
      <c r="I1025" s="9">
        <v>45359</v>
      </c>
    </row>
    <row r="1026" spans="1:9" x14ac:dyDescent="0.15">
      <c r="A1026" s="6">
        <v>1025</v>
      </c>
      <c r="B1026" s="7" t="s">
        <v>9</v>
      </c>
      <c r="C1026" s="8">
        <v>1889</v>
      </c>
      <c r="D1026" s="9">
        <v>45439</v>
      </c>
      <c r="E1026" s="13" t="str">
        <f>+HYPERLINK("http://trademark.i-assist.jp/data/china/image_1889th/77185887.pdf","77185887")</f>
        <v>77185887</v>
      </c>
      <c r="F1026" s="7" t="s">
        <v>2875</v>
      </c>
      <c r="G1026" s="7" t="s">
        <v>2787</v>
      </c>
      <c r="H1026" s="7" t="s">
        <v>2876</v>
      </c>
      <c r="I1026" s="9">
        <v>45359</v>
      </c>
    </row>
    <row r="1027" spans="1:9" ht="27" x14ac:dyDescent="0.15">
      <c r="A1027" s="6">
        <v>1026</v>
      </c>
      <c r="B1027" s="7" t="s">
        <v>9</v>
      </c>
      <c r="C1027" s="8">
        <v>1889</v>
      </c>
      <c r="D1027" s="9">
        <v>45439</v>
      </c>
      <c r="E1027" s="13" t="str">
        <f>+HYPERLINK("http://trademark.i-assist.jp/data/china/image_1889th/77186174.pdf","77186174")</f>
        <v>77186174</v>
      </c>
      <c r="F1027" s="7" t="s">
        <v>2877</v>
      </c>
      <c r="G1027" s="7" t="s">
        <v>2878</v>
      </c>
      <c r="H1027" s="7" t="s">
        <v>2879</v>
      </c>
      <c r="I1027" s="9">
        <v>45359</v>
      </c>
    </row>
    <row r="1028" spans="1:9" ht="27" x14ac:dyDescent="0.15">
      <c r="A1028" s="6">
        <v>1027</v>
      </c>
      <c r="B1028" s="7" t="s">
        <v>9</v>
      </c>
      <c r="C1028" s="8">
        <v>1889</v>
      </c>
      <c r="D1028" s="9">
        <v>45439</v>
      </c>
      <c r="E1028" s="13" t="str">
        <f>+HYPERLINK("http://trademark.i-assist.jp/data/china/image_1889th/77186378.pdf","77186378")</f>
        <v>77186378</v>
      </c>
      <c r="F1028" s="7" t="s">
        <v>2880</v>
      </c>
      <c r="G1028" s="7" t="s">
        <v>2881</v>
      </c>
      <c r="H1028" s="7" t="s">
        <v>2882</v>
      </c>
      <c r="I1028" s="9">
        <v>45359</v>
      </c>
    </row>
    <row r="1029" spans="1:9" x14ac:dyDescent="0.15">
      <c r="A1029" s="6">
        <v>1028</v>
      </c>
      <c r="B1029" s="7" t="s">
        <v>9</v>
      </c>
      <c r="C1029" s="8">
        <v>1889</v>
      </c>
      <c r="D1029" s="9">
        <v>45439</v>
      </c>
      <c r="E1029" s="13" t="str">
        <f>+HYPERLINK("http://trademark.i-assist.jp/data/china/image_1889th/77186616.pdf","77186616")</f>
        <v>77186616</v>
      </c>
      <c r="F1029" s="7" t="s">
        <v>2883</v>
      </c>
      <c r="G1029" s="7" t="s">
        <v>2884</v>
      </c>
      <c r="H1029" s="7" t="s">
        <v>2885</v>
      </c>
      <c r="I1029" s="9">
        <v>45359</v>
      </c>
    </row>
    <row r="1030" spans="1:9" x14ac:dyDescent="0.15">
      <c r="A1030" s="6">
        <v>1029</v>
      </c>
      <c r="B1030" s="7" t="s">
        <v>9</v>
      </c>
      <c r="C1030" s="8">
        <v>1889</v>
      </c>
      <c r="D1030" s="9">
        <v>45439</v>
      </c>
      <c r="E1030" s="13" t="str">
        <f>+HYPERLINK("http://trademark.i-assist.jp/data/china/image_1889th/77186675.pdf","77186675")</f>
        <v>77186675</v>
      </c>
      <c r="F1030" s="7" t="s">
        <v>2886</v>
      </c>
      <c r="G1030" s="7" t="s">
        <v>2887</v>
      </c>
      <c r="H1030" s="7" t="s">
        <v>2888</v>
      </c>
      <c r="I1030" s="9">
        <v>45359</v>
      </c>
    </row>
    <row r="1031" spans="1:9" x14ac:dyDescent="0.15">
      <c r="A1031" s="6">
        <v>1030</v>
      </c>
      <c r="B1031" s="7" t="s">
        <v>9</v>
      </c>
      <c r="C1031" s="8">
        <v>1889</v>
      </c>
      <c r="D1031" s="9">
        <v>45439</v>
      </c>
      <c r="E1031" s="13" t="str">
        <f>+HYPERLINK("http://trademark.i-assist.jp/data/china/image_1889th/77186847.pdf","77186847")</f>
        <v>77186847</v>
      </c>
      <c r="F1031" s="7" t="s">
        <v>2889</v>
      </c>
      <c r="G1031" s="7" t="s">
        <v>2890</v>
      </c>
      <c r="H1031" s="7" t="s">
        <v>2891</v>
      </c>
      <c r="I1031" s="9">
        <v>45359</v>
      </c>
    </row>
    <row r="1032" spans="1:9" x14ac:dyDescent="0.15">
      <c r="A1032" s="6">
        <v>1031</v>
      </c>
      <c r="B1032" s="7" t="s">
        <v>9</v>
      </c>
      <c r="C1032" s="8">
        <v>1889</v>
      </c>
      <c r="D1032" s="9">
        <v>45439</v>
      </c>
      <c r="E1032" s="13" t="str">
        <f>+HYPERLINK("http://trademark.i-assist.jp/data/china/image_1889th/77187049.pdf","77187049")</f>
        <v>77187049</v>
      </c>
      <c r="F1032" s="7" t="s">
        <v>2892</v>
      </c>
      <c r="G1032" s="7" t="s">
        <v>2893</v>
      </c>
      <c r="H1032" s="7" t="s">
        <v>2894</v>
      </c>
      <c r="I1032" s="9">
        <v>45359</v>
      </c>
    </row>
    <row r="1033" spans="1:9" x14ac:dyDescent="0.15">
      <c r="A1033" s="6">
        <v>1032</v>
      </c>
      <c r="B1033" s="7" t="s">
        <v>9</v>
      </c>
      <c r="C1033" s="8">
        <v>1889</v>
      </c>
      <c r="D1033" s="9">
        <v>45439</v>
      </c>
      <c r="E1033" s="13" t="str">
        <f>+HYPERLINK("http://trademark.i-assist.jp/data/china/image_1889th/77187366.pdf","77187366")</f>
        <v>77187366</v>
      </c>
      <c r="F1033" s="7" t="s">
        <v>134</v>
      </c>
      <c r="G1033" s="7" t="s">
        <v>2895</v>
      </c>
      <c r="H1033" s="7" t="s">
        <v>2896</v>
      </c>
      <c r="I1033" s="9">
        <v>45359</v>
      </c>
    </row>
    <row r="1034" spans="1:9" x14ac:dyDescent="0.15">
      <c r="A1034" s="6">
        <v>1033</v>
      </c>
      <c r="B1034" s="7" t="s">
        <v>9</v>
      </c>
      <c r="C1034" s="8">
        <v>1889</v>
      </c>
      <c r="D1034" s="9">
        <v>45439</v>
      </c>
      <c r="E1034" s="13" t="str">
        <f>+HYPERLINK("http://trademark.i-assist.jp/data/china/image_1889th/77187537.pdf","77187537")</f>
        <v>77187537</v>
      </c>
      <c r="F1034" s="7" t="s">
        <v>2897</v>
      </c>
      <c r="G1034" s="7" t="s">
        <v>2898</v>
      </c>
      <c r="H1034" s="7" t="s">
        <v>2899</v>
      </c>
      <c r="I1034" s="9">
        <v>45359</v>
      </c>
    </row>
    <row r="1035" spans="1:9" ht="27" x14ac:dyDescent="0.15">
      <c r="A1035" s="6">
        <v>1034</v>
      </c>
      <c r="B1035" s="7" t="s">
        <v>9</v>
      </c>
      <c r="C1035" s="8">
        <v>1889</v>
      </c>
      <c r="D1035" s="9">
        <v>45439</v>
      </c>
      <c r="E1035" s="13" t="str">
        <f>+HYPERLINK("http://trademark.i-assist.jp/data/china/image_1889th/77187608.pdf","77187608")</f>
        <v>77187608</v>
      </c>
      <c r="F1035" s="7" t="s">
        <v>2900</v>
      </c>
      <c r="G1035" s="7" t="s">
        <v>2641</v>
      </c>
      <c r="H1035" s="7" t="s">
        <v>2901</v>
      </c>
      <c r="I1035" s="9">
        <v>45359</v>
      </c>
    </row>
    <row r="1036" spans="1:9" x14ac:dyDescent="0.15">
      <c r="A1036" s="6">
        <v>1035</v>
      </c>
      <c r="B1036" s="7" t="s">
        <v>9</v>
      </c>
      <c r="C1036" s="8">
        <v>1889</v>
      </c>
      <c r="D1036" s="9">
        <v>45439</v>
      </c>
      <c r="E1036" s="13" t="str">
        <f>+HYPERLINK("http://trademark.i-assist.jp/data/china/image_1889th/77187690.pdf","77187690")</f>
        <v>77187690</v>
      </c>
      <c r="F1036" s="7" t="s">
        <v>2902</v>
      </c>
      <c r="G1036" s="7" t="s">
        <v>2903</v>
      </c>
      <c r="H1036" s="7" t="s">
        <v>2904</v>
      </c>
      <c r="I1036" s="9">
        <v>45359</v>
      </c>
    </row>
    <row r="1037" spans="1:9" x14ac:dyDescent="0.15">
      <c r="A1037" s="6">
        <v>1036</v>
      </c>
      <c r="B1037" s="7" t="s">
        <v>9</v>
      </c>
      <c r="C1037" s="8">
        <v>1889</v>
      </c>
      <c r="D1037" s="9">
        <v>45439</v>
      </c>
      <c r="E1037" s="13" t="str">
        <f>+HYPERLINK("http://trademark.i-assist.jp/data/china/image_1889th/77188456.pdf","77188456")</f>
        <v>77188456</v>
      </c>
      <c r="F1037" s="7" t="s">
        <v>2905</v>
      </c>
      <c r="G1037" s="7" t="s">
        <v>2906</v>
      </c>
      <c r="H1037" s="7" t="s">
        <v>2907</v>
      </c>
      <c r="I1037" s="9">
        <v>45359</v>
      </c>
    </row>
    <row r="1038" spans="1:9" x14ac:dyDescent="0.15">
      <c r="A1038" s="6">
        <v>1037</v>
      </c>
      <c r="B1038" s="7" t="s">
        <v>9</v>
      </c>
      <c r="C1038" s="8">
        <v>1889</v>
      </c>
      <c r="D1038" s="9">
        <v>45439</v>
      </c>
      <c r="E1038" s="13" t="str">
        <f>+HYPERLINK("http://trademark.i-assist.jp/data/china/image_1889th/77188773.pdf","77188773")</f>
        <v>77188773</v>
      </c>
      <c r="F1038" s="7" t="s">
        <v>2908</v>
      </c>
      <c r="G1038" s="7" t="s">
        <v>2909</v>
      </c>
      <c r="H1038" s="7" t="s">
        <v>2910</v>
      </c>
      <c r="I1038" s="9">
        <v>45359</v>
      </c>
    </row>
    <row r="1039" spans="1:9" x14ac:dyDescent="0.15">
      <c r="A1039" s="6">
        <v>1038</v>
      </c>
      <c r="B1039" s="7" t="s">
        <v>9</v>
      </c>
      <c r="C1039" s="8">
        <v>1889</v>
      </c>
      <c r="D1039" s="9">
        <v>45439</v>
      </c>
      <c r="E1039" s="13" t="str">
        <f>+HYPERLINK("http://trademark.i-assist.jp/data/china/image_1889th/77188776.pdf","77188776")</f>
        <v>77188776</v>
      </c>
      <c r="F1039" s="7" t="s">
        <v>2911</v>
      </c>
      <c r="G1039" s="7" t="s">
        <v>2912</v>
      </c>
      <c r="H1039" s="7" t="s">
        <v>2913</v>
      </c>
      <c r="I1039" s="9">
        <v>45359</v>
      </c>
    </row>
    <row r="1040" spans="1:9" x14ac:dyDescent="0.15">
      <c r="A1040" s="6">
        <v>1039</v>
      </c>
      <c r="B1040" s="7" t="s">
        <v>9</v>
      </c>
      <c r="C1040" s="8">
        <v>1889</v>
      </c>
      <c r="D1040" s="9">
        <v>45439</v>
      </c>
      <c r="E1040" s="13" t="str">
        <f>+HYPERLINK("http://trademark.i-assist.jp/data/china/image_1889th/77188814.pdf","77188814")</f>
        <v>77188814</v>
      </c>
      <c r="F1040" s="7" t="s">
        <v>2914</v>
      </c>
      <c r="G1040" s="7" t="s">
        <v>2915</v>
      </c>
      <c r="H1040" s="7" t="s">
        <v>2916</v>
      </c>
      <c r="I1040" s="9">
        <v>45359</v>
      </c>
    </row>
    <row r="1041" spans="1:9" x14ac:dyDescent="0.15">
      <c r="A1041" s="6">
        <v>1040</v>
      </c>
      <c r="B1041" s="7" t="s">
        <v>9</v>
      </c>
      <c r="C1041" s="8">
        <v>1889</v>
      </c>
      <c r="D1041" s="9">
        <v>45439</v>
      </c>
      <c r="E1041" s="13" t="str">
        <f>+HYPERLINK("http://trademark.i-assist.jp/data/china/image_1889th/77189290.pdf","77189290")</f>
        <v>77189290</v>
      </c>
      <c r="F1041" s="7" t="s">
        <v>2917</v>
      </c>
      <c r="G1041" s="7" t="s">
        <v>2918</v>
      </c>
      <c r="H1041" s="7" t="s">
        <v>2919</v>
      </c>
      <c r="I1041" s="9">
        <v>45359</v>
      </c>
    </row>
    <row r="1042" spans="1:9" x14ac:dyDescent="0.15">
      <c r="A1042" s="6">
        <v>1041</v>
      </c>
      <c r="B1042" s="7" t="s">
        <v>9</v>
      </c>
      <c r="C1042" s="8">
        <v>1889</v>
      </c>
      <c r="D1042" s="9">
        <v>45439</v>
      </c>
      <c r="E1042" s="13" t="str">
        <f>+HYPERLINK("http://trademark.i-assist.jp/data/china/image_1889th/77189357.pdf","77189357")</f>
        <v>77189357</v>
      </c>
      <c r="F1042" s="7" t="s">
        <v>2920</v>
      </c>
      <c r="G1042" s="7" t="s">
        <v>2921</v>
      </c>
      <c r="H1042" s="7" t="s">
        <v>2922</v>
      </c>
      <c r="I1042" s="9">
        <v>45359</v>
      </c>
    </row>
    <row r="1043" spans="1:9" x14ac:dyDescent="0.15">
      <c r="A1043" s="6">
        <v>1042</v>
      </c>
      <c r="B1043" s="7" t="s">
        <v>9</v>
      </c>
      <c r="C1043" s="8">
        <v>1889</v>
      </c>
      <c r="D1043" s="9">
        <v>45439</v>
      </c>
      <c r="E1043" s="13" t="str">
        <f>+HYPERLINK("http://trademark.i-assist.jp/data/china/image_1889th/77189489.pdf","77189489")</f>
        <v>77189489</v>
      </c>
      <c r="F1043" s="7" t="s">
        <v>2923</v>
      </c>
      <c r="G1043" s="7" t="s">
        <v>2924</v>
      </c>
      <c r="H1043" s="7" t="s">
        <v>2925</v>
      </c>
      <c r="I1043" s="9">
        <v>45359</v>
      </c>
    </row>
    <row r="1044" spans="1:9" x14ac:dyDescent="0.15">
      <c r="A1044" s="6">
        <v>1043</v>
      </c>
      <c r="B1044" s="7" t="s">
        <v>9</v>
      </c>
      <c r="C1044" s="8">
        <v>1889</v>
      </c>
      <c r="D1044" s="9">
        <v>45439</v>
      </c>
      <c r="E1044" s="13" t="str">
        <f>+HYPERLINK("http://trademark.i-assist.jp/data/china/image_1889th/77189532.pdf","77189532")</f>
        <v>77189532</v>
      </c>
      <c r="F1044" s="7" t="s">
        <v>2926</v>
      </c>
      <c r="G1044" s="7" t="s">
        <v>2927</v>
      </c>
      <c r="H1044" s="7" t="s">
        <v>2928</v>
      </c>
      <c r="I1044" s="9">
        <v>45359</v>
      </c>
    </row>
    <row r="1045" spans="1:9" ht="27" x14ac:dyDescent="0.15">
      <c r="A1045" s="6">
        <v>1044</v>
      </c>
      <c r="B1045" s="7" t="s">
        <v>9</v>
      </c>
      <c r="C1045" s="8">
        <v>1889</v>
      </c>
      <c r="D1045" s="9">
        <v>45439</v>
      </c>
      <c r="E1045" s="13" t="str">
        <f>+HYPERLINK("http://trademark.i-assist.jp/data/china/image_1889th/77189568.pdf","77189568")</f>
        <v>77189568</v>
      </c>
      <c r="F1045" s="7" t="s">
        <v>2929</v>
      </c>
      <c r="G1045" s="7" t="s">
        <v>2930</v>
      </c>
      <c r="H1045" s="7" t="s">
        <v>2931</v>
      </c>
      <c r="I1045" s="9">
        <v>45359</v>
      </c>
    </row>
    <row r="1046" spans="1:9" x14ac:dyDescent="0.15">
      <c r="A1046" s="6">
        <v>1045</v>
      </c>
      <c r="B1046" s="7" t="s">
        <v>9</v>
      </c>
      <c r="C1046" s="8">
        <v>1889</v>
      </c>
      <c r="D1046" s="9">
        <v>45439</v>
      </c>
      <c r="E1046" s="13" t="str">
        <f>+HYPERLINK("http://trademark.i-assist.jp/data/china/image_1889th/77189643.pdf","77189643")</f>
        <v>77189643</v>
      </c>
      <c r="F1046" s="7" t="s">
        <v>2932</v>
      </c>
      <c r="G1046" s="7" t="s">
        <v>2933</v>
      </c>
      <c r="H1046" s="7" t="s">
        <v>2934</v>
      </c>
      <c r="I1046" s="9">
        <v>45359</v>
      </c>
    </row>
    <row r="1047" spans="1:9" x14ac:dyDescent="0.15">
      <c r="A1047" s="6">
        <v>1046</v>
      </c>
      <c r="B1047" s="7" t="s">
        <v>9</v>
      </c>
      <c r="C1047" s="8">
        <v>1889</v>
      </c>
      <c r="D1047" s="9">
        <v>45439</v>
      </c>
      <c r="E1047" s="13" t="str">
        <f>+HYPERLINK("http://trademark.i-assist.jp/data/china/image_1889th/77190308.pdf","77190308")</f>
        <v>77190308</v>
      </c>
      <c r="F1047" s="7" t="s">
        <v>2935</v>
      </c>
      <c r="G1047" s="7" t="s">
        <v>2936</v>
      </c>
      <c r="H1047" s="7" t="s">
        <v>2937</v>
      </c>
      <c r="I1047" s="9">
        <v>45359</v>
      </c>
    </row>
    <row r="1048" spans="1:9" x14ac:dyDescent="0.15">
      <c r="A1048" s="6">
        <v>1047</v>
      </c>
      <c r="B1048" s="7" t="s">
        <v>9</v>
      </c>
      <c r="C1048" s="8">
        <v>1889</v>
      </c>
      <c r="D1048" s="9">
        <v>45439</v>
      </c>
      <c r="E1048" s="13" t="str">
        <f>+HYPERLINK("http://trademark.i-assist.jp/data/china/image_1889th/77190558.pdf","77190558")</f>
        <v>77190558</v>
      </c>
      <c r="F1048" s="7" t="s">
        <v>2938</v>
      </c>
      <c r="G1048" s="7" t="s">
        <v>2939</v>
      </c>
      <c r="H1048" s="7" t="s">
        <v>2940</v>
      </c>
      <c r="I1048" s="9">
        <v>45359</v>
      </c>
    </row>
    <row r="1049" spans="1:9" x14ac:dyDescent="0.15">
      <c r="A1049" s="6">
        <v>1048</v>
      </c>
      <c r="B1049" s="7" t="s">
        <v>9</v>
      </c>
      <c r="C1049" s="8">
        <v>1889</v>
      </c>
      <c r="D1049" s="9">
        <v>45439</v>
      </c>
      <c r="E1049" s="13" t="str">
        <f>+HYPERLINK("http://trademark.i-assist.jp/data/china/image_1889th/77190645.pdf","77190645")</f>
        <v>77190645</v>
      </c>
      <c r="F1049" s="7" t="s">
        <v>2941</v>
      </c>
      <c r="G1049" s="7" t="s">
        <v>2942</v>
      </c>
      <c r="H1049" s="7" t="s">
        <v>2943</v>
      </c>
      <c r="I1049" s="9">
        <v>45359</v>
      </c>
    </row>
    <row r="1050" spans="1:9" x14ac:dyDescent="0.15">
      <c r="A1050" s="6">
        <v>1049</v>
      </c>
      <c r="B1050" s="7" t="s">
        <v>9</v>
      </c>
      <c r="C1050" s="8">
        <v>1889</v>
      </c>
      <c r="D1050" s="9">
        <v>45439</v>
      </c>
      <c r="E1050" s="13" t="str">
        <f>+HYPERLINK("http://trademark.i-assist.jp/data/china/image_1889th/77190749.pdf","77190749")</f>
        <v>77190749</v>
      </c>
      <c r="F1050" s="7" t="s">
        <v>2944</v>
      </c>
      <c r="G1050" s="7" t="s">
        <v>2945</v>
      </c>
      <c r="H1050" s="7" t="s">
        <v>2946</v>
      </c>
      <c r="I1050" s="9">
        <v>45359</v>
      </c>
    </row>
    <row r="1051" spans="1:9" ht="27" x14ac:dyDescent="0.15">
      <c r="A1051" s="6">
        <v>1050</v>
      </c>
      <c r="B1051" s="7" t="s">
        <v>9</v>
      </c>
      <c r="C1051" s="8">
        <v>1889</v>
      </c>
      <c r="D1051" s="9">
        <v>45439</v>
      </c>
      <c r="E1051" s="13" t="str">
        <f>+HYPERLINK("http://trademark.i-assist.jp/data/china/image_1889th/77190807.pdf","77190807")</f>
        <v>77190807</v>
      </c>
      <c r="F1051" s="7" t="s">
        <v>2947</v>
      </c>
      <c r="G1051" s="7" t="s">
        <v>2948</v>
      </c>
      <c r="H1051" s="7" t="s">
        <v>2949</v>
      </c>
      <c r="I1051" s="9">
        <v>45359</v>
      </c>
    </row>
    <row r="1052" spans="1:9" x14ac:dyDescent="0.15">
      <c r="A1052" s="6">
        <v>1051</v>
      </c>
      <c r="B1052" s="7" t="s">
        <v>9</v>
      </c>
      <c r="C1052" s="8">
        <v>1889</v>
      </c>
      <c r="D1052" s="9">
        <v>45439</v>
      </c>
      <c r="E1052" s="13" t="str">
        <f>+HYPERLINK("http://trademark.i-assist.jp/data/china/image_1889th/77190915.pdf","77190915")</f>
        <v>77190915</v>
      </c>
      <c r="F1052" s="7" t="s">
        <v>2950</v>
      </c>
      <c r="G1052" s="7" t="s">
        <v>2951</v>
      </c>
      <c r="H1052" s="7" t="s">
        <v>2952</v>
      </c>
      <c r="I1052" s="9">
        <v>45359</v>
      </c>
    </row>
    <row r="1053" spans="1:9" x14ac:dyDescent="0.15">
      <c r="A1053" s="6">
        <v>1052</v>
      </c>
      <c r="B1053" s="7" t="s">
        <v>9</v>
      </c>
      <c r="C1053" s="8">
        <v>1889</v>
      </c>
      <c r="D1053" s="9">
        <v>45439</v>
      </c>
      <c r="E1053" s="13" t="str">
        <f>+HYPERLINK("http://trademark.i-assist.jp/data/china/image_1889th/77191105.pdf","77191105")</f>
        <v>77191105</v>
      </c>
      <c r="F1053" s="7" t="s">
        <v>2953</v>
      </c>
      <c r="G1053" s="7" t="s">
        <v>2954</v>
      </c>
      <c r="H1053" s="7" t="s">
        <v>2955</v>
      </c>
      <c r="I1053" s="9">
        <v>45359</v>
      </c>
    </row>
    <row r="1054" spans="1:9" x14ac:dyDescent="0.15">
      <c r="A1054" s="6">
        <v>1053</v>
      </c>
      <c r="B1054" s="7" t="s">
        <v>9</v>
      </c>
      <c r="C1054" s="8">
        <v>1889</v>
      </c>
      <c r="D1054" s="9">
        <v>45439</v>
      </c>
      <c r="E1054" s="13" t="str">
        <f>+HYPERLINK("http://trademark.i-assist.jp/data/china/image_1889th/77191140.pdf","77191140")</f>
        <v>77191140</v>
      </c>
      <c r="F1054" s="7" t="s">
        <v>2956</v>
      </c>
      <c r="G1054" s="7" t="s">
        <v>2802</v>
      </c>
      <c r="H1054" s="7" t="s">
        <v>2957</v>
      </c>
      <c r="I1054" s="9">
        <v>45359</v>
      </c>
    </row>
    <row r="1055" spans="1:9" x14ac:dyDescent="0.15">
      <c r="A1055" s="6">
        <v>1054</v>
      </c>
      <c r="B1055" s="7" t="s">
        <v>9</v>
      </c>
      <c r="C1055" s="8">
        <v>1889</v>
      </c>
      <c r="D1055" s="9">
        <v>45439</v>
      </c>
      <c r="E1055" s="13" t="str">
        <f>+HYPERLINK("http://trademark.i-assist.jp/data/china/image_1889th/77191220.pdf","77191220")</f>
        <v>77191220</v>
      </c>
      <c r="F1055" s="7" t="s">
        <v>2958</v>
      </c>
      <c r="G1055" s="7" t="s">
        <v>2959</v>
      </c>
      <c r="H1055" s="7" t="s">
        <v>2960</v>
      </c>
      <c r="I1055" s="9">
        <v>45359</v>
      </c>
    </row>
    <row r="1056" spans="1:9" x14ac:dyDescent="0.15">
      <c r="A1056" s="6">
        <v>1055</v>
      </c>
      <c r="B1056" s="7" t="s">
        <v>9</v>
      </c>
      <c r="C1056" s="8">
        <v>1889</v>
      </c>
      <c r="D1056" s="9">
        <v>45439</v>
      </c>
      <c r="E1056" s="13" t="str">
        <f>+HYPERLINK("http://trademark.i-assist.jp/data/china/image_1889th/77191264.pdf","77191264")</f>
        <v>77191264</v>
      </c>
      <c r="F1056" s="7" t="s">
        <v>2961</v>
      </c>
      <c r="G1056" s="7" t="s">
        <v>2962</v>
      </c>
      <c r="H1056" s="7" t="s">
        <v>2963</v>
      </c>
      <c r="I1056" s="9">
        <v>45359</v>
      </c>
    </row>
    <row r="1057" spans="1:9" x14ac:dyDescent="0.15">
      <c r="A1057" s="6">
        <v>1056</v>
      </c>
      <c r="B1057" s="7" t="s">
        <v>9</v>
      </c>
      <c r="C1057" s="8">
        <v>1889</v>
      </c>
      <c r="D1057" s="9">
        <v>45439</v>
      </c>
      <c r="E1057" s="13" t="str">
        <f>+HYPERLINK("http://trademark.i-assist.jp/data/china/image_1889th/77191601.pdf","77191601")</f>
        <v>77191601</v>
      </c>
      <c r="F1057" s="7" t="s">
        <v>2964</v>
      </c>
      <c r="G1057" s="7" t="s">
        <v>2796</v>
      </c>
      <c r="H1057" s="7" t="s">
        <v>2965</v>
      </c>
      <c r="I1057" s="9">
        <v>45359</v>
      </c>
    </row>
    <row r="1058" spans="1:9" x14ac:dyDescent="0.15">
      <c r="A1058" s="6">
        <v>1057</v>
      </c>
      <c r="B1058" s="7" t="s">
        <v>9</v>
      </c>
      <c r="C1058" s="8">
        <v>1889</v>
      </c>
      <c r="D1058" s="9">
        <v>45439</v>
      </c>
      <c r="E1058" s="13" t="str">
        <f>+HYPERLINK("http://trademark.i-assist.jp/data/china/image_1889th/77192065.pdf","77192065")</f>
        <v>77192065</v>
      </c>
      <c r="F1058" s="7" t="s">
        <v>2966</v>
      </c>
      <c r="G1058" s="7" t="s">
        <v>2967</v>
      </c>
      <c r="H1058" s="7" t="s">
        <v>2968</v>
      </c>
      <c r="I1058" s="9">
        <v>45359</v>
      </c>
    </row>
    <row r="1059" spans="1:9" x14ac:dyDescent="0.15">
      <c r="A1059" s="6">
        <v>1058</v>
      </c>
      <c r="B1059" s="7" t="s">
        <v>9</v>
      </c>
      <c r="C1059" s="8">
        <v>1889</v>
      </c>
      <c r="D1059" s="9">
        <v>45439</v>
      </c>
      <c r="E1059" s="13" t="str">
        <f>+HYPERLINK("http://trademark.i-assist.jp/data/china/image_1889th/77192295.pdf","77192295")</f>
        <v>77192295</v>
      </c>
      <c r="F1059" s="7" t="s">
        <v>2969</v>
      </c>
      <c r="G1059" s="7" t="s">
        <v>2970</v>
      </c>
      <c r="H1059" s="7" t="s">
        <v>2971</v>
      </c>
      <c r="I1059" s="9">
        <v>45359</v>
      </c>
    </row>
    <row r="1060" spans="1:9" x14ac:dyDescent="0.15">
      <c r="A1060" s="6">
        <v>1059</v>
      </c>
      <c r="B1060" s="7" t="s">
        <v>9</v>
      </c>
      <c r="C1060" s="8">
        <v>1889</v>
      </c>
      <c r="D1060" s="9">
        <v>45439</v>
      </c>
      <c r="E1060" s="13" t="str">
        <f>+HYPERLINK("http://trademark.i-assist.jp/data/china/image_1889th/77192333.pdf","77192333")</f>
        <v>77192333</v>
      </c>
      <c r="F1060" s="7" t="s">
        <v>2972</v>
      </c>
      <c r="G1060" s="7" t="s">
        <v>2973</v>
      </c>
      <c r="H1060" s="7" t="s">
        <v>2974</v>
      </c>
      <c r="I1060" s="9">
        <v>45359</v>
      </c>
    </row>
    <row r="1061" spans="1:9" x14ac:dyDescent="0.15">
      <c r="A1061" s="6">
        <v>1060</v>
      </c>
      <c r="B1061" s="7" t="s">
        <v>9</v>
      </c>
      <c r="C1061" s="8">
        <v>1889</v>
      </c>
      <c r="D1061" s="9">
        <v>45439</v>
      </c>
      <c r="E1061" s="13" t="str">
        <f>+HYPERLINK("http://trademark.i-assist.jp/data/china/image_1889th/77192806.pdf","77192806")</f>
        <v>77192806</v>
      </c>
      <c r="F1061" s="7" t="s">
        <v>134</v>
      </c>
      <c r="G1061" s="7" t="s">
        <v>2975</v>
      </c>
      <c r="H1061" s="7" t="s">
        <v>2976</v>
      </c>
      <c r="I1061" s="9">
        <v>45359</v>
      </c>
    </row>
    <row r="1062" spans="1:9" x14ac:dyDescent="0.15">
      <c r="A1062" s="6">
        <v>1061</v>
      </c>
      <c r="B1062" s="7" t="s">
        <v>9</v>
      </c>
      <c r="C1062" s="8">
        <v>1889</v>
      </c>
      <c r="D1062" s="9">
        <v>45439</v>
      </c>
      <c r="E1062" s="13" t="str">
        <f>+HYPERLINK("http://trademark.i-assist.jp/data/china/image_1889th/77192862.pdf","77192862")</f>
        <v>77192862</v>
      </c>
      <c r="F1062" s="7" t="s">
        <v>2977</v>
      </c>
      <c r="G1062" s="7" t="s">
        <v>637</v>
      </c>
      <c r="H1062" s="7" t="s">
        <v>2978</v>
      </c>
      <c r="I1062" s="9">
        <v>45359</v>
      </c>
    </row>
    <row r="1063" spans="1:9" x14ac:dyDescent="0.15">
      <c r="A1063" s="6">
        <v>1062</v>
      </c>
      <c r="B1063" s="7" t="s">
        <v>9</v>
      </c>
      <c r="C1063" s="8">
        <v>1889</v>
      </c>
      <c r="D1063" s="9">
        <v>45439</v>
      </c>
      <c r="E1063" s="13" t="str">
        <f>+HYPERLINK("http://trademark.i-assist.jp/data/china/image_1889th/77193032.pdf","77193032")</f>
        <v>77193032</v>
      </c>
      <c r="F1063" s="7" t="s">
        <v>2979</v>
      </c>
      <c r="G1063" s="7" t="s">
        <v>2980</v>
      </c>
      <c r="H1063" s="7" t="s">
        <v>2981</v>
      </c>
      <c r="I1063" s="9">
        <v>45359</v>
      </c>
    </row>
    <row r="1064" spans="1:9" x14ac:dyDescent="0.15">
      <c r="A1064" s="6">
        <v>1063</v>
      </c>
      <c r="B1064" s="7" t="s">
        <v>9</v>
      </c>
      <c r="C1064" s="8">
        <v>1889</v>
      </c>
      <c r="D1064" s="9">
        <v>45439</v>
      </c>
      <c r="E1064" s="13" t="str">
        <f>+HYPERLINK("http://trademark.i-assist.jp/data/china/image_1889th/77193113.pdf","77193113")</f>
        <v>77193113</v>
      </c>
      <c r="F1064" s="7" t="s">
        <v>2982</v>
      </c>
      <c r="G1064" s="7" t="s">
        <v>2983</v>
      </c>
      <c r="H1064" s="7" t="s">
        <v>2984</v>
      </c>
      <c r="I1064" s="9">
        <v>45359</v>
      </c>
    </row>
    <row r="1065" spans="1:9" x14ac:dyDescent="0.15">
      <c r="A1065" s="6">
        <v>1064</v>
      </c>
      <c r="B1065" s="7" t="s">
        <v>9</v>
      </c>
      <c r="C1065" s="8">
        <v>1889</v>
      </c>
      <c r="D1065" s="9">
        <v>45439</v>
      </c>
      <c r="E1065" s="13" t="str">
        <f>+HYPERLINK("http://trademark.i-assist.jp/data/china/image_1889th/77193386.pdf","77193386")</f>
        <v>77193386</v>
      </c>
      <c r="F1065" s="7" t="s">
        <v>2985</v>
      </c>
      <c r="G1065" s="7" t="s">
        <v>2986</v>
      </c>
      <c r="H1065" s="7" t="s">
        <v>2987</v>
      </c>
      <c r="I1065" s="9">
        <v>45359</v>
      </c>
    </row>
    <row r="1066" spans="1:9" x14ac:dyDescent="0.15">
      <c r="A1066" s="6">
        <v>1065</v>
      </c>
      <c r="B1066" s="7" t="s">
        <v>9</v>
      </c>
      <c r="C1066" s="8">
        <v>1889</v>
      </c>
      <c r="D1066" s="9">
        <v>45439</v>
      </c>
      <c r="E1066" s="13" t="str">
        <f>+HYPERLINK("http://trademark.i-assist.jp/data/china/image_1889th/77193397.pdf","77193397")</f>
        <v>77193397</v>
      </c>
      <c r="F1066" s="7" t="s">
        <v>2988</v>
      </c>
      <c r="G1066" s="7" t="s">
        <v>2989</v>
      </c>
      <c r="H1066" s="7" t="s">
        <v>2990</v>
      </c>
      <c r="I1066" s="9">
        <v>45359</v>
      </c>
    </row>
    <row r="1067" spans="1:9" x14ac:dyDescent="0.15">
      <c r="A1067" s="6">
        <v>1066</v>
      </c>
      <c r="B1067" s="7" t="s">
        <v>9</v>
      </c>
      <c r="C1067" s="8">
        <v>1889</v>
      </c>
      <c r="D1067" s="9">
        <v>45439</v>
      </c>
      <c r="E1067" s="13" t="str">
        <f>+HYPERLINK("http://trademark.i-assist.jp/data/china/image_1889th/77193641.pdf","77193641")</f>
        <v>77193641</v>
      </c>
      <c r="F1067" s="7" t="s">
        <v>2991</v>
      </c>
      <c r="G1067" s="7" t="s">
        <v>2992</v>
      </c>
      <c r="H1067" s="7" t="s">
        <v>2993</v>
      </c>
      <c r="I1067" s="9">
        <v>45359</v>
      </c>
    </row>
    <row r="1068" spans="1:9" x14ac:dyDescent="0.15">
      <c r="A1068" s="6">
        <v>1067</v>
      </c>
      <c r="B1068" s="7" t="s">
        <v>9</v>
      </c>
      <c r="C1068" s="8">
        <v>1889</v>
      </c>
      <c r="D1068" s="9">
        <v>45439</v>
      </c>
      <c r="E1068" s="13" t="str">
        <f>+HYPERLINK("http://trademark.i-assist.jp/data/china/image_1889th/77193701.pdf","77193701")</f>
        <v>77193701</v>
      </c>
      <c r="F1068" s="7" t="s">
        <v>2994</v>
      </c>
      <c r="G1068" s="7" t="s">
        <v>2995</v>
      </c>
      <c r="H1068" s="7" t="s">
        <v>2996</v>
      </c>
      <c r="I1068" s="9">
        <v>45359</v>
      </c>
    </row>
    <row r="1069" spans="1:9" x14ac:dyDescent="0.15">
      <c r="A1069" s="6">
        <v>1068</v>
      </c>
      <c r="B1069" s="7" t="s">
        <v>9</v>
      </c>
      <c r="C1069" s="8">
        <v>1889</v>
      </c>
      <c r="D1069" s="9">
        <v>45439</v>
      </c>
      <c r="E1069" s="13" t="str">
        <f>+HYPERLINK("http://trademark.i-assist.jp/data/china/image_1889th/77194968.pdf","77194968")</f>
        <v>77194968</v>
      </c>
      <c r="F1069" s="7" t="s">
        <v>2997</v>
      </c>
      <c r="G1069" s="7" t="s">
        <v>2998</v>
      </c>
      <c r="H1069" s="7" t="s">
        <v>2999</v>
      </c>
      <c r="I1069" s="9">
        <v>45359</v>
      </c>
    </row>
    <row r="1070" spans="1:9" x14ac:dyDescent="0.15">
      <c r="A1070" s="6">
        <v>1069</v>
      </c>
      <c r="B1070" s="7" t="s">
        <v>9</v>
      </c>
      <c r="C1070" s="8">
        <v>1889</v>
      </c>
      <c r="D1070" s="9">
        <v>45439</v>
      </c>
      <c r="E1070" s="13" t="str">
        <f>+HYPERLINK("http://trademark.i-assist.jp/data/china/image_1889th/77195040.pdf","77195040")</f>
        <v>77195040</v>
      </c>
      <c r="F1070" s="7" t="s">
        <v>3000</v>
      </c>
      <c r="G1070" s="7" t="s">
        <v>3001</v>
      </c>
      <c r="H1070" s="7" t="s">
        <v>3002</v>
      </c>
      <c r="I1070" s="9">
        <v>45359</v>
      </c>
    </row>
    <row r="1071" spans="1:9" x14ac:dyDescent="0.15">
      <c r="A1071" s="6">
        <v>1070</v>
      </c>
      <c r="B1071" s="7" t="s">
        <v>9</v>
      </c>
      <c r="C1071" s="8">
        <v>1889</v>
      </c>
      <c r="D1071" s="9">
        <v>45439</v>
      </c>
      <c r="E1071" s="13" t="str">
        <f>+HYPERLINK("http://trademark.i-assist.jp/data/china/image_1889th/77195046.pdf","77195046")</f>
        <v>77195046</v>
      </c>
      <c r="F1071" s="7" t="s">
        <v>3003</v>
      </c>
      <c r="G1071" s="7" t="s">
        <v>2959</v>
      </c>
      <c r="H1071" s="7" t="s">
        <v>3004</v>
      </c>
      <c r="I1071" s="9">
        <v>45359</v>
      </c>
    </row>
    <row r="1072" spans="1:9" x14ac:dyDescent="0.15">
      <c r="A1072" s="6">
        <v>1071</v>
      </c>
      <c r="B1072" s="7" t="s">
        <v>9</v>
      </c>
      <c r="C1072" s="8">
        <v>1889</v>
      </c>
      <c r="D1072" s="9">
        <v>45439</v>
      </c>
      <c r="E1072" s="13" t="str">
        <f>+HYPERLINK("http://trademark.i-assist.jp/data/china/image_1889th/77195238.pdf","77195238")</f>
        <v>77195238</v>
      </c>
      <c r="F1072" s="7" t="s">
        <v>3005</v>
      </c>
      <c r="G1072" s="7" t="s">
        <v>3006</v>
      </c>
      <c r="H1072" s="7" t="s">
        <v>3007</v>
      </c>
      <c r="I1072" s="9">
        <v>45359</v>
      </c>
    </row>
    <row r="1073" spans="1:9" ht="27" x14ac:dyDescent="0.15">
      <c r="A1073" s="6">
        <v>1072</v>
      </c>
      <c r="B1073" s="7" t="s">
        <v>9</v>
      </c>
      <c r="C1073" s="8">
        <v>1889</v>
      </c>
      <c r="D1073" s="9">
        <v>45439</v>
      </c>
      <c r="E1073" s="13" t="str">
        <f>+HYPERLINK("http://trademark.i-assist.jp/data/china/image_1889th/77195840.pdf","77195840")</f>
        <v>77195840</v>
      </c>
      <c r="F1073" s="7" t="s">
        <v>3008</v>
      </c>
      <c r="G1073" s="7" t="s">
        <v>3009</v>
      </c>
      <c r="H1073" s="7" t="s">
        <v>3010</v>
      </c>
      <c r="I1073" s="9">
        <v>45360</v>
      </c>
    </row>
    <row r="1074" spans="1:9" x14ac:dyDescent="0.15">
      <c r="A1074" s="6">
        <v>1073</v>
      </c>
      <c r="B1074" s="7" t="s">
        <v>9</v>
      </c>
      <c r="C1074" s="8">
        <v>1889</v>
      </c>
      <c r="D1074" s="9">
        <v>45439</v>
      </c>
      <c r="E1074" s="13" t="str">
        <f>+HYPERLINK("http://trademark.i-assist.jp/data/china/image_1889th/77195919.pdf","77195919")</f>
        <v>77195919</v>
      </c>
      <c r="F1074" s="7" t="s">
        <v>3011</v>
      </c>
      <c r="G1074" s="7" t="s">
        <v>3012</v>
      </c>
      <c r="H1074" s="7" t="s">
        <v>3013</v>
      </c>
      <c r="I1074" s="9">
        <v>45359</v>
      </c>
    </row>
    <row r="1075" spans="1:9" x14ac:dyDescent="0.15">
      <c r="A1075" s="6">
        <v>1074</v>
      </c>
      <c r="B1075" s="7" t="s">
        <v>9</v>
      </c>
      <c r="C1075" s="8">
        <v>1889</v>
      </c>
      <c r="D1075" s="9">
        <v>45439</v>
      </c>
      <c r="E1075" s="13" t="str">
        <f>+HYPERLINK("http://trademark.i-assist.jp/data/china/image_1889th/77196285.pdf","77196285")</f>
        <v>77196285</v>
      </c>
      <c r="F1075" s="7" t="s">
        <v>3014</v>
      </c>
      <c r="G1075" s="7" t="s">
        <v>3015</v>
      </c>
      <c r="H1075" s="7" t="s">
        <v>3016</v>
      </c>
      <c r="I1075" s="9">
        <v>45359</v>
      </c>
    </row>
    <row r="1076" spans="1:9" ht="27" x14ac:dyDescent="0.15">
      <c r="A1076" s="6">
        <v>1075</v>
      </c>
      <c r="B1076" s="7" t="s">
        <v>9</v>
      </c>
      <c r="C1076" s="8">
        <v>1889</v>
      </c>
      <c r="D1076" s="9">
        <v>45439</v>
      </c>
      <c r="E1076" s="13" t="str">
        <f>+HYPERLINK("http://trademark.i-assist.jp/data/china/image_1889th/77196617.pdf","77196617")</f>
        <v>77196617</v>
      </c>
      <c r="F1076" s="7" t="s">
        <v>134</v>
      </c>
      <c r="G1076" s="7" t="s">
        <v>3017</v>
      </c>
      <c r="H1076" s="7" t="s">
        <v>3018</v>
      </c>
      <c r="I1076" s="9">
        <v>45359</v>
      </c>
    </row>
    <row r="1077" spans="1:9" ht="27" x14ac:dyDescent="0.15">
      <c r="A1077" s="6">
        <v>1076</v>
      </c>
      <c r="B1077" s="7" t="s">
        <v>9</v>
      </c>
      <c r="C1077" s="8">
        <v>1889</v>
      </c>
      <c r="D1077" s="9">
        <v>45439</v>
      </c>
      <c r="E1077" s="13" t="str">
        <f>+HYPERLINK("http://trademark.i-assist.jp/data/china/image_1889th/77196672.pdf","77196672")</f>
        <v>77196672</v>
      </c>
      <c r="F1077" s="7" t="s">
        <v>3019</v>
      </c>
      <c r="G1077" s="7" t="s">
        <v>3020</v>
      </c>
      <c r="H1077" s="7" t="s">
        <v>3021</v>
      </c>
      <c r="I1077" s="9">
        <v>45359</v>
      </c>
    </row>
    <row r="1078" spans="1:9" x14ac:dyDescent="0.15">
      <c r="A1078" s="6">
        <v>1077</v>
      </c>
      <c r="B1078" s="7" t="s">
        <v>9</v>
      </c>
      <c r="C1078" s="8">
        <v>1889</v>
      </c>
      <c r="D1078" s="9">
        <v>45439</v>
      </c>
      <c r="E1078" s="13" t="str">
        <f>+HYPERLINK("http://trademark.i-assist.jp/data/china/image_1889th/77198683.pdf","77198683")</f>
        <v>77198683</v>
      </c>
      <c r="F1078" s="7" t="s">
        <v>134</v>
      </c>
      <c r="G1078" s="7" t="s">
        <v>3022</v>
      </c>
      <c r="H1078" s="7" t="s">
        <v>3023</v>
      </c>
      <c r="I1078" s="9">
        <v>45360</v>
      </c>
    </row>
    <row r="1079" spans="1:9" x14ac:dyDescent="0.15">
      <c r="A1079" s="6">
        <v>1078</v>
      </c>
      <c r="B1079" s="7" t="s">
        <v>9</v>
      </c>
      <c r="C1079" s="8">
        <v>1889</v>
      </c>
      <c r="D1079" s="9">
        <v>45439</v>
      </c>
      <c r="E1079" s="13" t="str">
        <f>+HYPERLINK("http://trademark.i-assist.jp/data/china/image_1889th/77199359.pdf","77199359")</f>
        <v>77199359</v>
      </c>
      <c r="F1079" s="7" t="s">
        <v>3024</v>
      </c>
      <c r="G1079" s="7" t="s">
        <v>3025</v>
      </c>
      <c r="H1079" s="7" t="s">
        <v>3026</v>
      </c>
      <c r="I1079" s="9">
        <v>45360</v>
      </c>
    </row>
    <row r="1080" spans="1:9" x14ac:dyDescent="0.15">
      <c r="A1080" s="6">
        <v>1079</v>
      </c>
      <c r="B1080" s="7" t="s">
        <v>9</v>
      </c>
      <c r="C1080" s="8">
        <v>1889</v>
      </c>
      <c r="D1080" s="9">
        <v>45439</v>
      </c>
      <c r="E1080" s="13" t="str">
        <f>+HYPERLINK("http://trademark.i-assist.jp/data/china/image_1889th/77199812.pdf","77199812")</f>
        <v>77199812</v>
      </c>
      <c r="F1080" s="7" t="s">
        <v>3027</v>
      </c>
      <c r="G1080" s="7" t="s">
        <v>3028</v>
      </c>
      <c r="H1080" s="7" t="s">
        <v>3029</v>
      </c>
      <c r="I1080" s="9">
        <v>45360</v>
      </c>
    </row>
    <row r="1081" spans="1:9" ht="27" x14ac:dyDescent="0.15">
      <c r="A1081" s="6">
        <v>1080</v>
      </c>
      <c r="B1081" s="7" t="s">
        <v>9</v>
      </c>
      <c r="C1081" s="8">
        <v>1889</v>
      </c>
      <c r="D1081" s="9">
        <v>45439</v>
      </c>
      <c r="E1081" s="13" t="str">
        <f>+HYPERLINK("http://trademark.i-assist.jp/data/china/image_1889th/77200260.pdf","77200260")</f>
        <v>77200260</v>
      </c>
      <c r="F1081" s="7" t="s">
        <v>3030</v>
      </c>
      <c r="G1081" s="7" t="s">
        <v>3031</v>
      </c>
      <c r="H1081" s="7" t="s">
        <v>3032</v>
      </c>
      <c r="I1081" s="9">
        <v>45359</v>
      </c>
    </row>
    <row r="1082" spans="1:9" x14ac:dyDescent="0.15">
      <c r="A1082" s="6">
        <v>1081</v>
      </c>
      <c r="B1082" s="7" t="s">
        <v>9</v>
      </c>
      <c r="C1082" s="8">
        <v>1889</v>
      </c>
      <c r="D1082" s="9">
        <v>45439</v>
      </c>
      <c r="E1082" s="13" t="str">
        <f>+HYPERLINK("http://trademark.i-assist.jp/data/china/image_1889th/77200289.pdf","77200289")</f>
        <v>77200289</v>
      </c>
      <c r="F1082" s="7" t="s">
        <v>134</v>
      </c>
      <c r="G1082" s="7" t="s">
        <v>3033</v>
      </c>
      <c r="H1082" s="7" t="s">
        <v>3034</v>
      </c>
      <c r="I1082" s="9">
        <v>45359</v>
      </c>
    </row>
    <row r="1083" spans="1:9" x14ac:dyDescent="0.15">
      <c r="A1083" s="6">
        <v>1082</v>
      </c>
      <c r="B1083" s="7" t="s">
        <v>9</v>
      </c>
      <c r="C1083" s="8">
        <v>1889</v>
      </c>
      <c r="D1083" s="9">
        <v>45439</v>
      </c>
      <c r="E1083" s="13" t="str">
        <f>+HYPERLINK("http://trademark.i-assist.jp/data/china/image_1889th/77200546.pdf","77200546")</f>
        <v>77200546</v>
      </c>
      <c r="F1083" s="7" t="s">
        <v>3035</v>
      </c>
      <c r="G1083" s="7" t="s">
        <v>3036</v>
      </c>
      <c r="H1083" s="7" t="s">
        <v>3037</v>
      </c>
      <c r="I1083" s="9">
        <v>45359</v>
      </c>
    </row>
    <row r="1084" spans="1:9" x14ac:dyDescent="0.15">
      <c r="A1084" s="6">
        <v>1083</v>
      </c>
      <c r="B1084" s="7" t="s">
        <v>9</v>
      </c>
      <c r="C1084" s="8">
        <v>1889</v>
      </c>
      <c r="D1084" s="9">
        <v>45439</v>
      </c>
      <c r="E1084" s="13" t="str">
        <f>+HYPERLINK("http://trademark.i-assist.jp/data/china/image_1889th/77201192.pdf","77201192")</f>
        <v>77201192</v>
      </c>
      <c r="F1084" s="7" t="s">
        <v>3038</v>
      </c>
      <c r="G1084" s="7" t="s">
        <v>3039</v>
      </c>
      <c r="H1084" s="7" t="s">
        <v>3040</v>
      </c>
      <c r="I1084" s="9">
        <v>45360</v>
      </c>
    </row>
    <row r="1085" spans="1:9" ht="27" x14ac:dyDescent="0.15">
      <c r="A1085" s="6">
        <v>1084</v>
      </c>
      <c r="B1085" s="7" t="s">
        <v>9</v>
      </c>
      <c r="C1085" s="8">
        <v>1889</v>
      </c>
      <c r="D1085" s="9">
        <v>45439</v>
      </c>
      <c r="E1085" s="13" t="str">
        <f>+HYPERLINK("http://trademark.i-assist.jp/data/china/image_1889th/77201214.pdf","77201214")</f>
        <v>77201214</v>
      </c>
      <c r="F1085" s="7" t="s">
        <v>3041</v>
      </c>
      <c r="G1085" s="7" t="s">
        <v>3042</v>
      </c>
      <c r="H1085" s="7" t="s">
        <v>3043</v>
      </c>
      <c r="I1085" s="9">
        <v>45360</v>
      </c>
    </row>
    <row r="1086" spans="1:9" x14ac:dyDescent="0.15">
      <c r="A1086" s="6">
        <v>1085</v>
      </c>
      <c r="B1086" s="7" t="s">
        <v>9</v>
      </c>
      <c r="C1086" s="8">
        <v>1889</v>
      </c>
      <c r="D1086" s="9">
        <v>45439</v>
      </c>
      <c r="E1086" s="13" t="str">
        <f>+HYPERLINK("http://trademark.i-assist.jp/data/china/image_1889th/77201490.pdf","77201490")</f>
        <v>77201490</v>
      </c>
      <c r="F1086" s="7" t="s">
        <v>3044</v>
      </c>
      <c r="G1086" s="7" t="s">
        <v>3045</v>
      </c>
      <c r="H1086" s="7" t="s">
        <v>3046</v>
      </c>
      <c r="I1086" s="9">
        <v>45360</v>
      </c>
    </row>
    <row r="1087" spans="1:9" x14ac:dyDescent="0.15">
      <c r="A1087" s="6">
        <v>1086</v>
      </c>
      <c r="B1087" s="7" t="s">
        <v>9</v>
      </c>
      <c r="C1087" s="8">
        <v>1889</v>
      </c>
      <c r="D1087" s="9">
        <v>45439</v>
      </c>
      <c r="E1087" s="13" t="str">
        <f>+HYPERLINK("http://trademark.i-assist.jp/data/china/image_1889th/77201505.pdf","77201505")</f>
        <v>77201505</v>
      </c>
      <c r="F1087" s="7" t="s">
        <v>3047</v>
      </c>
      <c r="G1087" s="7" t="s">
        <v>3048</v>
      </c>
      <c r="H1087" s="7" t="s">
        <v>3049</v>
      </c>
      <c r="I1087" s="9">
        <v>45360</v>
      </c>
    </row>
    <row r="1088" spans="1:9" ht="27" x14ac:dyDescent="0.15">
      <c r="A1088" s="6">
        <v>1087</v>
      </c>
      <c r="B1088" s="7" t="s">
        <v>9</v>
      </c>
      <c r="C1088" s="8">
        <v>1889</v>
      </c>
      <c r="D1088" s="9">
        <v>45439</v>
      </c>
      <c r="E1088" s="13" t="str">
        <f>+HYPERLINK("http://trademark.i-assist.jp/data/china/image_1889th/77201669.pdf","77201669")</f>
        <v>77201669</v>
      </c>
      <c r="F1088" s="7" t="s">
        <v>3050</v>
      </c>
      <c r="G1088" s="7" t="s">
        <v>3051</v>
      </c>
      <c r="H1088" s="7" t="s">
        <v>3052</v>
      </c>
      <c r="I1088" s="9">
        <v>45360</v>
      </c>
    </row>
    <row r="1089" spans="1:9" ht="27" x14ac:dyDescent="0.15">
      <c r="A1089" s="6">
        <v>1088</v>
      </c>
      <c r="B1089" s="7" t="s">
        <v>9</v>
      </c>
      <c r="C1089" s="8">
        <v>1889</v>
      </c>
      <c r="D1089" s="9">
        <v>45439</v>
      </c>
      <c r="E1089" s="13" t="str">
        <f>+HYPERLINK("http://trademark.i-assist.jp/data/china/image_1889th/77201697.pdf","77201697")</f>
        <v>77201697</v>
      </c>
      <c r="F1089" s="7" t="s">
        <v>3053</v>
      </c>
      <c r="G1089" s="7" t="s">
        <v>3054</v>
      </c>
      <c r="H1089" s="7" t="s">
        <v>3055</v>
      </c>
      <c r="I1089" s="9">
        <v>45360</v>
      </c>
    </row>
    <row r="1090" spans="1:9" x14ac:dyDescent="0.15">
      <c r="A1090" s="6">
        <v>1089</v>
      </c>
      <c r="B1090" s="7" t="s">
        <v>9</v>
      </c>
      <c r="C1090" s="8">
        <v>1889</v>
      </c>
      <c r="D1090" s="9">
        <v>45439</v>
      </c>
      <c r="E1090" s="13" t="str">
        <f>+HYPERLINK("http://trademark.i-assist.jp/data/china/image_1889th/77202595.pdf","77202595")</f>
        <v>77202595</v>
      </c>
      <c r="F1090" s="7" t="s">
        <v>3056</v>
      </c>
      <c r="G1090" s="7" t="s">
        <v>3057</v>
      </c>
      <c r="H1090" s="7" t="s">
        <v>3058</v>
      </c>
      <c r="I1090" s="9">
        <v>45360</v>
      </c>
    </row>
    <row r="1091" spans="1:9" x14ac:dyDescent="0.15">
      <c r="A1091" s="6">
        <v>1090</v>
      </c>
      <c r="B1091" s="7" t="s">
        <v>9</v>
      </c>
      <c r="C1091" s="8">
        <v>1889</v>
      </c>
      <c r="D1091" s="9">
        <v>45439</v>
      </c>
      <c r="E1091" s="13" t="str">
        <f>+HYPERLINK("http://trademark.i-assist.jp/data/china/image_1889th/77203187.pdf","77203187")</f>
        <v>77203187</v>
      </c>
      <c r="F1091" s="7" t="s">
        <v>3059</v>
      </c>
      <c r="G1091" s="7" t="s">
        <v>3060</v>
      </c>
      <c r="H1091" s="7" t="s">
        <v>3061</v>
      </c>
      <c r="I1091" s="9">
        <v>45360</v>
      </c>
    </row>
    <row r="1092" spans="1:9" x14ac:dyDescent="0.15">
      <c r="A1092" s="6">
        <v>1091</v>
      </c>
      <c r="B1092" s="7" t="s">
        <v>9</v>
      </c>
      <c r="C1092" s="8">
        <v>1889</v>
      </c>
      <c r="D1092" s="9">
        <v>45439</v>
      </c>
      <c r="E1092" s="13" t="str">
        <f>+HYPERLINK("http://trademark.i-assist.jp/data/china/image_1889th/77203364.pdf","77203364")</f>
        <v>77203364</v>
      </c>
      <c r="F1092" s="7" t="s">
        <v>3062</v>
      </c>
      <c r="G1092" s="7" t="s">
        <v>3063</v>
      </c>
      <c r="H1092" s="7" t="s">
        <v>3064</v>
      </c>
      <c r="I1092" s="9">
        <v>45360</v>
      </c>
    </row>
    <row r="1093" spans="1:9" x14ac:dyDescent="0.15">
      <c r="A1093" s="6">
        <v>1092</v>
      </c>
      <c r="B1093" s="7" t="s">
        <v>9</v>
      </c>
      <c r="C1093" s="8">
        <v>1889</v>
      </c>
      <c r="D1093" s="9">
        <v>45439</v>
      </c>
      <c r="E1093" s="13" t="str">
        <f>+HYPERLINK("http://trademark.i-assist.jp/data/china/image_1889th/77203846.pdf","77203846")</f>
        <v>77203846</v>
      </c>
      <c r="F1093" s="7" t="s">
        <v>134</v>
      </c>
      <c r="G1093" s="7" t="s">
        <v>3065</v>
      </c>
      <c r="H1093" s="7" t="s">
        <v>3066</v>
      </c>
      <c r="I1093" s="9">
        <v>45360</v>
      </c>
    </row>
    <row r="1094" spans="1:9" ht="27" x14ac:dyDescent="0.15">
      <c r="A1094" s="6">
        <v>1093</v>
      </c>
      <c r="B1094" s="7" t="s">
        <v>9</v>
      </c>
      <c r="C1094" s="8">
        <v>1889</v>
      </c>
      <c r="D1094" s="9">
        <v>45439</v>
      </c>
      <c r="E1094" s="13" t="str">
        <f>+HYPERLINK("http://trademark.i-assist.jp/data/china/image_1889th/77203908.pdf","77203908")</f>
        <v>77203908</v>
      </c>
      <c r="F1094" s="7" t="s">
        <v>3067</v>
      </c>
      <c r="G1094" s="7" t="s">
        <v>3068</v>
      </c>
      <c r="H1094" s="7" t="s">
        <v>3069</v>
      </c>
      <c r="I1094" s="9">
        <v>45360</v>
      </c>
    </row>
    <row r="1095" spans="1:9" x14ac:dyDescent="0.15">
      <c r="A1095" s="6">
        <v>1094</v>
      </c>
      <c r="B1095" s="7" t="s">
        <v>9</v>
      </c>
      <c r="C1095" s="8">
        <v>1889</v>
      </c>
      <c r="D1095" s="9">
        <v>45439</v>
      </c>
      <c r="E1095" s="13" t="str">
        <f>+HYPERLINK("http://trademark.i-assist.jp/data/china/image_1889th/77204424.pdf","77204424")</f>
        <v>77204424</v>
      </c>
      <c r="F1095" s="7" t="s">
        <v>3070</v>
      </c>
      <c r="G1095" s="7" t="s">
        <v>3071</v>
      </c>
      <c r="H1095" s="7" t="s">
        <v>3072</v>
      </c>
      <c r="I1095" s="9">
        <v>45360</v>
      </c>
    </row>
    <row r="1096" spans="1:9" ht="27" x14ac:dyDescent="0.15">
      <c r="A1096" s="6">
        <v>1095</v>
      </c>
      <c r="B1096" s="7" t="s">
        <v>9</v>
      </c>
      <c r="C1096" s="8">
        <v>1889</v>
      </c>
      <c r="D1096" s="9">
        <v>45439</v>
      </c>
      <c r="E1096" s="13" t="str">
        <f>+HYPERLINK("http://trademark.i-assist.jp/data/china/image_1889th/77204813.pdf","77204813")</f>
        <v>77204813</v>
      </c>
      <c r="F1096" s="7" t="s">
        <v>3073</v>
      </c>
      <c r="G1096" s="7" t="s">
        <v>3074</v>
      </c>
      <c r="H1096" s="7" t="s">
        <v>3075</v>
      </c>
      <c r="I1096" s="9">
        <v>45360</v>
      </c>
    </row>
    <row r="1097" spans="1:9" x14ac:dyDescent="0.15">
      <c r="A1097" s="6">
        <v>1096</v>
      </c>
      <c r="B1097" s="7" t="s">
        <v>9</v>
      </c>
      <c r="C1097" s="8">
        <v>1889</v>
      </c>
      <c r="D1097" s="9">
        <v>45439</v>
      </c>
      <c r="E1097" s="13" t="str">
        <f>+HYPERLINK("http://trademark.i-assist.jp/data/china/image_1889th/77206555.pdf","77206555")</f>
        <v>77206555</v>
      </c>
      <c r="F1097" s="7" t="s">
        <v>3076</v>
      </c>
      <c r="G1097" s="7" t="s">
        <v>3077</v>
      </c>
      <c r="H1097" s="7" t="s">
        <v>3078</v>
      </c>
      <c r="I1097" s="9">
        <v>45361</v>
      </c>
    </row>
    <row r="1098" spans="1:9" x14ac:dyDescent="0.15">
      <c r="A1098" s="6">
        <v>1097</v>
      </c>
      <c r="B1098" s="7" t="s">
        <v>9</v>
      </c>
      <c r="C1098" s="8">
        <v>1889</v>
      </c>
      <c r="D1098" s="9">
        <v>45439</v>
      </c>
      <c r="E1098" s="13" t="str">
        <f>+HYPERLINK("http://trademark.i-assist.jp/data/china/image_1889th/77206615.pdf","77206615")</f>
        <v>77206615</v>
      </c>
      <c r="F1098" s="7" t="s">
        <v>3079</v>
      </c>
      <c r="G1098" s="7" t="s">
        <v>3080</v>
      </c>
      <c r="H1098" s="7" t="s">
        <v>3081</v>
      </c>
      <c r="I1098" s="9">
        <v>45361</v>
      </c>
    </row>
    <row r="1099" spans="1:9" x14ac:dyDescent="0.15">
      <c r="A1099" s="6">
        <v>1098</v>
      </c>
      <c r="B1099" s="7" t="s">
        <v>9</v>
      </c>
      <c r="C1099" s="8">
        <v>1889</v>
      </c>
      <c r="D1099" s="9">
        <v>45439</v>
      </c>
      <c r="E1099" s="13" t="str">
        <f>+HYPERLINK("http://trademark.i-assist.jp/data/china/image_1889th/77207573.pdf","77207573")</f>
        <v>77207573</v>
      </c>
      <c r="F1099" s="7" t="s">
        <v>3082</v>
      </c>
      <c r="G1099" s="7" t="s">
        <v>3077</v>
      </c>
      <c r="H1099" s="7" t="s">
        <v>3083</v>
      </c>
      <c r="I1099" s="9">
        <v>45361</v>
      </c>
    </row>
    <row r="1100" spans="1:9" x14ac:dyDescent="0.15">
      <c r="A1100" s="6">
        <v>1099</v>
      </c>
      <c r="B1100" s="7" t="s">
        <v>9</v>
      </c>
      <c r="C1100" s="8">
        <v>1889</v>
      </c>
      <c r="D1100" s="9">
        <v>45439</v>
      </c>
      <c r="E1100" s="13" t="str">
        <f>+HYPERLINK("http://trademark.i-assist.jp/data/china/image_1889th/77207995.pdf","77207995")</f>
        <v>77207995</v>
      </c>
      <c r="F1100" s="7" t="s">
        <v>3084</v>
      </c>
      <c r="G1100" s="7" t="s">
        <v>3085</v>
      </c>
      <c r="H1100" s="7" t="s">
        <v>3086</v>
      </c>
      <c r="I1100" s="9">
        <v>45359</v>
      </c>
    </row>
    <row r="1101" spans="1:9" x14ac:dyDescent="0.15">
      <c r="A1101" s="6">
        <v>1100</v>
      </c>
      <c r="B1101" s="7" t="s">
        <v>9</v>
      </c>
      <c r="C1101" s="8">
        <v>1889</v>
      </c>
      <c r="D1101" s="9">
        <v>45439</v>
      </c>
      <c r="E1101" s="13" t="str">
        <f>+HYPERLINK("http://trademark.i-assist.jp/data/china/image_1889th/77208536.pdf","77208536")</f>
        <v>77208536</v>
      </c>
      <c r="F1101" s="7" t="s">
        <v>3087</v>
      </c>
      <c r="G1101" s="7" t="s">
        <v>3088</v>
      </c>
      <c r="H1101" s="7" t="s">
        <v>3089</v>
      </c>
      <c r="I1101" s="9">
        <v>45362</v>
      </c>
    </row>
    <row r="1102" spans="1:9" x14ac:dyDescent="0.15">
      <c r="A1102" s="6">
        <v>1101</v>
      </c>
      <c r="B1102" s="7" t="s">
        <v>9</v>
      </c>
      <c r="C1102" s="8">
        <v>1889</v>
      </c>
      <c r="D1102" s="9">
        <v>45439</v>
      </c>
      <c r="E1102" s="13" t="str">
        <f>+HYPERLINK("http://trademark.i-assist.jp/data/china/image_1889th/77208540.pdf","77208540")</f>
        <v>77208540</v>
      </c>
      <c r="F1102" s="7" t="s">
        <v>3090</v>
      </c>
      <c r="G1102" s="7" t="s">
        <v>3091</v>
      </c>
      <c r="H1102" s="7" t="s">
        <v>3092</v>
      </c>
      <c r="I1102" s="9">
        <v>45362</v>
      </c>
    </row>
    <row r="1103" spans="1:9" x14ac:dyDescent="0.15">
      <c r="A1103" s="6">
        <v>1102</v>
      </c>
      <c r="B1103" s="7" t="s">
        <v>9</v>
      </c>
      <c r="C1103" s="8">
        <v>1889</v>
      </c>
      <c r="D1103" s="9">
        <v>45439</v>
      </c>
      <c r="E1103" s="13" t="str">
        <f>+HYPERLINK("http://trademark.i-assist.jp/data/china/image_1889th/77208640.pdf","77208640")</f>
        <v>77208640</v>
      </c>
      <c r="F1103" s="7" t="s">
        <v>3093</v>
      </c>
      <c r="G1103" s="7" t="s">
        <v>3094</v>
      </c>
      <c r="H1103" s="7" t="s">
        <v>3095</v>
      </c>
      <c r="I1103" s="9">
        <v>45362</v>
      </c>
    </row>
    <row r="1104" spans="1:9" x14ac:dyDescent="0.15">
      <c r="A1104" s="6">
        <v>1103</v>
      </c>
      <c r="B1104" s="7" t="s">
        <v>9</v>
      </c>
      <c r="C1104" s="8">
        <v>1889</v>
      </c>
      <c r="D1104" s="9">
        <v>45439</v>
      </c>
      <c r="E1104" s="13" t="str">
        <f>+HYPERLINK("http://trademark.i-assist.jp/data/china/image_1889th/77208936.pdf","77208936")</f>
        <v>77208936</v>
      </c>
      <c r="F1104" s="7" t="s">
        <v>3096</v>
      </c>
      <c r="G1104" s="7" t="s">
        <v>3097</v>
      </c>
      <c r="H1104" s="7" t="s">
        <v>3098</v>
      </c>
      <c r="I1104" s="9">
        <v>45362</v>
      </c>
    </row>
    <row r="1105" spans="1:9" x14ac:dyDescent="0.15">
      <c r="A1105" s="6">
        <v>1104</v>
      </c>
      <c r="B1105" s="7" t="s">
        <v>9</v>
      </c>
      <c r="C1105" s="8">
        <v>1889</v>
      </c>
      <c r="D1105" s="9">
        <v>45439</v>
      </c>
      <c r="E1105" s="13" t="str">
        <f>+HYPERLINK("http://trademark.i-assist.jp/data/china/image_1889th/77208973.pdf","77208973")</f>
        <v>77208973</v>
      </c>
      <c r="F1105" s="7" t="s">
        <v>3099</v>
      </c>
      <c r="G1105" s="7" t="s">
        <v>3100</v>
      </c>
      <c r="H1105" s="7" t="s">
        <v>3101</v>
      </c>
      <c r="I1105" s="9">
        <v>45362</v>
      </c>
    </row>
    <row r="1106" spans="1:9" x14ac:dyDescent="0.15">
      <c r="A1106" s="6">
        <v>1105</v>
      </c>
      <c r="B1106" s="7" t="s">
        <v>9</v>
      </c>
      <c r="C1106" s="8">
        <v>1889</v>
      </c>
      <c r="D1106" s="9">
        <v>45439</v>
      </c>
      <c r="E1106" s="13" t="str">
        <f>+HYPERLINK("http://trademark.i-assist.jp/data/china/image_1889th/77209047.pdf","77209047")</f>
        <v>77209047</v>
      </c>
      <c r="F1106" s="7" t="s">
        <v>3102</v>
      </c>
      <c r="G1106" s="7" t="s">
        <v>3103</v>
      </c>
      <c r="H1106" s="7" t="s">
        <v>3104</v>
      </c>
      <c r="I1106" s="9">
        <v>45362</v>
      </c>
    </row>
    <row r="1107" spans="1:9" x14ac:dyDescent="0.15">
      <c r="A1107" s="6">
        <v>1106</v>
      </c>
      <c r="B1107" s="7" t="s">
        <v>9</v>
      </c>
      <c r="C1107" s="8">
        <v>1889</v>
      </c>
      <c r="D1107" s="9">
        <v>45439</v>
      </c>
      <c r="E1107" s="13" t="str">
        <f>+HYPERLINK("http://trademark.i-assist.jp/data/china/image_1889th/77209239.pdf","77209239")</f>
        <v>77209239</v>
      </c>
      <c r="F1107" s="7" t="s">
        <v>3105</v>
      </c>
      <c r="G1107" s="7" t="s">
        <v>3106</v>
      </c>
      <c r="H1107" s="7" t="s">
        <v>3107</v>
      </c>
      <c r="I1107" s="9">
        <v>45362</v>
      </c>
    </row>
    <row r="1108" spans="1:9" x14ac:dyDescent="0.15">
      <c r="A1108" s="6">
        <v>1107</v>
      </c>
      <c r="B1108" s="7" t="s">
        <v>9</v>
      </c>
      <c r="C1108" s="8">
        <v>1889</v>
      </c>
      <c r="D1108" s="9">
        <v>45439</v>
      </c>
      <c r="E1108" s="13" t="str">
        <f>+HYPERLINK("http://trademark.i-assist.jp/data/china/image_1889th/77209331.pdf","77209331")</f>
        <v>77209331</v>
      </c>
      <c r="F1108" s="7" t="s">
        <v>3108</v>
      </c>
      <c r="G1108" s="7" t="s">
        <v>3109</v>
      </c>
      <c r="H1108" s="7" t="s">
        <v>3110</v>
      </c>
      <c r="I1108" s="9">
        <v>45362</v>
      </c>
    </row>
    <row r="1109" spans="1:9" x14ac:dyDescent="0.15">
      <c r="A1109" s="6">
        <v>1108</v>
      </c>
      <c r="B1109" s="7" t="s">
        <v>9</v>
      </c>
      <c r="C1109" s="8">
        <v>1889</v>
      </c>
      <c r="D1109" s="9">
        <v>45439</v>
      </c>
      <c r="E1109" s="13" t="str">
        <f>+HYPERLINK("http://trademark.i-assist.jp/data/china/image_1889th/77209443.pdf","77209443")</f>
        <v>77209443</v>
      </c>
      <c r="F1109" s="7" t="s">
        <v>3111</v>
      </c>
      <c r="G1109" s="7" t="s">
        <v>1653</v>
      </c>
      <c r="H1109" s="7" t="s">
        <v>3112</v>
      </c>
      <c r="I1109" s="9">
        <v>45362</v>
      </c>
    </row>
    <row r="1110" spans="1:9" x14ac:dyDescent="0.15">
      <c r="A1110" s="6">
        <v>1109</v>
      </c>
      <c r="B1110" s="7" t="s">
        <v>9</v>
      </c>
      <c r="C1110" s="8">
        <v>1889</v>
      </c>
      <c r="D1110" s="9">
        <v>45439</v>
      </c>
      <c r="E1110" s="13" t="str">
        <f>+HYPERLINK("http://trademark.i-assist.jp/data/china/image_1889th/77209509.pdf","77209509")</f>
        <v>77209509</v>
      </c>
      <c r="F1110" s="7" t="s">
        <v>3113</v>
      </c>
      <c r="G1110" s="7" t="s">
        <v>3114</v>
      </c>
      <c r="H1110" s="7" t="s">
        <v>3115</v>
      </c>
      <c r="I1110" s="9">
        <v>45362</v>
      </c>
    </row>
    <row r="1111" spans="1:9" x14ac:dyDescent="0.15">
      <c r="A1111" s="6">
        <v>1110</v>
      </c>
      <c r="B1111" s="7" t="s">
        <v>9</v>
      </c>
      <c r="C1111" s="8">
        <v>1889</v>
      </c>
      <c r="D1111" s="9">
        <v>45439</v>
      </c>
      <c r="E1111" s="13" t="str">
        <f>+HYPERLINK("http://trademark.i-assist.jp/data/china/image_1889th/77209958.pdf","77209958")</f>
        <v>77209958</v>
      </c>
      <c r="F1111" s="7" t="s">
        <v>3116</v>
      </c>
      <c r="G1111" s="7" t="s">
        <v>3117</v>
      </c>
      <c r="H1111" s="7" t="s">
        <v>3118</v>
      </c>
      <c r="I1111" s="9">
        <v>45362</v>
      </c>
    </row>
    <row r="1112" spans="1:9" x14ac:dyDescent="0.15">
      <c r="A1112" s="6">
        <v>1111</v>
      </c>
      <c r="B1112" s="7" t="s">
        <v>9</v>
      </c>
      <c r="C1112" s="8">
        <v>1889</v>
      </c>
      <c r="D1112" s="9">
        <v>45439</v>
      </c>
      <c r="E1112" s="13" t="str">
        <f>+HYPERLINK("http://trademark.i-assist.jp/data/china/image_1889th/77209978.pdf","77209978")</f>
        <v>77209978</v>
      </c>
      <c r="F1112" s="7" t="s">
        <v>3119</v>
      </c>
      <c r="G1112" s="7" t="s">
        <v>3120</v>
      </c>
      <c r="H1112" s="7" t="s">
        <v>3121</v>
      </c>
      <c r="I1112" s="9">
        <v>45362</v>
      </c>
    </row>
    <row r="1113" spans="1:9" x14ac:dyDescent="0.15">
      <c r="A1113" s="6">
        <v>1112</v>
      </c>
      <c r="B1113" s="7" t="s">
        <v>9</v>
      </c>
      <c r="C1113" s="8">
        <v>1889</v>
      </c>
      <c r="D1113" s="9">
        <v>45439</v>
      </c>
      <c r="E1113" s="13" t="str">
        <f>+HYPERLINK("http://trademark.i-assist.jp/data/china/image_1889th/77210058.pdf","77210058")</f>
        <v>77210058</v>
      </c>
      <c r="F1113" s="7" t="s">
        <v>3122</v>
      </c>
      <c r="G1113" s="7" t="s">
        <v>3123</v>
      </c>
      <c r="H1113" s="7" t="s">
        <v>3124</v>
      </c>
      <c r="I1113" s="9">
        <v>45362</v>
      </c>
    </row>
    <row r="1114" spans="1:9" ht="27" x14ac:dyDescent="0.15">
      <c r="A1114" s="6">
        <v>1113</v>
      </c>
      <c r="B1114" s="7" t="s">
        <v>9</v>
      </c>
      <c r="C1114" s="8">
        <v>1889</v>
      </c>
      <c r="D1114" s="9">
        <v>45439</v>
      </c>
      <c r="E1114" s="13" t="str">
        <f>+HYPERLINK("http://trademark.i-assist.jp/data/china/image_1889th/77210436.pdf","77210436")</f>
        <v>77210436</v>
      </c>
      <c r="F1114" s="7" t="s">
        <v>3125</v>
      </c>
      <c r="G1114" s="7" t="s">
        <v>2002</v>
      </c>
      <c r="H1114" s="7" t="s">
        <v>3126</v>
      </c>
      <c r="I1114" s="9">
        <v>45362</v>
      </c>
    </row>
    <row r="1115" spans="1:9" x14ac:dyDescent="0.15">
      <c r="A1115" s="6">
        <v>1114</v>
      </c>
      <c r="B1115" s="7" t="s">
        <v>9</v>
      </c>
      <c r="C1115" s="8">
        <v>1889</v>
      </c>
      <c r="D1115" s="9">
        <v>45439</v>
      </c>
      <c r="E1115" s="13" t="str">
        <f>+HYPERLINK("http://trademark.i-assist.jp/data/china/image_1889th/77210911.pdf","77210911")</f>
        <v>77210911</v>
      </c>
      <c r="F1115" s="7" t="s">
        <v>3127</v>
      </c>
      <c r="G1115" s="7" t="s">
        <v>3128</v>
      </c>
      <c r="H1115" s="7" t="s">
        <v>3129</v>
      </c>
      <c r="I1115" s="9">
        <v>45362</v>
      </c>
    </row>
    <row r="1116" spans="1:9" x14ac:dyDescent="0.15">
      <c r="A1116" s="6">
        <v>1115</v>
      </c>
      <c r="B1116" s="7" t="s">
        <v>9</v>
      </c>
      <c r="C1116" s="8">
        <v>1889</v>
      </c>
      <c r="D1116" s="9">
        <v>45439</v>
      </c>
      <c r="E1116" s="13" t="str">
        <f>+HYPERLINK("http://trademark.i-assist.jp/data/china/image_1889th/77210943.pdf","77210943")</f>
        <v>77210943</v>
      </c>
      <c r="F1116" s="7" t="s">
        <v>3130</v>
      </c>
      <c r="G1116" s="7" t="s">
        <v>3131</v>
      </c>
      <c r="H1116" s="7" t="s">
        <v>3132</v>
      </c>
      <c r="I1116" s="9">
        <v>45362</v>
      </c>
    </row>
    <row r="1117" spans="1:9" ht="27" x14ac:dyDescent="0.15">
      <c r="A1117" s="6">
        <v>1116</v>
      </c>
      <c r="B1117" s="7" t="s">
        <v>9</v>
      </c>
      <c r="C1117" s="8">
        <v>1889</v>
      </c>
      <c r="D1117" s="9">
        <v>45439</v>
      </c>
      <c r="E1117" s="13" t="str">
        <f>+HYPERLINK("http://trademark.i-assist.jp/data/china/image_1889th/77210953.pdf","77210953")</f>
        <v>77210953</v>
      </c>
      <c r="F1117" s="7" t="s">
        <v>3133</v>
      </c>
      <c r="G1117" s="7" t="s">
        <v>3134</v>
      </c>
      <c r="H1117" s="7" t="s">
        <v>3135</v>
      </c>
      <c r="I1117" s="9">
        <v>45362</v>
      </c>
    </row>
    <row r="1118" spans="1:9" x14ac:dyDescent="0.15">
      <c r="A1118" s="6">
        <v>1117</v>
      </c>
      <c r="B1118" s="7" t="s">
        <v>9</v>
      </c>
      <c r="C1118" s="8">
        <v>1889</v>
      </c>
      <c r="D1118" s="9">
        <v>45439</v>
      </c>
      <c r="E1118" s="13" t="str">
        <f>+HYPERLINK("http://trademark.i-assist.jp/data/china/image_1889th/77211020.pdf","77211020")</f>
        <v>77211020</v>
      </c>
      <c r="F1118" s="7" t="s">
        <v>3136</v>
      </c>
      <c r="G1118" s="7" t="s">
        <v>3137</v>
      </c>
      <c r="H1118" s="7" t="s">
        <v>3138</v>
      </c>
      <c r="I1118" s="9">
        <v>45362</v>
      </c>
    </row>
    <row r="1119" spans="1:9" x14ac:dyDescent="0.15">
      <c r="A1119" s="6">
        <v>1118</v>
      </c>
      <c r="B1119" s="7" t="s">
        <v>9</v>
      </c>
      <c r="C1119" s="8">
        <v>1889</v>
      </c>
      <c r="D1119" s="9">
        <v>45439</v>
      </c>
      <c r="E1119" s="13" t="str">
        <f>+HYPERLINK("http://trademark.i-assist.jp/data/china/image_1889th/77211227.pdf","77211227")</f>
        <v>77211227</v>
      </c>
      <c r="F1119" s="7" t="s">
        <v>3139</v>
      </c>
      <c r="G1119" s="7" t="s">
        <v>3140</v>
      </c>
      <c r="H1119" s="7" t="s">
        <v>2276</v>
      </c>
      <c r="I1119" s="9">
        <v>45362</v>
      </c>
    </row>
    <row r="1120" spans="1:9" x14ac:dyDescent="0.15">
      <c r="A1120" s="6">
        <v>1119</v>
      </c>
      <c r="B1120" s="7" t="s">
        <v>9</v>
      </c>
      <c r="C1120" s="8">
        <v>1889</v>
      </c>
      <c r="D1120" s="9">
        <v>45439</v>
      </c>
      <c r="E1120" s="13" t="str">
        <f>+HYPERLINK("http://trademark.i-assist.jp/data/china/image_1889th/77211344.pdf","77211344")</f>
        <v>77211344</v>
      </c>
      <c r="F1120" s="7" t="s">
        <v>3141</v>
      </c>
      <c r="G1120" s="7" t="s">
        <v>3142</v>
      </c>
      <c r="H1120" s="7" t="s">
        <v>3143</v>
      </c>
      <c r="I1120" s="9">
        <v>45362</v>
      </c>
    </row>
    <row r="1121" spans="1:9" x14ac:dyDescent="0.15">
      <c r="A1121" s="6">
        <v>1120</v>
      </c>
      <c r="B1121" s="7" t="s">
        <v>9</v>
      </c>
      <c r="C1121" s="8">
        <v>1889</v>
      </c>
      <c r="D1121" s="9">
        <v>45439</v>
      </c>
      <c r="E1121" s="13" t="str">
        <f>+HYPERLINK("http://trademark.i-assist.jp/data/china/image_1889th/77211400.pdf","77211400")</f>
        <v>77211400</v>
      </c>
      <c r="F1121" s="7" t="s">
        <v>3144</v>
      </c>
      <c r="G1121" s="7" t="s">
        <v>3145</v>
      </c>
      <c r="H1121" s="7" t="s">
        <v>3146</v>
      </c>
      <c r="I1121" s="9">
        <v>45362</v>
      </c>
    </row>
    <row r="1122" spans="1:9" x14ac:dyDescent="0.15">
      <c r="A1122" s="6">
        <v>1121</v>
      </c>
      <c r="B1122" s="7" t="s">
        <v>9</v>
      </c>
      <c r="C1122" s="8">
        <v>1889</v>
      </c>
      <c r="D1122" s="9">
        <v>45439</v>
      </c>
      <c r="E1122" s="13" t="str">
        <f>+HYPERLINK("http://trademark.i-assist.jp/data/china/image_1889th/77211542.pdf","77211542")</f>
        <v>77211542</v>
      </c>
      <c r="F1122" s="7" t="s">
        <v>3147</v>
      </c>
      <c r="G1122" s="7" t="s">
        <v>3148</v>
      </c>
      <c r="H1122" s="7" t="s">
        <v>3149</v>
      </c>
      <c r="I1122" s="9">
        <v>45362</v>
      </c>
    </row>
    <row r="1123" spans="1:9" x14ac:dyDescent="0.15">
      <c r="A1123" s="6">
        <v>1122</v>
      </c>
      <c r="B1123" s="7" t="s">
        <v>9</v>
      </c>
      <c r="C1123" s="8">
        <v>1889</v>
      </c>
      <c r="D1123" s="9">
        <v>45439</v>
      </c>
      <c r="E1123" s="13" t="str">
        <f>+HYPERLINK("http://trademark.i-assist.jp/data/china/image_1889th/77211791.pdf","77211791")</f>
        <v>77211791</v>
      </c>
      <c r="F1123" s="7" t="s">
        <v>3150</v>
      </c>
      <c r="G1123" s="7" t="s">
        <v>3151</v>
      </c>
      <c r="H1123" s="7" t="s">
        <v>3152</v>
      </c>
      <c r="I1123" s="9">
        <v>45362</v>
      </c>
    </row>
    <row r="1124" spans="1:9" x14ac:dyDescent="0.15">
      <c r="A1124" s="6">
        <v>1123</v>
      </c>
      <c r="B1124" s="7" t="s">
        <v>9</v>
      </c>
      <c r="C1124" s="8">
        <v>1889</v>
      </c>
      <c r="D1124" s="9">
        <v>45439</v>
      </c>
      <c r="E1124" s="13" t="str">
        <f>+HYPERLINK("http://trademark.i-assist.jp/data/china/image_1889th/77211806.pdf","77211806")</f>
        <v>77211806</v>
      </c>
      <c r="F1124" s="7" t="s">
        <v>3153</v>
      </c>
      <c r="G1124" s="7" t="s">
        <v>3154</v>
      </c>
      <c r="H1124" s="7" t="s">
        <v>3155</v>
      </c>
      <c r="I1124" s="9">
        <v>45362</v>
      </c>
    </row>
    <row r="1125" spans="1:9" ht="27" x14ac:dyDescent="0.15">
      <c r="A1125" s="6">
        <v>1124</v>
      </c>
      <c r="B1125" s="7" t="s">
        <v>9</v>
      </c>
      <c r="C1125" s="8">
        <v>1889</v>
      </c>
      <c r="D1125" s="9">
        <v>45439</v>
      </c>
      <c r="E1125" s="13" t="str">
        <f>+HYPERLINK("http://trademark.i-assist.jp/data/china/image_1889th/77211840.pdf","77211840")</f>
        <v>77211840</v>
      </c>
      <c r="F1125" s="7" t="s">
        <v>3156</v>
      </c>
      <c r="G1125" s="7" t="s">
        <v>3157</v>
      </c>
      <c r="H1125" s="7" t="s">
        <v>3158</v>
      </c>
      <c r="I1125" s="9">
        <v>45362</v>
      </c>
    </row>
    <row r="1126" spans="1:9" x14ac:dyDescent="0.15">
      <c r="A1126" s="6">
        <v>1125</v>
      </c>
      <c r="B1126" s="7" t="s">
        <v>9</v>
      </c>
      <c r="C1126" s="8">
        <v>1889</v>
      </c>
      <c r="D1126" s="9">
        <v>45439</v>
      </c>
      <c r="E1126" s="13" t="str">
        <f>+HYPERLINK("http://trademark.i-assist.jp/data/china/image_1889th/77211956.pdf","77211956")</f>
        <v>77211956</v>
      </c>
      <c r="F1126" s="7" t="s">
        <v>3159</v>
      </c>
      <c r="G1126" s="7" t="s">
        <v>3160</v>
      </c>
      <c r="H1126" s="7" t="s">
        <v>3161</v>
      </c>
      <c r="I1126" s="9">
        <v>45362</v>
      </c>
    </row>
    <row r="1127" spans="1:9" x14ac:dyDescent="0.15">
      <c r="A1127" s="6">
        <v>1126</v>
      </c>
      <c r="B1127" s="7" t="s">
        <v>9</v>
      </c>
      <c r="C1127" s="8">
        <v>1889</v>
      </c>
      <c r="D1127" s="9">
        <v>45439</v>
      </c>
      <c r="E1127" s="13" t="str">
        <f>+HYPERLINK("http://trademark.i-assist.jp/data/china/image_1889th/77212091.pdf","77212091")</f>
        <v>77212091</v>
      </c>
      <c r="F1127" s="7" t="s">
        <v>3162</v>
      </c>
      <c r="G1127" s="7" t="s">
        <v>3163</v>
      </c>
      <c r="H1127" s="7" t="s">
        <v>3164</v>
      </c>
      <c r="I1127" s="9">
        <v>45362</v>
      </c>
    </row>
    <row r="1128" spans="1:9" x14ac:dyDescent="0.15">
      <c r="A1128" s="6">
        <v>1127</v>
      </c>
      <c r="B1128" s="7" t="s">
        <v>9</v>
      </c>
      <c r="C1128" s="8">
        <v>1889</v>
      </c>
      <c r="D1128" s="9">
        <v>45439</v>
      </c>
      <c r="E1128" s="13" t="str">
        <f>+HYPERLINK("http://trademark.i-assist.jp/data/china/image_1889th/77212180.pdf","77212180")</f>
        <v>77212180</v>
      </c>
      <c r="F1128" s="7" t="s">
        <v>3165</v>
      </c>
      <c r="G1128" s="7" t="s">
        <v>3166</v>
      </c>
      <c r="H1128" s="7" t="s">
        <v>3167</v>
      </c>
      <c r="I1128" s="9">
        <v>45362</v>
      </c>
    </row>
    <row r="1129" spans="1:9" x14ac:dyDescent="0.15">
      <c r="A1129" s="6">
        <v>1128</v>
      </c>
      <c r="B1129" s="7" t="s">
        <v>9</v>
      </c>
      <c r="C1129" s="8">
        <v>1889</v>
      </c>
      <c r="D1129" s="9">
        <v>45439</v>
      </c>
      <c r="E1129" s="13" t="str">
        <f>+HYPERLINK("http://trademark.i-assist.jp/data/china/image_1889th/77212183.pdf","77212183")</f>
        <v>77212183</v>
      </c>
      <c r="F1129" s="7" t="s">
        <v>3168</v>
      </c>
      <c r="G1129" s="7" t="s">
        <v>3169</v>
      </c>
      <c r="H1129" s="7" t="s">
        <v>3170</v>
      </c>
      <c r="I1129" s="9">
        <v>45362</v>
      </c>
    </row>
    <row r="1130" spans="1:9" x14ac:dyDescent="0.15">
      <c r="A1130" s="6">
        <v>1129</v>
      </c>
      <c r="B1130" s="7" t="s">
        <v>9</v>
      </c>
      <c r="C1130" s="8">
        <v>1889</v>
      </c>
      <c r="D1130" s="9">
        <v>45439</v>
      </c>
      <c r="E1130" s="13" t="str">
        <f>+HYPERLINK("http://trademark.i-assist.jp/data/china/image_1889th/77212576.pdf","77212576")</f>
        <v>77212576</v>
      </c>
      <c r="F1130" s="7" t="s">
        <v>3171</v>
      </c>
      <c r="G1130" s="7" t="s">
        <v>3172</v>
      </c>
      <c r="H1130" s="7" t="s">
        <v>3173</v>
      </c>
      <c r="I1130" s="9">
        <v>45362</v>
      </c>
    </row>
    <row r="1131" spans="1:9" x14ac:dyDescent="0.15">
      <c r="A1131" s="6">
        <v>1130</v>
      </c>
      <c r="B1131" s="7" t="s">
        <v>9</v>
      </c>
      <c r="C1131" s="8">
        <v>1889</v>
      </c>
      <c r="D1131" s="9">
        <v>45439</v>
      </c>
      <c r="E1131" s="13" t="str">
        <f>+HYPERLINK("http://trademark.i-assist.jp/data/china/image_1889th/77212598.pdf","77212598")</f>
        <v>77212598</v>
      </c>
      <c r="F1131" s="7" t="s">
        <v>3174</v>
      </c>
      <c r="G1131" s="7" t="s">
        <v>3175</v>
      </c>
      <c r="H1131" s="7" t="s">
        <v>3176</v>
      </c>
      <c r="I1131" s="9">
        <v>45362</v>
      </c>
    </row>
    <row r="1132" spans="1:9" x14ac:dyDescent="0.15">
      <c r="A1132" s="6">
        <v>1131</v>
      </c>
      <c r="B1132" s="7" t="s">
        <v>9</v>
      </c>
      <c r="C1132" s="8">
        <v>1889</v>
      </c>
      <c r="D1132" s="9">
        <v>45439</v>
      </c>
      <c r="E1132" s="13" t="str">
        <f>+HYPERLINK("http://trademark.i-assist.jp/data/china/image_1889th/77212759.pdf","77212759")</f>
        <v>77212759</v>
      </c>
      <c r="F1132" s="7" t="s">
        <v>3177</v>
      </c>
      <c r="G1132" s="7" t="s">
        <v>3178</v>
      </c>
      <c r="H1132" s="7" t="s">
        <v>3179</v>
      </c>
      <c r="I1132" s="9">
        <v>45362</v>
      </c>
    </row>
    <row r="1133" spans="1:9" x14ac:dyDescent="0.15">
      <c r="A1133" s="6">
        <v>1132</v>
      </c>
      <c r="B1133" s="7" t="s">
        <v>9</v>
      </c>
      <c r="C1133" s="8">
        <v>1889</v>
      </c>
      <c r="D1133" s="9">
        <v>45439</v>
      </c>
      <c r="E1133" s="13" t="str">
        <f>+HYPERLINK("http://trademark.i-assist.jp/data/china/image_1889th/77212867.pdf","77212867")</f>
        <v>77212867</v>
      </c>
      <c r="F1133" s="7" t="s">
        <v>3180</v>
      </c>
      <c r="G1133" s="7" t="s">
        <v>3181</v>
      </c>
      <c r="H1133" s="7" t="s">
        <v>3182</v>
      </c>
      <c r="I1133" s="9">
        <v>45362</v>
      </c>
    </row>
    <row r="1134" spans="1:9" x14ac:dyDescent="0.15">
      <c r="A1134" s="6">
        <v>1133</v>
      </c>
      <c r="B1134" s="7" t="s">
        <v>9</v>
      </c>
      <c r="C1134" s="8">
        <v>1889</v>
      </c>
      <c r="D1134" s="9">
        <v>45439</v>
      </c>
      <c r="E1134" s="13" t="str">
        <f>+HYPERLINK("http://trademark.i-assist.jp/data/china/image_1889th/77213025.pdf","77213025")</f>
        <v>77213025</v>
      </c>
      <c r="F1134" s="7" t="s">
        <v>3183</v>
      </c>
      <c r="G1134" s="7" t="s">
        <v>3184</v>
      </c>
      <c r="H1134" s="7" t="s">
        <v>3185</v>
      </c>
      <c r="I1134" s="9">
        <v>45362</v>
      </c>
    </row>
    <row r="1135" spans="1:9" x14ac:dyDescent="0.15">
      <c r="A1135" s="6">
        <v>1134</v>
      </c>
      <c r="B1135" s="7" t="s">
        <v>9</v>
      </c>
      <c r="C1135" s="8">
        <v>1889</v>
      </c>
      <c r="D1135" s="9">
        <v>45439</v>
      </c>
      <c r="E1135" s="13" t="str">
        <f>+HYPERLINK("http://trademark.i-assist.jp/data/china/image_1889th/77213056.pdf","77213056")</f>
        <v>77213056</v>
      </c>
      <c r="F1135" s="7" t="s">
        <v>3186</v>
      </c>
      <c r="G1135" s="7" t="s">
        <v>3187</v>
      </c>
      <c r="H1135" s="7" t="s">
        <v>3188</v>
      </c>
      <c r="I1135" s="9">
        <v>45362</v>
      </c>
    </row>
    <row r="1136" spans="1:9" x14ac:dyDescent="0.15">
      <c r="A1136" s="6">
        <v>1135</v>
      </c>
      <c r="B1136" s="7" t="s">
        <v>9</v>
      </c>
      <c r="C1136" s="8">
        <v>1889</v>
      </c>
      <c r="D1136" s="9">
        <v>45439</v>
      </c>
      <c r="E1136" s="13" t="str">
        <f>+HYPERLINK("http://trademark.i-assist.jp/data/china/image_1889th/77213084.pdf","77213084")</f>
        <v>77213084</v>
      </c>
      <c r="F1136" s="7" t="s">
        <v>3189</v>
      </c>
      <c r="G1136" s="7" t="s">
        <v>3190</v>
      </c>
      <c r="H1136" s="7" t="s">
        <v>3191</v>
      </c>
      <c r="I1136" s="9">
        <v>45362</v>
      </c>
    </row>
    <row r="1137" spans="1:9" x14ac:dyDescent="0.15">
      <c r="A1137" s="6">
        <v>1136</v>
      </c>
      <c r="B1137" s="7" t="s">
        <v>9</v>
      </c>
      <c r="C1137" s="8">
        <v>1889</v>
      </c>
      <c r="D1137" s="9">
        <v>45439</v>
      </c>
      <c r="E1137" s="13" t="str">
        <f>+HYPERLINK("http://trademark.i-assist.jp/data/china/image_1889th/77213169.pdf","77213169")</f>
        <v>77213169</v>
      </c>
      <c r="F1137" s="7" t="s">
        <v>3192</v>
      </c>
      <c r="G1137" s="7" t="s">
        <v>3193</v>
      </c>
      <c r="H1137" s="7" t="s">
        <v>3194</v>
      </c>
      <c r="I1137" s="9">
        <v>45362</v>
      </c>
    </row>
    <row r="1138" spans="1:9" x14ac:dyDescent="0.15">
      <c r="A1138" s="6">
        <v>1137</v>
      </c>
      <c r="B1138" s="7" t="s">
        <v>9</v>
      </c>
      <c r="C1138" s="8">
        <v>1889</v>
      </c>
      <c r="D1138" s="9">
        <v>45439</v>
      </c>
      <c r="E1138" s="13" t="str">
        <f>+HYPERLINK("http://trademark.i-assist.jp/data/china/image_1889th/77213449.pdf","77213449")</f>
        <v>77213449</v>
      </c>
      <c r="F1138" s="7" t="s">
        <v>3195</v>
      </c>
      <c r="G1138" s="7" t="s">
        <v>3196</v>
      </c>
      <c r="H1138" s="7" t="s">
        <v>3197</v>
      </c>
      <c r="I1138" s="9">
        <v>45362</v>
      </c>
    </row>
    <row r="1139" spans="1:9" ht="27" x14ac:dyDescent="0.15">
      <c r="A1139" s="6">
        <v>1138</v>
      </c>
      <c r="B1139" s="7" t="s">
        <v>9</v>
      </c>
      <c r="C1139" s="8">
        <v>1889</v>
      </c>
      <c r="D1139" s="9">
        <v>45439</v>
      </c>
      <c r="E1139" s="13" t="str">
        <f>+HYPERLINK("http://trademark.i-assist.jp/data/china/image_1889th/77213647.pdf","77213647")</f>
        <v>77213647</v>
      </c>
      <c r="F1139" s="7" t="s">
        <v>3198</v>
      </c>
      <c r="G1139" s="7" t="s">
        <v>3199</v>
      </c>
      <c r="H1139" s="7" t="s">
        <v>3200</v>
      </c>
      <c r="I1139" s="9">
        <v>45362</v>
      </c>
    </row>
    <row r="1140" spans="1:9" x14ac:dyDescent="0.15">
      <c r="A1140" s="6">
        <v>1139</v>
      </c>
      <c r="B1140" s="7" t="s">
        <v>9</v>
      </c>
      <c r="C1140" s="8">
        <v>1889</v>
      </c>
      <c r="D1140" s="9">
        <v>45439</v>
      </c>
      <c r="E1140" s="13" t="str">
        <f>+HYPERLINK("http://trademark.i-assist.jp/data/china/image_1889th/77213742.pdf","77213742")</f>
        <v>77213742</v>
      </c>
      <c r="F1140" s="7" t="s">
        <v>3201</v>
      </c>
      <c r="G1140" s="7" t="s">
        <v>3202</v>
      </c>
      <c r="H1140" s="7" t="s">
        <v>3203</v>
      </c>
      <c r="I1140" s="9">
        <v>45362</v>
      </c>
    </row>
    <row r="1141" spans="1:9" ht="27" x14ac:dyDescent="0.15">
      <c r="A1141" s="6">
        <v>1140</v>
      </c>
      <c r="B1141" s="7" t="s">
        <v>9</v>
      </c>
      <c r="C1141" s="8">
        <v>1889</v>
      </c>
      <c r="D1141" s="9">
        <v>45439</v>
      </c>
      <c r="E1141" s="13" t="str">
        <f>+HYPERLINK("http://trademark.i-assist.jp/data/china/image_1889th/77213753.pdf","77213753")</f>
        <v>77213753</v>
      </c>
      <c r="F1141" s="7" t="s">
        <v>3204</v>
      </c>
      <c r="G1141" s="7" t="s">
        <v>3205</v>
      </c>
      <c r="H1141" s="7" t="s">
        <v>3206</v>
      </c>
      <c r="I1141" s="9">
        <v>45362</v>
      </c>
    </row>
    <row r="1142" spans="1:9" x14ac:dyDescent="0.15">
      <c r="A1142" s="6">
        <v>1141</v>
      </c>
      <c r="B1142" s="7" t="s">
        <v>9</v>
      </c>
      <c r="C1142" s="8">
        <v>1889</v>
      </c>
      <c r="D1142" s="9">
        <v>45439</v>
      </c>
      <c r="E1142" s="13" t="str">
        <f>+HYPERLINK("http://trademark.i-assist.jp/data/china/image_1889th/77213801.pdf","77213801")</f>
        <v>77213801</v>
      </c>
      <c r="F1142" s="7" t="s">
        <v>3207</v>
      </c>
      <c r="G1142" s="7" t="s">
        <v>3208</v>
      </c>
      <c r="H1142" s="7" t="s">
        <v>3209</v>
      </c>
      <c r="I1142" s="9">
        <v>45362</v>
      </c>
    </row>
    <row r="1143" spans="1:9" x14ac:dyDescent="0.15">
      <c r="A1143" s="6">
        <v>1142</v>
      </c>
      <c r="B1143" s="7" t="s">
        <v>9</v>
      </c>
      <c r="C1143" s="8">
        <v>1889</v>
      </c>
      <c r="D1143" s="9">
        <v>45439</v>
      </c>
      <c r="E1143" s="13" t="str">
        <f>+HYPERLINK("http://trademark.i-assist.jp/data/china/image_1889th/77213933.pdf","77213933")</f>
        <v>77213933</v>
      </c>
      <c r="F1143" s="7" t="s">
        <v>3210</v>
      </c>
      <c r="G1143" s="7" t="s">
        <v>3211</v>
      </c>
      <c r="H1143" s="7" t="s">
        <v>3212</v>
      </c>
      <c r="I1143" s="9">
        <v>45362</v>
      </c>
    </row>
    <row r="1144" spans="1:9" x14ac:dyDescent="0.15">
      <c r="A1144" s="6">
        <v>1143</v>
      </c>
      <c r="B1144" s="7" t="s">
        <v>9</v>
      </c>
      <c r="C1144" s="8">
        <v>1889</v>
      </c>
      <c r="D1144" s="9">
        <v>45439</v>
      </c>
      <c r="E1144" s="13" t="str">
        <f>+HYPERLINK("http://trademark.i-assist.jp/data/china/image_1889th/77214004.pdf","77214004")</f>
        <v>77214004</v>
      </c>
      <c r="F1144" s="7" t="s">
        <v>3213</v>
      </c>
      <c r="G1144" s="7" t="s">
        <v>3131</v>
      </c>
      <c r="H1144" s="7" t="s">
        <v>3214</v>
      </c>
      <c r="I1144" s="9">
        <v>45362</v>
      </c>
    </row>
    <row r="1145" spans="1:9" x14ac:dyDescent="0.15">
      <c r="A1145" s="6">
        <v>1144</v>
      </c>
      <c r="B1145" s="7" t="s">
        <v>9</v>
      </c>
      <c r="C1145" s="8">
        <v>1889</v>
      </c>
      <c r="D1145" s="9">
        <v>45439</v>
      </c>
      <c r="E1145" s="13" t="str">
        <f>+HYPERLINK("http://trademark.i-assist.jp/data/china/image_1889th/77214056.pdf","77214056")</f>
        <v>77214056</v>
      </c>
      <c r="F1145" s="7" t="s">
        <v>3215</v>
      </c>
      <c r="G1145" s="7" t="s">
        <v>3216</v>
      </c>
      <c r="H1145" s="7" t="s">
        <v>3217</v>
      </c>
      <c r="I1145" s="9">
        <v>45362</v>
      </c>
    </row>
    <row r="1146" spans="1:9" x14ac:dyDescent="0.15">
      <c r="A1146" s="6">
        <v>1145</v>
      </c>
      <c r="B1146" s="7" t="s">
        <v>9</v>
      </c>
      <c r="C1146" s="8">
        <v>1889</v>
      </c>
      <c r="D1146" s="9">
        <v>45439</v>
      </c>
      <c r="E1146" s="13" t="str">
        <f>+HYPERLINK("http://trademark.i-assist.jp/data/china/image_1889th/77214181.pdf","77214181")</f>
        <v>77214181</v>
      </c>
      <c r="F1146" s="7" t="s">
        <v>3218</v>
      </c>
      <c r="G1146" s="7" t="s">
        <v>3219</v>
      </c>
      <c r="H1146" s="7" t="s">
        <v>3220</v>
      </c>
      <c r="I1146" s="9">
        <v>45362</v>
      </c>
    </row>
    <row r="1147" spans="1:9" ht="27" x14ac:dyDescent="0.15">
      <c r="A1147" s="6">
        <v>1146</v>
      </c>
      <c r="B1147" s="7" t="s">
        <v>9</v>
      </c>
      <c r="C1147" s="8">
        <v>1889</v>
      </c>
      <c r="D1147" s="9">
        <v>45439</v>
      </c>
      <c r="E1147" s="13" t="str">
        <f>+HYPERLINK("http://trademark.i-assist.jp/data/china/image_1889th/77214200.pdf","77214200")</f>
        <v>77214200</v>
      </c>
      <c r="F1147" s="7" t="s">
        <v>3221</v>
      </c>
      <c r="G1147" s="7" t="s">
        <v>3157</v>
      </c>
      <c r="H1147" s="7" t="s">
        <v>3222</v>
      </c>
      <c r="I1147" s="9">
        <v>45362</v>
      </c>
    </row>
    <row r="1148" spans="1:9" ht="27" x14ac:dyDescent="0.15">
      <c r="A1148" s="6">
        <v>1147</v>
      </c>
      <c r="B1148" s="7" t="s">
        <v>9</v>
      </c>
      <c r="C1148" s="8">
        <v>1889</v>
      </c>
      <c r="D1148" s="9">
        <v>45439</v>
      </c>
      <c r="E1148" s="13" t="str">
        <f>+HYPERLINK("http://trademark.i-assist.jp/data/china/image_1889th/77214228.pdf","77214228")</f>
        <v>77214228</v>
      </c>
      <c r="F1148" s="7" t="s">
        <v>3223</v>
      </c>
      <c r="G1148" s="7" t="s">
        <v>3224</v>
      </c>
      <c r="H1148" s="7" t="s">
        <v>3225</v>
      </c>
      <c r="I1148" s="9">
        <v>45362</v>
      </c>
    </row>
    <row r="1149" spans="1:9" x14ac:dyDescent="0.15">
      <c r="A1149" s="6">
        <v>1148</v>
      </c>
      <c r="B1149" s="7" t="s">
        <v>9</v>
      </c>
      <c r="C1149" s="8">
        <v>1889</v>
      </c>
      <c r="D1149" s="9">
        <v>45439</v>
      </c>
      <c r="E1149" s="13" t="str">
        <f>+HYPERLINK("http://trademark.i-assist.jp/data/china/image_1889th/77214659.pdf","77214659")</f>
        <v>77214659</v>
      </c>
      <c r="F1149" s="7" t="s">
        <v>3226</v>
      </c>
      <c r="G1149" s="7" t="s">
        <v>3227</v>
      </c>
      <c r="H1149" s="7" t="s">
        <v>3228</v>
      </c>
      <c r="I1149" s="9">
        <v>45362</v>
      </c>
    </row>
    <row r="1150" spans="1:9" x14ac:dyDescent="0.15">
      <c r="A1150" s="6">
        <v>1149</v>
      </c>
      <c r="B1150" s="7" t="s">
        <v>9</v>
      </c>
      <c r="C1150" s="8">
        <v>1889</v>
      </c>
      <c r="D1150" s="9">
        <v>45439</v>
      </c>
      <c r="E1150" s="13" t="str">
        <f>+HYPERLINK("http://trademark.i-assist.jp/data/china/image_1889th/77214921.pdf","77214921")</f>
        <v>77214921</v>
      </c>
      <c r="F1150" s="7" t="s">
        <v>3229</v>
      </c>
      <c r="G1150" s="7" t="s">
        <v>3230</v>
      </c>
      <c r="H1150" s="7" t="s">
        <v>3231</v>
      </c>
      <c r="I1150" s="9">
        <v>45362</v>
      </c>
    </row>
    <row r="1151" spans="1:9" x14ac:dyDescent="0.15">
      <c r="A1151" s="6">
        <v>1150</v>
      </c>
      <c r="B1151" s="7" t="s">
        <v>9</v>
      </c>
      <c r="C1151" s="8">
        <v>1889</v>
      </c>
      <c r="D1151" s="9">
        <v>45439</v>
      </c>
      <c r="E1151" s="13" t="str">
        <f>+HYPERLINK("http://trademark.i-assist.jp/data/china/image_1889th/77214937.pdf","77214937")</f>
        <v>77214937</v>
      </c>
      <c r="F1151" s="7" t="s">
        <v>3232</v>
      </c>
      <c r="G1151" s="7" t="s">
        <v>3233</v>
      </c>
      <c r="H1151" s="7" t="s">
        <v>3234</v>
      </c>
      <c r="I1151" s="9">
        <v>45362</v>
      </c>
    </row>
    <row r="1152" spans="1:9" x14ac:dyDescent="0.15">
      <c r="A1152" s="6">
        <v>1151</v>
      </c>
      <c r="B1152" s="7" t="s">
        <v>9</v>
      </c>
      <c r="C1152" s="8">
        <v>1889</v>
      </c>
      <c r="D1152" s="9">
        <v>45439</v>
      </c>
      <c r="E1152" s="13" t="str">
        <f>+HYPERLINK("http://trademark.i-assist.jp/data/china/image_1889th/77215171.pdf","77215171")</f>
        <v>77215171</v>
      </c>
      <c r="F1152" s="7" t="s">
        <v>3235</v>
      </c>
      <c r="G1152" s="7" t="s">
        <v>3236</v>
      </c>
      <c r="H1152" s="7" t="s">
        <v>3237</v>
      </c>
      <c r="I1152" s="9">
        <v>45362</v>
      </c>
    </row>
    <row r="1153" spans="1:9" x14ac:dyDescent="0.15">
      <c r="A1153" s="6">
        <v>1152</v>
      </c>
      <c r="B1153" s="7" t="s">
        <v>9</v>
      </c>
      <c r="C1153" s="8">
        <v>1889</v>
      </c>
      <c r="D1153" s="9">
        <v>45439</v>
      </c>
      <c r="E1153" s="13" t="str">
        <f>+HYPERLINK("http://trademark.i-assist.jp/data/china/image_1889th/77215175.pdf","77215175")</f>
        <v>77215175</v>
      </c>
      <c r="F1153" s="7" t="s">
        <v>3238</v>
      </c>
      <c r="G1153" s="7" t="s">
        <v>3239</v>
      </c>
      <c r="H1153" s="7" t="s">
        <v>3240</v>
      </c>
      <c r="I1153" s="9">
        <v>45362</v>
      </c>
    </row>
    <row r="1154" spans="1:9" x14ac:dyDescent="0.15">
      <c r="A1154" s="6">
        <v>1153</v>
      </c>
      <c r="B1154" s="7" t="s">
        <v>9</v>
      </c>
      <c r="C1154" s="8">
        <v>1889</v>
      </c>
      <c r="D1154" s="9">
        <v>45439</v>
      </c>
      <c r="E1154" s="13" t="str">
        <f>+HYPERLINK("http://trademark.i-assist.jp/data/china/image_1889th/77215260.pdf","77215260")</f>
        <v>77215260</v>
      </c>
      <c r="F1154" s="7" t="s">
        <v>3241</v>
      </c>
      <c r="G1154" s="7" t="s">
        <v>3242</v>
      </c>
      <c r="H1154" s="7" t="s">
        <v>3243</v>
      </c>
      <c r="I1154" s="9">
        <v>45362</v>
      </c>
    </row>
    <row r="1155" spans="1:9" x14ac:dyDescent="0.15">
      <c r="A1155" s="6">
        <v>1154</v>
      </c>
      <c r="B1155" s="7" t="s">
        <v>9</v>
      </c>
      <c r="C1155" s="8">
        <v>1889</v>
      </c>
      <c r="D1155" s="9">
        <v>45439</v>
      </c>
      <c r="E1155" s="13" t="str">
        <f>+HYPERLINK("http://trademark.i-assist.jp/data/china/image_1889th/77215550.pdf","77215550")</f>
        <v>77215550</v>
      </c>
      <c r="F1155" s="7" t="s">
        <v>3244</v>
      </c>
      <c r="G1155" s="7" t="s">
        <v>3245</v>
      </c>
      <c r="H1155" s="7" t="s">
        <v>3246</v>
      </c>
      <c r="I1155" s="9">
        <v>45362</v>
      </c>
    </row>
    <row r="1156" spans="1:9" x14ac:dyDescent="0.15">
      <c r="A1156" s="6">
        <v>1155</v>
      </c>
      <c r="B1156" s="7" t="s">
        <v>9</v>
      </c>
      <c r="C1156" s="8">
        <v>1889</v>
      </c>
      <c r="D1156" s="9">
        <v>45439</v>
      </c>
      <c r="E1156" s="13" t="str">
        <f>+HYPERLINK("http://trademark.i-assist.jp/data/china/image_1889th/77215907.pdf","77215907")</f>
        <v>77215907</v>
      </c>
      <c r="F1156" s="7" t="s">
        <v>3247</v>
      </c>
      <c r="G1156" s="7" t="s">
        <v>3248</v>
      </c>
      <c r="H1156" s="7" t="s">
        <v>3249</v>
      </c>
      <c r="I1156" s="9">
        <v>45362</v>
      </c>
    </row>
    <row r="1157" spans="1:9" x14ac:dyDescent="0.15">
      <c r="A1157" s="6">
        <v>1156</v>
      </c>
      <c r="B1157" s="7" t="s">
        <v>9</v>
      </c>
      <c r="C1157" s="8">
        <v>1889</v>
      </c>
      <c r="D1157" s="9">
        <v>45439</v>
      </c>
      <c r="E1157" s="13" t="str">
        <f>+HYPERLINK("http://trademark.i-assist.jp/data/china/image_1889th/77216056.pdf","77216056")</f>
        <v>77216056</v>
      </c>
      <c r="F1157" s="7" t="s">
        <v>3250</v>
      </c>
      <c r="G1157" s="7" t="s">
        <v>3251</v>
      </c>
      <c r="H1157" s="7" t="s">
        <v>3252</v>
      </c>
      <c r="I1157" s="9">
        <v>45362</v>
      </c>
    </row>
    <row r="1158" spans="1:9" x14ac:dyDescent="0.15">
      <c r="A1158" s="6">
        <v>1157</v>
      </c>
      <c r="B1158" s="7" t="s">
        <v>9</v>
      </c>
      <c r="C1158" s="8">
        <v>1889</v>
      </c>
      <c r="D1158" s="9">
        <v>45439</v>
      </c>
      <c r="E1158" s="13" t="str">
        <f>+HYPERLINK("http://trademark.i-assist.jp/data/china/image_1889th/77216279.pdf","77216279")</f>
        <v>77216279</v>
      </c>
      <c r="F1158" s="7" t="s">
        <v>3253</v>
      </c>
      <c r="G1158" s="7" t="s">
        <v>3254</v>
      </c>
      <c r="H1158" s="7" t="s">
        <v>3255</v>
      </c>
      <c r="I1158" s="9">
        <v>45362</v>
      </c>
    </row>
    <row r="1159" spans="1:9" x14ac:dyDescent="0.15">
      <c r="A1159" s="6">
        <v>1158</v>
      </c>
      <c r="B1159" s="7" t="s">
        <v>9</v>
      </c>
      <c r="C1159" s="8">
        <v>1889</v>
      </c>
      <c r="D1159" s="9">
        <v>45439</v>
      </c>
      <c r="E1159" s="13" t="str">
        <f>+HYPERLINK("http://trademark.i-assist.jp/data/china/image_1889th/77216283.pdf","77216283")</f>
        <v>77216283</v>
      </c>
      <c r="F1159" s="7" t="s">
        <v>3256</v>
      </c>
      <c r="G1159" s="7" t="s">
        <v>3257</v>
      </c>
      <c r="H1159" s="7" t="s">
        <v>3258</v>
      </c>
      <c r="I1159" s="9">
        <v>45362</v>
      </c>
    </row>
    <row r="1160" spans="1:9" x14ac:dyDescent="0.15">
      <c r="A1160" s="6">
        <v>1159</v>
      </c>
      <c r="B1160" s="7" t="s">
        <v>9</v>
      </c>
      <c r="C1160" s="8">
        <v>1889</v>
      </c>
      <c r="D1160" s="9">
        <v>45439</v>
      </c>
      <c r="E1160" s="13" t="str">
        <f>+HYPERLINK("http://trademark.i-assist.jp/data/china/image_1889th/77216484.pdf","77216484")</f>
        <v>77216484</v>
      </c>
      <c r="F1160" s="7" t="s">
        <v>3259</v>
      </c>
      <c r="G1160" s="7" t="s">
        <v>3260</v>
      </c>
      <c r="H1160" s="7" t="s">
        <v>3261</v>
      </c>
      <c r="I1160" s="9">
        <v>45362</v>
      </c>
    </row>
    <row r="1161" spans="1:9" x14ac:dyDescent="0.15">
      <c r="A1161" s="6">
        <v>1160</v>
      </c>
      <c r="B1161" s="7" t="s">
        <v>9</v>
      </c>
      <c r="C1161" s="8">
        <v>1889</v>
      </c>
      <c r="D1161" s="9">
        <v>45439</v>
      </c>
      <c r="E1161" s="13" t="str">
        <f>+HYPERLINK("http://trademark.i-assist.jp/data/china/image_1889th/77216690.pdf","77216690")</f>
        <v>77216690</v>
      </c>
      <c r="F1161" s="7" t="s">
        <v>3262</v>
      </c>
      <c r="G1161" s="7" t="s">
        <v>3263</v>
      </c>
      <c r="H1161" s="7" t="s">
        <v>3264</v>
      </c>
      <c r="I1161" s="9">
        <v>45362</v>
      </c>
    </row>
    <row r="1162" spans="1:9" ht="27" x14ac:dyDescent="0.15">
      <c r="A1162" s="6">
        <v>1161</v>
      </c>
      <c r="B1162" s="7" t="s">
        <v>9</v>
      </c>
      <c r="C1162" s="8">
        <v>1889</v>
      </c>
      <c r="D1162" s="9">
        <v>45439</v>
      </c>
      <c r="E1162" s="13" t="str">
        <f>+HYPERLINK("http://trademark.i-assist.jp/data/china/image_1889th/77216752.pdf","77216752")</f>
        <v>77216752</v>
      </c>
      <c r="F1162" s="7" t="s">
        <v>3265</v>
      </c>
      <c r="G1162" s="7" t="s">
        <v>3224</v>
      </c>
      <c r="H1162" s="7" t="s">
        <v>3266</v>
      </c>
      <c r="I1162" s="9">
        <v>45362</v>
      </c>
    </row>
    <row r="1163" spans="1:9" ht="27" x14ac:dyDescent="0.15">
      <c r="A1163" s="6">
        <v>1162</v>
      </c>
      <c r="B1163" s="7" t="s">
        <v>9</v>
      </c>
      <c r="C1163" s="8">
        <v>1889</v>
      </c>
      <c r="D1163" s="9">
        <v>45439</v>
      </c>
      <c r="E1163" s="13" t="str">
        <f>+HYPERLINK("http://trademark.i-assist.jp/data/china/image_1889th/77216795.pdf","77216795")</f>
        <v>77216795</v>
      </c>
      <c r="F1163" s="7" t="s">
        <v>3267</v>
      </c>
      <c r="G1163" s="7" t="s">
        <v>3268</v>
      </c>
      <c r="H1163" s="7" t="s">
        <v>3269</v>
      </c>
      <c r="I1163" s="9">
        <v>45362</v>
      </c>
    </row>
    <row r="1164" spans="1:9" x14ac:dyDescent="0.15">
      <c r="A1164" s="6">
        <v>1163</v>
      </c>
      <c r="B1164" s="7" t="s">
        <v>9</v>
      </c>
      <c r="C1164" s="8">
        <v>1889</v>
      </c>
      <c r="D1164" s="9">
        <v>45439</v>
      </c>
      <c r="E1164" s="13" t="str">
        <f>+HYPERLINK("http://trademark.i-assist.jp/data/china/image_1889th/77216879.pdf","77216879")</f>
        <v>77216879</v>
      </c>
      <c r="F1164" s="7" t="s">
        <v>3270</v>
      </c>
      <c r="G1164" s="7" t="s">
        <v>3271</v>
      </c>
      <c r="H1164" s="7" t="s">
        <v>3272</v>
      </c>
      <c r="I1164" s="9">
        <v>45362</v>
      </c>
    </row>
    <row r="1165" spans="1:9" x14ac:dyDescent="0.15">
      <c r="A1165" s="6">
        <v>1164</v>
      </c>
      <c r="B1165" s="7" t="s">
        <v>9</v>
      </c>
      <c r="C1165" s="8">
        <v>1889</v>
      </c>
      <c r="D1165" s="9">
        <v>45439</v>
      </c>
      <c r="E1165" s="13" t="str">
        <f>+HYPERLINK("http://trademark.i-assist.jp/data/china/image_1889th/77216928.pdf","77216928")</f>
        <v>77216928</v>
      </c>
      <c r="F1165" s="7" t="s">
        <v>3273</v>
      </c>
      <c r="G1165" s="7" t="s">
        <v>3274</v>
      </c>
      <c r="H1165" s="7" t="s">
        <v>3275</v>
      </c>
      <c r="I1165" s="9">
        <v>45362</v>
      </c>
    </row>
    <row r="1166" spans="1:9" x14ac:dyDescent="0.15">
      <c r="A1166" s="6">
        <v>1165</v>
      </c>
      <c r="B1166" s="7" t="s">
        <v>9</v>
      </c>
      <c r="C1166" s="8">
        <v>1889</v>
      </c>
      <c r="D1166" s="9">
        <v>45439</v>
      </c>
      <c r="E1166" s="13" t="str">
        <f>+HYPERLINK("http://trademark.i-assist.jp/data/china/image_1889th/77217085.pdf","77217085")</f>
        <v>77217085</v>
      </c>
      <c r="F1166" s="7" t="s">
        <v>3276</v>
      </c>
      <c r="G1166" s="7" t="s">
        <v>3277</v>
      </c>
      <c r="H1166" s="7" t="s">
        <v>3278</v>
      </c>
      <c r="I1166" s="9">
        <v>45362</v>
      </c>
    </row>
    <row r="1167" spans="1:9" ht="27" x14ac:dyDescent="0.15">
      <c r="A1167" s="6">
        <v>1166</v>
      </c>
      <c r="B1167" s="7" t="s">
        <v>9</v>
      </c>
      <c r="C1167" s="8">
        <v>1889</v>
      </c>
      <c r="D1167" s="9">
        <v>45439</v>
      </c>
      <c r="E1167" s="13" t="str">
        <f>+HYPERLINK("http://trademark.i-assist.jp/data/china/image_1889th/77217147.pdf","77217147")</f>
        <v>77217147</v>
      </c>
      <c r="F1167" s="7" t="s">
        <v>3279</v>
      </c>
      <c r="G1167" s="7" t="s">
        <v>2002</v>
      </c>
      <c r="H1167" s="7" t="s">
        <v>3280</v>
      </c>
      <c r="I1167" s="9">
        <v>45362</v>
      </c>
    </row>
    <row r="1168" spans="1:9" x14ac:dyDescent="0.15">
      <c r="A1168" s="6">
        <v>1167</v>
      </c>
      <c r="B1168" s="7" t="s">
        <v>9</v>
      </c>
      <c r="C1168" s="8">
        <v>1889</v>
      </c>
      <c r="D1168" s="9">
        <v>45439</v>
      </c>
      <c r="E1168" s="13" t="str">
        <f>+HYPERLINK("http://trademark.i-assist.jp/data/china/image_1889th/77217399.pdf","77217399")</f>
        <v>77217399</v>
      </c>
      <c r="F1168" s="7" t="s">
        <v>3281</v>
      </c>
      <c r="G1168" s="7" t="s">
        <v>3282</v>
      </c>
      <c r="H1168" s="7" t="s">
        <v>3283</v>
      </c>
      <c r="I1168" s="9">
        <v>45362</v>
      </c>
    </row>
    <row r="1169" spans="1:9" x14ac:dyDescent="0.15">
      <c r="A1169" s="6">
        <v>1168</v>
      </c>
      <c r="B1169" s="7" t="s">
        <v>9</v>
      </c>
      <c r="C1169" s="8">
        <v>1889</v>
      </c>
      <c r="D1169" s="9">
        <v>45439</v>
      </c>
      <c r="E1169" s="13" t="str">
        <f>+HYPERLINK("http://trademark.i-assist.jp/data/china/image_1889th/77217502.pdf","77217502")</f>
        <v>77217502</v>
      </c>
      <c r="F1169" s="7" t="s">
        <v>3284</v>
      </c>
      <c r="G1169" s="7" t="s">
        <v>3285</v>
      </c>
      <c r="H1169" s="7" t="s">
        <v>3286</v>
      </c>
      <c r="I1169" s="9">
        <v>45362</v>
      </c>
    </row>
    <row r="1170" spans="1:9" x14ac:dyDescent="0.15">
      <c r="A1170" s="6">
        <v>1169</v>
      </c>
      <c r="B1170" s="7" t="s">
        <v>9</v>
      </c>
      <c r="C1170" s="8">
        <v>1889</v>
      </c>
      <c r="D1170" s="9">
        <v>45439</v>
      </c>
      <c r="E1170" s="13" t="str">
        <f>+HYPERLINK("http://trademark.i-assist.jp/data/china/image_1889th/77217576.pdf","77217576")</f>
        <v>77217576</v>
      </c>
      <c r="F1170" s="7" t="s">
        <v>3287</v>
      </c>
      <c r="G1170" s="7" t="s">
        <v>3288</v>
      </c>
      <c r="H1170" s="7" t="s">
        <v>3289</v>
      </c>
      <c r="I1170" s="9">
        <v>45362</v>
      </c>
    </row>
    <row r="1171" spans="1:9" x14ac:dyDescent="0.15">
      <c r="A1171" s="6">
        <v>1170</v>
      </c>
      <c r="B1171" s="7" t="s">
        <v>9</v>
      </c>
      <c r="C1171" s="8">
        <v>1889</v>
      </c>
      <c r="D1171" s="9">
        <v>45439</v>
      </c>
      <c r="E1171" s="13" t="str">
        <f>+HYPERLINK("http://trademark.i-assist.jp/data/china/image_1889th/77217743.pdf","77217743")</f>
        <v>77217743</v>
      </c>
      <c r="F1171" s="7" t="s">
        <v>3290</v>
      </c>
      <c r="G1171" s="7" t="s">
        <v>3291</v>
      </c>
      <c r="H1171" s="7" t="s">
        <v>3292</v>
      </c>
      <c r="I1171" s="9">
        <v>45362</v>
      </c>
    </row>
    <row r="1172" spans="1:9" x14ac:dyDescent="0.15">
      <c r="A1172" s="6">
        <v>1171</v>
      </c>
      <c r="B1172" s="7" t="s">
        <v>9</v>
      </c>
      <c r="C1172" s="8">
        <v>1889</v>
      </c>
      <c r="D1172" s="9">
        <v>45439</v>
      </c>
      <c r="E1172" s="13" t="str">
        <f>+HYPERLINK("http://trademark.i-assist.jp/data/china/image_1889th/77217760.pdf","77217760")</f>
        <v>77217760</v>
      </c>
      <c r="F1172" s="7" t="s">
        <v>3293</v>
      </c>
      <c r="G1172" s="7" t="s">
        <v>3294</v>
      </c>
      <c r="H1172" s="7" t="s">
        <v>3295</v>
      </c>
      <c r="I1172" s="9">
        <v>45362</v>
      </c>
    </row>
    <row r="1173" spans="1:9" ht="27" x14ac:dyDescent="0.15">
      <c r="A1173" s="6">
        <v>1172</v>
      </c>
      <c r="B1173" s="7" t="s">
        <v>9</v>
      </c>
      <c r="C1173" s="8">
        <v>1889</v>
      </c>
      <c r="D1173" s="9">
        <v>45439</v>
      </c>
      <c r="E1173" s="13" t="str">
        <f>+HYPERLINK("http://trademark.i-assist.jp/data/china/image_1889th/77217792.pdf","77217792")</f>
        <v>77217792</v>
      </c>
      <c r="F1173" s="7" t="s">
        <v>3296</v>
      </c>
      <c r="G1173" s="7" t="s">
        <v>3297</v>
      </c>
      <c r="H1173" s="7" t="s">
        <v>3298</v>
      </c>
      <c r="I1173" s="9">
        <v>45362</v>
      </c>
    </row>
    <row r="1174" spans="1:9" x14ac:dyDescent="0.15">
      <c r="A1174" s="6">
        <v>1173</v>
      </c>
      <c r="B1174" s="7" t="s">
        <v>9</v>
      </c>
      <c r="C1174" s="8">
        <v>1889</v>
      </c>
      <c r="D1174" s="9">
        <v>45439</v>
      </c>
      <c r="E1174" s="13" t="str">
        <f>+HYPERLINK("http://trademark.i-assist.jp/data/china/image_1889th/77217843.pdf","77217843")</f>
        <v>77217843</v>
      </c>
      <c r="F1174" s="7" t="s">
        <v>3299</v>
      </c>
      <c r="G1174" s="7" t="s">
        <v>3300</v>
      </c>
      <c r="H1174" s="7" t="s">
        <v>3301</v>
      </c>
      <c r="I1174" s="9">
        <v>45362</v>
      </c>
    </row>
    <row r="1175" spans="1:9" x14ac:dyDescent="0.15">
      <c r="A1175" s="6">
        <v>1174</v>
      </c>
      <c r="B1175" s="7" t="s">
        <v>9</v>
      </c>
      <c r="C1175" s="8">
        <v>1889</v>
      </c>
      <c r="D1175" s="9">
        <v>45439</v>
      </c>
      <c r="E1175" s="13" t="str">
        <f>+HYPERLINK("http://trademark.i-assist.jp/data/china/image_1889th/77217911.pdf","77217911")</f>
        <v>77217911</v>
      </c>
      <c r="F1175" s="7" t="s">
        <v>3302</v>
      </c>
      <c r="G1175" s="7" t="s">
        <v>3303</v>
      </c>
      <c r="H1175" s="7" t="s">
        <v>3304</v>
      </c>
      <c r="I1175" s="9">
        <v>45362</v>
      </c>
    </row>
    <row r="1176" spans="1:9" x14ac:dyDescent="0.15">
      <c r="A1176" s="6">
        <v>1175</v>
      </c>
      <c r="B1176" s="7" t="s">
        <v>9</v>
      </c>
      <c r="C1176" s="8">
        <v>1889</v>
      </c>
      <c r="D1176" s="9">
        <v>45439</v>
      </c>
      <c r="E1176" s="13" t="str">
        <f>+HYPERLINK("http://trademark.i-assist.jp/data/china/image_1889th/77218306.pdf","77218306")</f>
        <v>77218306</v>
      </c>
      <c r="F1176" s="7" t="s">
        <v>3305</v>
      </c>
      <c r="G1176" s="7" t="s">
        <v>3306</v>
      </c>
      <c r="H1176" s="7" t="s">
        <v>3307</v>
      </c>
      <c r="I1176" s="9">
        <v>45362</v>
      </c>
    </row>
    <row r="1177" spans="1:9" x14ac:dyDescent="0.15">
      <c r="A1177" s="6">
        <v>1176</v>
      </c>
      <c r="B1177" s="7" t="s">
        <v>9</v>
      </c>
      <c r="C1177" s="8">
        <v>1889</v>
      </c>
      <c r="D1177" s="9">
        <v>45439</v>
      </c>
      <c r="E1177" s="13" t="str">
        <f>+HYPERLINK("http://trademark.i-assist.jp/data/china/image_1889th/77218377.pdf","77218377")</f>
        <v>77218377</v>
      </c>
      <c r="F1177" s="7" t="s">
        <v>3308</v>
      </c>
      <c r="G1177" s="7" t="s">
        <v>3309</v>
      </c>
      <c r="H1177" s="7" t="s">
        <v>3310</v>
      </c>
      <c r="I1177" s="9">
        <v>45362</v>
      </c>
    </row>
    <row r="1178" spans="1:9" ht="27" x14ac:dyDescent="0.15">
      <c r="A1178" s="6">
        <v>1177</v>
      </c>
      <c r="B1178" s="7" t="s">
        <v>9</v>
      </c>
      <c r="C1178" s="8">
        <v>1889</v>
      </c>
      <c r="D1178" s="9">
        <v>45439</v>
      </c>
      <c r="E1178" s="13" t="str">
        <f>+HYPERLINK("http://trademark.i-assist.jp/data/china/image_1889th/77218455.pdf","77218455")</f>
        <v>77218455</v>
      </c>
      <c r="F1178" s="7" t="s">
        <v>3311</v>
      </c>
      <c r="G1178" s="7" t="s">
        <v>3312</v>
      </c>
      <c r="H1178" s="7" t="s">
        <v>3313</v>
      </c>
      <c r="I1178" s="9">
        <v>45362</v>
      </c>
    </row>
    <row r="1179" spans="1:9" x14ac:dyDescent="0.15">
      <c r="A1179" s="6">
        <v>1178</v>
      </c>
      <c r="B1179" s="7" t="s">
        <v>9</v>
      </c>
      <c r="C1179" s="8">
        <v>1889</v>
      </c>
      <c r="D1179" s="9">
        <v>45439</v>
      </c>
      <c r="E1179" s="13" t="str">
        <f>+HYPERLINK("http://trademark.i-assist.jp/data/china/image_1889th/77218500.pdf","77218500")</f>
        <v>77218500</v>
      </c>
      <c r="F1179" s="7" t="s">
        <v>3314</v>
      </c>
      <c r="G1179" s="7" t="s">
        <v>3315</v>
      </c>
      <c r="H1179" s="7" t="s">
        <v>3316</v>
      </c>
      <c r="I1179" s="9">
        <v>45362</v>
      </c>
    </row>
    <row r="1180" spans="1:9" ht="27" x14ac:dyDescent="0.15">
      <c r="A1180" s="6">
        <v>1179</v>
      </c>
      <c r="B1180" s="7" t="s">
        <v>9</v>
      </c>
      <c r="C1180" s="8">
        <v>1889</v>
      </c>
      <c r="D1180" s="9">
        <v>45439</v>
      </c>
      <c r="E1180" s="13" t="str">
        <f>+HYPERLINK("http://trademark.i-assist.jp/data/china/image_1889th/77218538.pdf","77218538")</f>
        <v>77218538</v>
      </c>
      <c r="F1180" s="7" t="s">
        <v>3317</v>
      </c>
      <c r="G1180" s="7" t="s">
        <v>3318</v>
      </c>
      <c r="H1180" s="7" t="s">
        <v>3319</v>
      </c>
      <c r="I1180" s="9">
        <v>45362</v>
      </c>
    </row>
    <row r="1181" spans="1:9" x14ac:dyDescent="0.15">
      <c r="A1181" s="6">
        <v>1180</v>
      </c>
      <c r="B1181" s="7" t="s">
        <v>9</v>
      </c>
      <c r="C1181" s="8">
        <v>1889</v>
      </c>
      <c r="D1181" s="9">
        <v>45439</v>
      </c>
      <c r="E1181" s="13" t="str">
        <f>+HYPERLINK("http://trademark.i-assist.jp/data/china/image_1889th/77218616.pdf","77218616")</f>
        <v>77218616</v>
      </c>
      <c r="F1181" s="7" t="s">
        <v>3320</v>
      </c>
      <c r="G1181" s="7" t="s">
        <v>3131</v>
      </c>
      <c r="H1181" s="7" t="s">
        <v>3321</v>
      </c>
      <c r="I1181" s="9">
        <v>45362</v>
      </c>
    </row>
    <row r="1182" spans="1:9" x14ac:dyDescent="0.15">
      <c r="A1182" s="6">
        <v>1181</v>
      </c>
      <c r="B1182" s="7" t="s">
        <v>9</v>
      </c>
      <c r="C1182" s="8">
        <v>1889</v>
      </c>
      <c r="D1182" s="9">
        <v>45439</v>
      </c>
      <c r="E1182" s="13" t="str">
        <f>+HYPERLINK("http://trademark.i-assist.jp/data/china/image_1889th/77218684.pdf","77218684")</f>
        <v>77218684</v>
      </c>
      <c r="F1182" s="7" t="s">
        <v>3322</v>
      </c>
      <c r="G1182" s="7" t="s">
        <v>3323</v>
      </c>
      <c r="H1182" s="7" t="s">
        <v>3324</v>
      </c>
      <c r="I1182" s="9">
        <v>45362</v>
      </c>
    </row>
    <row r="1183" spans="1:9" x14ac:dyDescent="0.15">
      <c r="A1183" s="6">
        <v>1182</v>
      </c>
      <c r="B1183" s="7" t="s">
        <v>9</v>
      </c>
      <c r="C1183" s="8">
        <v>1889</v>
      </c>
      <c r="D1183" s="9">
        <v>45439</v>
      </c>
      <c r="E1183" s="13" t="str">
        <f>+HYPERLINK("http://trademark.i-assist.jp/data/china/image_1889th/77218821.pdf","77218821")</f>
        <v>77218821</v>
      </c>
      <c r="F1183" s="7" t="s">
        <v>3325</v>
      </c>
      <c r="G1183" s="7" t="s">
        <v>3326</v>
      </c>
      <c r="H1183" s="7" t="s">
        <v>3327</v>
      </c>
      <c r="I1183" s="9">
        <v>45362</v>
      </c>
    </row>
    <row r="1184" spans="1:9" x14ac:dyDescent="0.15">
      <c r="A1184" s="6">
        <v>1183</v>
      </c>
      <c r="B1184" s="7" t="s">
        <v>9</v>
      </c>
      <c r="C1184" s="8">
        <v>1889</v>
      </c>
      <c r="D1184" s="9">
        <v>45439</v>
      </c>
      <c r="E1184" s="13" t="str">
        <f>+HYPERLINK("http://trademark.i-assist.jp/data/china/image_1889th/77218914.pdf","77218914")</f>
        <v>77218914</v>
      </c>
      <c r="F1184" s="7" t="s">
        <v>3328</v>
      </c>
      <c r="G1184" s="7" t="s">
        <v>3329</v>
      </c>
      <c r="H1184" s="7" t="s">
        <v>3330</v>
      </c>
      <c r="I1184" s="9">
        <v>45362</v>
      </c>
    </row>
    <row r="1185" spans="1:9" ht="27" x14ac:dyDescent="0.15">
      <c r="A1185" s="6">
        <v>1184</v>
      </c>
      <c r="B1185" s="7" t="s">
        <v>9</v>
      </c>
      <c r="C1185" s="8">
        <v>1889</v>
      </c>
      <c r="D1185" s="9">
        <v>45439</v>
      </c>
      <c r="E1185" s="13" t="str">
        <f>+HYPERLINK("http://trademark.i-assist.jp/data/china/image_1889th/77218953.pdf","77218953")</f>
        <v>77218953</v>
      </c>
      <c r="F1185" s="7" t="s">
        <v>3331</v>
      </c>
      <c r="G1185" s="7" t="s">
        <v>3297</v>
      </c>
      <c r="H1185" s="7" t="s">
        <v>3332</v>
      </c>
      <c r="I1185" s="9">
        <v>45362</v>
      </c>
    </row>
    <row r="1186" spans="1:9" x14ac:dyDescent="0.15">
      <c r="A1186" s="6">
        <v>1185</v>
      </c>
      <c r="B1186" s="7" t="s">
        <v>9</v>
      </c>
      <c r="C1186" s="8">
        <v>1889</v>
      </c>
      <c r="D1186" s="9">
        <v>45439</v>
      </c>
      <c r="E1186" s="13" t="str">
        <f>+HYPERLINK("http://trademark.i-assist.jp/data/china/image_1889th/77219240.pdf","77219240")</f>
        <v>77219240</v>
      </c>
      <c r="F1186" s="7" t="s">
        <v>3333</v>
      </c>
      <c r="G1186" s="7" t="s">
        <v>3334</v>
      </c>
      <c r="H1186" s="7" t="s">
        <v>3335</v>
      </c>
      <c r="I1186" s="9">
        <v>45362</v>
      </c>
    </row>
    <row r="1187" spans="1:9" x14ac:dyDescent="0.15">
      <c r="A1187" s="6">
        <v>1186</v>
      </c>
      <c r="B1187" s="7" t="s">
        <v>9</v>
      </c>
      <c r="C1187" s="8">
        <v>1889</v>
      </c>
      <c r="D1187" s="9">
        <v>45439</v>
      </c>
      <c r="E1187" s="13" t="str">
        <f>+HYPERLINK("http://trademark.i-assist.jp/data/china/image_1889th/77219327.pdf","77219327")</f>
        <v>77219327</v>
      </c>
      <c r="F1187" s="7" t="s">
        <v>3336</v>
      </c>
      <c r="G1187" s="7" t="s">
        <v>3337</v>
      </c>
      <c r="H1187" s="7" t="s">
        <v>3338</v>
      </c>
      <c r="I1187" s="9">
        <v>45362</v>
      </c>
    </row>
    <row r="1188" spans="1:9" x14ac:dyDescent="0.15">
      <c r="A1188" s="6">
        <v>1187</v>
      </c>
      <c r="B1188" s="7" t="s">
        <v>9</v>
      </c>
      <c r="C1188" s="8">
        <v>1889</v>
      </c>
      <c r="D1188" s="9">
        <v>45439</v>
      </c>
      <c r="E1188" s="13" t="str">
        <f>+HYPERLINK("http://trademark.i-assist.jp/data/china/image_1889th/77219343.pdf","77219343")</f>
        <v>77219343</v>
      </c>
      <c r="F1188" s="7" t="s">
        <v>3339</v>
      </c>
      <c r="G1188" s="7" t="s">
        <v>3340</v>
      </c>
      <c r="H1188" s="7" t="s">
        <v>3341</v>
      </c>
      <c r="I1188" s="9">
        <v>45362</v>
      </c>
    </row>
    <row r="1189" spans="1:9" x14ac:dyDescent="0.15">
      <c r="A1189" s="6">
        <v>1188</v>
      </c>
      <c r="B1189" s="7" t="s">
        <v>9</v>
      </c>
      <c r="C1189" s="8">
        <v>1889</v>
      </c>
      <c r="D1189" s="9">
        <v>45439</v>
      </c>
      <c r="E1189" s="13" t="str">
        <f>+HYPERLINK("http://trademark.i-assist.jp/data/china/image_1889th/77219535.pdf","77219535")</f>
        <v>77219535</v>
      </c>
      <c r="F1189" s="7" t="s">
        <v>3342</v>
      </c>
      <c r="G1189" s="7" t="s">
        <v>3343</v>
      </c>
      <c r="H1189" s="7" t="s">
        <v>3344</v>
      </c>
      <c r="I1189" s="9">
        <v>45362</v>
      </c>
    </row>
    <row r="1190" spans="1:9" x14ac:dyDescent="0.15">
      <c r="A1190" s="6">
        <v>1189</v>
      </c>
      <c r="B1190" s="7" t="s">
        <v>9</v>
      </c>
      <c r="C1190" s="8">
        <v>1889</v>
      </c>
      <c r="D1190" s="9">
        <v>45439</v>
      </c>
      <c r="E1190" s="13" t="str">
        <f>+HYPERLINK("http://trademark.i-assist.jp/data/china/image_1889th/77219569.pdf","77219569")</f>
        <v>77219569</v>
      </c>
      <c r="F1190" s="7" t="s">
        <v>3345</v>
      </c>
      <c r="G1190" s="7" t="s">
        <v>3346</v>
      </c>
      <c r="H1190" s="7" t="s">
        <v>3347</v>
      </c>
      <c r="I1190" s="9">
        <v>45362</v>
      </c>
    </row>
    <row r="1191" spans="1:9" ht="27" x14ac:dyDescent="0.15">
      <c r="A1191" s="6">
        <v>1190</v>
      </c>
      <c r="B1191" s="7" t="s">
        <v>9</v>
      </c>
      <c r="C1191" s="8">
        <v>1889</v>
      </c>
      <c r="D1191" s="9">
        <v>45439</v>
      </c>
      <c r="E1191" s="13" t="str">
        <f>+HYPERLINK("http://trademark.i-assist.jp/data/china/image_1889th/77219572.pdf","77219572")</f>
        <v>77219572</v>
      </c>
      <c r="F1191" s="7" t="s">
        <v>134</v>
      </c>
      <c r="G1191" s="7" t="s">
        <v>3348</v>
      </c>
      <c r="H1191" s="7" t="s">
        <v>3349</v>
      </c>
      <c r="I1191" s="9">
        <v>45362</v>
      </c>
    </row>
    <row r="1192" spans="1:9" x14ac:dyDescent="0.15">
      <c r="A1192" s="6">
        <v>1191</v>
      </c>
      <c r="B1192" s="7" t="s">
        <v>9</v>
      </c>
      <c r="C1192" s="8">
        <v>1889</v>
      </c>
      <c r="D1192" s="9">
        <v>45439</v>
      </c>
      <c r="E1192" s="13" t="str">
        <f>+HYPERLINK("http://trademark.i-assist.jp/data/china/image_1889th/77219692.pdf","77219692")</f>
        <v>77219692</v>
      </c>
      <c r="F1192" s="7" t="s">
        <v>3350</v>
      </c>
      <c r="G1192" s="7" t="s">
        <v>3351</v>
      </c>
      <c r="H1192" s="7" t="s">
        <v>3352</v>
      </c>
      <c r="I1192" s="9">
        <v>45362</v>
      </c>
    </row>
    <row r="1193" spans="1:9" ht="27" x14ac:dyDescent="0.15">
      <c r="A1193" s="6">
        <v>1192</v>
      </c>
      <c r="B1193" s="7" t="s">
        <v>9</v>
      </c>
      <c r="C1193" s="8">
        <v>1889</v>
      </c>
      <c r="D1193" s="9">
        <v>45439</v>
      </c>
      <c r="E1193" s="13" t="str">
        <f>+HYPERLINK("http://trademark.i-assist.jp/data/china/image_1889th/77219855.pdf","77219855")</f>
        <v>77219855</v>
      </c>
      <c r="F1193" s="7" t="s">
        <v>3353</v>
      </c>
      <c r="G1193" s="7" t="s">
        <v>3354</v>
      </c>
      <c r="H1193" s="7" t="s">
        <v>3355</v>
      </c>
      <c r="I1193" s="9">
        <v>45362</v>
      </c>
    </row>
    <row r="1194" spans="1:9" ht="27" x14ac:dyDescent="0.15">
      <c r="A1194" s="6">
        <v>1193</v>
      </c>
      <c r="B1194" s="7" t="s">
        <v>9</v>
      </c>
      <c r="C1194" s="8">
        <v>1889</v>
      </c>
      <c r="D1194" s="9">
        <v>45439</v>
      </c>
      <c r="E1194" s="13" t="str">
        <f>+HYPERLINK("http://trademark.i-assist.jp/data/china/image_1889th/77219942.pdf","77219942")</f>
        <v>77219942</v>
      </c>
      <c r="F1194" s="7" t="s">
        <v>3356</v>
      </c>
      <c r="G1194" s="7" t="s">
        <v>3357</v>
      </c>
      <c r="H1194" s="7" t="s">
        <v>3358</v>
      </c>
      <c r="I1194" s="9">
        <v>45362</v>
      </c>
    </row>
    <row r="1195" spans="1:9" x14ac:dyDescent="0.15">
      <c r="A1195" s="6">
        <v>1194</v>
      </c>
      <c r="B1195" s="7" t="s">
        <v>9</v>
      </c>
      <c r="C1195" s="8">
        <v>1889</v>
      </c>
      <c r="D1195" s="9">
        <v>45439</v>
      </c>
      <c r="E1195" s="13" t="str">
        <f>+HYPERLINK("http://trademark.i-assist.jp/data/china/image_1889th/77219978.pdf","77219978")</f>
        <v>77219978</v>
      </c>
      <c r="F1195" s="7" t="s">
        <v>3359</v>
      </c>
      <c r="G1195" s="7" t="s">
        <v>3360</v>
      </c>
      <c r="H1195" s="7" t="s">
        <v>3361</v>
      </c>
      <c r="I1195" s="9">
        <v>45362</v>
      </c>
    </row>
    <row r="1196" spans="1:9" x14ac:dyDescent="0.15">
      <c r="A1196" s="6">
        <v>1195</v>
      </c>
      <c r="B1196" s="7" t="s">
        <v>9</v>
      </c>
      <c r="C1196" s="8">
        <v>1889</v>
      </c>
      <c r="D1196" s="9">
        <v>45439</v>
      </c>
      <c r="E1196" s="13" t="str">
        <f>+HYPERLINK("http://trademark.i-assist.jp/data/china/image_1889th/77220342.pdf","77220342")</f>
        <v>77220342</v>
      </c>
      <c r="F1196" s="7" t="s">
        <v>3362</v>
      </c>
      <c r="G1196" s="7" t="s">
        <v>3363</v>
      </c>
      <c r="H1196" s="7" t="s">
        <v>3364</v>
      </c>
      <c r="I1196" s="9">
        <v>45362</v>
      </c>
    </row>
    <row r="1197" spans="1:9" x14ac:dyDescent="0.15">
      <c r="A1197" s="6">
        <v>1196</v>
      </c>
      <c r="B1197" s="7" t="s">
        <v>9</v>
      </c>
      <c r="C1197" s="8">
        <v>1889</v>
      </c>
      <c r="D1197" s="9">
        <v>45439</v>
      </c>
      <c r="E1197" s="13" t="str">
        <f>+HYPERLINK("http://trademark.i-assist.jp/data/china/image_1889th/77220430.pdf","77220430")</f>
        <v>77220430</v>
      </c>
      <c r="F1197" s="7" t="s">
        <v>3365</v>
      </c>
      <c r="G1197" s="7" t="s">
        <v>3366</v>
      </c>
      <c r="H1197" s="7" t="s">
        <v>3367</v>
      </c>
      <c r="I1197" s="9">
        <v>45362</v>
      </c>
    </row>
    <row r="1198" spans="1:9" x14ac:dyDescent="0.15">
      <c r="A1198" s="6">
        <v>1197</v>
      </c>
      <c r="B1198" s="7" t="s">
        <v>9</v>
      </c>
      <c r="C1198" s="8">
        <v>1889</v>
      </c>
      <c r="D1198" s="9">
        <v>45439</v>
      </c>
      <c r="E1198" s="13" t="str">
        <f>+HYPERLINK("http://trademark.i-assist.jp/data/china/image_1889th/77220438.pdf","77220438")</f>
        <v>77220438</v>
      </c>
      <c r="F1198" s="7" t="s">
        <v>3368</v>
      </c>
      <c r="G1198" s="7" t="s">
        <v>3369</v>
      </c>
      <c r="H1198" s="7" t="s">
        <v>3370</v>
      </c>
      <c r="I1198" s="9">
        <v>45362</v>
      </c>
    </row>
    <row r="1199" spans="1:9" ht="27" x14ac:dyDescent="0.15">
      <c r="A1199" s="6">
        <v>1198</v>
      </c>
      <c r="B1199" s="7" t="s">
        <v>9</v>
      </c>
      <c r="C1199" s="8">
        <v>1889</v>
      </c>
      <c r="D1199" s="9">
        <v>45439</v>
      </c>
      <c r="E1199" s="13" t="str">
        <f>+HYPERLINK("http://trademark.i-assist.jp/data/china/image_1889th/77220450.pdf","77220450")</f>
        <v>77220450</v>
      </c>
      <c r="F1199" s="7" t="s">
        <v>3371</v>
      </c>
      <c r="G1199" s="7" t="s">
        <v>3372</v>
      </c>
      <c r="H1199" s="7" t="s">
        <v>3373</v>
      </c>
      <c r="I1199" s="9">
        <v>45362</v>
      </c>
    </row>
    <row r="1200" spans="1:9" x14ac:dyDescent="0.15">
      <c r="A1200" s="6">
        <v>1199</v>
      </c>
      <c r="B1200" s="7" t="s">
        <v>9</v>
      </c>
      <c r="C1200" s="8">
        <v>1889</v>
      </c>
      <c r="D1200" s="9">
        <v>45439</v>
      </c>
      <c r="E1200" s="13" t="str">
        <f>+HYPERLINK("http://trademark.i-assist.jp/data/china/image_1889th/77220583.pdf","77220583")</f>
        <v>77220583</v>
      </c>
      <c r="F1200" s="7" t="s">
        <v>3374</v>
      </c>
      <c r="G1200" s="7" t="s">
        <v>3375</v>
      </c>
      <c r="H1200" s="7" t="s">
        <v>3376</v>
      </c>
      <c r="I1200" s="9">
        <v>45362</v>
      </c>
    </row>
    <row r="1201" spans="1:9" x14ac:dyDescent="0.15">
      <c r="A1201" s="6">
        <v>1200</v>
      </c>
      <c r="B1201" s="7" t="s">
        <v>9</v>
      </c>
      <c r="C1201" s="8">
        <v>1889</v>
      </c>
      <c r="D1201" s="9">
        <v>45439</v>
      </c>
      <c r="E1201" s="13" t="str">
        <f>+HYPERLINK("http://trademark.i-assist.jp/data/china/image_1889th/77220623.pdf","77220623")</f>
        <v>77220623</v>
      </c>
      <c r="F1201" s="7" t="s">
        <v>3377</v>
      </c>
      <c r="G1201" s="7" t="s">
        <v>3378</v>
      </c>
      <c r="H1201" s="7" t="s">
        <v>3379</v>
      </c>
      <c r="I1201" s="9">
        <v>45362</v>
      </c>
    </row>
    <row r="1202" spans="1:9" x14ac:dyDescent="0.15">
      <c r="A1202" s="6">
        <v>1201</v>
      </c>
      <c r="B1202" s="7" t="s">
        <v>9</v>
      </c>
      <c r="C1202" s="8">
        <v>1889</v>
      </c>
      <c r="D1202" s="9">
        <v>45439</v>
      </c>
      <c r="E1202" s="13" t="str">
        <f>+HYPERLINK("http://trademark.i-assist.jp/data/china/image_1889th/77221147.pdf","77221147")</f>
        <v>77221147</v>
      </c>
      <c r="F1202" s="7" t="s">
        <v>3380</v>
      </c>
      <c r="G1202" s="7" t="s">
        <v>3123</v>
      </c>
      <c r="H1202" s="7" t="s">
        <v>3381</v>
      </c>
      <c r="I1202" s="9">
        <v>45362</v>
      </c>
    </row>
    <row r="1203" spans="1:9" x14ac:dyDescent="0.15">
      <c r="A1203" s="6">
        <v>1202</v>
      </c>
      <c r="B1203" s="7" t="s">
        <v>9</v>
      </c>
      <c r="C1203" s="8">
        <v>1889</v>
      </c>
      <c r="D1203" s="9">
        <v>45439</v>
      </c>
      <c r="E1203" s="13" t="str">
        <f>+HYPERLINK("http://trademark.i-assist.jp/data/china/image_1889th/77221153.pdf","77221153")</f>
        <v>77221153</v>
      </c>
      <c r="F1203" s="7" t="s">
        <v>3382</v>
      </c>
      <c r="G1203" s="7" t="s">
        <v>3383</v>
      </c>
      <c r="H1203" s="7" t="s">
        <v>3384</v>
      </c>
      <c r="I1203" s="9">
        <v>45362</v>
      </c>
    </row>
    <row r="1204" spans="1:9" x14ac:dyDescent="0.15">
      <c r="A1204" s="6">
        <v>1203</v>
      </c>
      <c r="B1204" s="7" t="s">
        <v>9</v>
      </c>
      <c r="C1204" s="8">
        <v>1889</v>
      </c>
      <c r="D1204" s="9">
        <v>45439</v>
      </c>
      <c r="E1204" s="13" t="str">
        <f>+HYPERLINK("http://trademark.i-assist.jp/data/china/image_1889th/77221517.pdf","77221517")</f>
        <v>77221517</v>
      </c>
      <c r="F1204" s="7" t="s">
        <v>3385</v>
      </c>
      <c r="G1204" s="7" t="s">
        <v>3386</v>
      </c>
      <c r="H1204" s="7" t="s">
        <v>3387</v>
      </c>
      <c r="I1204" s="9">
        <v>45362</v>
      </c>
    </row>
    <row r="1205" spans="1:9" ht="27" x14ac:dyDescent="0.15">
      <c r="A1205" s="6">
        <v>1204</v>
      </c>
      <c r="B1205" s="7" t="s">
        <v>9</v>
      </c>
      <c r="C1205" s="8">
        <v>1889</v>
      </c>
      <c r="D1205" s="9">
        <v>45439</v>
      </c>
      <c r="E1205" s="13" t="str">
        <f>+HYPERLINK("http://trademark.i-assist.jp/data/china/image_1889th/77221703.pdf","77221703")</f>
        <v>77221703</v>
      </c>
      <c r="F1205" s="7" t="s">
        <v>3388</v>
      </c>
      <c r="G1205" s="7" t="s">
        <v>3389</v>
      </c>
      <c r="H1205" s="7" t="s">
        <v>3390</v>
      </c>
      <c r="I1205" s="9">
        <v>45362</v>
      </c>
    </row>
    <row r="1206" spans="1:9" x14ac:dyDescent="0.15">
      <c r="A1206" s="6">
        <v>1205</v>
      </c>
      <c r="B1206" s="7" t="s">
        <v>9</v>
      </c>
      <c r="C1206" s="8">
        <v>1889</v>
      </c>
      <c r="D1206" s="9">
        <v>45439</v>
      </c>
      <c r="E1206" s="13" t="str">
        <f>+HYPERLINK("http://trademark.i-assist.jp/data/china/image_1889th/77221710.pdf","77221710")</f>
        <v>77221710</v>
      </c>
      <c r="F1206" s="7" t="s">
        <v>3391</v>
      </c>
      <c r="G1206" s="7" t="s">
        <v>3392</v>
      </c>
      <c r="H1206" s="7" t="s">
        <v>3393</v>
      </c>
      <c r="I1206" s="9">
        <v>45362</v>
      </c>
    </row>
    <row r="1207" spans="1:9" x14ac:dyDescent="0.15">
      <c r="A1207" s="6">
        <v>1206</v>
      </c>
      <c r="B1207" s="7" t="s">
        <v>9</v>
      </c>
      <c r="C1207" s="8">
        <v>1889</v>
      </c>
      <c r="D1207" s="9">
        <v>45439</v>
      </c>
      <c r="E1207" s="13" t="str">
        <f>+HYPERLINK("http://trademark.i-assist.jp/data/china/image_1889th/77222277.pdf","77222277")</f>
        <v>77222277</v>
      </c>
      <c r="F1207" s="7" t="s">
        <v>3394</v>
      </c>
      <c r="G1207" s="7" t="s">
        <v>3395</v>
      </c>
      <c r="H1207" s="7" t="s">
        <v>3396</v>
      </c>
      <c r="I1207" s="9">
        <v>45362</v>
      </c>
    </row>
    <row r="1208" spans="1:9" ht="27" x14ac:dyDescent="0.15">
      <c r="A1208" s="6">
        <v>1207</v>
      </c>
      <c r="B1208" s="7" t="s">
        <v>9</v>
      </c>
      <c r="C1208" s="8">
        <v>1889</v>
      </c>
      <c r="D1208" s="9">
        <v>45439</v>
      </c>
      <c r="E1208" s="13" t="str">
        <f>+HYPERLINK("http://trademark.i-assist.jp/data/china/image_1889th/77222280.pdf","77222280")</f>
        <v>77222280</v>
      </c>
      <c r="F1208" s="7" t="s">
        <v>3397</v>
      </c>
      <c r="G1208" s="7" t="s">
        <v>3398</v>
      </c>
      <c r="H1208" s="7" t="s">
        <v>3399</v>
      </c>
      <c r="I1208" s="9">
        <v>45362</v>
      </c>
    </row>
    <row r="1209" spans="1:9" ht="27" x14ac:dyDescent="0.15">
      <c r="A1209" s="6">
        <v>1208</v>
      </c>
      <c r="B1209" s="7" t="s">
        <v>9</v>
      </c>
      <c r="C1209" s="8">
        <v>1889</v>
      </c>
      <c r="D1209" s="9">
        <v>45439</v>
      </c>
      <c r="E1209" s="13" t="str">
        <f>+HYPERLINK("http://trademark.i-assist.jp/data/china/image_1889th/77222376.pdf","77222376")</f>
        <v>77222376</v>
      </c>
      <c r="F1209" s="7" t="s">
        <v>3400</v>
      </c>
      <c r="G1209" s="7" t="s">
        <v>3401</v>
      </c>
      <c r="H1209" s="7" t="s">
        <v>3402</v>
      </c>
      <c r="I1209" s="9">
        <v>45362</v>
      </c>
    </row>
    <row r="1210" spans="1:9" x14ac:dyDescent="0.15">
      <c r="A1210" s="6">
        <v>1209</v>
      </c>
      <c r="B1210" s="7" t="s">
        <v>9</v>
      </c>
      <c r="C1210" s="8">
        <v>1889</v>
      </c>
      <c r="D1210" s="9">
        <v>45439</v>
      </c>
      <c r="E1210" s="13" t="str">
        <f>+HYPERLINK("http://trademark.i-assist.jp/data/china/image_1889th/77222499.pdf","77222499")</f>
        <v>77222499</v>
      </c>
      <c r="F1210" s="7" t="s">
        <v>3403</v>
      </c>
      <c r="G1210" s="7" t="s">
        <v>3404</v>
      </c>
      <c r="H1210" s="7" t="s">
        <v>3405</v>
      </c>
      <c r="I1210" s="9">
        <v>45362</v>
      </c>
    </row>
    <row r="1211" spans="1:9" x14ac:dyDescent="0.15">
      <c r="A1211" s="6">
        <v>1210</v>
      </c>
      <c r="B1211" s="7" t="s">
        <v>9</v>
      </c>
      <c r="C1211" s="8">
        <v>1889</v>
      </c>
      <c r="D1211" s="9">
        <v>45439</v>
      </c>
      <c r="E1211" s="13" t="str">
        <f>+HYPERLINK("http://trademark.i-assist.jp/data/china/image_1889th/77222942.pdf","77222942")</f>
        <v>77222942</v>
      </c>
      <c r="F1211" s="7" t="s">
        <v>3406</v>
      </c>
      <c r="G1211" s="7" t="s">
        <v>3407</v>
      </c>
      <c r="H1211" s="7" t="s">
        <v>3408</v>
      </c>
      <c r="I1211" s="9">
        <v>45362</v>
      </c>
    </row>
    <row r="1212" spans="1:9" x14ac:dyDescent="0.15">
      <c r="A1212" s="6">
        <v>1211</v>
      </c>
      <c r="B1212" s="7" t="s">
        <v>9</v>
      </c>
      <c r="C1212" s="8">
        <v>1889</v>
      </c>
      <c r="D1212" s="9">
        <v>45439</v>
      </c>
      <c r="E1212" s="13" t="str">
        <f>+HYPERLINK("http://trademark.i-assist.jp/data/china/image_1889th/77222959.pdf","77222959")</f>
        <v>77222959</v>
      </c>
      <c r="F1212" s="7" t="s">
        <v>3409</v>
      </c>
      <c r="G1212" s="7" t="s">
        <v>3410</v>
      </c>
      <c r="H1212" s="7" t="s">
        <v>3411</v>
      </c>
      <c r="I1212" s="9">
        <v>45362</v>
      </c>
    </row>
    <row r="1213" spans="1:9" x14ac:dyDescent="0.15">
      <c r="A1213" s="6">
        <v>1212</v>
      </c>
      <c r="B1213" s="7" t="s">
        <v>9</v>
      </c>
      <c r="C1213" s="8">
        <v>1889</v>
      </c>
      <c r="D1213" s="9">
        <v>45439</v>
      </c>
      <c r="E1213" s="13" t="str">
        <f>+HYPERLINK("http://trademark.i-assist.jp/data/china/image_1889th/77223505.pdf","77223505")</f>
        <v>77223505</v>
      </c>
      <c r="F1213" s="7" t="s">
        <v>3412</v>
      </c>
      <c r="G1213" s="7" t="s">
        <v>3413</v>
      </c>
      <c r="H1213" s="7" t="s">
        <v>3414</v>
      </c>
      <c r="I1213" s="9">
        <v>45362</v>
      </c>
    </row>
    <row r="1214" spans="1:9" x14ac:dyDescent="0.15">
      <c r="A1214" s="6">
        <v>1213</v>
      </c>
      <c r="B1214" s="7" t="s">
        <v>9</v>
      </c>
      <c r="C1214" s="8">
        <v>1889</v>
      </c>
      <c r="D1214" s="9">
        <v>45439</v>
      </c>
      <c r="E1214" s="13" t="str">
        <f>+HYPERLINK("http://trademark.i-assist.jp/data/china/image_1889th/77223521.pdf","77223521")</f>
        <v>77223521</v>
      </c>
      <c r="F1214" s="7" t="s">
        <v>3415</v>
      </c>
      <c r="G1214" s="7" t="s">
        <v>3416</v>
      </c>
      <c r="H1214" s="7" t="s">
        <v>3417</v>
      </c>
      <c r="I1214" s="9">
        <v>45362</v>
      </c>
    </row>
    <row r="1215" spans="1:9" x14ac:dyDescent="0.15">
      <c r="A1215" s="6">
        <v>1214</v>
      </c>
      <c r="B1215" s="7" t="s">
        <v>9</v>
      </c>
      <c r="C1215" s="8">
        <v>1889</v>
      </c>
      <c r="D1215" s="9">
        <v>45439</v>
      </c>
      <c r="E1215" s="13" t="str">
        <f>+HYPERLINK("http://trademark.i-assist.jp/data/china/image_1889th/77223815.pdf","77223815")</f>
        <v>77223815</v>
      </c>
      <c r="F1215" s="7" t="s">
        <v>134</v>
      </c>
      <c r="G1215" s="7" t="s">
        <v>3418</v>
      </c>
      <c r="H1215" s="7" t="s">
        <v>3419</v>
      </c>
      <c r="I1215" s="9">
        <v>45362</v>
      </c>
    </row>
    <row r="1216" spans="1:9" x14ac:dyDescent="0.15">
      <c r="A1216" s="6">
        <v>1215</v>
      </c>
      <c r="B1216" s="7" t="s">
        <v>9</v>
      </c>
      <c r="C1216" s="8">
        <v>1889</v>
      </c>
      <c r="D1216" s="9">
        <v>45439</v>
      </c>
      <c r="E1216" s="13" t="str">
        <f>+HYPERLINK("http://trademark.i-assist.jp/data/china/image_1889th/77223871.pdf","77223871")</f>
        <v>77223871</v>
      </c>
      <c r="F1216" s="7" t="s">
        <v>3420</v>
      </c>
      <c r="G1216" s="7" t="s">
        <v>3421</v>
      </c>
      <c r="H1216" s="7" t="s">
        <v>3422</v>
      </c>
      <c r="I1216" s="9">
        <v>45362</v>
      </c>
    </row>
    <row r="1217" spans="1:9" x14ac:dyDescent="0.15">
      <c r="A1217" s="6">
        <v>1216</v>
      </c>
      <c r="B1217" s="7" t="s">
        <v>9</v>
      </c>
      <c r="C1217" s="8">
        <v>1889</v>
      </c>
      <c r="D1217" s="9">
        <v>45439</v>
      </c>
      <c r="E1217" s="13" t="str">
        <f>+HYPERLINK("http://trademark.i-assist.jp/data/china/image_1889th/77223988.pdf","77223988")</f>
        <v>77223988</v>
      </c>
      <c r="F1217" s="7" t="s">
        <v>3423</v>
      </c>
      <c r="G1217" s="7" t="s">
        <v>3424</v>
      </c>
      <c r="H1217" s="7" t="s">
        <v>3425</v>
      </c>
      <c r="I1217" s="9">
        <v>45362</v>
      </c>
    </row>
    <row r="1218" spans="1:9" x14ac:dyDescent="0.15">
      <c r="A1218" s="6">
        <v>1217</v>
      </c>
      <c r="B1218" s="7" t="s">
        <v>9</v>
      </c>
      <c r="C1218" s="8">
        <v>1889</v>
      </c>
      <c r="D1218" s="9">
        <v>45439</v>
      </c>
      <c r="E1218" s="13" t="str">
        <f>+HYPERLINK("http://trademark.i-assist.jp/data/china/image_1889th/77224058.pdf","77224058")</f>
        <v>77224058</v>
      </c>
      <c r="F1218" s="7" t="s">
        <v>3426</v>
      </c>
      <c r="G1218" s="7" t="s">
        <v>3427</v>
      </c>
      <c r="H1218" s="7" t="s">
        <v>3428</v>
      </c>
      <c r="I1218" s="9">
        <v>45362</v>
      </c>
    </row>
    <row r="1219" spans="1:9" x14ac:dyDescent="0.15">
      <c r="A1219" s="6">
        <v>1218</v>
      </c>
      <c r="B1219" s="7" t="s">
        <v>9</v>
      </c>
      <c r="C1219" s="8">
        <v>1889</v>
      </c>
      <c r="D1219" s="9">
        <v>45439</v>
      </c>
      <c r="E1219" s="13" t="str">
        <f>+HYPERLINK("http://trademark.i-assist.jp/data/china/image_1889th/77224109.pdf","77224109")</f>
        <v>77224109</v>
      </c>
      <c r="F1219" s="7" t="s">
        <v>3429</v>
      </c>
      <c r="G1219" s="7" t="s">
        <v>3430</v>
      </c>
      <c r="H1219" s="7" t="s">
        <v>3431</v>
      </c>
      <c r="I1219" s="9">
        <v>45362</v>
      </c>
    </row>
    <row r="1220" spans="1:9" x14ac:dyDescent="0.15">
      <c r="A1220" s="6">
        <v>1219</v>
      </c>
      <c r="B1220" s="7" t="s">
        <v>9</v>
      </c>
      <c r="C1220" s="8">
        <v>1889</v>
      </c>
      <c r="D1220" s="9">
        <v>45439</v>
      </c>
      <c r="E1220" s="13" t="str">
        <f>+HYPERLINK("http://trademark.i-assist.jp/data/china/image_1889th/77224317.pdf","77224317")</f>
        <v>77224317</v>
      </c>
      <c r="F1220" s="7" t="s">
        <v>3432</v>
      </c>
      <c r="G1220" s="7" t="s">
        <v>3433</v>
      </c>
      <c r="H1220" s="7" t="s">
        <v>3434</v>
      </c>
      <c r="I1220" s="9">
        <v>45362</v>
      </c>
    </row>
    <row r="1221" spans="1:9" x14ac:dyDescent="0.15">
      <c r="A1221" s="6">
        <v>1220</v>
      </c>
      <c r="B1221" s="7" t="s">
        <v>9</v>
      </c>
      <c r="C1221" s="8">
        <v>1889</v>
      </c>
      <c r="D1221" s="9">
        <v>45439</v>
      </c>
      <c r="E1221" s="13" t="str">
        <f>+HYPERLINK("http://trademark.i-assist.jp/data/china/image_1889th/77224431.pdf","77224431")</f>
        <v>77224431</v>
      </c>
      <c r="F1221" s="7" t="s">
        <v>3435</v>
      </c>
      <c r="G1221" s="7" t="s">
        <v>3436</v>
      </c>
      <c r="H1221" s="7" t="s">
        <v>3437</v>
      </c>
      <c r="I1221" s="9">
        <v>45362</v>
      </c>
    </row>
    <row r="1222" spans="1:9" ht="27" x14ac:dyDescent="0.15">
      <c r="A1222" s="6">
        <v>1221</v>
      </c>
      <c r="B1222" s="7" t="s">
        <v>9</v>
      </c>
      <c r="C1222" s="8">
        <v>1889</v>
      </c>
      <c r="D1222" s="9">
        <v>45439</v>
      </c>
      <c r="E1222" s="13" t="str">
        <f>+HYPERLINK("http://trademark.i-assist.jp/data/china/image_1889th/77224453.pdf","77224453")</f>
        <v>77224453</v>
      </c>
      <c r="F1222" s="7" t="s">
        <v>3438</v>
      </c>
      <c r="G1222" s="7" t="s">
        <v>3439</v>
      </c>
      <c r="H1222" s="7" t="s">
        <v>3440</v>
      </c>
      <c r="I1222" s="9">
        <v>45362</v>
      </c>
    </row>
    <row r="1223" spans="1:9" ht="27" x14ac:dyDescent="0.15">
      <c r="A1223" s="6">
        <v>1222</v>
      </c>
      <c r="B1223" s="7" t="s">
        <v>9</v>
      </c>
      <c r="C1223" s="8">
        <v>1889</v>
      </c>
      <c r="D1223" s="9">
        <v>45439</v>
      </c>
      <c r="E1223" s="13" t="str">
        <f>+HYPERLINK("http://trademark.i-assist.jp/data/china/image_1889th/77224659.pdf","77224659")</f>
        <v>77224659</v>
      </c>
      <c r="F1223" s="7" t="s">
        <v>3441</v>
      </c>
      <c r="G1223" s="7" t="s">
        <v>3442</v>
      </c>
      <c r="H1223" s="7" t="s">
        <v>3443</v>
      </c>
      <c r="I1223" s="9">
        <v>45362</v>
      </c>
    </row>
    <row r="1224" spans="1:9" ht="27" x14ac:dyDescent="0.15">
      <c r="A1224" s="6">
        <v>1223</v>
      </c>
      <c r="B1224" s="7" t="s">
        <v>9</v>
      </c>
      <c r="C1224" s="8">
        <v>1889</v>
      </c>
      <c r="D1224" s="9">
        <v>45439</v>
      </c>
      <c r="E1224" s="13" t="str">
        <f>+HYPERLINK("http://trademark.i-assist.jp/data/china/image_1889th/77224677.pdf","77224677")</f>
        <v>77224677</v>
      </c>
      <c r="F1224" s="7" t="s">
        <v>3444</v>
      </c>
      <c r="G1224" s="7" t="s">
        <v>2002</v>
      </c>
      <c r="H1224" s="7" t="s">
        <v>3445</v>
      </c>
      <c r="I1224" s="9">
        <v>45362</v>
      </c>
    </row>
    <row r="1225" spans="1:9" x14ac:dyDescent="0.15">
      <c r="A1225" s="6">
        <v>1224</v>
      </c>
      <c r="B1225" s="7" t="s">
        <v>9</v>
      </c>
      <c r="C1225" s="8">
        <v>1889</v>
      </c>
      <c r="D1225" s="9">
        <v>45439</v>
      </c>
      <c r="E1225" s="13" t="str">
        <f>+HYPERLINK("http://trademark.i-assist.jp/data/china/image_1889th/77224739.pdf","77224739")</f>
        <v>77224739</v>
      </c>
      <c r="F1225" s="7" t="s">
        <v>3446</v>
      </c>
      <c r="G1225" s="7" t="s">
        <v>3216</v>
      </c>
      <c r="H1225" s="7" t="s">
        <v>3447</v>
      </c>
      <c r="I1225" s="9">
        <v>45362</v>
      </c>
    </row>
    <row r="1226" spans="1:9" x14ac:dyDescent="0.15">
      <c r="A1226" s="6">
        <v>1225</v>
      </c>
      <c r="B1226" s="7" t="s">
        <v>9</v>
      </c>
      <c r="C1226" s="8">
        <v>1889</v>
      </c>
      <c r="D1226" s="9">
        <v>45439</v>
      </c>
      <c r="E1226" s="13" t="str">
        <f>+HYPERLINK("http://trademark.i-assist.jp/data/china/image_1889th/77224858.pdf","77224858")</f>
        <v>77224858</v>
      </c>
      <c r="F1226" s="7" t="s">
        <v>3448</v>
      </c>
      <c r="G1226" s="7" t="s">
        <v>1653</v>
      </c>
      <c r="H1226" s="7" t="s">
        <v>3449</v>
      </c>
      <c r="I1226" s="9">
        <v>45362</v>
      </c>
    </row>
    <row r="1227" spans="1:9" x14ac:dyDescent="0.15">
      <c r="A1227" s="6">
        <v>1226</v>
      </c>
      <c r="B1227" s="7" t="s">
        <v>9</v>
      </c>
      <c r="C1227" s="8">
        <v>1889</v>
      </c>
      <c r="D1227" s="9">
        <v>45439</v>
      </c>
      <c r="E1227" s="13" t="str">
        <f>+HYPERLINK("http://trademark.i-assist.jp/data/china/image_1889th/77224873.pdf","77224873")</f>
        <v>77224873</v>
      </c>
      <c r="F1227" s="7" t="s">
        <v>3450</v>
      </c>
      <c r="G1227" s="7" t="s">
        <v>3208</v>
      </c>
      <c r="H1227" s="7" t="s">
        <v>3451</v>
      </c>
      <c r="I1227" s="9">
        <v>45362</v>
      </c>
    </row>
    <row r="1228" spans="1:9" x14ac:dyDescent="0.15">
      <c r="A1228" s="6">
        <v>1227</v>
      </c>
      <c r="B1228" s="7" t="s">
        <v>9</v>
      </c>
      <c r="C1228" s="8">
        <v>1889</v>
      </c>
      <c r="D1228" s="9">
        <v>45439</v>
      </c>
      <c r="E1228" s="13" t="str">
        <f>+HYPERLINK("http://trademark.i-assist.jp/data/china/image_1889th/77224929.pdf","77224929")</f>
        <v>77224929</v>
      </c>
      <c r="F1228" s="7" t="s">
        <v>3452</v>
      </c>
      <c r="G1228" s="7" t="s">
        <v>3337</v>
      </c>
      <c r="H1228" s="7" t="s">
        <v>3453</v>
      </c>
      <c r="I1228" s="9">
        <v>45362</v>
      </c>
    </row>
    <row r="1229" spans="1:9" x14ac:dyDescent="0.15">
      <c r="A1229" s="6">
        <v>1228</v>
      </c>
      <c r="B1229" s="7" t="s">
        <v>9</v>
      </c>
      <c r="C1229" s="8">
        <v>1889</v>
      </c>
      <c r="D1229" s="9">
        <v>45439</v>
      </c>
      <c r="E1229" s="13" t="str">
        <f>+HYPERLINK("http://trademark.i-assist.jp/data/china/image_1889th/77224989.pdf","77224989")</f>
        <v>77224989</v>
      </c>
      <c r="F1229" s="7" t="s">
        <v>3454</v>
      </c>
      <c r="G1229" s="7" t="s">
        <v>3455</v>
      </c>
      <c r="H1229" s="7" t="s">
        <v>3456</v>
      </c>
      <c r="I1229" s="9">
        <v>45362</v>
      </c>
    </row>
    <row r="1230" spans="1:9" x14ac:dyDescent="0.15">
      <c r="A1230" s="6">
        <v>1229</v>
      </c>
      <c r="B1230" s="7" t="s">
        <v>9</v>
      </c>
      <c r="C1230" s="8">
        <v>1889</v>
      </c>
      <c r="D1230" s="9">
        <v>45439</v>
      </c>
      <c r="E1230" s="13" t="str">
        <f>+HYPERLINK("http://trademark.i-assist.jp/data/china/image_1889th/77225043.pdf","77225043")</f>
        <v>77225043</v>
      </c>
      <c r="F1230" s="7" t="s">
        <v>3457</v>
      </c>
      <c r="G1230" s="7" t="s">
        <v>3131</v>
      </c>
      <c r="H1230" s="7" t="s">
        <v>3458</v>
      </c>
      <c r="I1230" s="9">
        <v>45362</v>
      </c>
    </row>
    <row r="1231" spans="1:9" ht="27" x14ac:dyDescent="0.15">
      <c r="A1231" s="6">
        <v>1230</v>
      </c>
      <c r="B1231" s="7" t="s">
        <v>9</v>
      </c>
      <c r="C1231" s="8">
        <v>1889</v>
      </c>
      <c r="D1231" s="9">
        <v>45439</v>
      </c>
      <c r="E1231" s="13" t="str">
        <f>+HYPERLINK("http://trademark.i-assist.jp/data/china/image_1889th/77225053.pdf","77225053")</f>
        <v>77225053</v>
      </c>
      <c r="F1231" s="7" t="s">
        <v>3459</v>
      </c>
      <c r="G1231" s="7" t="s">
        <v>2002</v>
      </c>
      <c r="H1231" s="7" t="s">
        <v>3460</v>
      </c>
      <c r="I1231" s="9">
        <v>45362</v>
      </c>
    </row>
    <row r="1232" spans="1:9" x14ac:dyDescent="0.15">
      <c r="A1232" s="6">
        <v>1231</v>
      </c>
      <c r="B1232" s="7" t="s">
        <v>9</v>
      </c>
      <c r="C1232" s="8">
        <v>1889</v>
      </c>
      <c r="D1232" s="9">
        <v>45439</v>
      </c>
      <c r="E1232" s="13" t="str">
        <f>+HYPERLINK("http://trademark.i-assist.jp/data/china/image_1889th/77225300.pdf","77225300")</f>
        <v>77225300</v>
      </c>
      <c r="F1232" s="7" t="s">
        <v>3461</v>
      </c>
      <c r="G1232" s="7" t="s">
        <v>3123</v>
      </c>
      <c r="H1232" s="7" t="s">
        <v>3462</v>
      </c>
      <c r="I1232" s="9">
        <v>45362</v>
      </c>
    </row>
    <row r="1233" spans="1:9" x14ac:dyDescent="0.15">
      <c r="A1233" s="6">
        <v>1232</v>
      </c>
      <c r="B1233" s="7" t="s">
        <v>9</v>
      </c>
      <c r="C1233" s="8">
        <v>1889</v>
      </c>
      <c r="D1233" s="9">
        <v>45439</v>
      </c>
      <c r="E1233" s="13" t="str">
        <f>+HYPERLINK("http://trademark.i-assist.jp/data/china/image_1889th/77225460.pdf","77225460")</f>
        <v>77225460</v>
      </c>
      <c r="F1233" s="7" t="s">
        <v>3463</v>
      </c>
      <c r="G1233" s="7" t="s">
        <v>3464</v>
      </c>
      <c r="H1233" s="7" t="s">
        <v>3465</v>
      </c>
      <c r="I1233" s="9">
        <v>45362</v>
      </c>
    </row>
    <row r="1234" spans="1:9" x14ac:dyDescent="0.15">
      <c r="A1234" s="6">
        <v>1233</v>
      </c>
      <c r="B1234" s="7" t="s">
        <v>9</v>
      </c>
      <c r="C1234" s="8">
        <v>1889</v>
      </c>
      <c r="D1234" s="9">
        <v>45439</v>
      </c>
      <c r="E1234" s="13" t="str">
        <f>+HYPERLINK("http://trademark.i-assist.jp/data/china/image_1889th/77225838.pdf","77225838")</f>
        <v>77225838</v>
      </c>
      <c r="F1234" s="7" t="s">
        <v>3466</v>
      </c>
      <c r="G1234" s="7" t="s">
        <v>3219</v>
      </c>
      <c r="H1234" s="7" t="s">
        <v>3467</v>
      </c>
      <c r="I1234" s="9">
        <v>45362</v>
      </c>
    </row>
    <row r="1235" spans="1:9" x14ac:dyDescent="0.15">
      <c r="A1235" s="6">
        <v>1234</v>
      </c>
      <c r="B1235" s="7" t="s">
        <v>9</v>
      </c>
      <c r="C1235" s="8">
        <v>1889</v>
      </c>
      <c r="D1235" s="9">
        <v>45439</v>
      </c>
      <c r="E1235" s="13" t="str">
        <f>+HYPERLINK("http://trademark.i-assist.jp/data/china/image_1889th/77225866.pdf","77225866")</f>
        <v>77225866</v>
      </c>
      <c r="F1235" s="7" t="s">
        <v>3468</v>
      </c>
      <c r="G1235" s="7" t="s">
        <v>3469</v>
      </c>
      <c r="H1235" s="7" t="s">
        <v>3470</v>
      </c>
      <c r="I1235" s="9">
        <v>45362</v>
      </c>
    </row>
    <row r="1236" spans="1:9" x14ac:dyDescent="0.15">
      <c r="A1236" s="6">
        <v>1235</v>
      </c>
      <c r="B1236" s="7" t="s">
        <v>9</v>
      </c>
      <c r="C1236" s="8">
        <v>1889</v>
      </c>
      <c r="D1236" s="9">
        <v>45439</v>
      </c>
      <c r="E1236" s="13" t="str">
        <f>+HYPERLINK("http://trademark.i-assist.jp/data/china/image_1889th/77225895.pdf","77225895")</f>
        <v>77225895</v>
      </c>
      <c r="F1236" s="7" t="s">
        <v>3471</v>
      </c>
      <c r="G1236" s="7" t="s">
        <v>3472</v>
      </c>
      <c r="H1236" s="7" t="s">
        <v>3473</v>
      </c>
      <c r="I1236" s="9">
        <v>45362</v>
      </c>
    </row>
    <row r="1237" spans="1:9" ht="27" x14ac:dyDescent="0.15">
      <c r="A1237" s="6">
        <v>1236</v>
      </c>
      <c r="B1237" s="7" t="s">
        <v>9</v>
      </c>
      <c r="C1237" s="8">
        <v>1889</v>
      </c>
      <c r="D1237" s="9">
        <v>45439</v>
      </c>
      <c r="E1237" s="13" t="str">
        <f>+HYPERLINK("http://trademark.i-assist.jp/data/china/image_1889th/77226112.pdf","77226112")</f>
        <v>77226112</v>
      </c>
      <c r="F1237" s="7" t="s">
        <v>3474</v>
      </c>
      <c r="G1237" s="7" t="s">
        <v>3475</v>
      </c>
      <c r="H1237" s="7" t="s">
        <v>3476</v>
      </c>
      <c r="I1237" s="9">
        <v>45362</v>
      </c>
    </row>
    <row r="1238" spans="1:9" x14ac:dyDescent="0.15">
      <c r="A1238" s="6">
        <v>1237</v>
      </c>
      <c r="B1238" s="7" t="s">
        <v>9</v>
      </c>
      <c r="C1238" s="8">
        <v>1889</v>
      </c>
      <c r="D1238" s="9">
        <v>45439</v>
      </c>
      <c r="E1238" s="13" t="str">
        <f>+HYPERLINK("http://trademark.i-assist.jp/data/china/image_1889th/77226430.pdf","77226430")</f>
        <v>77226430</v>
      </c>
      <c r="F1238" s="7" t="s">
        <v>3477</v>
      </c>
      <c r="G1238" s="7" t="s">
        <v>3478</v>
      </c>
      <c r="H1238" s="7" t="s">
        <v>3479</v>
      </c>
      <c r="I1238" s="9">
        <v>45362</v>
      </c>
    </row>
    <row r="1239" spans="1:9" x14ac:dyDescent="0.15">
      <c r="A1239" s="6">
        <v>1238</v>
      </c>
      <c r="B1239" s="7" t="s">
        <v>9</v>
      </c>
      <c r="C1239" s="8">
        <v>1889</v>
      </c>
      <c r="D1239" s="9">
        <v>45439</v>
      </c>
      <c r="E1239" s="13" t="str">
        <f>+HYPERLINK("http://trademark.i-assist.jp/data/china/image_1889th/77226443.pdf","77226443")</f>
        <v>77226443</v>
      </c>
      <c r="F1239" s="7" t="s">
        <v>3477</v>
      </c>
      <c r="G1239" s="7" t="s">
        <v>3478</v>
      </c>
      <c r="H1239" s="7" t="s">
        <v>3480</v>
      </c>
      <c r="I1239" s="9">
        <v>45362</v>
      </c>
    </row>
    <row r="1240" spans="1:9" x14ac:dyDescent="0.15">
      <c r="A1240" s="6">
        <v>1239</v>
      </c>
      <c r="B1240" s="7" t="s">
        <v>9</v>
      </c>
      <c r="C1240" s="8">
        <v>1889</v>
      </c>
      <c r="D1240" s="9">
        <v>45439</v>
      </c>
      <c r="E1240" s="13" t="str">
        <f>+HYPERLINK("http://trademark.i-assist.jp/data/china/image_1889th/77226602.pdf","77226602")</f>
        <v>77226602</v>
      </c>
      <c r="F1240" s="7" t="s">
        <v>3481</v>
      </c>
      <c r="G1240" s="7" t="s">
        <v>3482</v>
      </c>
      <c r="H1240" s="7" t="s">
        <v>3483</v>
      </c>
      <c r="I1240" s="9">
        <v>45362</v>
      </c>
    </row>
    <row r="1241" spans="1:9" x14ac:dyDescent="0.15">
      <c r="A1241" s="6">
        <v>1240</v>
      </c>
      <c r="B1241" s="7" t="s">
        <v>9</v>
      </c>
      <c r="C1241" s="8">
        <v>1889</v>
      </c>
      <c r="D1241" s="9">
        <v>45439</v>
      </c>
      <c r="E1241" s="13" t="str">
        <f>+HYPERLINK("http://trademark.i-assist.jp/data/china/image_1889th/77226652.pdf","77226652")</f>
        <v>77226652</v>
      </c>
      <c r="F1241" s="7" t="s">
        <v>3484</v>
      </c>
      <c r="G1241" s="7" t="s">
        <v>3485</v>
      </c>
      <c r="H1241" s="7" t="s">
        <v>3486</v>
      </c>
      <c r="I1241" s="9">
        <v>45362</v>
      </c>
    </row>
    <row r="1242" spans="1:9" ht="27" x14ac:dyDescent="0.15">
      <c r="A1242" s="6">
        <v>1241</v>
      </c>
      <c r="B1242" s="7" t="s">
        <v>9</v>
      </c>
      <c r="C1242" s="8">
        <v>1889</v>
      </c>
      <c r="D1242" s="9">
        <v>45439</v>
      </c>
      <c r="E1242" s="13" t="str">
        <f>+HYPERLINK("http://trademark.i-assist.jp/data/china/image_1889th/77226729.pdf","77226729")</f>
        <v>77226729</v>
      </c>
      <c r="F1242" s="7" t="s">
        <v>3487</v>
      </c>
      <c r="G1242" s="7" t="s">
        <v>3488</v>
      </c>
      <c r="H1242" s="7" t="s">
        <v>3489</v>
      </c>
      <c r="I1242" s="9">
        <v>45362</v>
      </c>
    </row>
    <row r="1243" spans="1:9" x14ac:dyDescent="0.15">
      <c r="A1243" s="6">
        <v>1242</v>
      </c>
      <c r="B1243" s="7" t="s">
        <v>9</v>
      </c>
      <c r="C1243" s="8">
        <v>1889</v>
      </c>
      <c r="D1243" s="9">
        <v>45439</v>
      </c>
      <c r="E1243" s="13" t="str">
        <f>+HYPERLINK("http://trademark.i-assist.jp/data/china/image_1889th/77227290.pdf","77227290")</f>
        <v>77227290</v>
      </c>
      <c r="F1243" s="7" t="s">
        <v>3490</v>
      </c>
      <c r="G1243" s="7" t="s">
        <v>3491</v>
      </c>
      <c r="H1243" s="7" t="s">
        <v>3492</v>
      </c>
      <c r="I1243" s="9">
        <v>45362</v>
      </c>
    </row>
    <row r="1244" spans="1:9" ht="27" x14ac:dyDescent="0.15">
      <c r="A1244" s="6">
        <v>1243</v>
      </c>
      <c r="B1244" s="7" t="s">
        <v>9</v>
      </c>
      <c r="C1244" s="8">
        <v>1889</v>
      </c>
      <c r="D1244" s="9">
        <v>45439</v>
      </c>
      <c r="E1244" s="13" t="str">
        <f>+HYPERLINK("http://trademark.i-assist.jp/data/china/image_1889th/77227511.pdf","77227511")</f>
        <v>77227511</v>
      </c>
      <c r="F1244" s="7" t="s">
        <v>3493</v>
      </c>
      <c r="G1244" s="7" t="s">
        <v>3494</v>
      </c>
      <c r="H1244" s="7" t="s">
        <v>3495</v>
      </c>
      <c r="I1244" s="9">
        <v>45362</v>
      </c>
    </row>
    <row r="1245" spans="1:9" x14ac:dyDescent="0.15">
      <c r="A1245" s="6">
        <v>1244</v>
      </c>
      <c r="B1245" s="7" t="s">
        <v>9</v>
      </c>
      <c r="C1245" s="8">
        <v>1889</v>
      </c>
      <c r="D1245" s="9">
        <v>45439</v>
      </c>
      <c r="E1245" s="13" t="str">
        <f>+HYPERLINK("http://trademark.i-assist.jp/data/china/image_1889th/77227594.pdf","77227594")</f>
        <v>77227594</v>
      </c>
      <c r="F1245" s="7" t="s">
        <v>3496</v>
      </c>
      <c r="G1245" s="7" t="s">
        <v>3497</v>
      </c>
      <c r="H1245" s="7" t="s">
        <v>3498</v>
      </c>
      <c r="I1245" s="9">
        <v>45362</v>
      </c>
    </row>
    <row r="1246" spans="1:9" x14ac:dyDescent="0.15">
      <c r="A1246" s="6">
        <v>1245</v>
      </c>
      <c r="B1246" s="7" t="s">
        <v>9</v>
      </c>
      <c r="C1246" s="8">
        <v>1889</v>
      </c>
      <c r="D1246" s="9">
        <v>45439</v>
      </c>
      <c r="E1246" s="13" t="str">
        <f>+HYPERLINK("http://trademark.i-assist.jp/data/china/image_1889th/77227596.pdf","77227596")</f>
        <v>77227596</v>
      </c>
      <c r="F1246" s="7" t="s">
        <v>3499</v>
      </c>
      <c r="G1246" s="7" t="s">
        <v>3187</v>
      </c>
      <c r="H1246" s="7" t="s">
        <v>3500</v>
      </c>
      <c r="I1246" s="9">
        <v>45362</v>
      </c>
    </row>
    <row r="1247" spans="1:9" x14ac:dyDescent="0.15">
      <c r="A1247" s="6">
        <v>1246</v>
      </c>
      <c r="B1247" s="7" t="s">
        <v>9</v>
      </c>
      <c r="C1247" s="8">
        <v>1889</v>
      </c>
      <c r="D1247" s="9">
        <v>45439</v>
      </c>
      <c r="E1247" s="13" t="str">
        <f>+HYPERLINK("http://trademark.i-assist.jp/data/china/image_1889th/77227677.pdf","77227677")</f>
        <v>77227677</v>
      </c>
      <c r="F1247" s="7" t="s">
        <v>3501</v>
      </c>
      <c r="G1247" s="7" t="s">
        <v>1653</v>
      </c>
      <c r="H1247" s="7" t="s">
        <v>3502</v>
      </c>
      <c r="I1247" s="9">
        <v>45362</v>
      </c>
    </row>
    <row r="1248" spans="1:9" ht="27" x14ac:dyDescent="0.15">
      <c r="A1248" s="6">
        <v>1247</v>
      </c>
      <c r="B1248" s="7" t="s">
        <v>9</v>
      </c>
      <c r="C1248" s="8">
        <v>1889</v>
      </c>
      <c r="D1248" s="9">
        <v>45439</v>
      </c>
      <c r="E1248" s="13" t="str">
        <f>+HYPERLINK("http://trademark.i-assist.jp/data/china/image_1889th/77227934.pdf","77227934")</f>
        <v>77227934</v>
      </c>
      <c r="F1248" s="7" t="s">
        <v>3503</v>
      </c>
      <c r="G1248" s="7" t="s">
        <v>3297</v>
      </c>
      <c r="H1248" s="7" t="s">
        <v>3504</v>
      </c>
      <c r="I1248" s="9">
        <v>45362</v>
      </c>
    </row>
    <row r="1249" spans="1:9" x14ac:dyDescent="0.15">
      <c r="A1249" s="6">
        <v>1248</v>
      </c>
      <c r="B1249" s="7" t="s">
        <v>9</v>
      </c>
      <c r="C1249" s="8">
        <v>1889</v>
      </c>
      <c r="D1249" s="9">
        <v>45439</v>
      </c>
      <c r="E1249" s="13" t="str">
        <f>+HYPERLINK("http://trademark.i-assist.jp/data/china/image_1889th/77227950.pdf","77227950")</f>
        <v>77227950</v>
      </c>
      <c r="F1249" s="7" t="s">
        <v>3505</v>
      </c>
      <c r="G1249" s="7" t="s">
        <v>3506</v>
      </c>
      <c r="H1249" s="7" t="s">
        <v>3507</v>
      </c>
      <c r="I1249" s="9">
        <v>45362</v>
      </c>
    </row>
    <row r="1250" spans="1:9" x14ac:dyDescent="0.15">
      <c r="A1250" s="6">
        <v>1249</v>
      </c>
      <c r="B1250" s="7" t="s">
        <v>9</v>
      </c>
      <c r="C1250" s="8">
        <v>1889</v>
      </c>
      <c r="D1250" s="9">
        <v>45439</v>
      </c>
      <c r="E1250" s="13" t="str">
        <f>+HYPERLINK("http://trademark.i-assist.jp/data/china/image_1889th/77228339.pdf","77228339")</f>
        <v>77228339</v>
      </c>
      <c r="F1250" s="7" t="s">
        <v>3508</v>
      </c>
      <c r="G1250" s="7" t="s">
        <v>1928</v>
      </c>
      <c r="H1250" s="7" t="s">
        <v>3509</v>
      </c>
      <c r="I1250" s="9">
        <v>45362</v>
      </c>
    </row>
    <row r="1251" spans="1:9" ht="27" x14ac:dyDescent="0.15">
      <c r="A1251" s="6">
        <v>1250</v>
      </c>
      <c r="B1251" s="7" t="s">
        <v>9</v>
      </c>
      <c r="C1251" s="8">
        <v>1889</v>
      </c>
      <c r="D1251" s="9">
        <v>45439</v>
      </c>
      <c r="E1251" s="13" t="str">
        <f>+HYPERLINK("http://trademark.i-assist.jp/data/china/image_1889th/77228629.pdf","77228629")</f>
        <v>77228629</v>
      </c>
      <c r="F1251" s="7" t="s">
        <v>3510</v>
      </c>
      <c r="G1251" s="7" t="s">
        <v>2002</v>
      </c>
      <c r="H1251" s="7" t="s">
        <v>3511</v>
      </c>
      <c r="I1251" s="9">
        <v>45362</v>
      </c>
    </row>
    <row r="1252" spans="1:9" x14ac:dyDescent="0.15">
      <c r="A1252" s="6">
        <v>1251</v>
      </c>
      <c r="B1252" s="7" t="s">
        <v>9</v>
      </c>
      <c r="C1252" s="8">
        <v>1889</v>
      </c>
      <c r="D1252" s="9">
        <v>45439</v>
      </c>
      <c r="E1252" s="13" t="str">
        <f>+HYPERLINK("http://trademark.i-assist.jp/data/china/image_1889th/77228635.pdf","77228635")</f>
        <v>77228635</v>
      </c>
      <c r="F1252" s="7" t="s">
        <v>3512</v>
      </c>
      <c r="G1252" s="7" t="s">
        <v>3513</v>
      </c>
      <c r="H1252" s="7" t="s">
        <v>3514</v>
      </c>
      <c r="I1252" s="9">
        <v>45362</v>
      </c>
    </row>
    <row r="1253" spans="1:9" x14ac:dyDescent="0.15">
      <c r="A1253" s="6">
        <v>1252</v>
      </c>
      <c r="B1253" s="7" t="s">
        <v>9</v>
      </c>
      <c r="C1253" s="8">
        <v>1889</v>
      </c>
      <c r="D1253" s="9">
        <v>45439</v>
      </c>
      <c r="E1253" s="13" t="str">
        <f>+HYPERLINK("http://trademark.i-assist.jp/data/china/image_1889th/77228761.pdf","77228761")</f>
        <v>77228761</v>
      </c>
      <c r="F1253" s="7" t="s">
        <v>3515</v>
      </c>
      <c r="G1253" s="7" t="s">
        <v>3516</v>
      </c>
      <c r="H1253" s="7" t="s">
        <v>3517</v>
      </c>
      <c r="I1253" s="9">
        <v>45362</v>
      </c>
    </row>
    <row r="1254" spans="1:9" x14ac:dyDescent="0.15">
      <c r="A1254" s="6">
        <v>1253</v>
      </c>
      <c r="B1254" s="7" t="s">
        <v>9</v>
      </c>
      <c r="C1254" s="8">
        <v>1889</v>
      </c>
      <c r="D1254" s="9">
        <v>45439</v>
      </c>
      <c r="E1254" s="13" t="str">
        <f>+HYPERLINK("http://trademark.i-assist.jp/data/china/image_1889th/77228858.pdf","77228858")</f>
        <v>77228858</v>
      </c>
      <c r="F1254" s="7" t="s">
        <v>3518</v>
      </c>
      <c r="G1254" s="7" t="s">
        <v>3519</v>
      </c>
      <c r="H1254" s="7" t="s">
        <v>3520</v>
      </c>
      <c r="I1254" s="9">
        <v>45362</v>
      </c>
    </row>
    <row r="1255" spans="1:9" ht="27" x14ac:dyDescent="0.15">
      <c r="A1255" s="6">
        <v>1254</v>
      </c>
      <c r="B1255" s="7" t="s">
        <v>9</v>
      </c>
      <c r="C1255" s="8">
        <v>1889</v>
      </c>
      <c r="D1255" s="9">
        <v>45439</v>
      </c>
      <c r="E1255" s="13" t="str">
        <f>+HYPERLINK("http://trademark.i-assist.jp/data/china/image_1889th/77229123.pdf","77229123")</f>
        <v>77229123</v>
      </c>
      <c r="F1255" s="7" t="s">
        <v>3521</v>
      </c>
      <c r="G1255" s="7" t="s">
        <v>3224</v>
      </c>
      <c r="H1255" s="7" t="s">
        <v>3522</v>
      </c>
      <c r="I1255" s="9">
        <v>45362</v>
      </c>
    </row>
    <row r="1256" spans="1:9" ht="27" x14ac:dyDescent="0.15">
      <c r="A1256" s="6">
        <v>1255</v>
      </c>
      <c r="B1256" s="7" t="s">
        <v>9</v>
      </c>
      <c r="C1256" s="8">
        <v>1889</v>
      </c>
      <c r="D1256" s="9">
        <v>45439</v>
      </c>
      <c r="E1256" s="13" t="str">
        <f>+HYPERLINK("http://trademark.i-assist.jp/data/china/image_1889th/77229343.pdf","77229343")</f>
        <v>77229343</v>
      </c>
      <c r="F1256" s="7" t="s">
        <v>3523</v>
      </c>
      <c r="G1256" s="7" t="s">
        <v>3524</v>
      </c>
      <c r="H1256" s="7" t="s">
        <v>3525</v>
      </c>
      <c r="I1256" s="9">
        <v>45362</v>
      </c>
    </row>
    <row r="1257" spans="1:9" x14ac:dyDescent="0.15">
      <c r="A1257" s="6">
        <v>1256</v>
      </c>
      <c r="B1257" s="7" t="s">
        <v>9</v>
      </c>
      <c r="C1257" s="8">
        <v>1889</v>
      </c>
      <c r="D1257" s="9">
        <v>45439</v>
      </c>
      <c r="E1257" s="13" t="str">
        <f>+HYPERLINK("http://trademark.i-assist.jp/data/china/image_1889th/77229514.pdf","77229514")</f>
        <v>77229514</v>
      </c>
      <c r="F1257" s="7" t="s">
        <v>3526</v>
      </c>
      <c r="G1257" s="7" t="s">
        <v>3527</v>
      </c>
      <c r="H1257" s="7" t="s">
        <v>3528</v>
      </c>
      <c r="I1257" s="9">
        <v>45362</v>
      </c>
    </row>
    <row r="1258" spans="1:9" x14ac:dyDescent="0.15">
      <c r="A1258" s="6">
        <v>1257</v>
      </c>
      <c r="B1258" s="7" t="s">
        <v>9</v>
      </c>
      <c r="C1258" s="8">
        <v>1889</v>
      </c>
      <c r="D1258" s="9">
        <v>45439</v>
      </c>
      <c r="E1258" s="13" t="str">
        <f>+HYPERLINK("http://trademark.i-assist.jp/data/china/image_1889th/77229584.pdf","77229584")</f>
        <v>77229584</v>
      </c>
      <c r="F1258" s="7" t="s">
        <v>3529</v>
      </c>
      <c r="G1258" s="7" t="s">
        <v>3230</v>
      </c>
      <c r="H1258" s="7" t="s">
        <v>3530</v>
      </c>
      <c r="I1258" s="9">
        <v>45362</v>
      </c>
    </row>
    <row r="1259" spans="1:9" x14ac:dyDescent="0.15">
      <c r="A1259" s="6">
        <v>1258</v>
      </c>
      <c r="B1259" s="7" t="s">
        <v>9</v>
      </c>
      <c r="C1259" s="8">
        <v>1889</v>
      </c>
      <c r="D1259" s="9">
        <v>45439</v>
      </c>
      <c r="E1259" s="13" t="str">
        <f>+HYPERLINK("http://trademark.i-assist.jp/data/china/image_1889th/77229613.pdf","77229613")</f>
        <v>77229613</v>
      </c>
      <c r="F1259" s="7" t="s">
        <v>3531</v>
      </c>
      <c r="G1259" s="7" t="s">
        <v>3187</v>
      </c>
      <c r="H1259" s="7" t="s">
        <v>3532</v>
      </c>
      <c r="I1259" s="9">
        <v>45362</v>
      </c>
    </row>
    <row r="1260" spans="1:9" x14ac:dyDescent="0.15">
      <c r="A1260" s="6">
        <v>1259</v>
      </c>
      <c r="B1260" s="7" t="s">
        <v>9</v>
      </c>
      <c r="C1260" s="8">
        <v>1889</v>
      </c>
      <c r="D1260" s="9">
        <v>45439</v>
      </c>
      <c r="E1260" s="13" t="str">
        <f>+HYPERLINK("http://trademark.i-assist.jp/data/china/image_1889th/77229668.pdf","77229668")</f>
        <v>77229668</v>
      </c>
      <c r="F1260" s="7" t="s">
        <v>3533</v>
      </c>
      <c r="G1260" s="7" t="s">
        <v>3534</v>
      </c>
      <c r="H1260" s="7" t="s">
        <v>3535</v>
      </c>
      <c r="I1260" s="9">
        <v>45362</v>
      </c>
    </row>
    <row r="1261" spans="1:9" ht="27" x14ac:dyDescent="0.15">
      <c r="A1261" s="6">
        <v>1260</v>
      </c>
      <c r="B1261" s="7" t="s">
        <v>9</v>
      </c>
      <c r="C1261" s="8">
        <v>1889</v>
      </c>
      <c r="D1261" s="9">
        <v>45439</v>
      </c>
      <c r="E1261" s="13" t="str">
        <f>+HYPERLINK("http://trademark.i-assist.jp/data/china/image_1889th/77229942.pdf","77229942")</f>
        <v>77229942</v>
      </c>
      <c r="F1261" s="7" t="s">
        <v>3536</v>
      </c>
      <c r="G1261" s="7" t="s">
        <v>2002</v>
      </c>
      <c r="H1261" s="7" t="s">
        <v>3537</v>
      </c>
      <c r="I1261" s="9">
        <v>45362</v>
      </c>
    </row>
    <row r="1262" spans="1:9" ht="27" x14ac:dyDescent="0.15">
      <c r="A1262" s="6">
        <v>1261</v>
      </c>
      <c r="B1262" s="7" t="s">
        <v>9</v>
      </c>
      <c r="C1262" s="8">
        <v>1889</v>
      </c>
      <c r="D1262" s="9">
        <v>45439</v>
      </c>
      <c r="E1262" s="13" t="str">
        <f>+HYPERLINK("http://trademark.i-assist.jp/data/china/image_1889th/77229950.pdf","77229950")</f>
        <v>77229950</v>
      </c>
      <c r="F1262" s="7" t="s">
        <v>3538</v>
      </c>
      <c r="G1262" s="7" t="s">
        <v>2002</v>
      </c>
      <c r="H1262" s="7" t="s">
        <v>3539</v>
      </c>
      <c r="I1262" s="9">
        <v>45362</v>
      </c>
    </row>
    <row r="1263" spans="1:9" x14ac:dyDescent="0.15">
      <c r="A1263" s="6">
        <v>1262</v>
      </c>
      <c r="B1263" s="7" t="s">
        <v>9</v>
      </c>
      <c r="C1263" s="8">
        <v>1889</v>
      </c>
      <c r="D1263" s="9">
        <v>45439</v>
      </c>
      <c r="E1263" s="13" t="str">
        <f>+HYPERLINK("http://trademark.i-assist.jp/data/china/image_1889th/77229983.pdf","77229983")</f>
        <v>77229983</v>
      </c>
      <c r="F1263" s="7" t="s">
        <v>3540</v>
      </c>
      <c r="G1263" s="7" t="s">
        <v>3128</v>
      </c>
      <c r="H1263" s="7" t="s">
        <v>3541</v>
      </c>
      <c r="I1263" s="9">
        <v>45362</v>
      </c>
    </row>
    <row r="1264" spans="1:9" ht="27" x14ac:dyDescent="0.15">
      <c r="A1264" s="6">
        <v>1263</v>
      </c>
      <c r="B1264" s="7" t="s">
        <v>9</v>
      </c>
      <c r="C1264" s="8">
        <v>1889</v>
      </c>
      <c r="D1264" s="9">
        <v>45439</v>
      </c>
      <c r="E1264" s="13" t="str">
        <f>+HYPERLINK("http://trademark.i-assist.jp/data/china/image_1889th/77230151.pdf","77230151")</f>
        <v>77230151</v>
      </c>
      <c r="F1264" s="7" t="s">
        <v>3542</v>
      </c>
      <c r="G1264" s="7" t="s">
        <v>1240</v>
      </c>
      <c r="H1264" s="7" t="s">
        <v>3543</v>
      </c>
      <c r="I1264" s="9">
        <v>45362</v>
      </c>
    </row>
    <row r="1265" spans="1:9" x14ac:dyDescent="0.15">
      <c r="A1265" s="6">
        <v>1264</v>
      </c>
      <c r="B1265" s="7" t="s">
        <v>9</v>
      </c>
      <c r="C1265" s="8">
        <v>1889</v>
      </c>
      <c r="D1265" s="9">
        <v>45439</v>
      </c>
      <c r="E1265" s="13" t="str">
        <f>+HYPERLINK("http://trademark.i-assist.jp/data/china/image_1889th/77230267.pdf","77230267")</f>
        <v>77230267</v>
      </c>
      <c r="F1265" s="7" t="s">
        <v>3544</v>
      </c>
      <c r="G1265" s="7" t="s">
        <v>3545</v>
      </c>
      <c r="H1265" s="7" t="s">
        <v>3546</v>
      </c>
      <c r="I1265" s="9">
        <v>45362</v>
      </c>
    </row>
    <row r="1266" spans="1:9" x14ac:dyDescent="0.15">
      <c r="A1266" s="6">
        <v>1265</v>
      </c>
      <c r="B1266" s="7" t="s">
        <v>9</v>
      </c>
      <c r="C1266" s="8">
        <v>1889</v>
      </c>
      <c r="D1266" s="9">
        <v>45439</v>
      </c>
      <c r="E1266" s="13" t="str">
        <f>+HYPERLINK("http://trademark.i-assist.jp/data/china/image_1889th/77230317.pdf","77230317")</f>
        <v>77230317</v>
      </c>
      <c r="F1266" s="7" t="s">
        <v>3547</v>
      </c>
      <c r="G1266" s="7" t="s">
        <v>3548</v>
      </c>
      <c r="H1266" s="7" t="s">
        <v>3549</v>
      </c>
      <c r="I1266" s="9">
        <v>45362</v>
      </c>
    </row>
    <row r="1267" spans="1:9" x14ac:dyDescent="0.15">
      <c r="A1267" s="6">
        <v>1266</v>
      </c>
      <c r="B1267" s="7" t="s">
        <v>9</v>
      </c>
      <c r="C1267" s="8">
        <v>1889</v>
      </c>
      <c r="D1267" s="9">
        <v>45439</v>
      </c>
      <c r="E1267" s="13" t="str">
        <f>+HYPERLINK("http://trademark.i-assist.jp/data/china/image_1889th/77230664.pdf","77230664")</f>
        <v>77230664</v>
      </c>
      <c r="F1267" s="7" t="s">
        <v>3550</v>
      </c>
      <c r="G1267" s="7" t="s">
        <v>2781</v>
      </c>
      <c r="H1267" s="7" t="s">
        <v>3551</v>
      </c>
      <c r="I1267" s="9">
        <v>45362</v>
      </c>
    </row>
    <row r="1268" spans="1:9" x14ac:dyDescent="0.15">
      <c r="A1268" s="6">
        <v>1267</v>
      </c>
      <c r="B1268" s="7" t="s">
        <v>9</v>
      </c>
      <c r="C1268" s="8">
        <v>1889</v>
      </c>
      <c r="D1268" s="9">
        <v>45439</v>
      </c>
      <c r="E1268" s="13" t="str">
        <f>+HYPERLINK("http://trademark.i-assist.jp/data/china/image_1889th/77230682.pdf","77230682")</f>
        <v>77230682</v>
      </c>
      <c r="F1268" s="7" t="s">
        <v>3552</v>
      </c>
      <c r="G1268" s="7" t="s">
        <v>3553</v>
      </c>
      <c r="H1268" s="7" t="s">
        <v>3554</v>
      </c>
      <c r="I1268" s="9">
        <v>45362</v>
      </c>
    </row>
    <row r="1269" spans="1:9" x14ac:dyDescent="0.15">
      <c r="A1269" s="6">
        <v>1268</v>
      </c>
      <c r="B1269" s="7" t="s">
        <v>9</v>
      </c>
      <c r="C1269" s="8">
        <v>1889</v>
      </c>
      <c r="D1269" s="9">
        <v>45439</v>
      </c>
      <c r="E1269" s="13" t="str">
        <f>+HYPERLINK("http://trademark.i-assist.jp/data/china/image_1889th/77231004.pdf","77231004")</f>
        <v>77231004</v>
      </c>
      <c r="F1269" s="7" t="s">
        <v>3555</v>
      </c>
      <c r="G1269" s="7" t="s">
        <v>3556</v>
      </c>
      <c r="H1269" s="7" t="s">
        <v>3557</v>
      </c>
      <c r="I1269" s="9">
        <v>45362</v>
      </c>
    </row>
    <row r="1270" spans="1:9" x14ac:dyDescent="0.15">
      <c r="A1270" s="6">
        <v>1269</v>
      </c>
      <c r="B1270" s="7" t="s">
        <v>9</v>
      </c>
      <c r="C1270" s="8">
        <v>1889</v>
      </c>
      <c r="D1270" s="9">
        <v>45439</v>
      </c>
      <c r="E1270" s="13" t="str">
        <f>+HYPERLINK("http://trademark.i-assist.jp/data/china/image_1889th/77231015.pdf","77231015")</f>
        <v>77231015</v>
      </c>
      <c r="F1270" s="7" t="s">
        <v>3558</v>
      </c>
      <c r="G1270" s="7" t="s">
        <v>3559</v>
      </c>
      <c r="H1270" s="7" t="s">
        <v>3560</v>
      </c>
      <c r="I1270" s="9">
        <v>45362</v>
      </c>
    </row>
    <row r="1271" spans="1:9" x14ac:dyDescent="0.15">
      <c r="A1271" s="6">
        <v>1270</v>
      </c>
      <c r="B1271" s="7" t="s">
        <v>9</v>
      </c>
      <c r="C1271" s="8">
        <v>1889</v>
      </c>
      <c r="D1271" s="9">
        <v>45439</v>
      </c>
      <c r="E1271" s="13" t="str">
        <f>+HYPERLINK("http://trademark.i-assist.jp/data/china/image_1889th/77231199.pdf","77231199")</f>
        <v>77231199</v>
      </c>
      <c r="F1271" s="7" t="s">
        <v>3561</v>
      </c>
      <c r="G1271" s="7" t="s">
        <v>3562</v>
      </c>
      <c r="H1271" s="7" t="s">
        <v>3563</v>
      </c>
      <c r="I1271" s="9">
        <v>45362</v>
      </c>
    </row>
    <row r="1272" spans="1:9" x14ac:dyDescent="0.15">
      <c r="A1272" s="6">
        <v>1271</v>
      </c>
      <c r="B1272" s="7" t="s">
        <v>9</v>
      </c>
      <c r="C1272" s="8">
        <v>1889</v>
      </c>
      <c r="D1272" s="9">
        <v>45439</v>
      </c>
      <c r="E1272" s="13" t="str">
        <f>+HYPERLINK("http://trademark.i-assist.jp/data/china/image_1889th/77231320.pdf","77231320")</f>
        <v>77231320</v>
      </c>
      <c r="F1272" s="7" t="s">
        <v>3564</v>
      </c>
      <c r="G1272" s="7" t="s">
        <v>3565</v>
      </c>
      <c r="H1272" s="7" t="s">
        <v>3566</v>
      </c>
      <c r="I1272" s="9">
        <v>45362</v>
      </c>
    </row>
    <row r="1273" spans="1:9" x14ac:dyDescent="0.15">
      <c r="A1273" s="6">
        <v>1272</v>
      </c>
      <c r="B1273" s="7" t="s">
        <v>9</v>
      </c>
      <c r="C1273" s="8">
        <v>1889</v>
      </c>
      <c r="D1273" s="9">
        <v>45439</v>
      </c>
      <c r="E1273" s="13" t="str">
        <f>+HYPERLINK("http://trademark.i-assist.jp/data/china/image_1889th/77231795.pdf","77231795")</f>
        <v>77231795</v>
      </c>
      <c r="F1273" s="7" t="s">
        <v>3484</v>
      </c>
      <c r="G1273" s="7" t="s">
        <v>3485</v>
      </c>
      <c r="H1273" s="7" t="s">
        <v>3567</v>
      </c>
      <c r="I1273" s="9">
        <v>45362</v>
      </c>
    </row>
    <row r="1274" spans="1:9" x14ac:dyDescent="0.15">
      <c r="A1274" s="6">
        <v>1273</v>
      </c>
      <c r="B1274" s="7" t="s">
        <v>9</v>
      </c>
      <c r="C1274" s="8">
        <v>1889</v>
      </c>
      <c r="D1274" s="9">
        <v>45439</v>
      </c>
      <c r="E1274" s="13" t="str">
        <f>+HYPERLINK("http://trademark.i-assist.jp/data/china/image_1889th/77231871.pdf","77231871")</f>
        <v>77231871</v>
      </c>
      <c r="F1274" s="7" t="s">
        <v>3568</v>
      </c>
      <c r="G1274" s="7" t="s">
        <v>3569</v>
      </c>
      <c r="H1274" s="7" t="s">
        <v>3570</v>
      </c>
      <c r="I1274" s="9">
        <v>45362</v>
      </c>
    </row>
    <row r="1275" spans="1:9" x14ac:dyDescent="0.15">
      <c r="A1275" s="6">
        <v>1274</v>
      </c>
      <c r="B1275" s="7" t="s">
        <v>9</v>
      </c>
      <c r="C1275" s="8">
        <v>1889</v>
      </c>
      <c r="D1275" s="9">
        <v>45439</v>
      </c>
      <c r="E1275" s="13" t="str">
        <f>+HYPERLINK("http://trademark.i-assist.jp/data/china/image_1889th/77231954.pdf","77231954")</f>
        <v>77231954</v>
      </c>
      <c r="F1275" s="7" t="s">
        <v>3571</v>
      </c>
      <c r="G1275" s="7" t="s">
        <v>3433</v>
      </c>
      <c r="H1275" s="7" t="s">
        <v>3572</v>
      </c>
      <c r="I1275" s="9">
        <v>45362</v>
      </c>
    </row>
    <row r="1276" spans="1:9" x14ac:dyDescent="0.15">
      <c r="A1276" s="6">
        <v>1275</v>
      </c>
      <c r="B1276" s="7" t="s">
        <v>9</v>
      </c>
      <c r="C1276" s="8">
        <v>1889</v>
      </c>
      <c r="D1276" s="9">
        <v>45439</v>
      </c>
      <c r="E1276" s="13" t="str">
        <f>+HYPERLINK("http://trademark.i-assist.jp/data/china/image_1889th/77232164.pdf","77232164")</f>
        <v>77232164</v>
      </c>
      <c r="F1276" s="7" t="s">
        <v>3573</v>
      </c>
      <c r="G1276" s="7" t="s">
        <v>3562</v>
      </c>
      <c r="H1276" s="7" t="s">
        <v>3574</v>
      </c>
      <c r="I1276" s="9">
        <v>45362</v>
      </c>
    </row>
    <row r="1277" spans="1:9" x14ac:dyDescent="0.15">
      <c r="A1277" s="6">
        <v>1276</v>
      </c>
      <c r="B1277" s="7" t="s">
        <v>9</v>
      </c>
      <c r="C1277" s="8">
        <v>1889</v>
      </c>
      <c r="D1277" s="9">
        <v>45439</v>
      </c>
      <c r="E1277" s="13" t="str">
        <f>+HYPERLINK("http://trademark.i-assist.jp/data/china/image_1889th/77232236.pdf","77232236")</f>
        <v>77232236</v>
      </c>
      <c r="F1277" s="7" t="s">
        <v>3575</v>
      </c>
      <c r="G1277" s="7" t="s">
        <v>3360</v>
      </c>
      <c r="H1277" s="7" t="s">
        <v>3576</v>
      </c>
      <c r="I1277" s="9">
        <v>45362</v>
      </c>
    </row>
    <row r="1278" spans="1:9" x14ac:dyDescent="0.15">
      <c r="A1278" s="6">
        <v>1277</v>
      </c>
      <c r="B1278" s="7" t="s">
        <v>9</v>
      </c>
      <c r="C1278" s="8">
        <v>1889</v>
      </c>
      <c r="D1278" s="9">
        <v>45439</v>
      </c>
      <c r="E1278" s="13" t="str">
        <f>+HYPERLINK("http://trademark.i-assist.jp/data/china/image_1889th/77232358.pdf","77232358")</f>
        <v>77232358</v>
      </c>
      <c r="F1278" s="7" t="s">
        <v>3577</v>
      </c>
      <c r="G1278" s="7" t="s">
        <v>3245</v>
      </c>
      <c r="H1278" s="7" t="s">
        <v>3578</v>
      </c>
      <c r="I1278" s="9">
        <v>45362</v>
      </c>
    </row>
    <row r="1279" spans="1:9" ht="27" x14ac:dyDescent="0.15">
      <c r="A1279" s="6">
        <v>1278</v>
      </c>
      <c r="B1279" s="7" t="s">
        <v>9</v>
      </c>
      <c r="C1279" s="8">
        <v>1889</v>
      </c>
      <c r="D1279" s="9">
        <v>45439</v>
      </c>
      <c r="E1279" s="13" t="str">
        <f>+HYPERLINK("http://trademark.i-assist.jp/data/china/image_1889th/77232421.pdf","77232421")</f>
        <v>77232421</v>
      </c>
      <c r="F1279" s="7" t="s">
        <v>3579</v>
      </c>
      <c r="G1279" s="7" t="s">
        <v>3580</v>
      </c>
      <c r="H1279" s="7" t="s">
        <v>3581</v>
      </c>
      <c r="I1279" s="9">
        <v>45362</v>
      </c>
    </row>
    <row r="1280" spans="1:9" x14ac:dyDescent="0.15">
      <c r="A1280" s="6">
        <v>1279</v>
      </c>
      <c r="B1280" s="7" t="s">
        <v>9</v>
      </c>
      <c r="C1280" s="8">
        <v>1889</v>
      </c>
      <c r="D1280" s="9">
        <v>45439</v>
      </c>
      <c r="E1280" s="13" t="str">
        <f>+HYPERLINK("http://trademark.i-assist.jp/data/china/image_1889th/77232498.pdf","77232498")</f>
        <v>77232498</v>
      </c>
      <c r="F1280" s="7" t="s">
        <v>134</v>
      </c>
      <c r="G1280" s="7" t="s">
        <v>3582</v>
      </c>
      <c r="H1280" s="7" t="s">
        <v>3583</v>
      </c>
      <c r="I1280" s="9">
        <v>45362</v>
      </c>
    </row>
    <row r="1281" spans="1:9" x14ac:dyDescent="0.15">
      <c r="A1281" s="6">
        <v>1280</v>
      </c>
      <c r="B1281" s="7" t="s">
        <v>9</v>
      </c>
      <c r="C1281" s="8">
        <v>1889</v>
      </c>
      <c r="D1281" s="9">
        <v>45439</v>
      </c>
      <c r="E1281" s="13" t="str">
        <f>+HYPERLINK("http://trademark.i-assist.jp/data/china/image_1889th/77232593.pdf","77232593")</f>
        <v>77232593</v>
      </c>
      <c r="F1281" s="7" t="s">
        <v>3584</v>
      </c>
      <c r="G1281" s="7" t="s">
        <v>3585</v>
      </c>
      <c r="H1281" s="7" t="s">
        <v>3586</v>
      </c>
      <c r="I1281" s="9">
        <v>45362</v>
      </c>
    </row>
    <row r="1282" spans="1:9" ht="27" x14ac:dyDescent="0.15">
      <c r="A1282" s="6">
        <v>1281</v>
      </c>
      <c r="B1282" s="7" t="s">
        <v>9</v>
      </c>
      <c r="C1282" s="8">
        <v>1889</v>
      </c>
      <c r="D1282" s="9">
        <v>45439</v>
      </c>
      <c r="E1282" s="13" t="str">
        <f>+HYPERLINK("http://trademark.i-assist.jp/data/china/image_1889th/77232735.pdf","77232735")</f>
        <v>77232735</v>
      </c>
      <c r="F1282" s="7" t="s">
        <v>3587</v>
      </c>
      <c r="G1282" s="7" t="s">
        <v>3588</v>
      </c>
      <c r="H1282" s="7" t="s">
        <v>3589</v>
      </c>
      <c r="I1282" s="9">
        <v>45362</v>
      </c>
    </row>
    <row r="1283" spans="1:9" x14ac:dyDescent="0.15">
      <c r="A1283" s="6">
        <v>1282</v>
      </c>
      <c r="B1283" s="7" t="s">
        <v>9</v>
      </c>
      <c r="C1283" s="8">
        <v>1889</v>
      </c>
      <c r="D1283" s="9">
        <v>45439</v>
      </c>
      <c r="E1283" s="13" t="str">
        <f>+HYPERLINK("http://trademark.i-assist.jp/data/china/image_1889th/77232901.pdf","77232901")</f>
        <v>77232901</v>
      </c>
      <c r="F1283" s="7" t="s">
        <v>3590</v>
      </c>
      <c r="G1283" s="7" t="s">
        <v>3591</v>
      </c>
      <c r="H1283" s="7" t="s">
        <v>3592</v>
      </c>
      <c r="I1283" s="9">
        <v>45362</v>
      </c>
    </row>
    <row r="1284" spans="1:9" x14ac:dyDescent="0.15">
      <c r="A1284" s="6">
        <v>1283</v>
      </c>
      <c r="B1284" s="7" t="s">
        <v>9</v>
      </c>
      <c r="C1284" s="8">
        <v>1889</v>
      </c>
      <c r="D1284" s="9">
        <v>45439</v>
      </c>
      <c r="E1284" s="13" t="str">
        <f>+HYPERLINK("http://trademark.i-assist.jp/data/china/image_1889th/77233018.pdf","77233018")</f>
        <v>77233018</v>
      </c>
      <c r="F1284" s="7" t="s">
        <v>134</v>
      </c>
      <c r="G1284" s="7" t="s">
        <v>3593</v>
      </c>
      <c r="H1284" s="7" t="s">
        <v>3594</v>
      </c>
      <c r="I1284" s="9">
        <v>45362</v>
      </c>
    </row>
    <row r="1285" spans="1:9" x14ac:dyDescent="0.15">
      <c r="A1285" s="6">
        <v>1284</v>
      </c>
      <c r="B1285" s="7" t="s">
        <v>9</v>
      </c>
      <c r="C1285" s="8">
        <v>1889</v>
      </c>
      <c r="D1285" s="9">
        <v>45439</v>
      </c>
      <c r="E1285" s="13" t="str">
        <f>+HYPERLINK("http://trademark.i-assist.jp/data/china/image_1889th/77233102.pdf","77233102")</f>
        <v>77233102</v>
      </c>
      <c r="F1285" s="7" t="s">
        <v>3595</v>
      </c>
      <c r="G1285" s="7" t="s">
        <v>3131</v>
      </c>
      <c r="H1285" s="7" t="s">
        <v>3596</v>
      </c>
      <c r="I1285" s="9">
        <v>45362</v>
      </c>
    </row>
    <row r="1286" spans="1:9" x14ac:dyDescent="0.15">
      <c r="A1286" s="6">
        <v>1285</v>
      </c>
      <c r="B1286" s="7" t="s">
        <v>9</v>
      </c>
      <c r="C1286" s="8">
        <v>1889</v>
      </c>
      <c r="D1286" s="9">
        <v>45439</v>
      </c>
      <c r="E1286" s="13" t="str">
        <f>+HYPERLINK("http://trademark.i-assist.jp/data/china/image_1889th/77233322.pdf","77233322")</f>
        <v>77233322</v>
      </c>
      <c r="F1286" s="7" t="s">
        <v>3597</v>
      </c>
      <c r="G1286" s="7" t="s">
        <v>3598</v>
      </c>
      <c r="H1286" s="7" t="s">
        <v>3599</v>
      </c>
      <c r="I1286" s="9">
        <v>45362</v>
      </c>
    </row>
    <row r="1287" spans="1:9" x14ac:dyDescent="0.15">
      <c r="A1287" s="6">
        <v>1286</v>
      </c>
      <c r="B1287" s="7" t="s">
        <v>9</v>
      </c>
      <c r="C1287" s="8">
        <v>1889</v>
      </c>
      <c r="D1287" s="9">
        <v>45439</v>
      </c>
      <c r="E1287" s="13" t="str">
        <f>+HYPERLINK("http://trademark.i-assist.jp/data/china/image_1889th/77233516.pdf","77233516")</f>
        <v>77233516</v>
      </c>
      <c r="F1287" s="7" t="s">
        <v>3600</v>
      </c>
      <c r="G1287" s="7" t="s">
        <v>3601</v>
      </c>
      <c r="H1287" s="7" t="s">
        <v>3602</v>
      </c>
      <c r="I1287" s="9">
        <v>45362</v>
      </c>
    </row>
    <row r="1288" spans="1:9" x14ac:dyDescent="0.15">
      <c r="A1288" s="6">
        <v>1287</v>
      </c>
      <c r="B1288" s="7" t="s">
        <v>9</v>
      </c>
      <c r="C1288" s="8">
        <v>1889</v>
      </c>
      <c r="D1288" s="9">
        <v>45439</v>
      </c>
      <c r="E1288" s="13" t="str">
        <f>+HYPERLINK("http://trademark.i-assist.jp/data/china/image_1889th/77233588.pdf","77233588")</f>
        <v>77233588</v>
      </c>
      <c r="F1288" s="7" t="s">
        <v>3603</v>
      </c>
      <c r="G1288" s="7" t="s">
        <v>1653</v>
      </c>
      <c r="H1288" s="7" t="s">
        <v>3604</v>
      </c>
      <c r="I1288" s="9">
        <v>45362</v>
      </c>
    </row>
    <row r="1289" spans="1:9" x14ac:dyDescent="0.15">
      <c r="A1289" s="6">
        <v>1288</v>
      </c>
      <c r="B1289" s="7" t="s">
        <v>9</v>
      </c>
      <c r="C1289" s="8">
        <v>1889</v>
      </c>
      <c r="D1289" s="9">
        <v>45439</v>
      </c>
      <c r="E1289" s="13" t="str">
        <f>+HYPERLINK("http://trademark.i-assist.jp/data/china/image_1889th/77233644.pdf","77233644")</f>
        <v>77233644</v>
      </c>
      <c r="F1289" s="7" t="s">
        <v>3605</v>
      </c>
      <c r="G1289" s="7" t="s">
        <v>1653</v>
      </c>
      <c r="H1289" s="7" t="s">
        <v>3606</v>
      </c>
      <c r="I1289" s="9">
        <v>45362</v>
      </c>
    </row>
    <row r="1290" spans="1:9" ht="27" x14ac:dyDescent="0.15">
      <c r="A1290" s="6">
        <v>1289</v>
      </c>
      <c r="B1290" s="7" t="s">
        <v>9</v>
      </c>
      <c r="C1290" s="8">
        <v>1889</v>
      </c>
      <c r="D1290" s="9">
        <v>45439</v>
      </c>
      <c r="E1290" s="13" t="str">
        <f>+HYPERLINK("http://trademark.i-assist.jp/data/china/image_1889th/77234178.pdf","77234178")</f>
        <v>77234178</v>
      </c>
      <c r="F1290" s="7" t="s">
        <v>3607</v>
      </c>
      <c r="G1290" s="7" t="s">
        <v>3442</v>
      </c>
      <c r="H1290" s="7" t="s">
        <v>3608</v>
      </c>
      <c r="I1290" s="9">
        <v>45362</v>
      </c>
    </row>
    <row r="1291" spans="1:9" ht="27" x14ac:dyDescent="0.15">
      <c r="A1291" s="6">
        <v>1290</v>
      </c>
      <c r="B1291" s="7" t="s">
        <v>9</v>
      </c>
      <c r="C1291" s="8">
        <v>1889</v>
      </c>
      <c r="D1291" s="9">
        <v>45439</v>
      </c>
      <c r="E1291" s="13" t="str">
        <f>+HYPERLINK("http://trademark.i-assist.jp/data/china/image_1889th/77234191.pdf","77234191")</f>
        <v>77234191</v>
      </c>
      <c r="F1291" s="7" t="s">
        <v>3609</v>
      </c>
      <c r="G1291" s="7" t="s">
        <v>2002</v>
      </c>
      <c r="H1291" s="7" t="s">
        <v>3610</v>
      </c>
      <c r="I1291" s="9">
        <v>45362</v>
      </c>
    </row>
    <row r="1292" spans="1:9" x14ac:dyDescent="0.15">
      <c r="A1292" s="6">
        <v>1291</v>
      </c>
      <c r="B1292" s="7" t="s">
        <v>9</v>
      </c>
      <c r="C1292" s="8">
        <v>1889</v>
      </c>
      <c r="D1292" s="9">
        <v>45439</v>
      </c>
      <c r="E1292" s="13" t="str">
        <f>+HYPERLINK("http://trademark.i-assist.jp/data/china/image_1889th/77234538.pdf","77234538")</f>
        <v>77234538</v>
      </c>
      <c r="F1292" s="7" t="s">
        <v>3611</v>
      </c>
      <c r="G1292" s="7" t="s">
        <v>3612</v>
      </c>
      <c r="H1292" s="7" t="s">
        <v>3613</v>
      </c>
      <c r="I1292" s="9">
        <v>45362</v>
      </c>
    </row>
    <row r="1293" spans="1:9" ht="27" x14ac:dyDescent="0.15">
      <c r="A1293" s="6">
        <v>1292</v>
      </c>
      <c r="B1293" s="7" t="s">
        <v>9</v>
      </c>
      <c r="C1293" s="8">
        <v>1889</v>
      </c>
      <c r="D1293" s="9">
        <v>45439</v>
      </c>
      <c r="E1293" s="13" t="str">
        <f>+HYPERLINK("http://trademark.i-assist.jp/data/china/image_1889th/77234620.pdf","77234620")</f>
        <v>77234620</v>
      </c>
      <c r="F1293" s="7" t="s">
        <v>3614</v>
      </c>
      <c r="G1293" s="7" t="s">
        <v>3615</v>
      </c>
      <c r="H1293" s="7" t="s">
        <v>3616</v>
      </c>
      <c r="I1293" s="9">
        <v>45362</v>
      </c>
    </row>
    <row r="1294" spans="1:9" x14ac:dyDescent="0.15">
      <c r="A1294" s="6">
        <v>1293</v>
      </c>
      <c r="B1294" s="7" t="s">
        <v>9</v>
      </c>
      <c r="C1294" s="8">
        <v>1889</v>
      </c>
      <c r="D1294" s="9">
        <v>45439</v>
      </c>
      <c r="E1294" s="13" t="str">
        <f>+HYPERLINK("http://trademark.i-assist.jp/data/china/image_1889th/77234670.pdf","77234670")</f>
        <v>77234670</v>
      </c>
      <c r="F1294" s="7" t="s">
        <v>3617</v>
      </c>
      <c r="G1294" s="7" t="s">
        <v>3618</v>
      </c>
      <c r="H1294" s="7" t="s">
        <v>3619</v>
      </c>
      <c r="I1294" s="9">
        <v>45358</v>
      </c>
    </row>
    <row r="1295" spans="1:9" x14ac:dyDescent="0.15">
      <c r="A1295" s="6">
        <v>1294</v>
      </c>
      <c r="B1295" s="7" t="s">
        <v>9</v>
      </c>
      <c r="C1295" s="8">
        <v>1889</v>
      </c>
      <c r="D1295" s="9">
        <v>45439</v>
      </c>
      <c r="E1295" s="13" t="str">
        <f>+HYPERLINK("http://trademark.i-assist.jp/data/china/image_1889th/77234822.pdf","77234822")</f>
        <v>77234822</v>
      </c>
      <c r="F1295" s="7" t="s">
        <v>3620</v>
      </c>
      <c r="G1295" s="7" t="s">
        <v>3621</v>
      </c>
      <c r="H1295" s="7" t="s">
        <v>3622</v>
      </c>
      <c r="I1295" s="9">
        <v>45363</v>
      </c>
    </row>
    <row r="1296" spans="1:9" x14ac:dyDescent="0.15">
      <c r="A1296" s="6">
        <v>1295</v>
      </c>
      <c r="B1296" s="7" t="s">
        <v>9</v>
      </c>
      <c r="C1296" s="8">
        <v>1889</v>
      </c>
      <c r="D1296" s="9">
        <v>45439</v>
      </c>
      <c r="E1296" s="13" t="str">
        <f>+HYPERLINK("http://trademark.i-assist.jp/data/china/image_1889th/77234900.pdf","77234900")</f>
        <v>77234900</v>
      </c>
      <c r="F1296" s="7" t="s">
        <v>3623</v>
      </c>
      <c r="G1296" s="7" t="s">
        <v>3624</v>
      </c>
      <c r="H1296" s="7" t="s">
        <v>3625</v>
      </c>
      <c r="I1296" s="9">
        <v>45363</v>
      </c>
    </row>
    <row r="1297" spans="1:9" x14ac:dyDescent="0.15">
      <c r="A1297" s="6">
        <v>1296</v>
      </c>
      <c r="B1297" s="7" t="s">
        <v>9</v>
      </c>
      <c r="C1297" s="8">
        <v>1889</v>
      </c>
      <c r="D1297" s="9">
        <v>45439</v>
      </c>
      <c r="E1297" s="13" t="str">
        <f>+HYPERLINK("http://trademark.i-assist.jp/data/china/image_1889th/77235348.pdf","77235348")</f>
        <v>77235348</v>
      </c>
      <c r="F1297" s="7" t="s">
        <v>3626</v>
      </c>
      <c r="G1297" s="7" t="s">
        <v>3627</v>
      </c>
      <c r="H1297" s="7" t="s">
        <v>3628</v>
      </c>
      <c r="I1297" s="9">
        <v>45363</v>
      </c>
    </row>
    <row r="1298" spans="1:9" ht="27" x14ac:dyDescent="0.15">
      <c r="A1298" s="6">
        <v>1297</v>
      </c>
      <c r="B1298" s="7" t="s">
        <v>9</v>
      </c>
      <c r="C1298" s="8">
        <v>1889</v>
      </c>
      <c r="D1298" s="9">
        <v>45439</v>
      </c>
      <c r="E1298" s="13" t="str">
        <f>+HYPERLINK("http://trademark.i-assist.jp/data/china/image_1889th/77235540.pdf","77235540")</f>
        <v>77235540</v>
      </c>
      <c r="F1298" s="7" t="s">
        <v>3629</v>
      </c>
      <c r="G1298" s="7" t="s">
        <v>3630</v>
      </c>
      <c r="H1298" s="7" t="s">
        <v>3631</v>
      </c>
      <c r="I1298" s="9">
        <v>45363</v>
      </c>
    </row>
    <row r="1299" spans="1:9" ht="27" x14ac:dyDescent="0.15">
      <c r="A1299" s="6">
        <v>1298</v>
      </c>
      <c r="B1299" s="7" t="s">
        <v>9</v>
      </c>
      <c r="C1299" s="8">
        <v>1889</v>
      </c>
      <c r="D1299" s="9">
        <v>45439</v>
      </c>
      <c r="E1299" s="13" t="str">
        <f>+HYPERLINK("http://trademark.i-assist.jp/data/china/image_1889th/77235720.pdf","77235720")</f>
        <v>77235720</v>
      </c>
      <c r="F1299" s="7" t="s">
        <v>3632</v>
      </c>
      <c r="G1299" s="7" t="s">
        <v>3633</v>
      </c>
      <c r="H1299" s="7" t="s">
        <v>3634</v>
      </c>
      <c r="I1299" s="9">
        <v>45363</v>
      </c>
    </row>
    <row r="1300" spans="1:9" ht="27" x14ac:dyDescent="0.15">
      <c r="A1300" s="6">
        <v>1299</v>
      </c>
      <c r="B1300" s="7" t="s">
        <v>9</v>
      </c>
      <c r="C1300" s="8">
        <v>1889</v>
      </c>
      <c r="D1300" s="9">
        <v>45439</v>
      </c>
      <c r="E1300" s="13" t="str">
        <f>+HYPERLINK("http://trademark.i-assist.jp/data/china/image_1889th/77235934.pdf","77235934")</f>
        <v>77235934</v>
      </c>
      <c r="F1300" s="7" t="s">
        <v>3635</v>
      </c>
      <c r="G1300" s="7" t="s">
        <v>3636</v>
      </c>
      <c r="H1300" s="7" t="s">
        <v>3637</v>
      </c>
      <c r="I1300" s="9">
        <v>45363</v>
      </c>
    </row>
    <row r="1301" spans="1:9" x14ac:dyDescent="0.15">
      <c r="A1301" s="6">
        <v>1300</v>
      </c>
      <c r="B1301" s="7" t="s">
        <v>9</v>
      </c>
      <c r="C1301" s="8">
        <v>1889</v>
      </c>
      <c r="D1301" s="9">
        <v>45439</v>
      </c>
      <c r="E1301" s="13" t="str">
        <f>+HYPERLINK("http://trademark.i-assist.jp/data/china/image_1889th/77235963.pdf","77235963")</f>
        <v>77235963</v>
      </c>
      <c r="F1301" s="7" t="s">
        <v>3638</v>
      </c>
      <c r="G1301" s="7" t="s">
        <v>3639</v>
      </c>
      <c r="H1301" s="7" t="s">
        <v>3640</v>
      </c>
      <c r="I1301" s="9">
        <v>45363</v>
      </c>
    </row>
    <row r="1302" spans="1:9" x14ac:dyDescent="0.15">
      <c r="A1302" s="6">
        <v>1301</v>
      </c>
      <c r="B1302" s="7" t="s">
        <v>9</v>
      </c>
      <c r="C1302" s="8">
        <v>1889</v>
      </c>
      <c r="D1302" s="9">
        <v>45439</v>
      </c>
      <c r="E1302" s="13" t="str">
        <f>+HYPERLINK("http://trademark.i-assist.jp/data/china/image_1889th/77235967.pdf","77235967")</f>
        <v>77235967</v>
      </c>
      <c r="F1302" s="7" t="s">
        <v>3641</v>
      </c>
      <c r="G1302" s="7" t="s">
        <v>3639</v>
      </c>
      <c r="H1302" s="7" t="s">
        <v>3642</v>
      </c>
      <c r="I1302" s="9">
        <v>45363</v>
      </c>
    </row>
    <row r="1303" spans="1:9" x14ac:dyDescent="0.15">
      <c r="A1303" s="6">
        <v>1302</v>
      </c>
      <c r="B1303" s="7" t="s">
        <v>9</v>
      </c>
      <c r="C1303" s="8">
        <v>1889</v>
      </c>
      <c r="D1303" s="9">
        <v>45439</v>
      </c>
      <c r="E1303" s="13" t="str">
        <f>+HYPERLINK("http://trademark.i-assist.jp/data/china/image_1889th/77235969.pdf","77235969")</f>
        <v>77235969</v>
      </c>
      <c r="F1303" s="7" t="s">
        <v>3643</v>
      </c>
      <c r="G1303" s="7" t="s">
        <v>3639</v>
      </c>
      <c r="H1303" s="7" t="s">
        <v>3644</v>
      </c>
      <c r="I1303" s="9">
        <v>45363</v>
      </c>
    </row>
    <row r="1304" spans="1:9" x14ac:dyDescent="0.15">
      <c r="A1304" s="6">
        <v>1303</v>
      </c>
      <c r="B1304" s="7" t="s">
        <v>9</v>
      </c>
      <c r="C1304" s="8">
        <v>1889</v>
      </c>
      <c r="D1304" s="9">
        <v>45439</v>
      </c>
      <c r="E1304" s="13" t="str">
        <f>+HYPERLINK("http://trademark.i-assist.jp/data/china/image_1889th/77236089.pdf","77236089")</f>
        <v>77236089</v>
      </c>
      <c r="F1304" s="7" t="s">
        <v>3645</v>
      </c>
      <c r="G1304" s="7" t="s">
        <v>3646</v>
      </c>
      <c r="H1304" s="7" t="s">
        <v>3647</v>
      </c>
      <c r="I1304" s="9">
        <v>45363</v>
      </c>
    </row>
    <row r="1305" spans="1:9" x14ac:dyDescent="0.15">
      <c r="A1305" s="6">
        <v>1304</v>
      </c>
      <c r="B1305" s="7" t="s">
        <v>9</v>
      </c>
      <c r="C1305" s="8">
        <v>1889</v>
      </c>
      <c r="D1305" s="9">
        <v>45439</v>
      </c>
      <c r="E1305" s="13" t="str">
        <f>+HYPERLINK("http://trademark.i-assist.jp/data/china/image_1889th/77236317.pdf","77236317")</f>
        <v>77236317</v>
      </c>
      <c r="F1305" s="7" t="s">
        <v>3648</v>
      </c>
      <c r="G1305" s="7" t="s">
        <v>3649</v>
      </c>
      <c r="H1305" s="7" t="s">
        <v>3650</v>
      </c>
      <c r="I1305" s="9">
        <v>45363</v>
      </c>
    </row>
    <row r="1306" spans="1:9" x14ac:dyDescent="0.15">
      <c r="A1306" s="6">
        <v>1305</v>
      </c>
      <c r="B1306" s="7" t="s">
        <v>9</v>
      </c>
      <c r="C1306" s="8">
        <v>1889</v>
      </c>
      <c r="D1306" s="9">
        <v>45439</v>
      </c>
      <c r="E1306" s="13" t="str">
        <f>+HYPERLINK("http://trademark.i-assist.jp/data/china/image_1889th/77236470.pdf","77236470")</f>
        <v>77236470</v>
      </c>
      <c r="F1306" s="7" t="s">
        <v>3651</v>
      </c>
      <c r="G1306" s="7" t="s">
        <v>3652</v>
      </c>
      <c r="H1306" s="7" t="s">
        <v>3653</v>
      </c>
      <c r="I1306" s="9">
        <v>45363</v>
      </c>
    </row>
    <row r="1307" spans="1:9" x14ac:dyDescent="0.15">
      <c r="A1307" s="6">
        <v>1306</v>
      </c>
      <c r="B1307" s="7" t="s">
        <v>9</v>
      </c>
      <c r="C1307" s="8">
        <v>1889</v>
      </c>
      <c r="D1307" s="9">
        <v>45439</v>
      </c>
      <c r="E1307" s="13" t="str">
        <f>+HYPERLINK("http://trademark.i-assist.jp/data/china/image_1889th/77236574.pdf","77236574")</f>
        <v>77236574</v>
      </c>
      <c r="F1307" s="7" t="s">
        <v>3654</v>
      </c>
      <c r="G1307" s="7" t="s">
        <v>3655</v>
      </c>
      <c r="H1307" s="7" t="s">
        <v>3656</v>
      </c>
      <c r="I1307" s="9">
        <v>45363</v>
      </c>
    </row>
    <row r="1308" spans="1:9" ht="27" x14ac:dyDescent="0.15">
      <c r="A1308" s="6">
        <v>1307</v>
      </c>
      <c r="B1308" s="7" t="s">
        <v>9</v>
      </c>
      <c r="C1308" s="8">
        <v>1889</v>
      </c>
      <c r="D1308" s="9">
        <v>45439</v>
      </c>
      <c r="E1308" s="13" t="str">
        <f>+HYPERLINK("http://trademark.i-assist.jp/data/china/image_1889th/77236838.pdf","77236838")</f>
        <v>77236838</v>
      </c>
      <c r="F1308" s="7" t="s">
        <v>3657</v>
      </c>
      <c r="G1308" s="7" t="s">
        <v>3658</v>
      </c>
      <c r="H1308" s="7" t="s">
        <v>3659</v>
      </c>
      <c r="I1308" s="9">
        <v>45363</v>
      </c>
    </row>
    <row r="1309" spans="1:9" x14ac:dyDescent="0.15">
      <c r="A1309" s="6">
        <v>1308</v>
      </c>
      <c r="B1309" s="7" t="s">
        <v>9</v>
      </c>
      <c r="C1309" s="8">
        <v>1889</v>
      </c>
      <c r="D1309" s="9">
        <v>45439</v>
      </c>
      <c r="E1309" s="13" t="str">
        <f>+HYPERLINK("http://trademark.i-assist.jp/data/china/image_1889th/77236891.pdf","77236891")</f>
        <v>77236891</v>
      </c>
      <c r="F1309" s="7" t="s">
        <v>3660</v>
      </c>
      <c r="G1309" s="7" t="s">
        <v>3661</v>
      </c>
      <c r="H1309" s="7" t="s">
        <v>3662</v>
      </c>
      <c r="I1309" s="9">
        <v>45363</v>
      </c>
    </row>
    <row r="1310" spans="1:9" ht="27" x14ac:dyDescent="0.15">
      <c r="A1310" s="6">
        <v>1309</v>
      </c>
      <c r="B1310" s="7" t="s">
        <v>9</v>
      </c>
      <c r="C1310" s="8">
        <v>1889</v>
      </c>
      <c r="D1310" s="9">
        <v>45439</v>
      </c>
      <c r="E1310" s="13" t="str">
        <f>+HYPERLINK("http://trademark.i-assist.jp/data/china/image_1889th/77237026.pdf","77237026")</f>
        <v>77237026</v>
      </c>
      <c r="F1310" s="7" t="s">
        <v>3663</v>
      </c>
      <c r="G1310" s="7" t="s">
        <v>3664</v>
      </c>
      <c r="H1310" s="7" t="s">
        <v>3665</v>
      </c>
      <c r="I1310" s="9">
        <v>45363</v>
      </c>
    </row>
    <row r="1311" spans="1:9" ht="27" x14ac:dyDescent="0.15">
      <c r="A1311" s="6">
        <v>1310</v>
      </c>
      <c r="B1311" s="7" t="s">
        <v>9</v>
      </c>
      <c r="C1311" s="8">
        <v>1889</v>
      </c>
      <c r="D1311" s="9">
        <v>45439</v>
      </c>
      <c r="E1311" s="13" t="str">
        <f>+HYPERLINK("http://trademark.i-assist.jp/data/china/image_1889th/77237152.pdf","77237152")</f>
        <v>77237152</v>
      </c>
      <c r="F1311" s="7" t="s">
        <v>3666</v>
      </c>
      <c r="G1311" s="7" t="s">
        <v>3667</v>
      </c>
      <c r="H1311" s="7" t="s">
        <v>3668</v>
      </c>
      <c r="I1311" s="9">
        <v>45363</v>
      </c>
    </row>
    <row r="1312" spans="1:9" x14ac:dyDescent="0.15">
      <c r="A1312" s="6">
        <v>1311</v>
      </c>
      <c r="B1312" s="7" t="s">
        <v>9</v>
      </c>
      <c r="C1312" s="8">
        <v>1889</v>
      </c>
      <c r="D1312" s="9">
        <v>45439</v>
      </c>
      <c r="E1312" s="13" t="str">
        <f>+HYPERLINK("http://trademark.i-assist.jp/data/china/image_1889th/77237316.pdf","77237316")</f>
        <v>77237316</v>
      </c>
      <c r="F1312" s="7" t="s">
        <v>3669</v>
      </c>
      <c r="G1312" s="7" t="s">
        <v>3670</v>
      </c>
      <c r="H1312" s="7" t="s">
        <v>3671</v>
      </c>
      <c r="I1312" s="9">
        <v>45363</v>
      </c>
    </row>
    <row r="1313" spans="1:9" ht="27" x14ac:dyDescent="0.15">
      <c r="A1313" s="6">
        <v>1312</v>
      </c>
      <c r="B1313" s="7" t="s">
        <v>9</v>
      </c>
      <c r="C1313" s="8">
        <v>1889</v>
      </c>
      <c r="D1313" s="9">
        <v>45439</v>
      </c>
      <c r="E1313" s="13" t="str">
        <f>+HYPERLINK("http://trademark.i-assist.jp/data/china/image_1889th/77237384.pdf","77237384")</f>
        <v>77237384</v>
      </c>
      <c r="F1313" s="7" t="s">
        <v>3672</v>
      </c>
      <c r="G1313" s="7" t="s">
        <v>3673</v>
      </c>
      <c r="H1313" s="7" t="s">
        <v>3674</v>
      </c>
      <c r="I1313" s="9">
        <v>45363</v>
      </c>
    </row>
    <row r="1314" spans="1:9" x14ac:dyDescent="0.15">
      <c r="A1314" s="6">
        <v>1313</v>
      </c>
      <c r="B1314" s="7" t="s">
        <v>9</v>
      </c>
      <c r="C1314" s="8">
        <v>1889</v>
      </c>
      <c r="D1314" s="9">
        <v>45439</v>
      </c>
      <c r="E1314" s="13" t="str">
        <f>+HYPERLINK("http://trademark.i-assist.jp/data/china/image_1889th/77237583.pdf","77237583")</f>
        <v>77237583</v>
      </c>
      <c r="F1314" s="7" t="s">
        <v>3675</v>
      </c>
      <c r="G1314" s="7" t="s">
        <v>3676</v>
      </c>
      <c r="H1314" s="7" t="s">
        <v>3677</v>
      </c>
      <c r="I1314" s="9">
        <v>45363</v>
      </c>
    </row>
    <row r="1315" spans="1:9" x14ac:dyDescent="0.15">
      <c r="A1315" s="6">
        <v>1314</v>
      </c>
      <c r="B1315" s="7" t="s">
        <v>9</v>
      </c>
      <c r="C1315" s="8">
        <v>1889</v>
      </c>
      <c r="D1315" s="9">
        <v>45439</v>
      </c>
      <c r="E1315" s="13" t="str">
        <f>+HYPERLINK("http://trademark.i-assist.jp/data/china/image_1889th/77237617.pdf","77237617")</f>
        <v>77237617</v>
      </c>
      <c r="F1315" s="7" t="s">
        <v>3678</v>
      </c>
      <c r="G1315" s="7" t="s">
        <v>3639</v>
      </c>
      <c r="H1315" s="7" t="s">
        <v>3679</v>
      </c>
      <c r="I1315" s="9">
        <v>45363</v>
      </c>
    </row>
    <row r="1316" spans="1:9" x14ac:dyDescent="0.15">
      <c r="A1316" s="6">
        <v>1315</v>
      </c>
      <c r="B1316" s="7" t="s">
        <v>9</v>
      </c>
      <c r="C1316" s="8">
        <v>1889</v>
      </c>
      <c r="D1316" s="9">
        <v>45439</v>
      </c>
      <c r="E1316" s="13" t="str">
        <f>+HYPERLINK("http://trademark.i-assist.jp/data/china/image_1889th/77237638.pdf","77237638")</f>
        <v>77237638</v>
      </c>
      <c r="F1316" s="7" t="s">
        <v>3680</v>
      </c>
      <c r="G1316" s="7" t="s">
        <v>3681</v>
      </c>
      <c r="H1316" s="7" t="s">
        <v>3682</v>
      </c>
      <c r="I1316" s="9">
        <v>45363</v>
      </c>
    </row>
    <row r="1317" spans="1:9" x14ac:dyDescent="0.15">
      <c r="A1317" s="6">
        <v>1316</v>
      </c>
      <c r="B1317" s="7" t="s">
        <v>9</v>
      </c>
      <c r="C1317" s="8">
        <v>1889</v>
      </c>
      <c r="D1317" s="9">
        <v>45439</v>
      </c>
      <c r="E1317" s="13" t="str">
        <f>+HYPERLINK("http://trademark.i-assist.jp/data/china/image_1889th/77237642.pdf","77237642")</f>
        <v>77237642</v>
      </c>
      <c r="F1317" s="7" t="s">
        <v>3683</v>
      </c>
      <c r="G1317" s="7" t="s">
        <v>3684</v>
      </c>
      <c r="H1317" s="7" t="s">
        <v>3685</v>
      </c>
      <c r="I1317" s="9">
        <v>45363</v>
      </c>
    </row>
    <row r="1318" spans="1:9" x14ac:dyDescent="0.15">
      <c r="A1318" s="6">
        <v>1317</v>
      </c>
      <c r="B1318" s="7" t="s">
        <v>9</v>
      </c>
      <c r="C1318" s="8">
        <v>1889</v>
      </c>
      <c r="D1318" s="9">
        <v>45439</v>
      </c>
      <c r="E1318" s="13" t="str">
        <f>+HYPERLINK("http://trademark.i-assist.jp/data/china/image_1889th/77237750.pdf","77237750")</f>
        <v>77237750</v>
      </c>
      <c r="F1318" s="7" t="s">
        <v>3686</v>
      </c>
      <c r="G1318" s="7" t="s">
        <v>3687</v>
      </c>
      <c r="H1318" s="7" t="s">
        <v>3688</v>
      </c>
      <c r="I1318" s="9">
        <v>45363</v>
      </c>
    </row>
    <row r="1319" spans="1:9" x14ac:dyDescent="0.15">
      <c r="A1319" s="6">
        <v>1318</v>
      </c>
      <c r="B1319" s="7" t="s">
        <v>9</v>
      </c>
      <c r="C1319" s="8">
        <v>1889</v>
      </c>
      <c r="D1319" s="9">
        <v>45439</v>
      </c>
      <c r="E1319" s="13" t="str">
        <f>+HYPERLINK("http://trademark.i-assist.jp/data/china/image_1889th/77237765.pdf","77237765")</f>
        <v>77237765</v>
      </c>
      <c r="F1319" s="7" t="s">
        <v>3689</v>
      </c>
      <c r="G1319" s="7" t="s">
        <v>3690</v>
      </c>
      <c r="H1319" s="7" t="s">
        <v>3691</v>
      </c>
      <c r="I1319" s="9">
        <v>45363</v>
      </c>
    </row>
    <row r="1320" spans="1:9" ht="27" x14ac:dyDescent="0.15">
      <c r="A1320" s="6">
        <v>1319</v>
      </c>
      <c r="B1320" s="7" t="s">
        <v>9</v>
      </c>
      <c r="C1320" s="8">
        <v>1889</v>
      </c>
      <c r="D1320" s="9">
        <v>45439</v>
      </c>
      <c r="E1320" s="13" t="str">
        <f>+HYPERLINK("http://trademark.i-assist.jp/data/china/image_1889th/77237876.pdf","77237876")</f>
        <v>77237876</v>
      </c>
      <c r="F1320" s="7" t="s">
        <v>134</v>
      </c>
      <c r="G1320" s="7" t="s">
        <v>3692</v>
      </c>
      <c r="H1320" s="7" t="s">
        <v>3693</v>
      </c>
      <c r="I1320" s="9">
        <v>45363</v>
      </c>
    </row>
    <row r="1321" spans="1:9" x14ac:dyDescent="0.15">
      <c r="A1321" s="6">
        <v>1320</v>
      </c>
      <c r="B1321" s="7" t="s">
        <v>9</v>
      </c>
      <c r="C1321" s="8">
        <v>1889</v>
      </c>
      <c r="D1321" s="9">
        <v>45439</v>
      </c>
      <c r="E1321" s="13" t="str">
        <f>+HYPERLINK("http://trademark.i-assist.jp/data/china/image_1889th/77237914.pdf","77237914")</f>
        <v>77237914</v>
      </c>
      <c r="F1321" s="7" t="s">
        <v>3694</v>
      </c>
      <c r="G1321" s="7" t="s">
        <v>3695</v>
      </c>
      <c r="H1321" s="7" t="s">
        <v>3696</v>
      </c>
      <c r="I1321" s="9">
        <v>45363</v>
      </c>
    </row>
    <row r="1322" spans="1:9" x14ac:dyDescent="0.15">
      <c r="A1322" s="6">
        <v>1321</v>
      </c>
      <c r="B1322" s="7" t="s">
        <v>9</v>
      </c>
      <c r="C1322" s="8">
        <v>1889</v>
      </c>
      <c r="D1322" s="9">
        <v>45439</v>
      </c>
      <c r="E1322" s="13" t="str">
        <f>+HYPERLINK("http://trademark.i-assist.jp/data/china/image_1889th/77238092.pdf","77238092")</f>
        <v>77238092</v>
      </c>
      <c r="F1322" s="7" t="s">
        <v>3697</v>
      </c>
      <c r="G1322" s="7" t="s">
        <v>3698</v>
      </c>
      <c r="H1322" s="7" t="s">
        <v>3699</v>
      </c>
      <c r="I1322" s="9">
        <v>45363</v>
      </c>
    </row>
    <row r="1323" spans="1:9" x14ac:dyDescent="0.15">
      <c r="A1323" s="6">
        <v>1322</v>
      </c>
      <c r="B1323" s="7" t="s">
        <v>9</v>
      </c>
      <c r="C1323" s="8">
        <v>1889</v>
      </c>
      <c r="D1323" s="9">
        <v>45439</v>
      </c>
      <c r="E1323" s="13" t="str">
        <f>+HYPERLINK("http://trademark.i-assist.jp/data/china/image_1889th/77238181.pdf","77238181")</f>
        <v>77238181</v>
      </c>
      <c r="F1323" s="7" t="s">
        <v>3700</v>
      </c>
      <c r="G1323" s="7" t="s">
        <v>3701</v>
      </c>
      <c r="H1323" s="7" t="s">
        <v>3702</v>
      </c>
      <c r="I1323" s="9">
        <v>45363</v>
      </c>
    </row>
    <row r="1324" spans="1:9" x14ac:dyDescent="0.15">
      <c r="A1324" s="6">
        <v>1323</v>
      </c>
      <c r="B1324" s="7" t="s">
        <v>9</v>
      </c>
      <c r="C1324" s="8">
        <v>1889</v>
      </c>
      <c r="D1324" s="9">
        <v>45439</v>
      </c>
      <c r="E1324" s="13" t="str">
        <f>+HYPERLINK("http://trademark.i-assist.jp/data/china/image_1889th/77238253.pdf","77238253")</f>
        <v>77238253</v>
      </c>
      <c r="F1324" s="7" t="s">
        <v>3703</v>
      </c>
      <c r="G1324" s="7" t="s">
        <v>3704</v>
      </c>
      <c r="H1324" s="7" t="s">
        <v>3705</v>
      </c>
      <c r="I1324" s="9">
        <v>45363</v>
      </c>
    </row>
    <row r="1325" spans="1:9" x14ac:dyDescent="0.15">
      <c r="A1325" s="6">
        <v>1324</v>
      </c>
      <c r="B1325" s="7" t="s">
        <v>9</v>
      </c>
      <c r="C1325" s="8">
        <v>1889</v>
      </c>
      <c r="D1325" s="9">
        <v>45439</v>
      </c>
      <c r="E1325" s="13" t="str">
        <f>+HYPERLINK("http://trademark.i-assist.jp/data/china/image_1889th/77238327.pdf","77238327")</f>
        <v>77238327</v>
      </c>
      <c r="F1325" s="7" t="s">
        <v>3706</v>
      </c>
      <c r="G1325" s="7" t="s">
        <v>3707</v>
      </c>
      <c r="H1325" s="7" t="s">
        <v>3708</v>
      </c>
      <c r="I1325" s="9">
        <v>45363</v>
      </c>
    </row>
    <row r="1326" spans="1:9" x14ac:dyDescent="0.15">
      <c r="A1326" s="6">
        <v>1325</v>
      </c>
      <c r="B1326" s="7" t="s">
        <v>9</v>
      </c>
      <c r="C1326" s="8">
        <v>1889</v>
      </c>
      <c r="D1326" s="9">
        <v>45439</v>
      </c>
      <c r="E1326" s="13" t="str">
        <f>+HYPERLINK("http://trademark.i-assist.jp/data/china/image_1889th/77238455.pdf","77238455")</f>
        <v>77238455</v>
      </c>
      <c r="F1326" s="7" t="s">
        <v>3709</v>
      </c>
      <c r="G1326" s="7" t="s">
        <v>3710</v>
      </c>
      <c r="H1326" s="7" t="s">
        <v>3711</v>
      </c>
      <c r="I1326" s="9">
        <v>45363</v>
      </c>
    </row>
    <row r="1327" spans="1:9" ht="27" x14ac:dyDescent="0.15">
      <c r="A1327" s="6">
        <v>1326</v>
      </c>
      <c r="B1327" s="7" t="s">
        <v>9</v>
      </c>
      <c r="C1327" s="8">
        <v>1889</v>
      </c>
      <c r="D1327" s="9">
        <v>45439</v>
      </c>
      <c r="E1327" s="13" t="str">
        <f>+HYPERLINK("http://trademark.i-assist.jp/data/china/image_1889th/77238544.pdf","77238544")</f>
        <v>77238544</v>
      </c>
      <c r="F1327" s="7" t="s">
        <v>3712</v>
      </c>
      <c r="G1327" s="7" t="s">
        <v>3713</v>
      </c>
      <c r="H1327" s="7" t="s">
        <v>3714</v>
      </c>
      <c r="I1327" s="9">
        <v>45363</v>
      </c>
    </row>
    <row r="1328" spans="1:9" x14ac:dyDescent="0.15">
      <c r="A1328" s="6">
        <v>1327</v>
      </c>
      <c r="B1328" s="7" t="s">
        <v>9</v>
      </c>
      <c r="C1328" s="8">
        <v>1889</v>
      </c>
      <c r="D1328" s="9">
        <v>45439</v>
      </c>
      <c r="E1328" s="13" t="str">
        <f>+HYPERLINK("http://trademark.i-assist.jp/data/china/image_1889th/77238553.pdf","77238553")</f>
        <v>77238553</v>
      </c>
      <c r="F1328" s="7" t="s">
        <v>3715</v>
      </c>
      <c r="G1328" s="7" t="s">
        <v>3716</v>
      </c>
      <c r="H1328" s="7" t="s">
        <v>3717</v>
      </c>
      <c r="I1328" s="9">
        <v>45363</v>
      </c>
    </row>
    <row r="1329" spans="1:9" x14ac:dyDescent="0.15">
      <c r="A1329" s="6">
        <v>1328</v>
      </c>
      <c r="B1329" s="7" t="s">
        <v>9</v>
      </c>
      <c r="C1329" s="8">
        <v>1889</v>
      </c>
      <c r="D1329" s="9">
        <v>45439</v>
      </c>
      <c r="E1329" s="13" t="str">
        <f>+HYPERLINK("http://trademark.i-assist.jp/data/china/image_1889th/77238661.pdf","77238661")</f>
        <v>77238661</v>
      </c>
      <c r="F1329" s="7" t="s">
        <v>3718</v>
      </c>
      <c r="G1329" s="7" t="s">
        <v>3719</v>
      </c>
      <c r="H1329" s="7" t="s">
        <v>3720</v>
      </c>
      <c r="I1329" s="9">
        <v>45363</v>
      </c>
    </row>
    <row r="1330" spans="1:9" x14ac:dyDescent="0.15">
      <c r="A1330" s="6">
        <v>1329</v>
      </c>
      <c r="B1330" s="7" t="s">
        <v>9</v>
      </c>
      <c r="C1330" s="8">
        <v>1889</v>
      </c>
      <c r="D1330" s="9">
        <v>45439</v>
      </c>
      <c r="E1330" s="13" t="str">
        <f>+HYPERLINK("http://trademark.i-assist.jp/data/china/image_1889th/77238689.pdf","77238689")</f>
        <v>77238689</v>
      </c>
      <c r="F1330" s="7" t="s">
        <v>134</v>
      </c>
      <c r="G1330" s="7" t="s">
        <v>3721</v>
      </c>
      <c r="H1330" s="7" t="s">
        <v>3722</v>
      </c>
      <c r="I1330" s="9">
        <v>45363</v>
      </c>
    </row>
    <row r="1331" spans="1:9" ht="27" x14ac:dyDescent="0.15">
      <c r="A1331" s="6">
        <v>1330</v>
      </c>
      <c r="B1331" s="7" t="s">
        <v>9</v>
      </c>
      <c r="C1331" s="8">
        <v>1889</v>
      </c>
      <c r="D1331" s="9">
        <v>45439</v>
      </c>
      <c r="E1331" s="13" t="str">
        <f>+HYPERLINK("http://trademark.i-assist.jp/data/china/image_1889th/77238698.pdf","77238698")</f>
        <v>77238698</v>
      </c>
      <c r="F1331" s="7" t="s">
        <v>3723</v>
      </c>
      <c r="G1331" s="7" t="s">
        <v>3673</v>
      </c>
      <c r="H1331" s="7" t="s">
        <v>3724</v>
      </c>
      <c r="I1331" s="9">
        <v>45363</v>
      </c>
    </row>
    <row r="1332" spans="1:9" x14ac:dyDescent="0.15">
      <c r="A1332" s="6">
        <v>1331</v>
      </c>
      <c r="B1332" s="7" t="s">
        <v>9</v>
      </c>
      <c r="C1332" s="8">
        <v>1889</v>
      </c>
      <c r="D1332" s="9">
        <v>45439</v>
      </c>
      <c r="E1332" s="13" t="str">
        <f>+HYPERLINK("http://trademark.i-assist.jp/data/china/image_1889th/77238794.pdf","77238794")</f>
        <v>77238794</v>
      </c>
      <c r="F1332" s="7" t="s">
        <v>3725</v>
      </c>
      <c r="G1332" s="7" t="s">
        <v>3726</v>
      </c>
      <c r="H1332" s="7" t="s">
        <v>3727</v>
      </c>
      <c r="I1332" s="9">
        <v>45363</v>
      </c>
    </row>
    <row r="1333" spans="1:9" x14ac:dyDescent="0.15">
      <c r="A1333" s="6">
        <v>1332</v>
      </c>
      <c r="B1333" s="7" t="s">
        <v>9</v>
      </c>
      <c r="C1333" s="8">
        <v>1889</v>
      </c>
      <c r="D1333" s="9">
        <v>45439</v>
      </c>
      <c r="E1333" s="13" t="str">
        <f>+HYPERLINK("http://trademark.i-assist.jp/data/china/image_1889th/77238897.pdf","77238897")</f>
        <v>77238897</v>
      </c>
      <c r="F1333" s="7" t="s">
        <v>3728</v>
      </c>
      <c r="G1333" s="7" t="s">
        <v>3729</v>
      </c>
      <c r="H1333" s="7" t="s">
        <v>3730</v>
      </c>
      <c r="I1333" s="9">
        <v>45363</v>
      </c>
    </row>
    <row r="1334" spans="1:9" x14ac:dyDescent="0.15">
      <c r="A1334" s="6">
        <v>1333</v>
      </c>
      <c r="B1334" s="7" t="s">
        <v>9</v>
      </c>
      <c r="C1334" s="8">
        <v>1889</v>
      </c>
      <c r="D1334" s="9">
        <v>45439</v>
      </c>
      <c r="E1334" s="13" t="str">
        <f>+HYPERLINK("http://trademark.i-assist.jp/data/china/image_1889th/77238938.pdf","77238938")</f>
        <v>77238938</v>
      </c>
      <c r="F1334" s="7" t="s">
        <v>3731</v>
      </c>
      <c r="G1334" s="7" t="s">
        <v>3732</v>
      </c>
      <c r="H1334" s="7" t="s">
        <v>3733</v>
      </c>
      <c r="I1334" s="9">
        <v>45363</v>
      </c>
    </row>
    <row r="1335" spans="1:9" x14ac:dyDescent="0.15">
      <c r="A1335" s="6">
        <v>1334</v>
      </c>
      <c r="B1335" s="7" t="s">
        <v>9</v>
      </c>
      <c r="C1335" s="8">
        <v>1889</v>
      </c>
      <c r="D1335" s="9">
        <v>45439</v>
      </c>
      <c r="E1335" s="13" t="str">
        <f>+HYPERLINK("http://trademark.i-assist.jp/data/china/image_1889th/77239098.pdf","77239098")</f>
        <v>77239098</v>
      </c>
      <c r="F1335" s="7" t="s">
        <v>3734</v>
      </c>
      <c r="G1335" s="7" t="s">
        <v>3735</v>
      </c>
      <c r="H1335" s="7" t="s">
        <v>3736</v>
      </c>
      <c r="I1335" s="9">
        <v>45363</v>
      </c>
    </row>
    <row r="1336" spans="1:9" x14ac:dyDescent="0.15">
      <c r="A1336" s="6">
        <v>1335</v>
      </c>
      <c r="B1336" s="7" t="s">
        <v>9</v>
      </c>
      <c r="C1336" s="8">
        <v>1889</v>
      </c>
      <c r="D1336" s="9">
        <v>45439</v>
      </c>
      <c r="E1336" s="13" t="str">
        <f>+HYPERLINK("http://trademark.i-assist.jp/data/china/image_1889th/77239159.pdf","77239159")</f>
        <v>77239159</v>
      </c>
      <c r="F1336" s="7" t="s">
        <v>3737</v>
      </c>
      <c r="G1336" s="7" t="s">
        <v>3738</v>
      </c>
      <c r="H1336" s="7" t="s">
        <v>3739</v>
      </c>
      <c r="I1336" s="9">
        <v>45363</v>
      </c>
    </row>
    <row r="1337" spans="1:9" x14ac:dyDescent="0.15">
      <c r="A1337" s="6">
        <v>1336</v>
      </c>
      <c r="B1337" s="7" t="s">
        <v>9</v>
      </c>
      <c r="C1337" s="8">
        <v>1889</v>
      </c>
      <c r="D1337" s="9">
        <v>45439</v>
      </c>
      <c r="E1337" s="13" t="str">
        <f>+HYPERLINK("http://trademark.i-assist.jp/data/china/image_1889th/77239197.pdf","77239197")</f>
        <v>77239197</v>
      </c>
      <c r="F1337" s="7" t="s">
        <v>3740</v>
      </c>
      <c r="G1337" s="7" t="s">
        <v>3741</v>
      </c>
      <c r="H1337" s="7" t="s">
        <v>3742</v>
      </c>
      <c r="I1337" s="9">
        <v>45363</v>
      </c>
    </row>
    <row r="1338" spans="1:9" x14ac:dyDescent="0.15">
      <c r="A1338" s="6">
        <v>1337</v>
      </c>
      <c r="B1338" s="7" t="s">
        <v>9</v>
      </c>
      <c r="C1338" s="8">
        <v>1889</v>
      </c>
      <c r="D1338" s="9">
        <v>45439</v>
      </c>
      <c r="E1338" s="13" t="str">
        <f>+HYPERLINK("http://trademark.i-assist.jp/data/china/image_1889th/77239230.pdf","77239230")</f>
        <v>77239230</v>
      </c>
      <c r="F1338" s="7" t="s">
        <v>3743</v>
      </c>
      <c r="G1338" s="7" t="s">
        <v>3744</v>
      </c>
      <c r="H1338" s="7" t="s">
        <v>3745</v>
      </c>
      <c r="I1338" s="9">
        <v>45363</v>
      </c>
    </row>
    <row r="1339" spans="1:9" x14ac:dyDescent="0.15">
      <c r="A1339" s="6">
        <v>1338</v>
      </c>
      <c r="B1339" s="7" t="s">
        <v>9</v>
      </c>
      <c r="C1339" s="8">
        <v>1889</v>
      </c>
      <c r="D1339" s="9">
        <v>45439</v>
      </c>
      <c r="E1339" s="13" t="str">
        <f>+HYPERLINK("http://trademark.i-assist.jp/data/china/image_1889th/77239298.pdf","77239298")</f>
        <v>77239298</v>
      </c>
      <c r="F1339" s="7" t="s">
        <v>3746</v>
      </c>
      <c r="G1339" s="7" t="s">
        <v>3747</v>
      </c>
      <c r="H1339" s="7" t="s">
        <v>3748</v>
      </c>
      <c r="I1339" s="9">
        <v>45363</v>
      </c>
    </row>
    <row r="1340" spans="1:9" x14ac:dyDescent="0.15">
      <c r="A1340" s="6">
        <v>1339</v>
      </c>
      <c r="B1340" s="7" t="s">
        <v>9</v>
      </c>
      <c r="C1340" s="8">
        <v>1889</v>
      </c>
      <c r="D1340" s="9">
        <v>45439</v>
      </c>
      <c r="E1340" s="13" t="str">
        <f>+HYPERLINK("http://trademark.i-assist.jp/data/china/image_1889th/77239728.pdf","77239728")</f>
        <v>77239728</v>
      </c>
      <c r="F1340" s="7" t="s">
        <v>134</v>
      </c>
      <c r="G1340" s="7" t="s">
        <v>3749</v>
      </c>
      <c r="H1340" s="7" t="s">
        <v>3750</v>
      </c>
      <c r="I1340" s="9">
        <v>45363</v>
      </c>
    </row>
    <row r="1341" spans="1:9" x14ac:dyDescent="0.15">
      <c r="A1341" s="6">
        <v>1340</v>
      </c>
      <c r="B1341" s="7" t="s">
        <v>9</v>
      </c>
      <c r="C1341" s="8">
        <v>1889</v>
      </c>
      <c r="D1341" s="9">
        <v>45439</v>
      </c>
      <c r="E1341" s="13" t="str">
        <f>+HYPERLINK("http://trademark.i-assist.jp/data/china/image_1889th/77239881.pdf","77239881")</f>
        <v>77239881</v>
      </c>
      <c r="F1341" s="7" t="s">
        <v>3751</v>
      </c>
      <c r="G1341" s="7" t="s">
        <v>3752</v>
      </c>
      <c r="H1341" s="7" t="s">
        <v>3753</v>
      </c>
      <c r="I1341" s="9">
        <v>45363</v>
      </c>
    </row>
    <row r="1342" spans="1:9" x14ac:dyDescent="0.15">
      <c r="A1342" s="6">
        <v>1341</v>
      </c>
      <c r="B1342" s="7" t="s">
        <v>9</v>
      </c>
      <c r="C1342" s="8">
        <v>1889</v>
      </c>
      <c r="D1342" s="9">
        <v>45439</v>
      </c>
      <c r="E1342" s="13" t="str">
        <f>+HYPERLINK("http://trademark.i-assist.jp/data/china/image_1889th/77239885.pdf","77239885")</f>
        <v>77239885</v>
      </c>
      <c r="F1342" s="7" t="s">
        <v>3754</v>
      </c>
      <c r="G1342" s="7" t="s">
        <v>3755</v>
      </c>
      <c r="H1342" s="7" t="s">
        <v>3756</v>
      </c>
      <c r="I1342" s="9">
        <v>45363</v>
      </c>
    </row>
    <row r="1343" spans="1:9" x14ac:dyDescent="0.15">
      <c r="A1343" s="6">
        <v>1342</v>
      </c>
      <c r="B1343" s="7" t="s">
        <v>9</v>
      </c>
      <c r="C1343" s="8">
        <v>1889</v>
      </c>
      <c r="D1343" s="9">
        <v>45439</v>
      </c>
      <c r="E1343" s="13" t="str">
        <f>+HYPERLINK("http://trademark.i-assist.jp/data/china/image_1889th/77239961.pdf","77239961")</f>
        <v>77239961</v>
      </c>
      <c r="F1343" s="7" t="s">
        <v>3757</v>
      </c>
      <c r="G1343" s="7" t="s">
        <v>3758</v>
      </c>
      <c r="H1343" s="7" t="s">
        <v>3759</v>
      </c>
      <c r="I1343" s="9">
        <v>45363</v>
      </c>
    </row>
    <row r="1344" spans="1:9" ht="27" x14ac:dyDescent="0.15">
      <c r="A1344" s="6">
        <v>1343</v>
      </c>
      <c r="B1344" s="7" t="s">
        <v>9</v>
      </c>
      <c r="C1344" s="8">
        <v>1889</v>
      </c>
      <c r="D1344" s="9">
        <v>45439</v>
      </c>
      <c r="E1344" s="13" t="str">
        <f>+HYPERLINK("http://trademark.i-assist.jp/data/china/image_1889th/77240182.pdf","77240182")</f>
        <v>77240182</v>
      </c>
      <c r="F1344" s="7" t="s">
        <v>3760</v>
      </c>
      <c r="G1344" s="7" t="s">
        <v>3761</v>
      </c>
      <c r="H1344" s="7" t="s">
        <v>3762</v>
      </c>
      <c r="I1344" s="9">
        <v>45363</v>
      </c>
    </row>
    <row r="1345" spans="1:9" x14ac:dyDescent="0.15">
      <c r="A1345" s="6">
        <v>1344</v>
      </c>
      <c r="B1345" s="7" t="s">
        <v>9</v>
      </c>
      <c r="C1345" s="8">
        <v>1889</v>
      </c>
      <c r="D1345" s="9">
        <v>45439</v>
      </c>
      <c r="E1345" s="13" t="str">
        <f>+HYPERLINK("http://trademark.i-assist.jp/data/china/image_1889th/77240321.pdf","77240321")</f>
        <v>77240321</v>
      </c>
      <c r="F1345" s="7" t="s">
        <v>3763</v>
      </c>
      <c r="G1345" s="7" t="s">
        <v>3639</v>
      </c>
      <c r="H1345" s="7" t="s">
        <v>3764</v>
      </c>
      <c r="I1345" s="9">
        <v>45363</v>
      </c>
    </row>
    <row r="1346" spans="1:9" x14ac:dyDescent="0.15">
      <c r="A1346" s="6">
        <v>1345</v>
      </c>
      <c r="B1346" s="7" t="s">
        <v>9</v>
      </c>
      <c r="C1346" s="8">
        <v>1889</v>
      </c>
      <c r="D1346" s="9">
        <v>45439</v>
      </c>
      <c r="E1346" s="13" t="str">
        <f>+HYPERLINK("http://trademark.i-assist.jp/data/china/image_1889th/77240385.pdf","77240385")</f>
        <v>77240385</v>
      </c>
      <c r="F1346" s="7" t="s">
        <v>3765</v>
      </c>
      <c r="G1346" s="7" t="s">
        <v>3766</v>
      </c>
      <c r="H1346" s="7" t="s">
        <v>3767</v>
      </c>
      <c r="I1346" s="9">
        <v>45363</v>
      </c>
    </row>
    <row r="1347" spans="1:9" x14ac:dyDescent="0.15">
      <c r="A1347" s="6">
        <v>1346</v>
      </c>
      <c r="B1347" s="7" t="s">
        <v>9</v>
      </c>
      <c r="C1347" s="8">
        <v>1889</v>
      </c>
      <c r="D1347" s="9">
        <v>45439</v>
      </c>
      <c r="E1347" s="13" t="str">
        <f>+HYPERLINK("http://trademark.i-assist.jp/data/china/image_1889th/77240518.pdf","77240518")</f>
        <v>77240518</v>
      </c>
      <c r="F1347" s="7" t="s">
        <v>3768</v>
      </c>
      <c r="G1347" s="7" t="s">
        <v>3769</v>
      </c>
      <c r="H1347" s="7" t="s">
        <v>3770</v>
      </c>
      <c r="I1347" s="9">
        <v>45363</v>
      </c>
    </row>
    <row r="1348" spans="1:9" x14ac:dyDescent="0.15">
      <c r="A1348" s="6">
        <v>1347</v>
      </c>
      <c r="B1348" s="7" t="s">
        <v>9</v>
      </c>
      <c r="C1348" s="8">
        <v>1889</v>
      </c>
      <c r="D1348" s="9">
        <v>45439</v>
      </c>
      <c r="E1348" s="13" t="str">
        <f>+HYPERLINK("http://trademark.i-assist.jp/data/china/image_1889th/77240521.pdf","77240521")</f>
        <v>77240521</v>
      </c>
      <c r="F1348" s="7" t="s">
        <v>3771</v>
      </c>
      <c r="G1348" s="7" t="s">
        <v>3772</v>
      </c>
      <c r="H1348" s="7" t="s">
        <v>3773</v>
      </c>
      <c r="I1348" s="9">
        <v>45363</v>
      </c>
    </row>
    <row r="1349" spans="1:9" x14ac:dyDescent="0.15">
      <c r="A1349" s="6">
        <v>1348</v>
      </c>
      <c r="B1349" s="7" t="s">
        <v>9</v>
      </c>
      <c r="C1349" s="8">
        <v>1889</v>
      </c>
      <c r="D1349" s="9">
        <v>45439</v>
      </c>
      <c r="E1349" s="13" t="str">
        <f>+HYPERLINK("http://trademark.i-assist.jp/data/china/image_1889th/77240584.pdf","77240584")</f>
        <v>77240584</v>
      </c>
      <c r="F1349" s="7" t="s">
        <v>3774</v>
      </c>
      <c r="G1349" s="7" t="s">
        <v>3775</v>
      </c>
      <c r="H1349" s="7" t="s">
        <v>3776</v>
      </c>
      <c r="I1349" s="9">
        <v>45363</v>
      </c>
    </row>
    <row r="1350" spans="1:9" x14ac:dyDescent="0.15">
      <c r="A1350" s="6">
        <v>1349</v>
      </c>
      <c r="B1350" s="7" t="s">
        <v>9</v>
      </c>
      <c r="C1350" s="8">
        <v>1889</v>
      </c>
      <c r="D1350" s="9">
        <v>45439</v>
      </c>
      <c r="E1350" s="13" t="str">
        <f>+HYPERLINK("http://trademark.i-assist.jp/data/china/image_1889th/77240652.pdf","77240652")</f>
        <v>77240652</v>
      </c>
      <c r="F1350" s="7" t="s">
        <v>3777</v>
      </c>
      <c r="G1350" s="7" t="s">
        <v>3778</v>
      </c>
      <c r="H1350" s="7" t="s">
        <v>3779</v>
      </c>
      <c r="I1350" s="9">
        <v>45363</v>
      </c>
    </row>
    <row r="1351" spans="1:9" x14ac:dyDescent="0.15">
      <c r="A1351" s="6">
        <v>1350</v>
      </c>
      <c r="B1351" s="7" t="s">
        <v>9</v>
      </c>
      <c r="C1351" s="8">
        <v>1889</v>
      </c>
      <c r="D1351" s="9">
        <v>45439</v>
      </c>
      <c r="E1351" s="13" t="str">
        <f>+HYPERLINK("http://trademark.i-assist.jp/data/china/image_1889th/77240768.pdf","77240768")</f>
        <v>77240768</v>
      </c>
      <c r="F1351" s="7" t="s">
        <v>3780</v>
      </c>
      <c r="G1351" s="7" t="s">
        <v>3781</v>
      </c>
      <c r="H1351" s="7" t="s">
        <v>3782</v>
      </c>
      <c r="I1351" s="9">
        <v>45363</v>
      </c>
    </row>
    <row r="1352" spans="1:9" x14ac:dyDescent="0.15">
      <c r="A1352" s="6">
        <v>1351</v>
      </c>
      <c r="B1352" s="7" t="s">
        <v>9</v>
      </c>
      <c r="C1352" s="8">
        <v>1889</v>
      </c>
      <c r="D1352" s="9">
        <v>45439</v>
      </c>
      <c r="E1352" s="13" t="str">
        <f>+HYPERLINK("http://trademark.i-assist.jp/data/china/image_1889th/77240952.pdf","77240952")</f>
        <v>77240952</v>
      </c>
      <c r="F1352" s="7" t="s">
        <v>3783</v>
      </c>
      <c r="G1352" s="7" t="s">
        <v>3784</v>
      </c>
      <c r="H1352" s="7" t="s">
        <v>3785</v>
      </c>
      <c r="I1352" s="9">
        <v>45363</v>
      </c>
    </row>
    <row r="1353" spans="1:9" x14ac:dyDescent="0.15">
      <c r="A1353" s="6">
        <v>1352</v>
      </c>
      <c r="B1353" s="7" t="s">
        <v>9</v>
      </c>
      <c r="C1353" s="8">
        <v>1889</v>
      </c>
      <c r="D1353" s="9">
        <v>45439</v>
      </c>
      <c r="E1353" s="13" t="str">
        <f>+HYPERLINK("http://trademark.i-assist.jp/data/china/image_1889th/77240980.pdf","77240980")</f>
        <v>77240980</v>
      </c>
      <c r="F1353" s="7" t="s">
        <v>3786</v>
      </c>
      <c r="G1353" s="7" t="s">
        <v>3698</v>
      </c>
      <c r="H1353" s="7" t="s">
        <v>3787</v>
      </c>
      <c r="I1353" s="9">
        <v>45363</v>
      </c>
    </row>
    <row r="1354" spans="1:9" x14ac:dyDescent="0.15">
      <c r="A1354" s="6">
        <v>1353</v>
      </c>
      <c r="B1354" s="7" t="s">
        <v>9</v>
      </c>
      <c r="C1354" s="8">
        <v>1889</v>
      </c>
      <c r="D1354" s="9">
        <v>45439</v>
      </c>
      <c r="E1354" s="13" t="str">
        <f>+HYPERLINK("http://trademark.i-assist.jp/data/china/image_1889th/77241009.pdf","77241009")</f>
        <v>77241009</v>
      </c>
      <c r="F1354" s="7" t="s">
        <v>3788</v>
      </c>
      <c r="G1354" s="7" t="s">
        <v>3789</v>
      </c>
      <c r="H1354" s="7" t="s">
        <v>3790</v>
      </c>
      <c r="I1354" s="9">
        <v>45363</v>
      </c>
    </row>
    <row r="1355" spans="1:9" x14ac:dyDescent="0.15">
      <c r="A1355" s="6">
        <v>1354</v>
      </c>
      <c r="B1355" s="7" t="s">
        <v>9</v>
      </c>
      <c r="C1355" s="8">
        <v>1889</v>
      </c>
      <c r="D1355" s="9">
        <v>45439</v>
      </c>
      <c r="E1355" s="13" t="str">
        <f>+HYPERLINK("http://trademark.i-assist.jp/data/china/image_1889th/77241279.pdf","77241279")</f>
        <v>77241279</v>
      </c>
      <c r="F1355" s="7" t="s">
        <v>3791</v>
      </c>
      <c r="G1355" s="7" t="s">
        <v>3792</v>
      </c>
      <c r="H1355" s="7" t="s">
        <v>3793</v>
      </c>
      <c r="I1355" s="9">
        <v>45363</v>
      </c>
    </row>
    <row r="1356" spans="1:9" x14ac:dyDescent="0.15">
      <c r="A1356" s="6">
        <v>1355</v>
      </c>
      <c r="B1356" s="7" t="s">
        <v>9</v>
      </c>
      <c r="C1356" s="8">
        <v>1889</v>
      </c>
      <c r="D1356" s="9">
        <v>45439</v>
      </c>
      <c r="E1356" s="13" t="str">
        <f>+HYPERLINK("http://trademark.i-assist.jp/data/china/image_1889th/77241292.pdf","77241292")</f>
        <v>77241292</v>
      </c>
      <c r="F1356" s="7" t="s">
        <v>3794</v>
      </c>
      <c r="G1356" s="7" t="s">
        <v>3795</v>
      </c>
      <c r="H1356" s="7" t="s">
        <v>3796</v>
      </c>
      <c r="I1356" s="9">
        <v>45363</v>
      </c>
    </row>
    <row r="1357" spans="1:9" x14ac:dyDescent="0.15">
      <c r="A1357" s="6">
        <v>1356</v>
      </c>
      <c r="B1357" s="7" t="s">
        <v>9</v>
      </c>
      <c r="C1357" s="8">
        <v>1889</v>
      </c>
      <c r="D1357" s="9">
        <v>45439</v>
      </c>
      <c r="E1357" s="13" t="str">
        <f>+HYPERLINK("http://trademark.i-assist.jp/data/china/image_1889th/77241577.pdf","77241577")</f>
        <v>77241577</v>
      </c>
      <c r="F1357" s="7" t="s">
        <v>3797</v>
      </c>
      <c r="G1357" s="7" t="s">
        <v>3798</v>
      </c>
      <c r="H1357" s="7" t="s">
        <v>3799</v>
      </c>
      <c r="I1357" s="9">
        <v>45363</v>
      </c>
    </row>
    <row r="1358" spans="1:9" x14ac:dyDescent="0.15">
      <c r="A1358" s="6">
        <v>1357</v>
      </c>
      <c r="B1358" s="7" t="s">
        <v>9</v>
      </c>
      <c r="C1358" s="8">
        <v>1889</v>
      </c>
      <c r="D1358" s="9">
        <v>45439</v>
      </c>
      <c r="E1358" s="13" t="str">
        <f>+HYPERLINK("http://trademark.i-assist.jp/data/china/image_1889th/77241832.pdf","77241832")</f>
        <v>77241832</v>
      </c>
      <c r="F1358" s="7" t="s">
        <v>3800</v>
      </c>
      <c r="G1358" s="7" t="s">
        <v>3801</v>
      </c>
      <c r="H1358" s="7" t="s">
        <v>3802</v>
      </c>
      <c r="I1358" s="9">
        <v>45363</v>
      </c>
    </row>
    <row r="1359" spans="1:9" x14ac:dyDescent="0.15">
      <c r="A1359" s="6">
        <v>1358</v>
      </c>
      <c r="B1359" s="7" t="s">
        <v>9</v>
      </c>
      <c r="C1359" s="8">
        <v>1889</v>
      </c>
      <c r="D1359" s="9">
        <v>45439</v>
      </c>
      <c r="E1359" s="13" t="str">
        <f>+HYPERLINK("http://trademark.i-assist.jp/data/china/image_1889th/77241943.pdf","77241943")</f>
        <v>77241943</v>
      </c>
      <c r="F1359" s="7" t="s">
        <v>3803</v>
      </c>
      <c r="G1359" s="7" t="s">
        <v>3804</v>
      </c>
      <c r="H1359" s="7" t="s">
        <v>3805</v>
      </c>
      <c r="I1359" s="9">
        <v>45363</v>
      </c>
    </row>
    <row r="1360" spans="1:9" x14ac:dyDescent="0.15">
      <c r="A1360" s="6">
        <v>1359</v>
      </c>
      <c r="B1360" s="7" t="s">
        <v>9</v>
      </c>
      <c r="C1360" s="8">
        <v>1889</v>
      </c>
      <c r="D1360" s="9">
        <v>45439</v>
      </c>
      <c r="E1360" s="13" t="str">
        <f>+HYPERLINK("http://trademark.i-assist.jp/data/china/image_1889th/77242104.pdf","77242104")</f>
        <v>77242104</v>
      </c>
      <c r="F1360" s="7" t="s">
        <v>3806</v>
      </c>
      <c r="G1360" s="7" t="s">
        <v>3807</v>
      </c>
      <c r="H1360" s="7" t="s">
        <v>3808</v>
      </c>
      <c r="I1360" s="9">
        <v>45363</v>
      </c>
    </row>
    <row r="1361" spans="1:9" ht="27" x14ac:dyDescent="0.15">
      <c r="A1361" s="6">
        <v>1360</v>
      </c>
      <c r="B1361" s="7" t="s">
        <v>9</v>
      </c>
      <c r="C1361" s="8">
        <v>1889</v>
      </c>
      <c r="D1361" s="9">
        <v>45439</v>
      </c>
      <c r="E1361" s="13" t="str">
        <f>+HYPERLINK("http://trademark.i-assist.jp/data/china/image_1889th/77242394.pdf","77242394")</f>
        <v>77242394</v>
      </c>
      <c r="F1361" s="7" t="s">
        <v>3809</v>
      </c>
      <c r="G1361" s="7" t="s">
        <v>3761</v>
      </c>
      <c r="H1361" s="7" t="s">
        <v>3810</v>
      </c>
      <c r="I1361" s="9">
        <v>45363</v>
      </c>
    </row>
    <row r="1362" spans="1:9" x14ac:dyDescent="0.15">
      <c r="A1362" s="6">
        <v>1361</v>
      </c>
      <c r="B1362" s="7" t="s">
        <v>9</v>
      </c>
      <c r="C1362" s="8">
        <v>1889</v>
      </c>
      <c r="D1362" s="9">
        <v>45439</v>
      </c>
      <c r="E1362" s="13" t="str">
        <f>+HYPERLINK("http://trademark.i-assist.jp/data/china/image_1889th/77242443.pdf","77242443")</f>
        <v>77242443</v>
      </c>
      <c r="F1362" s="7" t="s">
        <v>3811</v>
      </c>
      <c r="G1362" s="7" t="s">
        <v>3716</v>
      </c>
      <c r="H1362" s="7" t="s">
        <v>3812</v>
      </c>
      <c r="I1362" s="9">
        <v>45363</v>
      </c>
    </row>
    <row r="1363" spans="1:9" x14ac:dyDescent="0.15">
      <c r="A1363" s="6">
        <v>1362</v>
      </c>
      <c r="B1363" s="7" t="s">
        <v>9</v>
      </c>
      <c r="C1363" s="8">
        <v>1889</v>
      </c>
      <c r="D1363" s="9">
        <v>45439</v>
      </c>
      <c r="E1363" s="13" t="str">
        <f>+HYPERLINK("http://trademark.i-assist.jp/data/china/image_1889th/77242713.pdf","77242713")</f>
        <v>77242713</v>
      </c>
      <c r="F1363" s="7" t="s">
        <v>3813</v>
      </c>
      <c r="G1363" s="7" t="s">
        <v>3814</v>
      </c>
      <c r="H1363" s="7" t="s">
        <v>3815</v>
      </c>
      <c r="I1363" s="9">
        <v>45363</v>
      </c>
    </row>
    <row r="1364" spans="1:9" x14ac:dyDescent="0.15">
      <c r="A1364" s="6">
        <v>1363</v>
      </c>
      <c r="B1364" s="7" t="s">
        <v>9</v>
      </c>
      <c r="C1364" s="8">
        <v>1889</v>
      </c>
      <c r="D1364" s="9">
        <v>45439</v>
      </c>
      <c r="E1364" s="13" t="str">
        <f>+HYPERLINK("http://trademark.i-assist.jp/data/china/image_1889th/77243287.pdf","77243287")</f>
        <v>77243287</v>
      </c>
      <c r="F1364" s="7" t="s">
        <v>3816</v>
      </c>
      <c r="G1364" s="7" t="s">
        <v>2884</v>
      </c>
      <c r="H1364" s="7" t="s">
        <v>3817</v>
      </c>
      <c r="I1364" s="9">
        <v>45363</v>
      </c>
    </row>
    <row r="1365" spans="1:9" x14ac:dyDescent="0.15">
      <c r="A1365" s="6">
        <v>1364</v>
      </c>
      <c r="B1365" s="7" t="s">
        <v>9</v>
      </c>
      <c r="C1365" s="8">
        <v>1889</v>
      </c>
      <c r="D1365" s="9">
        <v>45439</v>
      </c>
      <c r="E1365" s="13" t="str">
        <f>+HYPERLINK("http://trademark.i-assist.jp/data/china/image_1889th/77243372.pdf","77243372")</f>
        <v>77243372</v>
      </c>
      <c r="F1365" s="7" t="s">
        <v>3818</v>
      </c>
      <c r="G1365" s="7" t="s">
        <v>3819</v>
      </c>
      <c r="H1365" s="7" t="s">
        <v>3820</v>
      </c>
      <c r="I1365" s="9">
        <v>45363</v>
      </c>
    </row>
    <row r="1366" spans="1:9" ht="27" x14ac:dyDescent="0.15">
      <c r="A1366" s="6">
        <v>1365</v>
      </c>
      <c r="B1366" s="7" t="s">
        <v>9</v>
      </c>
      <c r="C1366" s="8">
        <v>1889</v>
      </c>
      <c r="D1366" s="9">
        <v>45439</v>
      </c>
      <c r="E1366" s="13" t="str">
        <f>+HYPERLINK("http://trademark.i-assist.jp/data/china/image_1889th/77243434.pdf","77243434")</f>
        <v>77243434</v>
      </c>
      <c r="F1366" s="7" t="s">
        <v>3821</v>
      </c>
      <c r="G1366" s="7" t="s">
        <v>3822</v>
      </c>
      <c r="H1366" s="7" t="s">
        <v>3823</v>
      </c>
      <c r="I1366" s="9">
        <v>45363</v>
      </c>
    </row>
    <row r="1367" spans="1:9" x14ac:dyDescent="0.15">
      <c r="A1367" s="6">
        <v>1366</v>
      </c>
      <c r="B1367" s="7" t="s">
        <v>9</v>
      </c>
      <c r="C1367" s="8">
        <v>1889</v>
      </c>
      <c r="D1367" s="9">
        <v>45439</v>
      </c>
      <c r="E1367" s="13" t="str">
        <f>+HYPERLINK("http://trademark.i-assist.jp/data/china/image_1889th/77243450.pdf","77243450")</f>
        <v>77243450</v>
      </c>
      <c r="F1367" s="7" t="s">
        <v>3824</v>
      </c>
      <c r="G1367" s="7" t="s">
        <v>3825</v>
      </c>
      <c r="H1367" s="7" t="s">
        <v>3826</v>
      </c>
      <c r="I1367" s="9">
        <v>45363</v>
      </c>
    </row>
    <row r="1368" spans="1:9" x14ac:dyDescent="0.15">
      <c r="A1368" s="6">
        <v>1367</v>
      </c>
      <c r="B1368" s="7" t="s">
        <v>9</v>
      </c>
      <c r="C1368" s="8">
        <v>1889</v>
      </c>
      <c r="D1368" s="9">
        <v>45439</v>
      </c>
      <c r="E1368" s="13" t="str">
        <f>+HYPERLINK("http://trademark.i-assist.jp/data/china/image_1889th/77243945.pdf","77243945")</f>
        <v>77243945</v>
      </c>
      <c r="F1368" s="7" t="s">
        <v>3827</v>
      </c>
      <c r="G1368" s="7" t="s">
        <v>3828</v>
      </c>
      <c r="H1368" s="7" t="s">
        <v>3829</v>
      </c>
      <c r="I1368" s="9">
        <v>45363</v>
      </c>
    </row>
    <row r="1369" spans="1:9" x14ac:dyDescent="0.15">
      <c r="A1369" s="6">
        <v>1368</v>
      </c>
      <c r="B1369" s="7" t="s">
        <v>9</v>
      </c>
      <c r="C1369" s="8">
        <v>1889</v>
      </c>
      <c r="D1369" s="9">
        <v>45439</v>
      </c>
      <c r="E1369" s="13" t="str">
        <f>+HYPERLINK("http://trademark.i-assist.jp/data/china/image_1889th/77243970.pdf","77243970")</f>
        <v>77243970</v>
      </c>
      <c r="F1369" s="7" t="s">
        <v>3830</v>
      </c>
      <c r="G1369" s="7" t="s">
        <v>3831</v>
      </c>
      <c r="H1369" s="7" t="s">
        <v>3832</v>
      </c>
      <c r="I1369" s="9">
        <v>45363</v>
      </c>
    </row>
    <row r="1370" spans="1:9" x14ac:dyDescent="0.15">
      <c r="A1370" s="6">
        <v>1369</v>
      </c>
      <c r="B1370" s="7" t="s">
        <v>9</v>
      </c>
      <c r="C1370" s="8">
        <v>1889</v>
      </c>
      <c r="D1370" s="9">
        <v>45439</v>
      </c>
      <c r="E1370" s="13" t="str">
        <f>+HYPERLINK("http://trademark.i-assist.jp/data/china/image_1889th/77243983.pdf","77243983")</f>
        <v>77243983</v>
      </c>
      <c r="F1370" s="7" t="s">
        <v>3833</v>
      </c>
      <c r="G1370" s="7" t="s">
        <v>3834</v>
      </c>
      <c r="H1370" s="7" t="s">
        <v>3835</v>
      </c>
      <c r="I1370" s="9">
        <v>45363</v>
      </c>
    </row>
    <row r="1371" spans="1:9" x14ac:dyDescent="0.15">
      <c r="A1371" s="6">
        <v>1370</v>
      </c>
      <c r="B1371" s="7" t="s">
        <v>9</v>
      </c>
      <c r="C1371" s="8">
        <v>1889</v>
      </c>
      <c r="D1371" s="9">
        <v>45439</v>
      </c>
      <c r="E1371" s="13" t="str">
        <f>+HYPERLINK("http://trademark.i-assist.jp/data/china/image_1889th/77243997.pdf","77243997")</f>
        <v>77243997</v>
      </c>
      <c r="F1371" s="7" t="s">
        <v>3836</v>
      </c>
      <c r="G1371" s="7" t="s">
        <v>3837</v>
      </c>
      <c r="H1371" s="7" t="s">
        <v>3838</v>
      </c>
      <c r="I1371" s="9">
        <v>45363</v>
      </c>
    </row>
    <row r="1372" spans="1:9" x14ac:dyDescent="0.15">
      <c r="A1372" s="6">
        <v>1371</v>
      </c>
      <c r="B1372" s="7" t="s">
        <v>9</v>
      </c>
      <c r="C1372" s="8">
        <v>1889</v>
      </c>
      <c r="D1372" s="9">
        <v>45439</v>
      </c>
      <c r="E1372" s="13" t="str">
        <f>+HYPERLINK("http://trademark.i-assist.jp/data/china/image_1889th/77244067.pdf","77244067")</f>
        <v>77244067</v>
      </c>
      <c r="F1372" s="7" t="s">
        <v>134</v>
      </c>
      <c r="G1372" s="7" t="s">
        <v>3839</v>
      </c>
      <c r="H1372" s="7" t="s">
        <v>3840</v>
      </c>
      <c r="I1372" s="9">
        <v>45363</v>
      </c>
    </row>
    <row r="1373" spans="1:9" x14ac:dyDescent="0.15">
      <c r="A1373" s="6">
        <v>1372</v>
      </c>
      <c r="B1373" s="7" t="s">
        <v>9</v>
      </c>
      <c r="C1373" s="8">
        <v>1889</v>
      </c>
      <c r="D1373" s="9">
        <v>45439</v>
      </c>
      <c r="E1373" s="13" t="str">
        <f>+HYPERLINK("http://trademark.i-assist.jp/data/china/image_1889th/77244109.pdf","77244109")</f>
        <v>77244109</v>
      </c>
      <c r="F1373" s="7" t="s">
        <v>3841</v>
      </c>
      <c r="G1373" s="7" t="s">
        <v>1714</v>
      </c>
      <c r="H1373" s="7" t="s">
        <v>3842</v>
      </c>
      <c r="I1373" s="9">
        <v>45363</v>
      </c>
    </row>
    <row r="1374" spans="1:9" x14ac:dyDescent="0.15">
      <c r="A1374" s="6">
        <v>1373</v>
      </c>
      <c r="B1374" s="7" t="s">
        <v>9</v>
      </c>
      <c r="C1374" s="8">
        <v>1889</v>
      </c>
      <c r="D1374" s="9">
        <v>45439</v>
      </c>
      <c r="E1374" s="13" t="str">
        <f>+HYPERLINK("http://trademark.i-assist.jp/data/china/image_1889th/77244448.pdf","77244448")</f>
        <v>77244448</v>
      </c>
      <c r="F1374" s="7" t="s">
        <v>3843</v>
      </c>
      <c r="G1374" s="7" t="s">
        <v>3844</v>
      </c>
      <c r="H1374" s="7" t="s">
        <v>3845</v>
      </c>
      <c r="I1374" s="9">
        <v>45363</v>
      </c>
    </row>
    <row r="1375" spans="1:9" x14ac:dyDescent="0.15">
      <c r="A1375" s="6">
        <v>1374</v>
      </c>
      <c r="B1375" s="7" t="s">
        <v>9</v>
      </c>
      <c r="C1375" s="8">
        <v>1889</v>
      </c>
      <c r="D1375" s="9">
        <v>45439</v>
      </c>
      <c r="E1375" s="13" t="str">
        <f>+HYPERLINK("http://trademark.i-assist.jp/data/china/image_1889th/77244464.pdf","77244464")</f>
        <v>77244464</v>
      </c>
      <c r="F1375" s="7" t="s">
        <v>3803</v>
      </c>
      <c r="G1375" s="7" t="s">
        <v>3804</v>
      </c>
      <c r="H1375" s="7" t="s">
        <v>3846</v>
      </c>
      <c r="I1375" s="9">
        <v>45363</v>
      </c>
    </row>
    <row r="1376" spans="1:9" x14ac:dyDescent="0.15">
      <c r="A1376" s="6">
        <v>1375</v>
      </c>
      <c r="B1376" s="7" t="s">
        <v>9</v>
      </c>
      <c r="C1376" s="8">
        <v>1889</v>
      </c>
      <c r="D1376" s="9">
        <v>45439</v>
      </c>
      <c r="E1376" s="13" t="str">
        <f>+HYPERLINK("http://trademark.i-assist.jp/data/china/image_1889th/77244500.pdf","77244500")</f>
        <v>77244500</v>
      </c>
      <c r="F1376" s="7" t="s">
        <v>3847</v>
      </c>
      <c r="G1376" s="7" t="s">
        <v>3848</v>
      </c>
      <c r="H1376" s="7" t="s">
        <v>3849</v>
      </c>
      <c r="I1376" s="9">
        <v>45363</v>
      </c>
    </row>
    <row r="1377" spans="1:9" x14ac:dyDescent="0.15">
      <c r="A1377" s="6">
        <v>1376</v>
      </c>
      <c r="B1377" s="7" t="s">
        <v>9</v>
      </c>
      <c r="C1377" s="8">
        <v>1889</v>
      </c>
      <c r="D1377" s="9">
        <v>45439</v>
      </c>
      <c r="E1377" s="13" t="str">
        <f>+HYPERLINK("http://trademark.i-assist.jp/data/china/image_1889th/77244827.pdf","77244827")</f>
        <v>77244827</v>
      </c>
      <c r="F1377" s="7" t="s">
        <v>3850</v>
      </c>
      <c r="G1377" s="7" t="s">
        <v>3851</v>
      </c>
      <c r="H1377" s="7" t="s">
        <v>3852</v>
      </c>
      <c r="I1377" s="9">
        <v>45363</v>
      </c>
    </row>
    <row r="1378" spans="1:9" x14ac:dyDescent="0.15">
      <c r="A1378" s="6">
        <v>1377</v>
      </c>
      <c r="B1378" s="7" t="s">
        <v>9</v>
      </c>
      <c r="C1378" s="8">
        <v>1889</v>
      </c>
      <c r="D1378" s="9">
        <v>45439</v>
      </c>
      <c r="E1378" s="13" t="str">
        <f>+HYPERLINK("http://trademark.i-assist.jp/data/china/image_1889th/77244856.pdf","77244856")</f>
        <v>77244856</v>
      </c>
      <c r="F1378" s="7" t="s">
        <v>3853</v>
      </c>
      <c r="G1378" s="7" t="s">
        <v>2975</v>
      </c>
      <c r="H1378" s="7" t="s">
        <v>3854</v>
      </c>
      <c r="I1378" s="9">
        <v>45363</v>
      </c>
    </row>
    <row r="1379" spans="1:9" ht="27" x14ac:dyDescent="0.15">
      <c r="A1379" s="6">
        <v>1378</v>
      </c>
      <c r="B1379" s="7" t="s">
        <v>9</v>
      </c>
      <c r="C1379" s="8">
        <v>1889</v>
      </c>
      <c r="D1379" s="9">
        <v>45439</v>
      </c>
      <c r="E1379" s="13" t="str">
        <f>+HYPERLINK("http://trademark.i-assist.jp/data/china/image_1889th/77244973.pdf","77244973")</f>
        <v>77244973</v>
      </c>
      <c r="F1379" s="7" t="s">
        <v>3855</v>
      </c>
      <c r="G1379" s="7" t="s">
        <v>3856</v>
      </c>
      <c r="H1379" s="7" t="s">
        <v>3857</v>
      </c>
      <c r="I1379" s="9">
        <v>45363</v>
      </c>
    </row>
    <row r="1380" spans="1:9" x14ac:dyDescent="0.15">
      <c r="A1380" s="6">
        <v>1379</v>
      </c>
      <c r="B1380" s="7" t="s">
        <v>9</v>
      </c>
      <c r="C1380" s="8">
        <v>1889</v>
      </c>
      <c r="D1380" s="9">
        <v>45439</v>
      </c>
      <c r="E1380" s="13" t="str">
        <f>+HYPERLINK("http://trademark.i-assist.jp/data/china/image_1889th/77244994.pdf","77244994")</f>
        <v>77244994</v>
      </c>
      <c r="F1380" s="7" t="s">
        <v>3858</v>
      </c>
      <c r="G1380" s="7" t="s">
        <v>3778</v>
      </c>
      <c r="H1380" s="7" t="s">
        <v>3859</v>
      </c>
      <c r="I1380" s="9">
        <v>45363</v>
      </c>
    </row>
    <row r="1381" spans="1:9" x14ac:dyDescent="0.15">
      <c r="A1381" s="6">
        <v>1380</v>
      </c>
      <c r="B1381" s="7" t="s">
        <v>9</v>
      </c>
      <c r="C1381" s="8">
        <v>1889</v>
      </c>
      <c r="D1381" s="9">
        <v>45439</v>
      </c>
      <c r="E1381" s="13" t="str">
        <f>+HYPERLINK("http://trademark.i-assist.jp/data/china/image_1889th/77245271.pdf","77245271")</f>
        <v>77245271</v>
      </c>
      <c r="F1381" s="7" t="s">
        <v>3860</v>
      </c>
      <c r="G1381" s="7" t="s">
        <v>3861</v>
      </c>
      <c r="H1381" s="7" t="s">
        <v>3862</v>
      </c>
      <c r="I1381" s="9">
        <v>45363</v>
      </c>
    </row>
    <row r="1382" spans="1:9" ht="27" x14ac:dyDescent="0.15">
      <c r="A1382" s="6">
        <v>1381</v>
      </c>
      <c r="B1382" s="7" t="s">
        <v>9</v>
      </c>
      <c r="C1382" s="8">
        <v>1889</v>
      </c>
      <c r="D1382" s="9">
        <v>45439</v>
      </c>
      <c r="E1382" s="13" t="str">
        <f>+HYPERLINK("http://trademark.i-assist.jp/data/china/image_1889th/77245474.pdf","77245474")</f>
        <v>77245474</v>
      </c>
      <c r="F1382" s="7" t="s">
        <v>3863</v>
      </c>
      <c r="G1382" s="7" t="s">
        <v>3864</v>
      </c>
      <c r="H1382" s="7" t="s">
        <v>3865</v>
      </c>
      <c r="I1382" s="9">
        <v>45363</v>
      </c>
    </row>
    <row r="1383" spans="1:9" x14ac:dyDescent="0.15">
      <c r="A1383" s="6">
        <v>1382</v>
      </c>
      <c r="B1383" s="7" t="s">
        <v>9</v>
      </c>
      <c r="C1383" s="8">
        <v>1889</v>
      </c>
      <c r="D1383" s="9">
        <v>45439</v>
      </c>
      <c r="E1383" s="13" t="str">
        <f>+HYPERLINK("http://trademark.i-assist.jp/data/china/image_1889th/77245567.pdf","77245567")</f>
        <v>77245567</v>
      </c>
      <c r="F1383" s="7" t="s">
        <v>3866</v>
      </c>
      <c r="G1383" s="7" t="s">
        <v>3867</v>
      </c>
      <c r="H1383" s="7" t="s">
        <v>3868</v>
      </c>
      <c r="I1383" s="9">
        <v>45363</v>
      </c>
    </row>
    <row r="1384" spans="1:9" ht="27" x14ac:dyDescent="0.15">
      <c r="A1384" s="6">
        <v>1383</v>
      </c>
      <c r="B1384" s="7" t="s">
        <v>9</v>
      </c>
      <c r="C1384" s="8">
        <v>1889</v>
      </c>
      <c r="D1384" s="9">
        <v>45439</v>
      </c>
      <c r="E1384" s="13" t="str">
        <f>+HYPERLINK("http://trademark.i-assist.jp/data/china/image_1889th/77245631.pdf","77245631")</f>
        <v>77245631</v>
      </c>
      <c r="F1384" s="7" t="s">
        <v>3869</v>
      </c>
      <c r="G1384" s="7" t="s">
        <v>3870</v>
      </c>
      <c r="H1384" s="7" t="s">
        <v>3871</v>
      </c>
      <c r="I1384" s="9">
        <v>45363</v>
      </c>
    </row>
    <row r="1385" spans="1:9" x14ac:dyDescent="0.15">
      <c r="A1385" s="6">
        <v>1384</v>
      </c>
      <c r="B1385" s="7" t="s">
        <v>9</v>
      </c>
      <c r="C1385" s="8">
        <v>1889</v>
      </c>
      <c r="D1385" s="9">
        <v>45439</v>
      </c>
      <c r="E1385" s="13" t="str">
        <f>+HYPERLINK("http://trademark.i-assist.jp/data/china/image_1889th/77245657.pdf","77245657")</f>
        <v>77245657</v>
      </c>
      <c r="F1385" s="7" t="s">
        <v>3872</v>
      </c>
      <c r="G1385" s="7" t="s">
        <v>3873</v>
      </c>
      <c r="H1385" s="7" t="s">
        <v>3874</v>
      </c>
      <c r="I1385" s="9">
        <v>45363</v>
      </c>
    </row>
    <row r="1386" spans="1:9" ht="27" x14ac:dyDescent="0.15">
      <c r="A1386" s="6">
        <v>1385</v>
      </c>
      <c r="B1386" s="7" t="s">
        <v>9</v>
      </c>
      <c r="C1386" s="8">
        <v>1889</v>
      </c>
      <c r="D1386" s="9">
        <v>45439</v>
      </c>
      <c r="E1386" s="13" t="str">
        <f>+HYPERLINK("http://trademark.i-assist.jp/data/china/image_1889th/77245788.pdf","77245788")</f>
        <v>77245788</v>
      </c>
      <c r="F1386" s="7" t="s">
        <v>3875</v>
      </c>
      <c r="G1386" s="7" t="s">
        <v>3876</v>
      </c>
      <c r="H1386" s="7" t="s">
        <v>3877</v>
      </c>
      <c r="I1386" s="9">
        <v>45363</v>
      </c>
    </row>
    <row r="1387" spans="1:9" x14ac:dyDescent="0.15">
      <c r="A1387" s="6">
        <v>1386</v>
      </c>
      <c r="B1387" s="7" t="s">
        <v>9</v>
      </c>
      <c r="C1387" s="8">
        <v>1889</v>
      </c>
      <c r="D1387" s="9">
        <v>45439</v>
      </c>
      <c r="E1387" s="13" t="str">
        <f>+HYPERLINK("http://trademark.i-assist.jp/data/china/image_1889th/77245870.pdf","77245870")</f>
        <v>77245870</v>
      </c>
      <c r="F1387" s="7" t="s">
        <v>3878</v>
      </c>
      <c r="G1387" s="7" t="s">
        <v>3879</v>
      </c>
      <c r="H1387" s="7" t="s">
        <v>3880</v>
      </c>
      <c r="I1387" s="9">
        <v>45363</v>
      </c>
    </row>
    <row r="1388" spans="1:9" x14ac:dyDescent="0.15">
      <c r="A1388" s="6">
        <v>1387</v>
      </c>
      <c r="B1388" s="7" t="s">
        <v>9</v>
      </c>
      <c r="C1388" s="8">
        <v>1889</v>
      </c>
      <c r="D1388" s="9">
        <v>45439</v>
      </c>
      <c r="E1388" s="13" t="str">
        <f>+HYPERLINK("http://trademark.i-assist.jp/data/china/image_1889th/77246029.pdf","77246029")</f>
        <v>77246029</v>
      </c>
      <c r="F1388" s="7" t="s">
        <v>134</v>
      </c>
      <c r="G1388" s="7" t="s">
        <v>3881</v>
      </c>
      <c r="H1388" s="7" t="s">
        <v>3882</v>
      </c>
      <c r="I1388" s="9">
        <v>45363</v>
      </c>
    </row>
    <row r="1389" spans="1:9" x14ac:dyDescent="0.15">
      <c r="A1389" s="6">
        <v>1388</v>
      </c>
      <c r="B1389" s="7" t="s">
        <v>9</v>
      </c>
      <c r="C1389" s="8">
        <v>1889</v>
      </c>
      <c r="D1389" s="9">
        <v>45439</v>
      </c>
      <c r="E1389" s="13" t="str">
        <f>+HYPERLINK("http://trademark.i-assist.jp/data/china/image_1889th/77246078.pdf","77246078")</f>
        <v>77246078</v>
      </c>
      <c r="F1389" s="7" t="s">
        <v>3883</v>
      </c>
      <c r="G1389" s="7" t="s">
        <v>3884</v>
      </c>
      <c r="H1389" s="7" t="s">
        <v>3885</v>
      </c>
      <c r="I1389" s="9">
        <v>45363</v>
      </c>
    </row>
    <row r="1390" spans="1:9" x14ac:dyDescent="0.15">
      <c r="A1390" s="6">
        <v>1389</v>
      </c>
      <c r="B1390" s="7" t="s">
        <v>9</v>
      </c>
      <c r="C1390" s="8">
        <v>1889</v>
      </c>
      <c r="D1390" s="9">
        <v>45439</v>
      </c>
      <c r="E1390" s="13" t="str">
        <f>+HYPERLINK("http://trademark.i-assist.jp/data/china/image_1889th/77246454.pdf","77246454")</f>
        <v>77246454</v>
      </c>
      <c r="F1390" s="7" t="s">
        <v>3886</v>
      </c>
      <c r="G1390" s="7" t="s">
        <v>3887</v>
      </c>
      <c r="H1390" s="7" t="s">
        <v>3888</v>
      </c>
      <c r="I1390" s="9">
        <v>45363</v>
      </c>
    </row>
    <row r="1391" spans="1:9" ht="27" x14ac:dyDescent="0.15">
      <c r="A1391" s="6">
        <v>1390</v>
      </c>
      <c r="B1391" s="7" t="s">
        <v>9</v>
      </c>
      <c r="C1391" s="8">
        <v>1889</v>
      </c>
      <c r="D1391" s="9">
        <v>45439</v>
      </c>
      <c r="E1391" s="13" t="str">
        <f>+HYPERLINK("http://trademark.i-assist.jp/data/china/image_1889th/77246468.pdf","77246468")</f>
        <v>77246468</v>
      </c>
      <c r="F1391" s="7" t="s">
        <v>3889</v>
      </c>
      <c r="G1391" s="7" t="s">
        <v>3890</v>
      </c>
      <c r="H1391" s="7" t="s">
        <v>3891</v>
      </c>
      <c r="I1391" s="9">
        <v>45363</v>
      </c>
    </row>
    <row r="1392" spans="1:9" x14ac:dyDescent="0.15">
      <c r="A1392" s="6">
        <v>1391</v>
      </c>
      <c r="B1392" s="7" t="s">
        <v>9</v>
      </c>
      <c r="C1392" s="8">
        <v>1889</v>
      </c>
      <c r="D1392" s="9">
        <v>45439</v>
      </c>
      <c r="E1392" s="13" t="str">
        <f>+HYPERLINK("http://trademark.i-assist.jp/data/china/image_1889th/77246531.pdf","77246531")</f>
        <v>77246531</v>
      </c>
      <c r="F1392" s="7" t="s">
        <v>3892</v>
      </c>
      <c r="G1392" s="7" t="s">
        <v>3893</v>
      </c>
      <c r="H1392" s="7" t="s">
        <v>42</v>
      </c>
      <c r="I1392" s="9">
        <v>45363</v>
      </c>
    </row>
    <row r="1393" spans="1:9" ht="27" x14ac:dyDescent="0.15">
      <c r="A1393" s="6">
        <v>1392</v>
      </c>
      <c r="B1393" s="7" t="s">
        <v>9</v>
      </c>
      <c r="C1393" s="8">
        <v>1889</v>
      </c>
      <c r="D1393" s="9">
        <v>45439</v>
      </c>
      <c r="E1393" s="13" t="str">
        <f>+HYPERLINK("http://trademark.i-assist.jp/data/china/image_1889th/77246548.pdf","77246548")</f>
        <v>77246548</v>
      </c>
      <c r="F1393" s="7" t="s">
        <v>3894</v>
      </c>
      <c r="G1393" s="7" t="s">
        <v>3895</v>
      </c>
      <c r="H1393" s="7" t="s">
        <v>3896</v>
      </c>
      <c r="I1393" s="9">
        <v>45363</v>
      </c>
    </row>
    <row r="1394" spans="1:9" x14ac:dyDescent="0.15">
      <c r="A1394" s="6">
        <v>1393</v>
      </c>
      <c r="B1394" s="7" t="s">
        <v>9</v>
      </c>
      <c r="C1394" s="8">
        <v>1889</v>
      </c>
      <c r="D1394" s="9">
        <v>45439</v>
      </c>
      <c r="E1394" s="13" t="str">
        <f>+HYPERLINK("http://trademark.i-assist.jp/data/china/image_1889th/77246617.pdf","77246617")</f>
        <v>77246617</v>
      </c>
      <c r="F1394" s="7" t="s">
        <v>134</v>
      </c>
      <c r="G1394" s="7" t="s">
        <v>3897</v>
      </c>
      <c r="H1394" s="7" t="s">
        <v>3898</v>
      </c>
      <c r="I1394" s="9">
        <v>45363</v>
      </c>
    </row>
    <row r="1395" spans="1:9" x14ac:dyDescent="0.15">
      <c r="A1395" s="6">
        <v>1394</v>
      </c>
      <c r="B1395" s="7" t="s">
        <v>9</v>
      </c>
      <c r="C1395" s="8">
        <v>1889</v>
      </c>
      <c r="D1395" s="9">
        <v>45439</v>
      </c>
      <c r="E1395" s="13" t="str">
        <f>+HYPERLINK("http://trademark.i-assist.jp/data/china/image_1889th/77246922.pdf","77246922")</f>
        <v>77246922</v>
      </c>
      <c r="F1395" s="7" t="s">
        <v>3899</v>
      </c>
      <c r="G1395" s="7" t="s">
        <v>3900</v>
      </c>
      <c r="H1395" s="7" t="s">
        <v>3901</v>
      </c>
      <c r="I1395" s="9">
        <v>45363</v>
      </c>
    </row>
    <row r="1396" spans="1:9" x14ac:dyDescent="0.15">
      <c r="A1396" s="6">
        <v>1395</v>
      </c>
      <c r="B1396" s="7" t="s">
        <v>9</v>
      </c>
      <c r="C1396" s="8">
        <v>1889</v>
      </c>
      <c r="D1396" s="9">
        <v>45439</v>
      </c>
      <c r="E1396" s="13" t="str">
        <f>+HYPERLINK("http://trademark.i-assist.jp/data/china/image_1889th/77246979.pdf","77246979")</f>
        <v>77246979</v>
      </c>
      <c r="F1396" s="7" t="s">
        <v>3902</v>
      </c>
      <c r="G1396" s="7" t="s">
        <v>3903</v>
      </c>
      <c r="H1396" s="7" t="s">
        <v>3904</v>
      </c>
      <c r="I1396" s="9">
        <v>45363</v>
      </c>
    </row>
    <row r="1397" spans="1:9" x14ac:dyDescent="0.15">
      <c r="A1397" s="6">
        <v>1396</v>
      </c>
      <c r="B1397" s="7" t="s">
        <v>9</v>
      </c>
      <c r="C1397" s="8">
        <v>1889</v>
      </c>
      <c r="D1397" s="9">
        <v>45439</v>
      </c>
      <c r="E1397" s="13" t="str">
        <f>+HYPERLINK("http://trademark.i-assist.jp/data/china/image_1889th/77247391.pdf","77247391")</f>
        <v>77247391</v>
      </c>
      <c r="F1397" s="7" t="s">
        <v>3905</v>
      </c>
      <c r="G1397" s="7" t="s">
        <v>3906</v>
      </c>
      <c r="H1397" s="7" t="s">
        <v>3907</v>
      </c>
      <c r="I1397" s="9">
        <v>45363</v>
      </c>
    </row>
    <row r="1398" spans="1:9" x14ac:dyDescent="0.15">
      <c r="A1398" s="6">
        <v>1397</v>
      </c>
      <c r="B1398" s="7" t="s">
        <v>9</v>
      </c>
      <c r="C1398" s="8">
        <v>1889</v>
      </c>
      <c r="D1398" s="9">
        <v>45439</v>
      </c>
      <c r="E1398" s="13" t="str">
        <f>+HYPERLINK("http://trademark.i-assist.jp/data/china/image_1889th/77247396.pdf","77247396")</f>
        <v>77247396</v>
      </c>
      <c r="F1398" s="7" t="s">
        <v>3908</v>
      </c>
      <c r="G1398" s="7" t="s">
        <v>3909</v>
      </c>
      <c r="H1398" s="7" t="s">
        <v>3910</v>
      </c>
      <c r="I1398" s="9">
        <v>45363</v>
      </c>
    </row>
    <row r="1399" spans="1:9" x14ac:dyDescent="0.15">
      <c r="A1399" s="6">
        <v>1398</v>
      </c>
      <c r="B1399" s="7" t="s">
        <v>9</v>
      </c>
      <c r="C1399" s="8">
        <v>1889</v>
      </c>
      <c r="D1399" s="9">
        <v>45439</v>
      </c>
      <c r="E1399" s="13" t="str">
        <f>+HYPERLINK("http://trademark.i-assist.jp/data/china/image_1889th/77247449.pdf","77247449")</f>
        <v>77247449</v>
      </c>
      <c r="F1399" s="7" t="s">
        <v>3911</v>
      </c>
      <c r="G1399" s="7" t="s">
        <v>3912</v>
      </c>
      <c r="H1399" s="7" t="s">
        <v>3913</v>
      </c>
      <c r="I1399" s="9">
        <v>45363</v>
      </c>
    </row>
    <row r="1400" spans="1:9" x14ac:dyDescent="0.15">
      <c r="A1400" s="6">
        <v>1399</v>
      </c>
      <c r="B1400" s="7" t="s">
        <v>9</v>
      </c>
      <c r="C1400" s="8">
        <v>1889</v>
      </c>
      <c r="D1400" s="9">
        <v>45439</v>
      </c>
      <c r="E1400" s="13" t="str">
        <f>+HYPERLINK("http://trademark.i-assist.jp/data/china/image_1889th/77247460.pdf","77247460")</f>
        <v>77247460</v>
      </c>
      <c r="F1400" s="7" t="s">
        <v>3914</v>
      </c>
      <c r="G1400" s="7" t="s">
        <v>3915</v>
      </c>
      <c r="H1400" s="7" t="s">
        <v>3916</v>
      </c>
      <c r="I1400" s="9">
        <v>45363</v>
      </c>
    </row>
    <row r="1401" spans="1:9" x14ac:dyDescent="0.15">
      <c r="A1401" s="6">
        <v>1400</v>
      </c>
      <c r="B1401" s="7" t="s">
        <v>9</v>
      </c>
      <c r="C1401" s="8">
        <v>1889</v>
      </c>
      <c r="D1401" s="9">
        <v>45439</v>
      </c>
      <c r="E1401" s="13" t="str">
        <f>+HYPERLINK("http://trademark.i-assist.jp/data/china/image_1889th/77247556.pdf","77247556")</f>
        <v>77247556</v>
      </c>
      <c r="F1401" s="7" t="s">
        <v>3917</v>
      </c>
      <c r="G1401" s="7" t="s">
        <v>3918</v>
      </c>
      <c r="H1401" s="7" t="s">
        <v>3919</v>
      </c>
      <c r="I1401" s="9">
        <v>45363</v>
      </c>
    </row>
    <row r="1402" spans="1:9" x14ac:dyDescent="0.15">
      <c r="A1402" s="6">
        <v>1401</v>
      </c>
      <c r="B1402" s="7" t="s">
        <v>9</v>
      </c>
      <c r="C1402" s="8">
        <v>1889</v>
      </c>
      <c r="D1402" s="9">
        <v>45439</v>
      </c>
      <c r="E1402" s="13" t="str">
        <f>+HYPERLINK("http://trademark.i-assist.jp/data/china/image_1889th/77247685.pdf","77247685")</f>
        <v>77247685</v>
      </c>
      <c r="F1402" s="7" t="s">
        <v>3920</v>
      </c>
      <c r="G1402" s="7" t="s">
        <v>3921</v>
      </c>
      <c r="H1402" s="7" t="s">
        <v>3922</v>
      </c>
      <c r="I1402" s="9">
        <v>45363</v>
      </c>
    </row>
    <row r="1403" spans="1:9" x14ac:dyDescent="0.15">
      <c r="A1403" s="6">
        <v>1402</v>
      </c>
      <c r="B1403" s="7" t="s">
        <v>9</v>
      </c>
      <c r="C1403" s="8">
        <v>1889</v>
      </c>
      <c r="D1403" s="9">
        <v>45439</v>
      </c>
      <c r="E1403" s="13" t="str">
        <f>+HYPERLINK("http://trademark.i-assist.jp/data/china/image_1889th/77247734.pdf","77247734")</f>
        <v>77247734</v>
      </c>
      <c r="F1403" s="7" t="s">
        <v>3923</v>
      </c>
      <c r="G1403" s="7" t="s">
        <v>3924</v>
      </c>
      <c r="H1403" s="7" t="s">
        <v>3925</v>
      </c>
      <c r="I1403" s="9">
        <v>45363</v>
      </c>
    </row>
    <row r="1404" spans="1:9" x14ac:dyDescent="0.15">
      <c r="A1404" s="6">
        <v>1403</v>
      </c>
      <c r="B1404" s="7" t="s">
        <v>9</v>
      </c>
      <c r="C1404" s="8">
        <v>1889</v>
      </c>
      <c r="D1404" s="9">
        <v>45439</v>
      </c>
      <c r="E1404" s="13" t="str">
        <f>+HYPERLINK("http://trademark.i-assist.jp/data/china/image_1889th/77247753.pdf","77247753")</f>
        <v>77247753</v>
      </c>
      <c r="F1404" s="7" t="s">
        <v>3926</v>
      </c>
      <c r="G1404" s="7" t="s">
        <v>3927</v>
      </c>
      <c r="H1404" s="7" t="s">
        <v>3928</v>
      </c>
      <c r="I1404" s="9">
        <v>45363</v>
      </c>
    </row>
    <row r="1405" spans="1:9" x14ac:dyDescent="0.15">
      <c r="A1405" s="6">
        <v>1404</v>
      </c>
      <c r="B1405" s="7" t="s">
        <v>9</v>
      </c>
      <c r="C1405" s="8">
        <v>1889</v>
      </c>
      <c r="D1405" s="9">
        <v>45439</v>
      </c>
      <c r="E1405" s="13" t="str">
        <f>+HYPERLINK("http://trademark.i-assist.jp/data/china/image_1889th/77247758.pdf","77247758")</f>
        <v>77247758</v>
      </c>
      <c r="F1405" s="7" t="s">
        <v>3929</v>
      </c>
      <c r="G1405" s="7" t="s">
        <v>3930</v>
      </c>
      <c r="H1405" s="7" t="s">
        <v>3931</v>
      </c>
      <c r="I1405" s="9">
        <v>45363</v>
      </c>
    </row>
    <row r="1406" spans="1:9" x14ac:dyDescent="0.15">
      <c r="A1406" s="6">
        <v>1405</v>
      </c>
      <c r="B1406" s="7" t="s">
        <v>9</v>
      </c>
      <c r="C1406" s="8">
        <v>1889</v>
      </c>
      <c r="D1406" s="9">
        <v>45439</v>
      </c>
      <c r="E1406" s="13" t="str">
        <f>+HYPERLINK("http://trademark.i-assist.jp/data/china/image_1889th/77247978.pdf","77247978")</f>
        <v>77247978</v>
      </c>
      <c r="F1406" s="7" t="s">
        <v>3932</v>
      </c>
      <c r="G1406" s="7" t="s">
        <v>3933</v>
      </c>
      <c r="H1406" s="7" t="s">
        <v>3934</v>
      </c>
      <c r="I1406" s="9">
        <v>45363</v>
      </c>
    </row>
    <row r="1407" spans="1:9" x14ac:dyDescent="0.15">
      <c r="A1407" s="6">
        <v>1406</v>
      </c>
      <c r="B1407" s="7" t="s">
        <v>9</v>
      </c>
      <c r="C1407" s="8">
        <v>1889</v>
      </c>
      <c r="D1407" s="9">
        <v>45439</v>
      </c>
      <c r="E1407" s="13" t="str">
        <f>+HYPERLINK("http://trademark.i-assist.jp/data/china/image_1889th/77247990.pdf","77247990")</f>
        <v>77247990</v>
      </c>
      <c r="F1407" s="7" t="s">
        <v>3935</v>
      </c>
      <c r="G1407" s="7" t="s">
        <v>3936</v>
      </c>
      <c r="H1407" s="7" t="s">
        <v>3937</v>
      </c>
      <c r="I1407" s="9">
        <v>45363</v>
      </c>
    </row>
    <row r="1408" spans="1:9" x14ac:dyDescent="0.15">
      <c r="A1408" s="6">
        <v>1407</v>
      </c>
      <c r="B1408" s="7" t="s">
        <v>9</v>
      </c>
      <c r="C1408" s="8">
        <v>1889</v>
      </c>
      <c r="D1408" s="9">
        <v>45439</v>
      </c>
      <c r="E1408" s="13" t="str">
        <f>+HYPERLINK("http://trademark.i-assist.jp/data/china/image_1889th/77248135.pdf","77248135")</f>
        <v>77248135</v>
      </c>
      <c r="F1408" s="7" t="s">
        <v>3938</v>
      </c>
      <c r="G1408" s="7" t="s">
        <v>3939</v>
      </c>
      <c r="H1408" s="7" t="s">
        <v>3940</v>
      </c>
      <c r="I1408" s="9">
        <v>45363</v>
      </c>
    </row>
    <row r="1409" spans="1:9" x14ac:dyDescent="0.15">
      <c r="A1409" s="6">
        <v>1408</v>
      </c>
      <c r="B1409" s="7" t="s">
        <v>9</v>
      </c>
      <c r="C1409" s="8">
        <v>1889</v>
      </c>
      <c r="D1409" s="9">
        <v>45439</v>
      </c>
      <c r="E1409" s="13" t="str">
        <f>+HYPERLINK("http://trademark.i-assist.jp/data/china/image_1889th/77248199.pdf","77248199")</f>
        <v>77248199</v>
      </c>
      <c r="F1409" s="7" t="s">
        <v>3941</v>
      </c>
      <c r="G1409" s="7" t="s">
        <v>3942</v>
      </c>
      <c r="H1409" s="7" t="s">
        <v>3943</v>
      </c>
      <c r="I1409" s="9">
        <v>45363</v>
      </c>
    </row>
    <row r="1410" spans="1:9" x14ac:dyDescent="0.15">
      <c r="A1410" s="6">
        <v>1409</v>
      </c>
      <c r="B1410" s="7" t="s">
        <v>9</v>
      </c>
      <c r="C1410" s="8">
        <v>1889</v>
      </c>
      <c r="D1410" s="9">
        <v>45439</v>
      </c>
      <c r="E1410" s="13" t="str">
        <f>+HYPERLINK("http://trademark.i-assist.jp/data/china/image_1889th/77248447.pdf","77248447")</f>
        <v>77248447</v>
      </c>
      <c r="F1410" s="7" t="s">
        <v>3944</v>
      </c>
      <c r="G1410" s="7" t="s">
        <v>3945</v>
      </c>
      <c r="H1410" s="7" t="s">
        <v>3946</v>
      </c>
      <c r="I1410" s="9">
        <v>45363</v>
      </c>
    </row>
    <row r="1411" spans="1:9" x14ac:dyDescent="0.15">
      <c r="A1411" s="6">
        <v>1410</v>
      </c>
      <c r="B1411" s="7" t="s">
        <v>9</v>
      </c>
      <c r="C1411" s="8">
        <v>1889</v>
      </c>
      <c r="D1411" s="9">
        <v>45439</v>
      </c>
      <c r="E1411" s="13" t="str">
        <f>+HYPERLINK("http://trademark.i-assist.jp/data/china/image_1889th/77248672.pdf","77248672")</f>
        <v>77248672</v>
      </c>
      <c r="F1411" s="7" t="s">
        <v>3947</v>
      </c>
      <c r="G1411" s="7" t="s">
        <v>3948</v>
      </c>
      <c r="H1411" s="7" t="s">
        <v>3949</v>
      </c>
      <c r="I1411" s="9">
        <v>45363</v>
      </c>
    </row>
    <row r="1412" spans="1:9" ht="27" x14ac:dyDescent="0.15">
      <c r="A1412" s="6">
        <v>1411</v>
      </c>
      <c r="B1412" s="7" t="s">
        <v>9</v>
      </c>
      <c r="C1412" s="8">
        <v>1889</v>
      </c>
      <c r="D1412" s="9">
        <v>45439</v>
      </c>
      <c r="E1412" s="13" t="str">
        <f>+HYPERLINK("http://trademark.i-assist.jp/data/china/image_1889th/77248816.pdf","77248816")</f>
        <v>77248816</v>
      </c>
      <c r="F1412" s="7" t="s">
        <v>3950</v>
      </c>
      <c r="G1412" s="7" t="s">
        <v>3951</v>
      </c>
      <c r="H1412" s="7" t="s">
        <v>3952</v>
      </c>
      <c r="I1412" s="9">
        <v>45363</v>
      </c>
    </row>
    <row r="1413" spans="1:9" x14ac:dyDescent="0.15">
      <c r="A1413" s="6">
        <v>1412</v>
      </c>
      <c r="B1413" s="7" t="s">
        <v>9</v>
      </c>
      <c r="C1413" s="8">
        <v>1889</v>
      </c>
      <c r="D1413" s="9">
        <v>45439</v>
      </c>
      <c r="E1413" s="13" t="str">
        <f>+HYPERLINK("http://trademark.i-assist.jp/data/china/image_1889th/77248969.pdf","77248969")</f>
        <v>77248969</v>
      </c>
      <c r="F1413" s="7" t="s">
        <v>3953</v>
      </c>
      <c r="G1413" s="7" t="s">
        <v>3954</v>
      </c>
      <c r="H1413" s="7" t="s">
        <v>3955</v>
      </c>
      <c r="I1413" s="9">
        <v>45363</v>
      </c>
    </row>
    <row r="1414" spans="1:9" x14ac:dyDescent="0.15">
      <c r="A1414" s="6">
        <v>1413</v>
      </c>
      <c r="B1414" s="7" t="s">
        <v>9</v>
      </c>
      <c r="C1414" s="8">
        <v>1889</v>
      </c>
      <c r="D1414" s="9">
        <v>45439</v>
      </c>
      <c r="E1414" s="13" t="str">
        <f>+HYPERLINK("http://trademark.i-assist.jp/data/china/image_1889th/77249286.pdf","77249286")</f>
        <v>77249286</v>
      </c>
      <c r="F1414" s="7" t="s">
        <v>3956</v>
      </c>
      <c r="G1414" s="7" t="s">
        <v>3957</v>
      </c>
      <c r="H1414" s="7" t="s">
        <v>3958</v>
      </c>
      <c r="I1414" s="9">
        <v>45363</v>
      </c>
    </row>
    <row r="1415" spans="1:9" x14ac:dyDescent="0.15">
      <c r="A1415" s="6">
        <v>1414</v>
      </c>
      <c r="B1415" s="7" t="s">
        <v>9</v>
      </c>
      <c r="C1415" s="8">
        <v>1889</v>
      </c>
      <c r="D1415" s="9">
        <v>45439</v>
      </c>
      <c r="E1415" s="13" t="str">
        <f>+HYPERLINK("http://trademark.i-assist.jp/data/china/image_1889th/77249377.pdf","77249377")</f>
        <v>77249377</v>
      </c>
      <c r="F1415" s="7" t="s">
        <v>3959</v>
      </c>
      <c r="G1415" s="7" t="s">
        <v>3960</v>
      </c>
      <c r="H1415" s="7" t="s">
        <v>3961</v>
      </c>
      <c r="I1415" s="9">
        <v>45363</v>
      </c>
    </row>
    <row r="1416" spans="1:9" x14ac:dyDescent="0.15">
      <c r="A1416" s="6">
        <v>1415</v>
      </c>
      <c r="B1416" s="7" t="s">
        <v>9</v>
      </c>
      <c r="C1416" s="8">
        <v>1889</v>
      </c>
      <c r="D1416" s="9">
        <v>45439</v>
      </c>
      <c r="E1416" s="13" t="str">
        <f>+HYPERLINK("http://trademark.i-assist.jp/data/china/image_1889th/77249400.pdf","77249400")</f>
        <v>77249400</v>
      </c>
      <c r="F1416" s="7" t="s">
        <v>3962</v>
      </c>
      <c r="G1416" s="7" t="s">
        <v>3963</v>
      </c>
      <c r="H1416" s="7" t="s">
        <v>3964</v>
      </c>
      <c r="I1416" s="9">
        <v>45363</v>
      </c>
    </row>
    <row r="1417" spans="1:9" x14ac:dyDescent="0.15">
      <c r="A1417" s="6">
        <v>1416</v>
      </c>
      <c r="B1417" s="7" t="s">
        <v>9</v>
      </c>
      <c r="C1417" s="8">
        <v>1889</v>
      </c>
      <c r="D1417" s="9">
        <v>45439</v>
      </c>
      <c r="E1417" s="13" t="str">
        <f>+HYPERLINK("http://trademark.i-assist.jp/data/china/image_1889th/77249465.pdf","77249465")</f>
        <v>77249465</v>
      </c>
      <c r="F1417" s="7" t="s">
        <v>3965</v>
      </c>
      <c r="G1417" s="7" t="s">
        <v>3966</v>
      </c>
      <c r="H1417" s="7" t="s">
        <v>3967</v>
      </c>
      <c r="I1417" s="9">
        <v>45363</v>
      </c>
    </row>
    <row r="1418" spans="1:9" x14ac:dyDescent="0.15">
      <c r="A1418" s="6">
        <v>1417</v>
      </c>
      <c r="B1418" s="7" t="s">
        <v>9</v>
      </c>
      <c r="C1418" s="8">
        <v>1889</v>
      </c>
      <c r="D1418" s="9">
        <v>45439</v>
      </c>
      <c r="E1418" s="13" t="str">
        <f>+HYPERLINK("http://trademark.i-assist.jp/data/china/image_1889th/77249585.pdf","77249585")</f>
        <v>77249585</v>
      </c>
      <c r="F1418" s="7" t="s">
        <v>3968</v>
      </c>
      <c r="G1418" s="7" t="s">
        <v>3969</v>
      </c>
      <c r="H1418" s="7" t="s">
        <v>3970</v>
      </c>
      <c r="I1418" s="9">
        <v>45363</v>
      </c>
    </row>
    <row r="1419" spans="1:9" ht="27" x14ac:dyDescent="0.15">
      <c r="A1419" s="6">
        <v>1418</v>
      </c>
      <c r="B1419" s="7" t="s">
        <v>9</v>
      </c>
      <c r="C1419" s="8">
        <v>1889</v>
      </c>
      <c r="D1419" s="9">
        <v>45439</v>
      </c>
      <c r="E1419" s="13" t="str">
        <f>+HYPERLINK("http://trademark.i-assist.jp/data/china/image_1889th/77249619.pdf","77249619")</f>
        <v>77249619</v>
      </c>
      <c r="F1419" s="7" t="s">
        <v>3971</v>
      </c>
      <c r="G1419" s="7" t="s">
        <v>3972</v>
      </c>
      <c r="H1419" s="7" t="s">
        <v>3973</v>
      </c>
      <c r="I1419" s="9">
        <v>45363</v>
      </c>
    </row>
    <row r="1420" spans="1:9" x14ac:dyDescent="0.15">
      <c r="A1420" s="6">
        <v>1419</v>
      </c>
      <c r="B1420" s="7" t="s">
        <v>9</v>
      </c>
      <c r="C1420" s="8">
        <v>1889</v>
      </c>
      <c r="D1420" s="9">
        <v>45439</v>
      </c>
      <c r="E1420" s="13" t="str">
        <f>+HYPERLINK("http://trademark.i-assist.jp/data/china/image_1889th/77249755.pdf","77249755")</f>
        <v>77249755</v>
      </c>
      <c r="F1420" s="7" t="s">
        <v>3974</v>
      </c>
      <c r="G1420" s="7" t="s">
        <v>3975</v>
      </c>
      <c r="H1420" s="7" t="s">
        <v>3976</v>
      </c>
      <c r="I1420" s="9">
        <v>45363</v>
      </c>
    </row>
    <row r="1421" spans="1:9" x14ac:dyDescent="0.15">
      <c r="A1421" s="6">
        <v>1420</v>
      </c>
      <c r="B1421" s="7" t="s">
        <v>9</v>
      </c>
      <c r="C1421" s="8">
        <v>1889</v>
      </c>
      <c r="D1421" s="9">
        <v>45439</v>
      </c>
      <c r="E1421" s="13" t="str">
        <f>+HYPERLINK("http://trademark.i-assist.jp/data/china/image_1889th/77249956.pdf","77249956")</f>
        <v>77249956</v>
      </c>
      <c r="F1421" s="7" t="s">
        <v>3977</v>
      </c>
      <c r="G1421" s="7" t="s">
        <v>3978</v>
      </c>
      <c r="H1421" s="7" t="s">
        <v>3979</v>
      </c>
      <c r="I1421" s="9">
        <v>45363</v>
      </c>
    </row>
    <row r="1422" spans="1:9" x14ac:dyDescent="0.15">
      <c r="A1422" s="6">
        <v>1421</v>
      </c>
      <c r="B1422" s="7" t="s">
        <v>9</v>
      </c>
      <c r="C1422" s="8">
        <v>1889</v>
      </c>
      <c r="D1422" s="9">
        <v>45439</v>
      </c>
      <c r="E1422" s="13" t="str">
        <f>+HYPERLINK("http://trademark.i-assist.jp/data/china/image_1889th/77250007.pdf","77250007")</f>
        <v>77250007</v>
      </c>
      <c r="F1422" s="7" t="s">
        <v>3980</v>
      </c>
      <c r="G1422" s="7" t="s">
        <v>3981</v>
      </c>
      <c r="H1422" s="7" t="s">
        <v>3982</v>
      </c>
      <c r="I1422" s="9">
        <v>45363</v>
      </c>
    </row>
    <row r="1423" spans="1:9" x14ac:dyDescent="0.15">
      <c r="A1423" s="6">
        <v>1422</v>
      </c>
      <c r="B1423" s="7" t="s">
        <v>9</v>
      </c>
      <c r="C1423" s="8">
        <v>1889</v>
      </c>
      <c r="D1423" s="9">
        <v>45439</v>
      </c>
      <c r="E1423" s="13" t="str">
        <f>+HYPERLINK("http://trademark.i-assist.jp/data/china/image_1889th/77250012.pdf","77250012")</f>
        <v>77250012</v>
      </c>
      <c r="F1423" s="7" t="s">
        <v>3983</v>
      </c>
      <c r="G1423" s="7" t="s">
        <v>3984</v>
      </c>
      <c r="H1423" s="7" t="s">
        <v>3985</v>
      </c>
      <c r="I1423" s="9">
        <v>45363</v>
      </c>
    </row>
    <row r="1424" spans="1:9" x14ac:dyDescent="0.15">
      <c r="A1424" s="6">
        <v>1423</v>
      </c>
      <c r="B1424" s="7" t="s">
        <v>9</v>
      </c>
      <c r="C1424" s="8">
        <v>1889</v>
      </c>
      <c r="D1424" s="9">
        <v>45439</v>
      </c>
      <c r="E1424" s="13" t="str">
        <f>+HYPERLINK("http://trademark.i-assist.jp/data/china/image_1889th/77250023.pdf","77250023")</f>
        <v>77250023</v>
      </c>
      <c r="F1424" s="7" t="s">
        <v>3986</v>
      </c>
      <c r="G1424" s="7" t="s">
        <v>3735</v>
      </c>
      <c r="H1424" s="7" t="s">
        <v>3987</v>
      </c>
      <c r="I1424" s="9">
        <v>45363</v>
      </c>
    </row>
    <row r="1425" spans="1:9" x14ac:dyDescent="0.15">
      <c r="A1425" s="6">
        <v>1424</v>
      </c>
      <c r="B1425" s="7" t="s">
        <v>9</v>
      </c>
      <c r="C1425" s="8">
        <v>1889</v>
      </c>
      <c r="D1425" s="9">
        <v>45439</v>
      </c>
      <c r="E1425" s="13" t="str">
        <f>+HYPERLINK("http://trademark.i-assist.jp/data/china/image_1889th/77250053.pdf","77250053")</f>
        <v>77250053</v>
      </c>
      <c r="F1425" s="7" t="s">
        <v>3988</v>
      </c>
      <c r="G1425" s="7" t="s">
        <v>1714</v>
      </c>
      <c r="H1425" s="7" t="s">
        <v>3989</v>
      </c>
      <c r="I1425" s="9">
        <v>45363</v>
      </c>
    </row>
    <row r="1426" spans="1:9" x14ac:dyDescent="0.15">
      <c r="A1426" s="6">
        <v>1425</v>
      </c>
      <c r="B1426" s="7" t="s">
        <v>9</v>
      </c>
      <c r="C1426" s="8">
        <v>1889</v>
      </c>
      <c r="D1426" s="9">
        <v>45439</v>
      </c>
      <c r="E1426" s="13" t="str">
        <f>+HYPERLINK("http://trademark.i-assist.jp/data/china/image_1889th/77250285.pdf","77250285")</f>
        <v>77250285</v>
      </c>
      <c r="F1426" s="7" t="s">
        <v>3990</v>
      </c>
      <c r="G1426" s="7" t="s">
        <v>3991</v>
      </c>
      <c r="H1426" s="7" t="s">
        <v>3992</v>
      </c>
      <c r="I1426" s="9">
        <v>45363</v>
      </c>
    </row>
    <row r="1427" spans="1:9" x14ac:dyDescent="0.15">
      <c r="A1427" s="6">
        <v>1426</v>
      </c>
      <c r="B1427" s="7" t="s">
        <v>9</v>
      </c>
      <c r="C1427" s="8">
        <v>1889</v>
      </c>
      <c r="D1427" s="9">
        <v>45439</v>
      </c>
      <c r="E1427" s="13" t="str">
        <f>+HYPERLINK("http://trademark.i-assist.jp/data/china/image_1889th/77250472.pdf","77250472")</f>
        <v>77250472</v>
      </c>
      <c r="F1427" s="7" t="s">
        <v>3993</v>
      </c>
      <c r="G1427" s="7" t="s">
        <v>3337</v>
      </c>
      <c r="H1427" s="7" t="s">
        <v>3994</v>
      </c>
      <c r="I1427" s="9">
        <v>45363</v>
      </c>
    </row>
    <row r="1428" spans="1:9" x14ac:dyDescent="0.15">
      <c r="A1428" s="6">
        <v>1427</v>
      </c>
      <c r="B1428" s="7" t="s">
        <v>9</v>
      </c>
      <c r="C1428" s="8">
        <v>1889</v>
      </c>
      <c r="D1428" s="9">
        <v>45439</v>
      </c>
      <c r="E1428" s="13" t="str">
        <f>+HYPERLINK("http://trademark.i-assist.jp/data/china/image_1889th/77250738.pdf","77250738")</f>
        <v>77250738</v>
      </c>
      <c r="F1428" s="7" t="s">
        <v>3995</v>
      </c>
      <c r="G1428" s="7" t="s">
        <v>3884</v>
      </c>
      <c r="H1428" s="7" t="s">
        <v>3996</v>
      </c>
      <c r="I1428" s="9">
        <v>45363</v>
      </c>
    </row>
    <row r="1429" spans="1:9" ht="27" x14ac:dyDescent="0.15">
      <c r="A1429" s="6">
        <v>1428</v>
      </c>
      <c r="B1429" s="7" t="s">
        <v>9</v>
      </c>
      <c r="C1429" s="8">
        <v>1889</v>
      </c>
      <c r="D1429" s="9">
        <v>45439</v>
      </c>
      <c r="E1429" s="13" t="str">
        <f>+HYPERLINK("http://trademark.i-assist.jp/data/china/image_1889th/77250835.pdf","77250835")</f>
        <v>77250835</v>
      </c>
      <c r="F1429" s="7" t="s">
        <v>3997</v>
      </c>
      <c r="G1429" s="7" t="s">
        <v>3998</v>
      </c>
      <c r="H1429" s="7" t="s">
        <v>3999</v>
      </c>
      <c r="I1429" s="9">
        <v>45363</v>
      </c>
    </row>
    <row r="1430" spans="1:9" x14ac:dyDescent="0.15">
      <c r="A1430" s="6">
        <v>1429</v>
      </c>
      <c r="B1430" s="7" t="s">
        <v>9</v>
      </c>
      <c r="C1430" s="8">
        <v>1889</v>
      </c>
      <c r="D1430" s="9">
        <v>45439</v>
      </c>
      <c r="E1430" s="13" t="str">
        <f>+HYPERLINK("http://trademark.i-assist.jp/data/china/image_1889th/77250919.pdf","77250919")</f>
        <v>77250919</v>
      </c>
      <c r="F1430" s="7" t="s">
        <v>4000</v>
      </c>
      <c r="G1430" s="7" t="s">
        <v>4001</v>
      </c>
      <c r="H1430" s="7" t="s">
        <v>4002</v>
      </c>
      <c r="I1430" s="9">
        <v>45363</v>
      </c>
    </row>
    <row r="1431" spans="1:9" x14ac:dyDescent="0.15">
      <c r="A1431" s="6">
        <v>1430</v>
      </c>
      <c r="B1431" s="7" t="s">
        <v>9</v>
      </c>
      <c r="C1431" s="8">
        <v>1889</v>
      </c>
      <c r="D1431" s="9">
        <v>45439</v>
      </c>
      <c r="E1431" s="13" t="str">
        <f>+HYPERLINK("http://trademark.i-assist.jp/data/china/image_1889th/77251326.pdf","77251326")</f>
        <v>77251326</v>
      </c>
      <c r="F1431" s="7" t="s">
        <v>4003</v>
      </c>
      <c r="G1431" s="7" t="s">
        <v>3781</v>
      </c>
      <c r="H1431" s="7" t="s">
        <v>4004</v>
      </c>
      <c r="I1431" s="9">
        <v>45363</v>
      </c>
    </row>
    <row r="1432" spans="1:9" x14ac:dyDescent="0.15">
      <c r="A1432" s="6">
        <v>1431</v>
      </c>
      <c r="B1432" s="7" t="s">
        <v>9</v>
      </c>
      <c r="C1432" s="8">
        <v>1889</v>
      </c>
      <c r="D1432" s="9">
        <v>45439</v>
      </c>
      <c r="E1432" s="13" t="str">
        <f>+HYPERLINK("http://trademark.i-assist.jp/data/china/image_1889th/77251487.pdf","77251487")</f>
        <v>77251487</v>
      </c>
      <c r="F1432" s="7" t="s">
        <v>134</v>
      </c>
      <c r="G1432" s="7" t="s">
        <v>4005</v>
      </c>
      <c r="H1432" s="7" t="s">
        <v>4006</v>
      </c>
      <c r="I1432" s="9">
        <v>45363</v>
      </c>
    </row>
    <row r="1433" spans="1:9" x14ac:dyDescent="0.15">
      <c r="A1433" s="6">
        <v>1432</v>
      </c>
      <c r="B1433" s="7" t="s">
        <v>9</v>
      </c>
      <c r="C1433" s="8">
        <v>1889</v>
      </c>
      <c r="D1433" s="9">
        <v>45439</v>
      </c>
      <c r="E1433" s="13" t="str">
        <f>+HYPERLINK("http://trademark.i-assist.jp/data/china/image_1889th/77251777.pdf","77251777")</f>
        <v>77251777</v>
      </c>
      <c r="F1433" s="7" t="s">
        <v>4007</v>
      </c>
      <c r="G1433" s="7" t="s">
        <v>4008</v>
      </c>
      <c r="H1433" s="7" t="s">
        <v>4009</v>
      </c>
      <c r="I1433" s="9">
        <v>45363</v>
      </c>
    </row>
    <row r="1434" spans="1:9" x14ac:dyDescent="0.15">
      <c r="A1434" s="6">
        <v>1433</v>
      </c>
      <c r="B1434" s="7" t="s">
        <v>9</v>
      </c>
      <c r="C1434" s="8">
        <v>1889</v>
      </c>
      <c r="D1434" s="9">
        <v>45439</v>
      </c>
      <c r="E1434" s="13" t="str">
        <f>+HYPERLINK("http://trademark.i-assist.jp/data/china/image_1889th/77251824.pdf","77251824")</f>
        <v>77251824</v>
      </c>
      <c r="F1434" s="7" t="s">
        <v>4010</v>
      </c>
      <c r="G1434" s="7" t="s">
        <v>1714</v>
      </c>
      <c r="H1434" s="7" t="s">
        <v>4011</v>
      </c>
      <c r="I1434" s="9">
        <v>45363</v>
      </c>
    </row>
    <row r="1435" spans="1:9" x14ac:dyDescent="0.15">
      <c r="A1435" s="6">
        <v>1434</v>
      </c>
      <c r="B1435" s="7" t="s">
        <v>9</v>
      </c>
      <c r="C1435" s="8">
        <v>1889</v>
      </c>
      <c r="D1435" s="9">
        <v>45439</v>
      </c>
      <c r="E1435" s="13" t="str">
        <f>+HYPERLINK("http://trademark.i-assist.jp/data/china/image_1889th/77252176.pdf","77252176")</f>
        <v>77252176</v>
      </c>
      <c r="F1435" s="7" t="s">
        <v>134</v>
      </c>
      <c r="G1435" s="7" t="s">
        <v>4012</v>
      </c>
      <c r="H1435" s="7" t="s">
        <v>4013</v>
      </c>
      <c r="I1435" s="9">
        <v>45363</v>
      </c>
    </row>
    <row r="1436" spans="1:9" x14ac:dyDescent="0.15">
      <c r="A1436" s="6">
        <v>1435</v>
      </c>
      <c r="B1436" s="7" t="s">
        <v>9</v>
      </c>
      <c r="C1436" s="8">
        <v>1889</v>
      </c>
      <c r="D1436" s="9">
        <v>45439</v>
      </c>
      <c r="E1436" s="13" t="str">
        <f>+HYPERLINK("http://trademark.i-assist.jp/data/china/image_1889th/77252265.pdf","77252265")</f>
        <v>77252265</v>
      </c>
      <c r="F1436" s="7" t="s">
        <v>4014</v>
      </c>
      <c r="G1436" s="7" t="s">
        <v>4015</v>
      </c>
      <c r="H1436" s="7" t="s">
        <v>4016</v>
      </c>
      <c r="I1436" s="9">
        <v>45363</v>
      </c>
    </row>
    <row r="1437" spans="1:9" x14ac:dyDescent="0.15">
      <c r="A1437" s="6">
        <v>1436</v>
      </c>
      <c r="B1437" s="7" t="s">
        <v>9</v>
      </c>
      <c r="C1437" s="8">
        <v>1889</v>
      </c>
      <c r="D1437" s="9">
        <v>45439</v>
      </c>
      <c r="E1437" s="13" t="str">
        <f>+HYPERLINK("http://trademark.i-assist.jp/data/china/image_1889th/77252348.pdf","77252348")</f>
        <v>77252348</v>
      </c>
      <c r="F1437" s="7" t="s">
        <v>4017</v>
      </c>
      <c r="G1437" s="7" t="s">
        <v>4018</v>
      </c>
      <c r="H1437" s="7" t="s">
        <v>4019</v>
      </c>
      <c r="I1437" s="9">
        <v>45363</v>
      </c>
    </row>
    <row r="1438" spans="1:9" x14ac:dyDescent="0.15">
      <c r="A1438" s="6">
        <v>1437</v>
      </c>
      <c r="B1438" s="7" t="s">
        <v>9</v>
      </c>
      <c r="C1438" s="8">
        <v>1889</v>
      </c>
      <c r="D1438" s="9">
        <v>45439</v>
      </c>
      <c r="E1438" s="13" t="str">
        <f>+HYPERLINK("http://trademark.i-assist.jp/data/china/image_1889th/77252675.pdf","77252675")</f>
        <v>77252675</v>
      </c>
      <c r="F1438" s="7" t="s">
        <v>4020</v>
      </c>
      <c r="G1438" s="7" t="s">
        <v>3867</v>
      </c>
      <c r="H1438" s="7" t="s">
        <v>4021</v>
      </c>
      <c r="I1438" s="9">
        <v>45363</v>
      </c>
    </row>
    <row r="1439" spans="1:9" ht="27" x14ac:dyDescent="0.15">
      <c r="A1439" s="6">
        <v>1438</v>
      </c>
      <c r="B1439" s="7" t="s">
        <v>9</v>
      </c>
      <c r="C1439" s="8">
        <v>1889</v>
      </c>
      <c r="D1439" s="9">
        <v>45439</v>
      </c>
      <c r="E1439" s="13" t="str">
        <f>+HYPERLINK("http://trademark.i-assist.jp/data/china/image_1889th/77252770.pdf","77252770")</f>
        <v>77252770</v>
      </c>
      <c r="F1439" s="7" t="s">
        <v>4022</v>
      </c>
      <c r="G1439" s="7" t="s">
        <v>3870</v>
      </c>
      <c r="H1439" s="7" t="s">
        <v>4023</v>
      </c>
      <c r="I1439" s="9">
        <v>45363</v>
      </c>
    </row>
    <row r="1440" spans="1:9" x14ac:dyDescent="0.15">
      <c r="A1440" s="6">
        <v>1439</v>
      </c>
      <c r="B1440" s="7" t="s">
        <v>9</v>
      </c>
      <c r="C1440" s="8">
        <v>1889</v>
      </c>
      <c r="D1440" s="9">
        <v>45439</v>
      </c>
      <c r="E1440" s="13" t="str">
        <f>+HYPERLINK("http://trademark.i-assist.jp/data/china/image_1889th/77252795.pdf","77252795")</f>
        <v>77252795</v>
      </c>
      <c r="F1440" s="7" t="s">
        <v>4024</v>
      </c>
      <c r="G1440" s="7" t="s">
        <v>4025</v>
      </c>
      <c r="H1440" s="7" t="s">
        <v>4026</v>
      </c>
      <c r="I1440" s="9">
        <v>45363</v>
      </c>
    </row>
    <row r="1441" spans="1:9" x14ac:dyDescent="0.15">
      <c r="A1441" s="6">
        <v>1440</v>
      </c>
      <c r="B1441" s="7" t="s">
        <v>9</v>
      </c>
      <c r="C1441" s="8">
        <v>1889</v>
      </c>
      <c r="D1441" s="9">
        <v>45439</v>
      </c>
      <c r="E1441" s="13" t="str">
        <f>+HYPERLINK("http://trademark.i-assist.jp/data/china/image_1889th/77252848.pdf","77252848")</f>
        <v>77252848</v>
      </c>
      <c r="F1441" s="7" t="s">
        <v>4027</v>
      </c>
      <c r="G1441" s="7" t="s">
        <v>4028</v>
      </c>
      <c r="H1441" s="7" t="s">
        <v>4029</v>
      </c>
      <c r="I1441" s="9">
        <v>45363</v>
      </c>
    </row>
    <row r="1442" spans="1:9" ht="27" x14ac:dyDescent="0.15">
      <c r="A1442" s="6">
        <v>1441</v>
      </c>
      <c r="B1442" s="7" t="s">
        <v>9</v>
      </c>
      <c r="C1442" s="8">
        <v>1889</v>
      </c>
      <c r="D1442" s="9">
        <v>45439</v>
      </c>
      <c r="E1442" s="13" t="str">
        <f>+HYPERLINK("http://trademark.i-assist.jp/data/china/image_1889th/77252943.pdf","77252943")</f>
        <v>77252943</v>
      </c>
      <c r="F1442" s="7" t="s">
        <v>4030</v>
      </c>
      <c r="G1442" s="7" t="s">
        <v>4031</v>
      </c>
      <c r="H1442" s="7" t="s">
        <v>4032</v>
      </c>
      <c r="I1442" s="9">
        <v>45363</v>
      </c>
    </row>
    <row r="1443" spans="1:9" x14ac:dyDescent="0.15">
      <c r="A1443" s="6">
        <v>1442</v>
      </c>
      <c r="B1443" s="7" t="s">
        <v>9</v>
      </c>
      <c r="C1443" s="8">
        <v>1889</v>
      </c>
      <c r="D1443" s="9">
        <v>45439</v>
      </c>
      <c r="E1443" s="13" t="str">
        <f>+HYPERLINK("http://trademark.i-assist.jp/data/china/image_1889th/77252973.pdf","77252973")</f>
        <v>77252973</v>
      </c>
      <c r="F1443" s="7" t="s">
        <v>4033</v>
      </c>
      <c r="G1443" s="7" t="s">
        <v>4034</v>
      </c>
      <c r="H1443" s="7" t="s">
        <v>4035</v>
      </c>
      <c r="I1443" s="9">
        <v>45363</v>
      </c>
    </row>
    <row r="1444" spans="1:9" x14ac:dyDescent="0.15">
      <c r="A1444" s="6">
        <v>1443</v>
      </c>
      <c r="B1444" s="7" t="s">
        <v>9</v>
      </c>
      <c r="C1444" s="8">
        <v>1889</v>
      </c>
      <c r="D1444" s="9">
        <v>45439</v>
      </c>
      <c r="E1444" s="13" t="str">
        <f>+HYPERLINK("http://trademark.i-assist.jp/data/china/image_1889th/77252982.pdf","77252982")</f>
        <v>77252982</v>
      </c>
      <c r="F1444" s="7" t="s">
        <v>4036</v>
      </c>
      <c r="G1444" s="7" t="s">
        <v>4037</v>
      </c>
      <c r="H1444" s="7" t="s">
        <v>4038</v>
      </c>
      <c r="I1444" s="9">
        <v>45363</v>
      </c>
    </row>
    <row r="1445" spans="1:9" x14ac:dyDescent="0.15">
      <c r="A1445" s="6">
        <v>1444</v>
      </c>
      <c r="B1445" s="7" t="s">
        <v>9</v>
      </c>
      <c r="C1445" s="8">
        <v>1889</v>
      </c>
      <c r="D1445" s="9">
        <v>45439</v>
      </c>
      <c r="E1445" s="13" t="str">
        <f>+HYPERLINK("http://trademark.i-assist.jp/data/china/image_1889th/77253012.pdf","77253012")</f>
        <v>77253012</v>
      </c>
      <c r="F1445" s="7" t="s">
        <v>4039</v>
      </c>
      <c r="G1445" s="7" t="s">
        <v>1714</v>
      </c>
      <c r="H1445" s="7" t="s">
        <v>4040</v>
      </c>
      <c r="I1445" s="9">
        <v>45363</v>
      </c>
    </row>
    <row r="1446" spans="1:9" x14ac:dyDescent="0.15">
      <c r="A1446" s="6">
        <v>1445</v>
      </c>
      <c r="B1446" s="7" t="s">
        <v>9</v>
      </c>
      <c r="C1446" s="8">
        <v>1889</v>
      </c>
      <c r="D1446" s="9">
        <v>45439</v>
      </c>
      <c r="E1446" s="13" t="str">
        <f>+HYPERLINK("http://trademark.i-assist.jp/data/china/image_1889th/77253030.pdf","77253030")</f>
        <v>77253030</v>
      </c>
      <c r="F1446" s="7" t="s">
        <v>4041</v>
      </c>
      <c r="G1446" s="7" t="s">
        <v>4042</v>
      </c>
      <c r="H1446" s="7" t="s">
        <v>4043</v>
      </c>
      <c r="I1446" s="9">
        <v>45363</v>
      </c>
    </row>
    <row r="1447" spans="1:9" ht="27" x14ac:dyDescent="0.15">
      <c r="A1447" s="6">
        <v>1446</v>
      </c>
      <c r="B1447" s="7" t="s">
        <v>9</v>
      </c>
      <c r="C1447" s="8">
        <v>1889</v>
      </c>
      <c r="D1447" s="9">
        <v>45439</v>
      </c>
      <c r="E1447" s="13" t="str">
        <f>+HYPERLINK("http://trademark.i-assist.jp/data/china/image_1889th/77253117.pdf","77253117")</f>
        <v>77253117</v>
      </c>
      <c r="F1447" s="7" t="s">
        <v>4044</v>
      </c>
      <c r="G1447" s="7" t="s">
        <v>4045</v>
      </c>
      <c r="H1447" s="7" t="s">
        <v>4046</v>
      </c>
      <c r="I1447" s="9">
        <v>45363</v>
      </c>
    </row>
    <row r="1448" spans="1:9" x14ac:dyDescent="0.15">
      <c r="A1448" s="6">
        <v>1447</v>
      </c>
      <c r="B1448" s="7" t="s">
        <v>9</v>
      </c>
      <c r="C1448" s="8">
        <v>1889</v>
      </c>
      <c r="D1448" s="9">
        <v>45439</v>
      </c>
      <c r="E1448" s="13" t="str">
        <f>+HYPERLINK("http://trademark.i-assist.jp/data/china/image_1889th/77253252.pdf","77253252")</f>
        <v>77253252</v>
      </c>
      <c r="F1448" s="7" t="s">
        <v>4047</v>
      </c>
      <c r="G1448" s="7" t="s">
        <v>4048</v>
      </c>
      <c r="H1448" s="7" t="s">
        <v>4049</v>
      </c>
      <c r="I1448" s="9">
        <v>45363</v>
      </c>
    </row>
    <row r="1449" spans="1:9" x14ac:dyDescent="0.15">
      <c r="A1449" s="6">
        <v>1448</v>
      </c>
      <c r="B1449" s="7" t="s">
        <v>9</v>
      </c>
      <c r="C1449" s="8">
        <v>1889</v>
      </c>
      <c r="D1449" s="9">
        <v>45439</v>
      </c>
      <c r="E1449" s="13" t="str">
        <f>+HYPERLINK("http://trademark.i-assist.jp/data/china/image_1889th/77253583.pdf","77253583")</f>
        <v>77253583</v>
      </c>
      <c r="F1449" s="7" t="s">
        <v>4050</v>
      </c>
      <c r="G1449" s="7" t="s">
        <v>3769</v>
      </c>
      <c r="H1449" s="7" t="s">
        <v>4051</v>
      </c>
      <c r="I1449" s="9">
        <v>45363</v>
      </c>
    </row>
    <row r="1450" spans="1:9" x14ac:dyDescent="0.15">
      <c r="A1450" s="6">
        <v>1449</v>
      </c>
      <c r="B1450" s="7" t="s">
        <v>9</v>
      </c>
      <c r="C1450" s="8">
        <v>1889</v>
      </c>
      <c r="D1450" s="9">
        <v>45439</v>
      </c>
      <c r="E1450" s="13" t="str">
        <f>+HYPERLINK("http://trademark.i-assist.jp/data/china/image_1889th/77253865.pdf","77253865")</f>
        <v>77253865</v>
      </c>
      <c r="F1450" s="7" t="s">
        <v>4052</v>
      </c>
      <c r="G1450" s="7" t="s">
        <v>3716</v>
      </c>
      <c r="H1450" s="7" t="s">
        <v>4053</v>
      </c>
      <c r="I1450" s="9">
        <v>45363</v>
      </c>
    </row>
    <row r="1451" spans="1:9" x14ac:dyDescent="0.15">
      <c r="A1451" s="6">
        <v>1450</v>
      </c>
      <c r="B1451" s="7" t="s">
        <v>9</v>
      </c>
      <c r="C1451" s="8">
        <v>1889</v>
      </c>
      <c r="D1451" s="9">
        <v>45439</v>
      </c>
      <c r="E1451" s="13" t="str">
        <f>+HYPERLINK("http://trademark.i-assist.jp/data/china/image_1889th/77254623.pdf","77254623")</f>
        <v>77254623</v>
      </c>
      <c r="F1451" s="7" t="s">
        <v>4054</v>
      </c>
      <c r="G1451" s="7" t="s">
        <v>1714</v>
      </c>
      <c r="H1451" s="7" t="s">
        <v>4055</v>
      </c>
      <c r="I1451" s="9">
        <v>45363</v>
      </c>
    </row>
    <row r="1452" spans="1:9" x14ac:dyDescent="0.15">
      <c r="A1452" s="6">
        <v>1451</v>
      </c>
      <c r="B1452" s="7" t="s">
        <v>9</v>
      </c>
      <c r="C1452" s="8">
        <v>1889</v>
      </c>
      <c r="D1452" s="9">
        <v>45439</v>
      </c>
      <c r="E1452" s="13" t="str">
        <f>+HYPERLINK("http://trademark.i-assist.jp/data/china/image_1889th/77254655.pdf","77254655")</f>
        <v>77254655</v>
      </c>
      <c r="F1452" s="7" t="s">
        <v>4056</v>
      </c>
      <c r="G1452" s="7" t="s">
        <v>3698</v>
      </c>
      <c r="H1452" s="7" t="s">
        <v>4057</v>
      </c>
      <c r="I1452" s="9">
        <v>45363</v>
      </c>
    </row>
    <row r="1453" spans="1:9" ht="27" x14ac:dyDescent="0.15">
      <c r="A1453" s="6">
        <v>1452</v>
      </c>
      <c r="B1453" s="7" t="s">
        <v>9</v>
      </c>
      <c r="C1453" s="8">
        <v>1889</v>
      </c>
      <c r="D1453" s="9">
        <v>45439</v>
      </c>
      <c r="E1453" s="13" t="str">
        <f>+HYPERLINK("http://trademark.i-assist.jp/data/china/image_1889th/77254820.pdf","77254820")</f>
        <v>77254820</v>
      </c>
      <c r="F1453" s="7" t="s">
        <v>4058</v>
      </c>
      <c r="G1453" s="7" t="s">
        <v>4059</v>
      </c>
      <c r="H1453" s="7" t="s">
        <v>4060</v>
      </c>
      <c r="I1453" s="9">
        <v>45363</v>
      </c>
    </row>
    <row r="1454" spans="1:9" x14ac:dyDescent="0.15">
      <c r="A1454" s="6">
        <v>1453</v>
      </c>
      <c r="B1454" s="7" t="s">
        <v>9</v>
      </c>
      <c r="C1454" s="8">
        <v>1889</v>
      </c>
      <c r="D1454" s="9">
        <v>45439</v>
      </c>
      <c r="E1454" s="13" t="str">
        <f>+HYPERLINK("http://trademark.i-assist.jp/data/china/image_1889th/77254995.pdf","77254995")</f>
        <v>77254995</v>
      </c>
      <c r="F1454" s="7" t="s">
        <v>4061</v>
      </c>
      <c r="G1454" s="7" t="s">
        <v>4062</v>
      </c>
      <c r="H1454" s="7" t="s">
        <v>4063</v>
      </c>
      <c r="I1454" s="9">
        <v>45363</v>
      </c>
    </row>
    <row r="1455" spans="1:9" x14ac:dyDescent="0.15">
      <c r="A1455" s="6">
        <v>1454</v>
      </c>
      <c r="B1455" s="7" t="s">
        <v>9</v>
      </c>
      <c r="C1455" s="8">
        <v>1889</v>
      </c>
      <c r="D1455" s="9">
        <v>45439</v>
      </c>
      <c r="E1455" s="13" t="str">
        <f>+HYPERLINK("http://trademark.i-assist.jp/data/china/image_1889th/77255163.pdf","77255163")</f>
        <v>77255163</v>
      </c>
      <c r="F1455" s="7" t="s">
        <v>4064</v>
      </c>
      <c r="G1455" s="7" t="s">
        <v>4065</v>
      </c>
      <c r="H1455" s="7" t="s">
        <v>4066</v>
      </c>
      <c r="I1455" s="9">
        <v>45363</v>
      </c>
    </row>
    <row r="1456" spans="1:9" x14ac:dyDescent="0.15">
      <c r="A1456" s="6">
        <v>1455</v>
      </c>
      <c r="B1456" s="7" t="s">
        <v>9</v>
      </c>
      <c r="C1456" s="8">
        <v>1889</v>
      </c>
      <c r="D1456" s="9">
        <v>45439</v>
      </c>
      <c r="E1456" s="13" t="str">
        <f>+HYPERLINK("http://trademark.i-assist.jp/data/china/image_1889th/77256179.pdf","77256179")</f>
        <v>77256179</v>
      </c>
      <c r="F1456" s="7" t="s">
        <v>4067</v>
      </c>
      <c r="G1456" s="7" t="s">
        <v>4068</v>
      </c>
      <c r="H1456" s="7" t="s">
        <v>4069</v>
      </c>
      <c r="I1456" s="9">
        <v>45363</v>
      </c>
    </row>
    <row r="1457" spans="1:9" ht="27" x14ac:dyDescent="0.15">
      <c r="A1457" s="6">
        <v>1456</v>
      </c>
      <c r="B1457" s="7" t="s">
        <v>9</v>
      </c>
      <c r="C1457" s="8">
        <v>1889</v>
      </c>
      <c r="D1457" s="9">
        <v>45439</v>
      </c>
      <c r="E1457" s="13" t="str">
        <f>+HYPERLINK("http://trademark.i-assist.jp/data/china/image_1889th/77256538.pdf","77256538")</f>
        <v>77256538</v>
      </c>
      <c r="F1457" s="7" t="s">
        <v>4070</v>
      </c>
      <c r="G1457" s="7" t="s">
        <v>4071</v>
      </c>
      <c r="H1457" s="7" t="s">
        <v>4072</v>
      </c>
      <c r="I1457" s="9">
        <v>45363</v>
      </c>
    </row>
    <row r="1458" spans="1:9" x14ac:dyDescent="0.15">
      <c r="A1458" s="6">
        <v>1457</v>
      </c>
      <c r="B1458" s="7" t="s">
        <v>9</v>
      </c>
      <c r="C1458" s="8">
        <v>1889</v>
      </c>
      <c r="D1458" s="9">
        <v>45439</v>
      </c>
      <c r="E1458" s="13" t="str">
        <f>+HYPERLINK("http://trademark.i-assist.jp/data/china/image_1889th/77257139.pdf","77257139")</f>
        <v>77257139</v>
      </c>
      <c r="F1458" s="7" t="s">
        <v>4073</v>
      </c>
      <c r="G1458" s="7" t="s">
        <v>4074</v>
      </c>
      <c r="H1458" s="7" t="s">
        <v>4075</v>
      </c>
      <c r="I1458" s="9">
        <v>45363</v>
      </c>
    </row>
    <row r="1459" spans="1:9" x14ac:dyDescent="0.15">
      <c r="A1459" s="6">
        <v>1458</v>
      </c>
      <c r="B1459" s="7" t="s">
        <v>9</v>
      </c>
      <c r="C1459" s="8">
        <v>1889</v>
      </c>
      <c r="D1459" s="9">
        <v>45439</v>
      </c>
      <c r="E1459" s="13" t="str">
        <f>+HYPERLINK("http://trademark.i-assist.jp/data/china/image_1889th/77257376.pdf","77257376")</f>
        <v>77257376</v>
      </c>
      <c r="F1459" s="7" t="s">
        <v>134</v>
      </c>
      <c r="G1459" s="7" t="s">
        <v>4076</v>
      </c>
      <c r="H1459" s="7" t="s">
        <v>4077</v>
      </c>
      <c r="I1459" s="9">
        <v>45363</v>
      </c>
    </row>
    <row r="1460" spans="1:9" x14ac:dyDescent="0.15">
      <c r="A1460" s="6">
        <v>1459</v>
      </c>
      <c r="B1460" s="7" t="s">
        <v>9</v>
      </c>
      <c r="C1460" s="8">
        <v>1889</v>
      </c>
      <c r="D1460" s="9">
        <v>45439</v>
      </c>
      <c r="E1460" s="13" t="str">
        <f>+HYPERLINK("http://trademark.i-assist.jp/data/china/image_1889th/77257385.pdf","77257385")</f>
        <v>77257385</v>
      </c>
      <c r="F1460" s="7" t="s">
        <v>4078</v>
      </c>
      <c r="G1460" s="7" t="s">
        <v>4079</v>
      </c>
      <c r="H1460" s="7" t="s">
        <v>4080</v>
      </c>
      <c r="I1460" s="9">
        <v>45363</v>
      </c>
    </row>
    <row r="1461" spans="1:9" x14ac:dyDescent="0.15">
      <c r="A1461" s="6">
        <v>1460</v>
      </c>
      <c r="B1461" s="7" t="s">
        <v>9</v>
      </c>
      <c r="C1461" s="8">
        <v>1889</v>
      </c>
      <c r="D1461" s="9">
        <v>45439</v>
      </c>
      <c r="E1461" s="13" t="str">
        <f>+HYPERLINK("http://trademark.i-assist.jp/data/china/image_1889th/77257943.pdf","77257943")</f>
        <v>77257943</v>
      </c>
      <c r="F1461" s="7" t="s">
        <v>4081</v>
      </c>
      <c r="G1461" s="7" t="s">
        <v>4082</v>
      </c>
      <c r="H1461" s="7" t="s">
        <v>4083</v>
      </c>
      <c r="I1461" s="9">
        <v>45363</v>
      </c>
    </row>
    <row r="1462" spans="1:9" x14ac:dyDescent="0.15">
      <c r="A1462" s="6">
        <v>1461</v>
      </c>
      <c r="B1462" s="7" t="s">
        <v>9</v>
      </c>
      <c r="C1462" s="8">
        <v>1889</v>
      </c>
      <c r="D1462" s="9">
        <v>45439</v>
      </c>
      <c r="E1462" s="13" t="str">
        <f>+HYPERLINK("http://trademark.i-assist.jp/data/china/image_1889th/77258087.pdf","77258087")</f>
        <v>77258087</v>
      </c>
      <c r="F1462" s="7" t="s">
        <v>4084</v>
      </c>
      <c r="G1462" s="7" t="s">
        <v>4085</v>
      </c>
      <c r="H1462" s="7" t="s">
        <v>4086</v>
      </c>
      <c r="I1462" s="9">
        <v>45363</v>
      </c>
    </row>
    <row r="1463" spans="1:9" x14ac:dyDescent="0.15">
      <c r="A1463" s="6">
        <v>1462</v>
      </c>
      <c r="B1463" s="7" t="s">
        <v>9</v>
      </c>
      <c r="C1463" s="8">
        <v>1889</v>
      </c>
      <c r="D1463" s="9">
        <v>45439</v>
      </c>
      <c r="E1463" s="13" t="str">
        <f>+HYPERLINK("http://trademark.i-assist.jp/data/china/image_1889th/77258290.pdf","77258290")</f>
        <v>77258290</v>
      </c>
      <c r="F1463" s="7" t="s">
        <v>4087</v>
      </c>
      <c r="G1463" s="7" t="s">
        <v>4088</v>
      </c>
      <c r="H1463" s="7" t="s">
        <v>4089</v>
      </c>
      <c r="I1463" s="9">
        <v>45363</v>
      </c>
    </row>
    <row r="1464" spans="1:9" ht="27" x14ac:dyDescent="0.15">
      <c r="A1464" s="6">
        <v>1463</v>
      </c>
      <c r="B1464" s="7" t="s">
        <v>9</v>
      </c>
      <c r="C1464" s="8">
        <v>1889</v>
      </c>
      <c r="D1464" s="9">
        <v>45439</v>
      </c>
      <c r="E1464" s="13" t="str">
        <f>+HYPERLINK("http://trademark.i-assist.jp/data/china/image_1889th/77258772.pdf","77258772")</f>
        <v>77258772</v>
      </c>
      <c r="F1464" s="7" t="s">
        <v>4090</v>
      </c>
      <c r="G1464" s="7" t="s">
        <v>4091</v>
      </c>
      <c r="H1464" s="7" t="s">
        <v>4092</v>
      </c>
      <c r="I1464" s="9">
        <v>45363</v>
      </c>
    </row>
    <row r="1465" spans="1:9" x14ac:dyDescent="0.15">
      <c r="A1465" s="6">
        <v>1464</v>
      </c>
      <c r="B1465" s="7" t="s">
        <v>9</v>
      </c>
      <c r="C1465" s="8">
        <v>1889</v>
      </c>
      <c r="D1465" s="9">
        <v>45439</v>
      </c>
      <c r="E1465" s="13" t="str">
        <f>+HYPERLINK("http://trademark.i-assist.jp/data/china/image_1889th/77258802.pdf","77258802")</f>
        <v>77258802</v>
      </c>
      <c r="F1465" s="7" t="s">
        <v>4093</v>
      </c>
      <c r="G1465" s="7" t="s">
        <v>4094</v>
      </c>
      <c r="H1465" s="7" t="s">
        <v>4095</v>
      </c>
      <c r="I1465" s="9">
        <v>45363</v>
      </c>
    </row>
    <row r="1466" spans="1:9" ht="27" x14ac:dyDescent="0.15">
      <c r="A1466" s="6">
        <v>1465</v>
      </c>
      <c r="B1466" s="7" t="s">
        <v>9</v>
      </c>
      <c r="C1466" s="8">
        <v>1889</v>
      </c>
      <c r="D1466" s="9">
        <v>45439</v>
      </c>
      <c r="E1466" s="13" t="str">
        <f>+HYPERLINK("http://trademark.i-assist.jp/data/china/image_1889th/77259485.pdf","77259485")</f>
        <v>77259485</v>
      </c>
      <c r="F1466" s="7" t="s">
        <v>4096</v>
      </c>
      <c r="G1466" s="7" t="s">
        <v>4071</v>
      </c>
      <c r="H1466" s="7" t="s">
        <v>4097</v>
      </c>
      <c r="I1466" s="9">
        <v>45363</v>
      </c>
    </row>
    <row r="1467" spans="1:9" x14ac:dyDescent="0.15">
      <c r="A1467" s="6">
        <v>1466</v>
      </c>
      <c r="B1467" s="7" t="s">
        <v>9</v>
      </c>
      <c r="C1467" s="8">
        <v>1889</v>
      </c>
      <c r="D1467" s="9">
        <v>45439</v>
      </c>
      <c r="E1467" s="13" t="str">
        <f>+HYPERLINK("http://trademark.i-assist.jp/data/china/image_1889th/77259518.pdf","77259518")</f>
        <v>77259518</v>
      </c>
      <c r="F1467" s="7" t="s">
        <v>4098</v>
      </c>
      <c r="G1467" s="7" t="s">
        <v>3698</v>
      </c>
      <c r="H1467" s="7" t="s">
        <v>4099</v>
      </c>
      <c r="I1467" s="9">
        <v>45363</v>
      </c>
    </row>
    <row r="1468" spans="1:9" x14ac:dyDescent="0.15">
      <c r="A1468" s="6">
        <v>1467</v>
      </c>
      <c r="B1468" s="7" t="s">
        <v>9</v>
      </c>
      <c r="C1468" s="8">
        <v>1889</v>
      </c>
      <c r="D1468" s="9">
        <v>45439</v>
      </c>
      <c r="E1468" s="13" t="str">
        <f>+HYPERLINK("http://trademark.i-assist.jp/data/china/image_1889th/77259530.pdf","77259530")</f>
        <v>77259530</v>
      </c>
      <c r="F1468" s="7" t="s">
        <v>4100</v>
      </c>
      <c r="G1468" s="7" t="s">
        <v>3784</v>
      </c>
      <c r="H1468" s="7" t="s">
        <v>4101</v>
      </c>
      <c r="I1468" s="9">
        <v>45363</v>
      </c>
    </row>
    <row r="1469" spans="1:9" ht="27" x14ac:dyDescent="0.15">
      <c r="A1469" s="6">
        <v>1468</v>
      </c>
      <c r="B1469" s="7" t="s">
        <v>9</v>
      </c>
      <c r="C1469" s="8">
        <v>1889</v>
      </c>
      <c r="D1469" s="9">
        <v>45439</v>
      </c>
      <c r="E1469" s="13" t="str">
        <f>+HYPERLINK("http://trademark.i-assist.jp/data/china/image_1889th/77259959.pdf","77259959")</f>
        <v>77259959</v>
      </c>
      <c r="F1469" s="7" t="s">
        <v>4102</v>
      </c>
      <c r="G1469" s="7" t="s">
        <v>4059</v>
      </c>
      <c r="H1469" s="7" t="s">
        <v>4103</v>
      </c>
      <c r="I1469" s="9">
        <v>45363</v>
      </c>
    </row>
    <row r="1470" spans="1:9" x14ac:dyDescent="0.15">
      <c r="A1470" s="6">
        <v>1469</v>
      </c>
      <c r="B1470" s="7" t="s">
        <v>9</v>
      </c>
      <c r="C1470" s="8">
        <v>1889</v>
      </c>
      <c r="D1470" s="9">
        <v>45439</v>
      </c>
      <c r="E1470" s="13" t="str">
        <f>+HYPERLINK("http://trademark.i-assist.jp/data/china/image_1889th/77259977.pdf","77259977")</f>
        <v>77259977</v>
      </c>
      <c r="F1470" s="7" t="s">
        <v>4104</v>
      </c>
      <c r="G1470" s="7" t="s">
        <v>4105</v>
      </c>
      <c r="H1470" s="7" t="s">
        <v>4106</v>
      </c>
      <c r="I1470" s="9">
        <v>45363</v>
      </c>
    </row>
    <row r="1471" spans="1:9" x14ac:dyDescent="0.15">
      <c r="A1471" s="6">
        <v>1470</v>
      </c>
      <c r="B1471" s="7" t="s">
        <v>9</v>
      </c>
      <c r="C1471" s="8">
        <v>1889</v>
      </c>
      <c r="D1471" s="9">
        <v>45439</v>
      </c>
      <c r="E1471" s="13" t="str">
        <f>+HYPERLINK("http://trademark.i-assist.jp/data/china/image_1889th/77260157.pdf","77260157")</f>
        <v>77260157</v>
      </c>
      <c r="F1471" s="7" t="s">
        <v>4107</v>
      </c>
      <c r="G1471" s="7" t="s">
        <v>4108</v>
      </c>
      <c r="H1471" s="7" t="s">
        <v>4109</v>
      </c>
      <c r="I1471" s="9">
        <v>45363</v>
      </c>
    </row>
    <row r="1472" spans="1:9" x14ac:dyDescent="0.15">
      <c r="A1472" s="6">
        <v>1471</v>
      </c>
      <c r="B1472" s="7" t="s">
        <v>9</v>
      </c>
      <c r="C1472" s="8">
        <v>1889</v>
      </c>
      <c r="D1472" s="9">
        <v>45439</v>
      </c>
      <c r="E1472" s="13" t="str">
        <f>+HYPERLINK("http://trademark.i-assist.jp/data/china/image_1889th/77260404.pdf","77260404")</f>
        <v>77260404</v>
      </c>
      <c r="F1472" s="7" t="s">
        <v>4110</v>
      </c>
      <c r="G1472" s="7" t="s">
        <v>4111</v>
      </c>
      <c r="H1472" s="7" t="s">
        <v>4112</v>
      </c>
      <c r="I1472" s="9">
        <v>45363</v>
      </c>
    </row>
    <row r="1473" spans="1:9" x14ac:dyDescent="0.15">
      <c r="A1473" s="6">
        <v>1472</v>
      </c>
      <c r="B1473" s="7" t="s">
        <v>9</v>
      </c>
      <c r="C1473" s="8">
        <v>1889</v>
      </c>
      <c r="D1473" s="9">
        <v>45439</v>
      </c>
      <c r="E1473" s="13" t="str">
        <f>+HYPERLINK("http://trademark.i-assist.jp/data/china/image_1889th/77260623.pdf","77260623")</f>
        <v>77260623</v>
      </c>
      <c r="F1473" s="7" t="s">
        <v>4113</v>
      </c>
      <c r="G1473" s="7" t="s">
        <v>3690</v>
      </c>
      <c r="H1473" s="7" t="s">
        <v>4114</v>
      </c>
      <c r="I1473" s="9">
        <v>45363</v>
      </c>
    </row>
    <row r="1474" spans="1:9" ht="27" x14ac:dyDescent="0.15">
      <c r="A1474" s="6">
        <v>1473</v>
      </c>
      <c r="B1474" s="7" t="s">
        <v>9</v>
      </c>
      <c r="C1474" s="8">
        <v>1889</v>
      </c>
      <c r="D1474" s="9">
        <v>45439</v>
      </c>
      <c r="E1474" s="13" t="str">
        <f>+HYPERLINK("http://trademark.i-assist.jp/data/china/image_1889th/77260680.pdf","77260680")</f>
        <v>77260680</v>
      </c>
      <c r="F1474" s="7" t="s">
        <v>4115</v>
      </c>
      <c r="G1474" s="7" t="s">
        <v>3664</v>
      </c>
      <c r="H1474" s="7" t="s">
        <v>4116</v>
      </c>
      <c r="I1474" s="9">
        <v>45363</v>
      </c>
    </row>
    <row r="1475" spans="1:9" x14ac:dyDescent="0.15">
      <c r="A1475" s="6">
        <v>1474</v>
      </c>
      <c r="B1475" s="7" t="s">
        <v>9</v>
      </c>
      <c r="C1475" s="8">
        <v>1889</v>
      </c>
      <c r="D1475" s="9">
        <v>45439</v>
      </c>
      <c r="E1475" s="13" t="str">
        <f>+HYPERLINK("http://trademark.i-assist.jp/data/china/image_1889th/77260986.pdf","77260986")</f>
        <v>77260986</v>
      </c>
      <c r="F1475" s="7" t="s">
        <v>4117</v>
      </c>
      <c r="G1475" s="7" t="s">
        <v>4118</v>
      </c>
      <c r="H1475" s="7" t="s">
        <v>4119</v>
      </c>
      <c r="I1475" s="9">
        <v>45363</v>
      </c>
    </row>
    <row r="1476" spans="1:9" ht="27" x14ac:dyDescent="0.15">
      <c r="A1476" s="6">
        <v>1475</v>
      </c>
      <c r="B1476" s="7" t="s">
        <v>9</v>
      </c>
      <c r="C1476" s="8">
        <v>1889</v>
      </c>
      <c r="D1476" s="9">
        <v>45439</v>
      </c>
      <c r="E1476" s="13" t="str">
        <f>+HYPERLINK("http://trademark.i-assist.jp/data/china/image_1889th/77261293.pdf","77261293")</f>
        <v>77261293</v>
      </c>
      <c r="F1476" s="7" t="s">
        <v>4120</v>
      </c>
      <c r="G1476" s="7" t="s">
        <v>4121</v>
      </c>
      <c r="H1476" s="7" t="s">
        <v>4122</v>
      </c>
      <c r="I1476" s="9">
        <v>45363</v>
      </c>
    </row>
    <row r="1477" spans="1:9" ht="27" x14ac:dyDescent="0.15">
      <c r="A1477" s="6">
        <v>1476</v>
      </c>
      <c r="B1477" s="7" t="s">
        <v>9</v>
      </c>
      <c r="C1477" s="8">
        <v>1889</v>
      </c>
      <c r="D1477" s="9">
        <v>45439</v>
      </c>
      <c r="E1477" s="13" t="str">
        <f>+HYPERLINK("http://trademark.i-assist.jp/data/china/image_1889th/77261309.pdf","77261309")</f>
        <v>77261309</v>
      </c>
      <c r="F1477" s="7" t="s">
        <v>4123</v>
      </c>
      <c r="G1477" s="7" t="s">
        <v>4082</v>
      </c>
      <c r="H1477" s="7" t="s">
        <v>4124</v>
      </c>
      <c r="I1477" s="9">
        <v>45363</v>
      </c>
    </row>
    <row r="1478" spans="1:9" x14ac:dyDescent="0.15">
      <c r="A1478" s="6">
        <v>1477</v>
      </c>
      <c r="B1478" s="7" t="s">
        <v>9</v>
      </c>
      <c r="C1478" s="8">
        <v>1889</v>
      </c>
      <c r="D1478" s="9">
        <v>45439</v>
      </c>
      <c r="E1478" s="13" t="str">
        <f>+HYPERLINK("http://trademark.i-assist.jp/data/china/image_1889th/77261312.pdf","77261312")</f>
        <v>77261312</v>
      </c>
      <c r="F1478" s="7" t="s">
        <v>3803</v>
      </c>
      <c r="G1478" s="7" t="s">
        <v>3804</v>
      </c>
      <c r="H1478" s="7" t="s">
        <v>4125</v>
      </c>
      <c r="I1478" s="9">
        <v>45363</v>
      </c>
    </row>
    <row r="1479" spans="1:9" x14ac:dyDescent="0.15">
      <c r="A1479" s="6">
        <v>1478</v>
      </c>
      <c r="B1479" s="7" t="s">
        <v>9</v>
      </c>
      <c r="C1479" s="8">
        <v>1889</v>
      </c>
      <c r="D1479" s="9">
        <v>45439</v>
      </c>
      <c r="E1479" s="13" t="str">
        <f>+HYPERLINK("http://trademark.i-assist.jp/data/china/image_1889th/77261699.pdf","77261699")</f>
        <v>77261699</v>
      </c>
      <c r="F1479" s="7" t="s">
        <v>134</v>
      </c>
      <c r="G1479" s="7" t="s">
        <v>4126</v>
      </c>
      <c r="H1479" s="7" t="s">
        <v>4127</v>
      </c>
      <c r="I1479" s="9">
        <v>45363</v>
      </c>
    </row>
    <row r="1480" spans="1:9" x14ac:dyDescent="0.15">
      <c r="A1480" s="6">
        <v>1479</v>
      </c>
      <c r="B1480" s="7" t="s">
        <v>9</v>
      </c>
      <c r="C1480" s="8">
        <v>1889</v>
      </c>
      <c r="D1480" s="9">
        <v>45439</v>
      </c>
      <c r="E1480" s="13" t="str">
        <f>+HYPERLINK("http://trademark.i-assist.jp/data/china/image_1889th/77261779.pdf","77261779")</f>
        <v>77261779</v>
      </c>
      <c r="F1480" s="7" t="s">
        <v>4128</v>
      </c>
      <c r="G1480" s="7" t="s">
        <v>1714</v>
      </c>
      <c r="H1480" s="7" t="s">
        <v>4129</v>
      </c>
      <c r="I1480" s="9">
        <v>45363</v>
      </c>
    </row>
    <row r="1481" spans="1:9" x14ac:dyDescent="0.15">
      <c r="A1481" s="6">
        <v>1480</v>
      </c>
      <c r="B1481" s="7" t="s">
        <v>9</v>
      </c>
      <c r="C1481" s="8">
        <v>1889</v>
      </c>
      <c r="D1481" s="9">
        <v>45439</v>
      </c>
      <c r="E1481" s="13" t="str">
        <f>+HYPERLINK("http://trademark.i-assist.jp/data/china/image_1889th/77261805.pdf","77261805")</f>
        <v>77261805</v>
      </c>
      <c r="F1481" s="7" t="s">
        <v>4130</v>
      </c>
      <c r="G1481" s="7" t="s">
        <v>4131</v>
      </c>
      <c r="H1481" s="7" t="s">
        <v>4132</v>
      </c>
      <c r="I1481" s="9">
        <v>45363</v>
      </c>
    </row>
    <row r="1482" spans="1:9" x14ac:dyDescent="0.15">
      <c r="A1482" s="6">
        <v>1481</v>
      </c>
      <c r="B1482" s="7" t="s">
        <v>9</v>
      </c>
      <c r="C1482" s="8">
        <v>1889</v>
      </c>
      <c r="D1482" s="9">
        <v>45439</v>
      </c>
      <c r="E1482" s="13" t="str">
        <f>+HYPERLINK("http://trademark.i-assist.jp/data/china/image_1889th/77261940.pdf","77261940")</f>
        <v>77261940</v>
      </c>
      <c r="F1482" s="7" t="s">
        <v>4133</v>
      </c>
      <c r="G1482" s="7" t="s">
        <v>4134</v>
      </c>
      <c r="H1482" s="7" t="s">
        <v>4135</v>
      </c>
      <c r="I1482" s="9">
        <v>45363</v>
      </c>
    </row>
    <row r="1483" spans="1:9" x14ac:dyDescent="0.15">
      <c r="A1483" s="6">
        <v>1482</v>
      </c>
      <c r="B1483" s="7" t="s">
        <v>9</v>
      </c>
      <c r="C1483" s="8">
        <v>1889</v>
      </c>
      <c r="D1483" s="9">
        <v>45439</v>
      </c>
      <c r="E1483" s="13" t="str">
        <f>+HYPERLINK("http://trademark.i-assist.jp/data/china/image_1889th/77261953.pdf","77261953")</f>
        <v>77261953</v>
      </c>
      <c r="F1483" s="7" t="s">
        <v>4136</v>
      </c>
      <c r="G1483" s="7" t="s">
        <v>4137</v>
      </c>
      <c r="H1483" s="7" t="s">
        <v>4138</v>
      </c>
      <c r="I1483" s="9">
        <v>45363</v>
      </c>
    </row>
    <row r="1484" spans="1:9" x14ac:dyDescent="0.15">
      <c r="A1484" s="6">
        <v>1483</v>
      </c>
      <c r="B1484" s="7" t="s">
        <v>9</v>
      </c>
      <c r="C1484" s="8">
        <v>1889</v>
      </c>
      <c r="D1484" s="9">
        <v>45439</v>
      </c>
      <c r="E1484" s="13" t="str">
        <f>+HYPERLINK("http://trademark.i-assist.jp/data/china/image_1889th/77261996.pdf","77261996")</f>
        <v>77261996</v>
      </c>
      <c r="F1484" s="7" t="s">
        <v>4139</v>
      </c>
      <c r="G1484" s="7" t="s">
        <v>4140</v>
      </c>
      <c r="H1484" s="7" t="s">
        <v>4141</v>
      </c>
      <c r="I1484" s="9">
        <v>45363</v>
      </c>
    </row>
    <row r="1485" spans="1:9" x14ac:dyDescent="0.15">
      <c r="A1485" s="6">
        <v>1484</v>
      </c>
      <c r="B1485" s="7" t="s">
        <v>9</v>
      </c>
      <c r="C1485" s="8">
        <v>1889</v>
      </c>
      <c r="D1485" s="9">
        <v>45439</v>
      </c>
      <c r="E1485" s="13" t="str">
        <f>+HYPERLINK("http://trademark.i-assist.jp/data/china/image_1889th/77261998.pdf","77261998")</f>
        <v>77261998</v>
      </c>
      <c r="F1485" s="7" t="s">
        <v>4142</v>
      </c>
      <c r="G1485" s="7" t="s">
        <v>4143</v>
      </c>
      <c r="H1485" s="7" t="s">
        <v>4144</v>
      </c>
      <c r="I1485" s="9">
        <v>45363</v>
      </c>
    </row>
    <row r="1486" spans="1:9" x14ac:dyDescent="0.15">
      <c r="A1486" s="6">
        <v>1485</v>
      </c>
      <c r="B1486" s="7" t="s">
        <v>9</v>
      </c>
      <c r="C1486" s="8">
        <v>1889</v>
      </c>
      <c r="D1486" s="9">
        <v>45439</v>
      </c>
      <c r="E1486" s="13" t="str">
        <f>+HYPERLINK("http://trademark.i-assist.jp/data/china/image_1889th/77262297.pdf","77262297")</f>
        <v>77262297</v>
      </c>
      <c r="F1486" s="7" t="s">
        <v>4145</v>
      </c>
      <c r="G1486" s="7" t="s">
        <v>4146</v>
      </c>
      <c r="H1486" s="7" t="s">
        <v>4147</v>
      </c>
      <c r="I1486" s="9">
        <v>45364</v>
      </c>
    </row>
    <row r="1487" spans="1:9" x14ac:dyDescent="0.15">
      <c r="A1487" s="6">
        <v>1486</v>
      </c>
      <c r="B1487" s="7" t="s">
        <v>9</v>
      </c>
      <c r="C1487" s="8">
        <v>1889</v>
      </c>
      <c r="D1487" s="9">
        <v>45439</v>
      </c>
      <c r="E1487" s="13" t="str">
        <f>+HYPERLINK("http://trademark.i-assist.jp/data/china/image_1889th/77262433.pdf","77262433")</f>
        <v>77262433</v>
      </c>
      <c r="F1487" s="7" t="s">
        <v>4148</v>
      </c>
      <c r="G1487" s="7" t="s">
        <v>4149</v>
      </c>
      <c r="H1487" s="7" t="s">
        <v>4150</v>
      </c>
      <c r="I1487" s="9">
        <v>45364</v>
      </c>
    </row>
    <row r="1488" spans="1:9" x14ac:dyDescent="0.15">
      <c r="A1488" s="6">
        <v>1487</v>
      </c>
      <c r="B1488" s="7" t="s">
        <v>9</v>
      </c>
      <c r="C1488" s="8">
        <v>1889</v>
      </c>
      <c r="D1488" s="9">
        <v>45439</v>
      </c>
      <c r="E1488" s="13" t="str">
        <f>+HYPERLINK("http://trademark.i-assist.jp/data/china/image_1889th/77262753.pdf","77262753")</f>
        <v>77262753</v>
      </c>
      <c r="F1488" s="7" t="s">
        <v>4151</v>
      </c>
      <c r="G1488" s="7" t="s">
        <v>4152</v>
      </c>
      <c r="H1488" s="7" t="s">
        <v>4153</v>
      </c>
      <c r="I1488" s="9">
        <v>45364</v>
      </c>
    </row>
    <row r="1489" spans="1:9" x14ac:dyDescent="0.15">
      <c r="A1489" s="6">
        <v>1488</v>
      </c>
      <c r="B1489" s="7" t="s">
        <v>9</v>
      </c>
      <c r="C1489" s="8">
        <v>1889</v>
      </c>
      <c r="D1489" s="9">
        <v>45439</v>
      </c>
      <c r="E1489" s="13" t="str">
        <f>+HYPERLINK("http://trademark.i-assist.jp/data/china/image_1889th/77263215.pdf","77263215")</f>
        <v>77263215</v>
      </c>
      <c r="F1489" s="7" t="s">
        <v>4154</v>
      </c>
      <c r="G1489" s="7" t="s">
        <v>4155</v>
      </c>
      <c r="H1489" s="7" t="s">
        <v>4156</v>
      </c>
      <c r="I1489" s="9">
        <v>45364</v>
      </c>
    </row>
    <row r="1490" spans="1:9" x14ac:dyDescent="0.15">
      <c r="A1490" s="6">
        <v>1489</v>
      </c>
      <c r="B1490" s="7" t="s">
        <v>9</v>
      </c>
      <c r="C1490" s="8">
        <v>1889</v>
      </c>
      <c r="D1490" s="9">
        <v>45439</v>
      </c>
      <c r="E1490" s="13" t="str">
        <f>+HYPERLINK("http://trademark.i-assist.jp/data/china/image_1889th/77263670.pdf","77263670")</f>
        <v>77263670</v>
      </c>
      <c r="F1490" s="7" t="s">
        <v>4157</v>
      </c>
      <c r="G1490" s="7" t="s">
        <v>4158</v>
      </c>
      <c r="H1490" s="7" t="s">
        <v>4159</v>
      </c>
      <c r="I1490" s="9">
        <v>45364</v>
      </c>
    </row>
    <row r="1491" spans="1:9" x14ac:dyDescent="0.15">
      <c r="A1491" s="6">
        <v>1490</v>
      </c>
      <c r="B1491" s="7" t="s">
        <v>9</v>
      </c>
      <c r="C1491" s="8">
        <v>1889</v>
      </c>
      <c r="D1491" s="9">
        <v>45439</v>
      </c>
      <c r="E1491" s="13" t="str">
        <f>+HYPERLINK("http://trademark.i-assist.jp/data/china/image_1889th/77263908.pdf","77263908")</f>
        <v>77263908</v>
      </c>
      <c r="F1491" s="7" t="s">
        <v>4160</v>
      </c>
      <c r="G1491" s="7" t="s">
        <v>501</v>
      </c>
      <c r="H1491" s="7" t="s">
        <v>4161</v>
      </c>
      <c r="I1491" s="9">
        <v>45364</v>
      </c>
    </row>
    <row r="1492" spans="1:9" x14ac:dyDescent="0.15">
      <c r="A1492" s="6">
        <v>1491</v>
      </c>
      <c r="B1492" s="7" t="s">
        <v>9</v>
      </c>
      <c r="C1492" s="8">
        <v>1889</v>
      </c>
      <c r="D1492" s="9">
        <v>45439</v>
      </c>
      <c r="E1492" s="13" t="str">
        <f>+HYPERLINK("http://trademark.i-assist.jp/data/china/image_1889th/77264526.pdf","77264526")</f>
        <v>77264526</v>
      </c>
      <c r="F1492" s="7" t="s">
        <v>4162</v>
      </c>
      <c r="G1492" s="7" t="s">
        <v>4163</v>
      </c>
      <c r="H1492" s="7" t="s">
        <v>4164</v>
      </c>
      <c r="I1492" s="9">
        <v>45364</v>
      </c>
    </row>
    <row r="1493" spans="1:9" x14ac:dyDescent="0.15">
      <c r="A1493" s="6">
        <v>1492</v>
      </c>
      <c r="B1493" s="7" t="s">
        <v>9</v>
      </c>
      <c r="C1493" s="8">
        <v>1889</v>
      </c>
      <c r="D1493" s="9">
        <v>45439</v>
      </c>
      <c r="E1493" s="13" t="str">
        <f>+HYPERLINK("http://trademark.i-assist.jp/data/china/image_1889th/77264542.pdf","77264542")</f>
        <v>77264542</v>
      </c>
      <c r="F1493" s="7" t="s">
        <v>4165</v>
      </c>
      <c r="G1493" s="7" t="s">
        <v>4166</v>
      </c>
      <c r="H1493" s="7" t="s">
        <v>4167</v>
      </c>
      <c r="I1493" s="9">
        <v>45364</v>
      </c>
    </row>
    <row r="1494" spans="1:9" x14ac:dyDescent="0.15">
      <c r="A1494" s="6">
        <v>1493</v>
      </c>
      <c r="B1494" s="7" t="s">
        <v>9</v>
      </c>
      <c r="C1494" s="8">
        <v>1889</v>
      </c>
      <c r="D1494" s="9">
        <v>45439</v>
      </c>
      <c r="E1494" s="13" t="str">
        <f>+HYPERLINK("http://trademark.i-assist.jp/data/china/image_1889th/77264561.pdf","77264561")</f>
        <v>77264561</v>
      </c>
      <c r="F1494" s="7" t="s">
        <v>4168</v>
      </c>
      <c r="G1494" s="7" t="s">
        <v>4169</v>
      </c>
      <c r="H1494" s="7" t="s">
        <v>4170</v>
      </c>
      <c r="I1494" s="9">
        <v>45364</v>
      </c>
    </row>
    <row r="1495" spans="1:9" x14ac:dyDescent="0.15">
      <c r="A1495" s="6">
        <v>1494</v>
      </c>
      <c r="B1495" s="7" t="s">
        <v>9</v>
      </c>
      <c r="C1495" s="8">
        <v>1889</v>
      </c>
      <c r="D1495" s="9">
        <v>45439</v>
      </c>
      <c r="E1495" s="13" t="str">
        <f>+HYPERLINK("http://trademark.i-assist.jp/data/china/image_1889th/77264566.pdf","77264566")</f>
        <v>77264566</v>
      </c>
      <c r="F1495" s="7" t="s">
        <v>4171</v>
      </c>
      <c r="G1495" s="7" t="s">
        <v>4172</v>
      </c>
      <c r="H1495" s="7" t="s">
        <v>4173</v>
      </c>
      <c r="I1495" s="9">
        <v>45364</v>
      </c>
    </row>
    <row r="1496" spans="1:9" x14ac:dyDescent="0.15">
      <c r="A1496" s="6">
        <v>1495</v>
      </c>
      <c r="B1496" s="7" t="s">
        <v>9</v>
      </c>
      <c r="C1496" s="8">
        <v>1889</v>
      </c>
      <c r="D1496" s="9">
        <v>45439</v>
      </c>
      <c r="E1496" s="13" t="str">
        <f>+HYPERLINK("http://trademark.i-assist.jp/data/china/image_1889th/77264613.pdf","77264613")</f>
        <v>77264613</v>
      </c>
      <c r="F1496" s="7" t="s">
        <v>4174</v>
      </c>
      <c r="G1496" s="7" t="s">
        <v>4175</v>
      </c>
      <c r="H1496" s="7" t="s">
        <v>4176</v>
      </c>
      <c r="I1496" s="9">
        <v>45364</v>
      </c>
    </row>
    <row r="1497" spans="1:9" ht="27" x14ac:dyDescent="0.15">
      <c r="A1497" s="6">
        <v>1496</v>
      </c>
      <c r="B1497" s="7" t="s">
        <v>9</v>
      </c>
      <c r="C1497" s="8">
        <v>1889</v>
      </c>
      <c r="D1497" s="9">
        <v>45439</v>
      </c>
      <c r="E1497" s="13" t="str">
        <f>+HYPERLINK("http://trademark.i-assist.jp/data/china/image_1889th/77264970.pdf","77264970")</f>
        <v>77264970</v>
      </c>
      <c r="F1497" s="7" t="s">
        <v>4177</v>
      </c>
      <c r="G1497" s="7" t="s">
        <v>4178</v>
      </c>
      <c r="H1497" s="7" t="s">
        <v>4179</v>
      </c>
      <c r="I1497" s="9">
        <v>45364</v>
      </c>
    </row>
    <row r="1498" spans="1:9" x14ac:dyDescent="0.15">
      <c r="A1498" s="6">
        <v>1497</v>
      </c>
      <c r="B1498" s="7" t="s">
        <v>9</v>
      </c>
      <c r="C1498" s="8">
        <v>1889</v>
      </c>
      <c r="D1498" s="9">
        <v>45439</v>
      </c>
      <c r="E1498" s="13" t="str">
        <f>+HYPERLINK("http://trademark.i-assist.jp/data/china/image_1889th/77264976.pdf","77264976")</f>
        <v>77264976</v>
      </c>
      <c r="F1498" s="7" t="s">
        <v>4180</v>
      </c>
      <c r="G1498" s="7" t="s">
        <v>4181</v>
      </c>
      <c r="H1498" s="7" t="s">
        <v>4182</v>
      </c>
      <c r="I1498" s="9">
        <v>45364</v>
      </c>
    </row>
    <row r="1499" spans="1:9" ht="27" x14ac:dyDescent="0.15">
      <c r="A1499" s="6">
        <v>1498</v>
      </c>
      <c r="B1499" s="7" t="s">
        <v>9</v>
      </c>
      <c r="C1499" s="8">
        <v>1889</v>
      </c>
      <c r="D1499" s="9">
        <v>45439</v>
      </c>
      <c r="E1499" s="13" t="str">
        <f>+HYPERLINK("http://trademark.i-assist.jp/data/china/image_1889th/77265008.pdf","77265008")</f>
        <v>77265008</v>
      </c>
      <c r="F1499" s="7" t="s">
        <v>4183</v>
      </c>
      <c r="G1499" s="7" t="s">
        <v>4184</v>
      </c>
      <c r="H1499" s="7" t="s">
        <v>4185</v>
      </c>
      <c r="I1499" s="9">
        <v>45364</v>
      </c>
    </row>
    <row r="1500" spans="1:9" ht="27" x14ac:dyDescent="0.15">
      <c r="A1500" s="6">
        <v>1499</v>
      </c>
      <c r="B1500" s="7" t="s">
        <v>9</v>
      </c>
      <c r="C1500" s="8">
        <v>1889</v>
      </c>
      <c r="D1500" s="9">
        <v>45439</v>
      </c>
      <c r="E1500" s="13" t="str">
        <f>+HYPERLINK("http://trademark.i-assist.jp/data/china/image_1889th/77265045.pdf","77265045")</f>
        <v>77265045</v>
      </c>
      <c r="F1500" s="7" t="s">
        <v>4186</v>
      </c>
      <c r="G1500" s="7" t="s">
        <v>4187</v>
      </c>
      <c r="H1500" s="7" t="s">
        <v>4188</v>
      </c>
      <c r="I1500" s="9">
        <v>45364</v>
      </c>
    </row>
    <row r="1501" spans="1:9" x14ac:dyDescent="0.15">
      <c r="A1501" s="6">
        <v>1500</v>
      </c>
      <c r="B1501" s="7" t="s">
        <v>9</v>
      </c>
      <c r="C1501" s="8">
        <v>1889</v>
      </c>
      <c r="D1501" s="9">
        <v>45439</v>
      </c>
      <c r="E1501" s="13" t="str">
        <f>+HYPERLINK("http://trademark.i-assist.jp/data/china/image_1889th/77265072.pdf","77265072")</f>
        <v>77265072</v>
      </c>
      <c r="F1501" s="7" t="s">
        <v>4189</v>
      </c>
      <c r="G1501" s="7" t="s">
        <v>4190</v>
      </c>
      <c r="H1501" s="7" t="s">
        <v>4191</v>
      </c>
      <c r="I1501" s="9">
        <v>45364</v>
      </c>
    </row>
    <row r="1502" spans="1:9" x14ac:dyDescent="0.15">
      <c r="A1502" s="6">
        <v>1501</v>
      </c>
      <c r="B1502" s="7" t="s">
        <v>9</v>
      </c>
      <c r="C1502" s="8">
        <v>1889</v>
      </c>
      <c r="D1502" s="9">
        <v>45439</v>
      </c>
      <c r="E1502" s="13" t="str">
        <f>+HYPERLINK("http://trademark.i-assist.jp/data/china/image_1889th/77265279.pdf","77265279")</f>
        <v>77265279</v>
      </c>
      <c r="F1502" s="7" t="s">
        <v>4192</v>
      </c>
      <c r="G1502" s="7" t="s">
        <v>2016</v>
      </c>
      <c r="H1502" s="7" t="s">
        <v>4193</v>
      </c>
      <c r="I1502" s="9">
        <v>45364</v>
      </c>
    </row>
    <row r="1503" spans="1:9" ht="27" x14ac:dyDescent="0.15">
      <c r="A1503" s="6">
        <v>1502</v>
      </c>
      <c r="B1503" s="7" t="s">
        <v>9</v>
      </c>
      <c r="C1503" s="8">
        <v>1889</v>
      </c>
      <c r="D1503" s="9">
        <v>45439</v>
      </c>
      <c r="E1503" s="13" t="str">
        <f>+HYPERLINK("http://trademark.i-assist.jp/data/china/image_1889th/77265297.pdf","77265297")</f>
        <v>77265297</v>
      </c>
      <c r="F1503" s="7" t="s">
        <v>4194</v>
      </c>
      <c r="G1503" s="7" t="s">
        <v>4195</v>
      </c>
      <c r="H1503" s="7" t="s">
        <v>4196</v>
      </c>
      <c r="I1503" s="9">
        <v>45364</v>
      </c>
    </row>
    <row r="1504" spans="1:9" x14ac:dyDescent="0.15">
      <c r="A1504" s="6">
        <v>1503</v>
      </c>
      <c r="B1504" s="7" t="s">
        <v>9</v>
      </c>
      <c r="C1504" s="8">
        <v>1889</v>
      </c>
      <c r="D1504" s="9">
        <v>45439</v>
      </c>
      <c r="E1504" s="13" t="str">
        <f>+HYPERLINK("http://trademark.i-assist.jp/data/china/image_1889th/77265346.pdf","77265346")</f>
        <v>77265346</v>
      </c>
      <c r="F1504" s="7" t="s">
        <v>4197</v>
      </c>
      <c r="G1504" s="7" t="s">
        <v>4198</v>
      </c>
      <c r="H1504" s="7" t="s">
        <v>4199</v>
      </c>
      <c r="I1504" s="9">
        <v>45364</v>
      </c>
    </row>
    <row r="1505" spans="1:9" x14ac:dyDescent="0.15">
      <c r="A1505" s="6">
        <v>1504</v>
      </c>
      <c r="B1505" s="7" t="s">
        <v>9</v>
      </c>
      <c r="C1505" s="8">
        <v>1889</v>
      </c>
      <c r="D1505" s="9">
        <v>45439</v>
      </c>
      <c r="E1505" s="13" t="str">
        <f>+HYPERLINK("http://trademark.i-assist.jp/data/china/image_1889th/77265436.pdf","77265436")</f>
        <v>77265436</v>
      </c>
      <c r="F1505" s="7" t="s">
        <v>4200</v>
      </c>
      <c r="G1505" s="7" t="s">
        <v>4201</v>
      </c>
      <c r="H1505" s="7" t="s">
        <v>4202</v>
      </c>
      <c r="I1505" s="9">
        <v>45364</v>
      </c>
    </row>
    <row r="1506" spans="1:9" ht="27" x14ac:dyDescent="0.15">
      <c r="A1506" s="6">
        <v>1505</v>
      </c>
      <c r="B1506" s="7" t="s">
        <v>9</v>
      </c>
      <c r="C1506" s="8">
        <v>1889</v>
      </c>
      <c r="D1506" s="9">
        <v>45439</v>
      </c>
      <c r="E1506" s="13" t="str">
        <f>+HYPERLINK("http://trademark.i-assist.jp/data/china/image_1889th/77265643.pdf","77265643")</f>
        <v>77265643</v>
      </c>
      <c r="F1506" s="7" t="s">
        <v>4203</v>
      </c>
      <c r="G1506" s="7" t="s">
        <v>4204</v>
      </c>
      <c r="H1506" s="7" t="s">
        <v>4205</v>
      </c>
      <c r="I1506" s="9">
        <v>45364</v>
      </c>
    </row>
    <row r="1507" spans="1:9" x14ac:dyDescent="0.15">
      <c r="A1507" s="6">
        <v>1506</v>
      </c>
      <c r="B1507" s="7" t="s">
        <v>9</v>
      </c>
      <c r="C1507" s="8">
        <v>1889</v>
      </c>
      <c r="D1507" s="9">
        <v>45439</v>
      </c>
      <c r="E1507" s="13" t="str">
        <f>+HYPERLINK("http://trademark.i-assist.jp/data/china/image_1889th/77265917.pdf","77265917")</f>
        <v>77265917</v>
      </c>
      <c r="F1507" s="7" t="s">
        <v>4206</v>
      </c>
      <c r="G1507" s="7" t="s">
        <v>4207</v>
      </c>
      <c r="H1507" s="7" t="s">
        <v>4208</v>
      </c>
      <c r="I1507" s="9">
        <v>45364</v>
      </c>
    </row>
    <row r="1508" spans="1:9" ht="27" x14ac:dyDescent="0.15">
      <c r="A1508" s="6">
        <v>1507</v>
      </c>
      <c r="B1508" s="7" t="s">
        <v>9</v>
      </c>
      <c r="C1508" s="8">
        <v>1889</v>
      </c>
      <c r="D1508" s="9">
        <v>45439</v>
      </c>
      <c r="E1508" s="13" t="str">
        <f>+HYPERLINK("http://trademark.i-assist.jp/data/china/image_1889th/77265959.pdf","77265959")</f>
        <v>77265959</v>
      </c>
      <c r="F1508" s="7" t="s">
        <v>4209</v>
      </c>
      <c r="G1508" s="7" t="s">
        <v>289</v>
      </c>
      <c r="H1508" s="7" t="s">
        <v>4210</v>
      </c>
      <c r="I1508" s="9">
        <v>45364</v>
      </c>
    </row>
    <row r="1509" spans="1:9" ht="27" x14ac:dyDescent="0.15">
      <c r="A1509" s="6">
        <v>1508</v>
      </c>
      <c r="B1509" s="7" t="s">
        <v>9</v>
      </c>
      <c r="C1509" s="8">
        <v>1889</v>
      </c>
      <c r="D1509" s="9">
        <v>45439</v>
      </c>
      <c r="E1509" s="13" t="str">
        <f>+HYPERLINK("http://trademark.i-assist.jp/data/china/image_1889th/77266029.pdf","77266029")</f>
        <v>77266029</v>
      </c>
      <c r="F1509" s="7" t="s">
        <v>4211</v>
      </c>
      <c r="G1509" s="7" t="s">
        <v>4212</v>
      </c>
      <c r="H1509" s="7" t="s">
        <v>4213</v>
      </c>
      <c r="I1509" s="9">
        <v>45364</v>
      </c>
    </row>
    <row r="1510" spans="1:9" x14ac:dyDescent="0.15">
      <c r="A1510" s="6">
        <v>1509</v>
      </c>
      <c r="B1510" s="7" t="s">
        <v>9</v>
      </c>
      <c r="C1510" s="8">
        <v>1889</v>
      </c>
      <c r="D1510" s="9">
        <v>45439</v>
      </c>
      <c r="E1510" s="13" t="str">
        <f>+HYPERLINK("http://trademark.i-assist.jp/data/china/image_1889th/77266056.pdf","77266056")</f>
        <v>77266056</v>
      </c>
      <c r="F1510" s="7" t="s">
        <v>4214</v>
      </c>
      <c r="G1510" s="7" t="s">
        <v>4215</v>
      </c>
      <c r="H1510" s="7" t="s">
        <v>4216</v>
      </c>
      <c r="I1510" s="9">
        <v>45364</v>
      </c>
    </row>
    <row r="1511" spans="1:9" x14ac:dyDescent="0.15">
      <c r="A1511" s="6">
        <v>1510</v>
      </c>
      <c r="B1511" s="7" t="s">
        <v>9</v>
      </c>
      <c r="C1511" s="8">
        <v>1889</v>
      </c>
      <c r="D1511" s="9">
        <v>45439</v>
      </c>
      <c r="E1511" s="13" t="str">
        <f>+HYPERLINK("http://trademark.i-assist.jp/data/china/image_1889th/77266099.pdf","77266099")</f>
        <v>77266099</v>
      </c>
      <c r="F1511" s="7" t="s">
        <v>4217</v>
      </c>
      <c r="G1511" s="7" t="s">
        <v>4218</v>
      </c>
      <c r="H1511" s="7" t="s">
        <v>4219</v>
      </c>
      <c r="I1511" s="9">
        <v>45364</v>
      </c>
    </row>
    <row r="1512" spans="1:9" x14ac:dyDescent="0.15">
      <c r="A1512" s="6">
        <v>1511</v>
      </c>
      <c r="B1512" s="7" t="s">
        <v>9</v>
      </c>
      <c r="C1512" s="8">
        <v>1889</v>
      </c>
      <c r="D1512" s="9">
        <v>45439</v>
      </c>
      <c r="E1512" s="13" t="str">
        <f>+HYPERLINK("http://trademark.i-assist.jp/data/china/image_1889th/77266455.pdf","77266455")</f>
        <v>77266455</v>
      </c>
      <c r="F1512" s="7" t="s">
        <v>4220</v>
      </c>
      <c r="G1512" s="7" t="s">
        <v>4221</v>
      </c>
      <c r="H1512" s="7" t="s">
        <v>4222</v>
      </c>
      <c r="I1512" s="9">
        <v>45364</v>
      </c>
    </row>
    <row r="1513" spans="1:9" x14ac:dyDescent="0.15">
      <c r="A1513" s="6">
        <v>1512</v>
      </c>
      <c r="B1513" s="7" t="s">
        <v>9</v>
      </c>
      <c r="C1513" s="8">
        <v>1889</v>
      </c>
      <c r="D1513" s="9">
        <v>45439</v>
      </c>
      <c r="E1513" s="13" t="str">
        <f>+HYPERLINK("http://trademark.i-assist.jp/data/china/image_1889th/77266519.pdf","77266519")</f>
        <v>77266519</v>
      </c>
      <c r="F1513" s="7" t="s">
        <v>4223</v>
      </c>
      <c r="G1513" s="7" t="s">
        <v>4224</v>
      </c>
      <c r="H1513" s="7" t="s">
        <v>4225</v>
      </c>
      <c r="I1513" s="9">
        <v>45364</v>
      </c>
    </row>
    <row r="1514" spans="1:9" ht="27" x14ac:dyDescent="0.15">
      <c r="A1514" s="6">
        <v>1513</v>
      </c>
      <c r="B1514" s="7" t="s">
        <v>9</v>
      </c>
      <c r="C1514" s="8">
        <v>1889</v>
      </c>
      <c r="D1514" s="9">
        <v>45439</v>
      </c>
      <c r="E1514" s="13" t="str">
        <f>+HYPERLINK("http://trademark.i-assist.jp/data/china/image_1889th/77266841.pdf","77266841")</f>
        <v>77266841</v>
      </c>
      <c r="F1514" s="7" t="s">
        <v>4226</v>
      </c>
      <c r="G1514" s="7" t="s">
        <v>4227</v>
      </c>
      <c r="H1514" s="7" t="s">
        <v>4228</v>
      </c>
      <c r="I1514" s="9">
        <v>45364</v>
      </c>
    </row>
    <row r="1515" spans="1:9" ht="27" x14ac:dyDescent="0.15">
      <c r="A1515" s="6">
        <v>1514</v>
      </c>
      <c r="B1515" s="7" t="s">
        <v>9</v>
      </c>
      <c r="C1515" s="8">
        <v>1889</v>
      </c>
      <c r="D1515" s="9">
        <v>45439</v>
      </c>
      <c r="E1515" s="13" t="str">
        <f>+HYPERLINK("http://trademark.i-assist.jp/data/china/image_1889th/77267411.pdf","77267411")</f>
        <v>77267411</v>
      </c>
      <c r="F1515" s="7" t="s">
        <v>4229</v>
      </c>
      <c r="G1515" s="7" t="s">
        <v>4230</v>
      </c>
      <c r="H1515" s="7" t="s">
        <v>4231</v>
      </c>
      <c r="I1515" s="9">
        <v>45364</v>
      </c>
    </row>
    <row r="1516" spans="1:9" x14ac:dyDescent="0.15">
      <c r="A1516" s="6">
        <v>1515</v>
      </c>
      <c r="B1516" s="7" t="s">
        <v>9</v>
      </c>
      <c r="C1516" s="8">
        <v>1889</v>
      </c>
      <c r="D1516" s="9">
        <v>45439</v>
      </c>
      <c r="E1516" s="13" t="str">
        <f>+HYPERLINK("http://trademark.i-assist.jp/data/china/image_1889th/77267439.pdf","77267439")</f>
        <v>77267439</v>
      </c>
      <c r="F1516" s="7" t="s">
        <v>4232</v>
      </c>
      <c r="G1516" s="7" t="s">
        <v>4233</v>
      </c>
      <c r="H1516" s="7" t="s">
        <v>4234</v>
      </c>
      <c r="I1516" s="9">
        <v>45364</v>
      </c>
    </row>
    <row r="1517" spans="1:9" ht="27" x14ac:dyDescent="0.15">
      <c r="A1517" s="6">
        <v>1516</v>
      </c>
      <c r="B1517" s="7" t="s">
        <v>9</v>
      </c>
      <c r="C1517" s="8">
        <v>1889</v>
      </c>
      <c r="D1517" s="9">
        <v>45439</v>
      </c>
      <c r="E1517" s="13" t="str">
        <f>+HYPERLINK("http://trademark.i-assist.jp/data/china/image_1889th/77267542.pdf","77267542")</f>
        <v>77267542</v>
      </c>
      <c r="F1517" s="7" t="s">
        <v>4235</v>
      </c>
      <c r="G1517" s="7" t="s">
        <v>4236</v>
      </c>
      <c r="H1517" s="7" t="s">
        <v>4237</v>
      </c>
      <c r="I1517" s="9">
        <v>45364</v>
      </c>
    </row>
    <row r="1518" spans="1:9" x14ac:dyDescent="0.15">
      <c r="A1518" s="6">
        <v>1517</v>
      </c>
      <c r="B1518" s="7" t="s">
        <v>9</v>
      </c>
      <c r="C1518" s="8">
        <v>1889</v>
      </c>
      <c r="D1518" s="9">
        <v>45439</v>
      </c>
      <c r="E1518" s="13" t="str">
        <f>+HYPERLINK("http://trademark.i-assist.jp/data/china/image_1889th/77267618.pdf","77267618")</f>
        <v>77267618</v>
      </c>
      <c r="F1518" s="7" t="s">
        <v>4238</v>
      </c>
      <c r="G1518" s="7" t="s">
        <v>4239</v>
      </c>
      <c r="H1518" s="7" t="s">
        <v>4240</v>
      </c>
      <c r="I1518" s="9">
        <v>45364</v>
      </c>
    </row>
    <row r="1519" spans="1:9" ht="27" x14ac:dyDescent="0.15">
      <c r="A1519" s="6">
        <v>1518</v>
      </c>
      <c r="B1519" s="7" t="s">
        <v>9</v>
      </c>
      <c r="C1519" s="8">
        <v>1889</v>
      </c>
      <c r="D1519" s="9">
        <v>45439</v>
      </c>
      <c r="E1519" s="13" t="str">
        <f>+HYPERLINK("http://trademark.i-assist.jp/data/china/image_1889th/77267761.pdf","77267761")</f>
        <v>77267761</v>
      </c>
      <c r="F1519" s="7" t="s">
        <v>4241</v>
      </c>
      <c r="G1519" s="7" t="s">
        <v>4212</v>
      </c>
      <c r="H1519" s="7" t="s">
        <v>4242</v>
      </c>
      <c r="I1519" s="9">
        <v>45364</v>
      </c>
    </row>
    <row r="1520" spans="1:9" x14ac:dyDescent="0.15">
      <c r="A1520" s="6">
        <v>1519</v>
      </c>
      <c r="B1520" s="7" t="s">
        <v>9</v>
      </c>
      <c r="C1520" s="8">
        <v>1889</v>
      </c>
      <c r="D1520" s="9">
        <v>45439</v>
      </c>
      <c r="E1520" s="13" t="str">
        <f>+HYPERLINK("http://trademark.i-assist.jp/data/china/image_1889th/77267857.pdf","77267857")</f>
        <v>77267857</v>
      </c>
      <c r="F1520" s="7" t="s">
        <v>4243</v>
      </c>
      <c r="G1520" s="7" t="s">
        <v>4244</v>
      </c>
      <c r="H1520" s="7" t="s">
        <v>4245</v>
      </c>
      <c r="I1520" s="9">
        <v>45364</v>
      </c>
    </row>
    <row r="1521" spans="1:9" ht="27" x14ac:dyDescent="0.15">
      <c r="A1521" s="6">
        <v>1520</v>
      </c>
      <c r="B1521" s="7" t="s">
        <v>9</v>
      </c>
      <c r="C1521" s="8">
        <v>1889</v>
      </c>
      <c r="D1521" s="9">
        <v>45439</v>
      </c>
      <c r="E1521" s="13" t="str">
        <f>+HYPERLINK("http://trademark.i-assist.jp/data/china/image_1889th/77267873.pdf","77267873")</f>
        <v>77267873</v>
      </c>
      <c r="F1521" s="7" t="s">
        <v>4246</v>
      </c>
      <c r="G1521" s="7" t="s">
        <v>4247</v>
      </c>
      <c r="H1521" s="7" t="s">
        <v>4248</v>
      </c>
      <c r="I1521" s="9">
        <v>45364</v>
      </c>
    </row>
    <row r="1522" spans="1:9" x14ac:dyDescent="0.15">
      <c r="A1522" s="6">
        <v>1521</v>
      </c>
      <c r="B1522" s="7" t="s">
        <v>9</v>
      </c>
      <c r="C1522" s="8">
        <v>1889</v>
      </c>
      <c r="D1522" s="9">
        <v>45439</v>
      </c>
      <c r="E1522" s="13" t="str">
        <f>+HYPERLINK("http://trademark.i-assist.jp/data/china/image_1889th/77268079.pdf","77268079")</f>
        <v>77268079</v>
      </c>
      <c r="F1522" s="7" t="s">
        <v>4249</v>
      </c>
      <c r="G1522" s="7" t="s">
        <v>4250</v>
      </c>
      <c r="H1522" s="7" t="s">
        <v>4251</v>
      </c>
      <c r="I1522" s="9">
        <v>45364</v>
      </c>
    </row>
    <row r="1523" spans="1:9" x14ac:dyDescent="0.15">
      <c r="A1523" s="6">
        <v>1522</v>
      </c>
      <c r="B1523" s="7" t="s">
        <v>9</v>
      </c>
      <c r="C1523" s="8">
        <v>1889</v>
      </c>
      <c r="D1523" s="9">
        <v>45439</v>
      </c>
      <c r="E1523" s="13" t="str">
        <f>+HYPERLINK("http://trademark.i-assist.jp/data/china/image_1889th/77268091.pdf","77268091")</f>
        <v>77268091</v>
      </c>
      <c r="F1523" s="7" t="s">
        <v>4252</v>
      </c>
      <c r="G1523" s="7" t="s">
        <v>3755</v>
      </c>
      <c r="H1523" s="7" t="s">
        <v>4253</v>
      </c>
      <c r="I1523" s="9">
        <v>45364</v>
      </c>
    </row>
    <row r="1524" spans="1:9" ht="27" x14ac:dyDescent="0.15">
      <c r="A1524" s="6">
        <v>1523</v>
      </c>
      <c r="B1524" s="7" t="s">
        <v>9</v>
      </c>
      <c r="C1524" s="8">
        <v>1889</v>
      </c>
      <c r="D1524" s="9">
        <v>45439</v>
      </c>
      <c r="E1524" s="13" t="str">
        <f>+HYPERLINK("http://trademark.i-assist.jp/data/china/image_1889th/77268365.pdf","77268365")</f>
        <v>77268365</v>
      </c>
      <c r="F1524" s="7" t="s">
        <v>4254</v>
      </c>
      <c r="G1524" s="7" t="s">
        <v>4255</v>
      </c>
      <c r="H1524" s="7" t="s">
        <v>4256</v>
      </c>
      <c r="I1524" s="9">
        <v>45364</v>
      </c>
    </row>
    <row r="1525" spans="1:9" x14ac:dyDescent="0.15">
      <c r="A1525" s="6">
        <v>1524</v>
      </c>
      <c r="B1525" s="7" t="s">
        <v>9</v>
      </c>
      <c r="C1525" s="8">
        <v>1889</v>
      </c>
      <c r="D1525" s="9">
        <v>45439</v>
      </c>
      <c r="E1525" s="13" t="str">
        <f>+HYPERLINK("http://trademark.i-assist.jp/data/china/image_1889th/77268419.pdf","77268419")</f>
        <v>77268419</v>
      </c>
      <c r="F1525" s="7" t="s">
        <v>4257</v>
      </c>
      <c r="G1525" s="7" t="s">
        <v>4258</v>
      </c>
      <c r="H1525" s="7" t="s">
        <v>4259</v>
      </c>
      <c r="I1525" s="9">
        <v>45364</v>
      </c>
    </row>
    <row r="1526" spans="1:9" ht="27" x14ac:dyDescent="0.15">
      <c r="A1526" s="6">
        <v>1525</v>
      </c>
      <c r="B1526" s="7" t="s">
        <v>9</v>
      </c>
      <c r="C1526" s="8">
        <v>1889</v>
      </c>
      <c r="D1526" s="9">
        <v>45439</v>
      </c>
      <c r="E1526" s="13" t="str">
        <f>+HYPERLINK("http://trademark.i-assist.jp/data/china/image_1889th/77268734.pdf","77268734")</f>
        <v>77268734</v>
      </c>
      <c r="F1526" s="7" t="s">
        <v>4260</v>
      </c>
      <c r="G1526" s="7" t="s">
        <v>4261</v>
      </c>
      <c r="H1526" s="7" t="s">
        <v>4262</v>
      </c>
      <c r="I1526" s="9">
        <v>45364</v>
      </c>
    </row>
    <row r="1527" spans="1:9" ht="27" x14ac:dyDescent="0.15">
      <c r="A1527" s="6">
        <v>1526</v>
      </c>
      <c r="B1527" s="7" t="s">
        <v>9</v>
      </c>
      <c r="C1527" s="8">
        <v>1889</v>
      </c>
      <c r="D1527" s="9">
        <v>45439</v>
      </c>
      <c r="E1527" s="13" t="str">
        <f>+HYPERLINK("http://trademark.i-assist.jp/data/china/image_1889th/77268793.pdf","77268793")</f>
        <v>77268793</v>
      </c>
      <c r="F1527" s="7" t="s">
        <v>4263</v>
      </c>
      <c r="G1527" s="7" t="s">
        <v>4264</v>
      </c>
      <c r="H1527" s="7" t="s">
        <v>4265</v>
      </c>
      <c r="I1527" s="9">
        <v>45364</v>
      </c>
    </row>
    <row r="1528" spans="1:9" ht="27" x14ac:dyDescent="0.15">
      <c r="A1528" s="6">
        <v>1527</v>
      </c>
      <c r="B1528" s="7" t="s">
        <v>9</v>
      </c>
      <c r="C1528" s="8">
        <v>1889</v>
      </c>
      <c r="D1528" s="9">
        <v>45439</v>
      </c>
      <c r="E1528" s="13" t="str">
        <f>+HYPERLINK("http://trademark.i-assist.jp/data/china/image_1889th/77268851.pdf","77268851")</f>
        <v>77268851</v>
      </c>
      <c r="F1528" s="7" t="s">
        <v>4266</v>
      </c>
      <c r="G1528" s="7" t="s">
        <v>4267</v>
      </c>
      <c r="H1528" s="7" t="s">
        <v>4268</v>
      </c>
      <c r="I1528" s="9">
        <v>45364</v>
      </c>
    </row>
    <row r="1529" spans="1:9" x14ac:dyDescent="0.15">
      <c r="A1529" s="6">
        <v>1528</v>
      </c>
      <c r="B1529" s="7" t="s">
        <v>9</v>
      </c>
      <c r="C1529" s="8">
        <v>1889</v>
      </c>
      <c r="D1529" s="9">
        <v>45439</v>
      </c>
      <c r="E1529" s="13" t="str">
        <f>+HYPERLINK("http://trademark.i-assist.jp/data/china/image_1889th/77269094.pdf","77269094")</f>
        <v>77269094</v>
      </c>
      <c r="F1529" s="7" t="s">
        <v>4269</v>
      </c>
      <c r="G1529" s="7" t="s">
        <v>4270</v>
      </c>
      <c r="H1529" s="7" t="s">
        <v>4271</v>
      </c>
      <c r="I1529" s="9">
        <v>45364</v>
      </c>
    </row>
    <row r="1530" spans="1:9" x14ac:dyDescent="0.15">
      <c r="A1530" s="6">
        <v>1529</v>
      </c>
      <c r="B1530" s="7" t="s">
        <v>9</v>
      </c>
      <c r="C1530" s="8">
        <v>1889</v>
      </c>
      <c r="D1530" s="9">
        <v>45439</v>
      </c>
      <c r="E1530" s="13" t="str">
        <f>+HYPERLINK("http://trademark.i-assist.jp/data/china/image_1889th/77269207.pdf","77269207")</f>
        <v>77269207</v>
      </c>
      <c r="F1530" s="7" t="s">
        <v>4272</v>
      </c>
      <c r="G1530" s="7" t="s">
        <v>4273</v>
      </c>
      <c r="H1530" s="7" t="s">
        <v>4274</v>
      </c>
      <c r="I1530" s="9">
        <v>45364</v>
      </c>
    </row>
    <row r="1531" spans="1:9" x14ac:dyDescent="0.15">
      <c r="A1531" s="6">
        <v>1530</v>
      </c>
      <c r="B1531" s="7" t="s">
        <v>9</v>
      </c>
      <c r="C1531" s="8">
        <v>1889</v>
      </c>
      <c r="D1531" s="9">
        <v>45439</v>
      </c>
      <c r="E1531" s="13" t="str">
        <f>+HYPERLINK("http://trademark.i-assist.jp/data/china/image_1889th/77269259.pdf","77269259")</f>
        <v>77269259</v>
      </c>
      <c r="F1531" s="7" t="s">
        <v>4275</v>
      </c>
      <c r="G1531" s="7" t="s">
        <v>4276</v>
      </c>
      <c r="H1531" s="7" t="s">
        <v>4277</v>
      </c>
      <c r="I1531" s="9">
        <v>45364</v>
      </c>
    </row>
    <row r="1532" spans="1:9" x14ac:dyDescent="0.15">
      <c r="A1532" s="6">
        <v>1531</v>
      </c>
      <c r="B1532" s="7" t="s">
        <v>9</v>
      </c>
      <c r="C1532" s="8">
        <v>1889</v>
      </c>
      <c r="D1532" s="9">
        <v>45439</v>
      </c>
      <c r="E1532" s="13" t="str">
        <f>+HYPERLINK("http://trademark.i-assist.jp/data/china/image_1889th/77269280.pdf","77269280")</f>
        <v>77269280</v>
      </c>
      <c r="F1532" s="7" t="s">
        <v>4278</v>
      </c>
      <c r="G1532" s="7" t="s">
        <v>4279</v>
      </c>
      <c r="H1532" s="7" t="s">
        <v>4280</v>
      </c>
      <c r="I1532" s="9">
        <v>45364</v>
      </c>
    </row>
    <row r="1533" spans="1:9" x14ac:dyDescent="0.15">
      <c r="A1533" s="6">
        <v>1532</v>
      </c>
      <c r="B1533" s="7" t="s">
        <v>9</v>
      </c>
      <c r="C1533" s="8">
        <v>1889</v>
      </c>
      <c r="D1533" s="9">
        <v>45439</v>
      </c>
      <c r="E1533" s="13" t="str">
        <f>+HYPERLINK("http://trademark.i-assist.jp/data/china/image_1889th/77269379.pdf","77269379")</f>
        <v>77269379</v>
      </c>
      <c r="F1533" s="7" t="s">
        <v>4281</v>
      </c>
      <c r="G1533" s="7" t="s">
        <v>4282</v>
      </c>
      <c r="H1533" s="7" t="s">
        <v>4283</v>
      </c>
      <c r="I1533" s="9">
        <v>45364</v>
      </c>
    </row>
    <row r="1534" spans="1:9" x14ac:dyDescent="0.15">
      <c r="A1534" s="6">
        <v>1533</v>
      </c>
      <c r="B1534" s="7" t="s">
        <v>9</v>
      </c>
      <c r="C1534" s="8">
        <v>1889</v>
      </c>
      <c r="D1534" s="9">
        <v>45439</v>
      </c>
      <c r="E1534" s="13" t="str">
        <f>+HYPERLINK("http://trademark.i-assist.jp/data/china/image_1889th/77269802.pdf","77269802")</f>
        <v>77269802</v>
      </c>
      <c r="F1534" s="7" t="s">
        <v>4284</v>
      </c>
      <c r="G1534" s="7" t="s">
        <v>4285</v>
      </c>
      <c r="H1534" s="7" t="s">
        <v>4286</v>
      </c>
      <c r="I1534" s="9">
        <v>45364</v>
      </c>
    </row>
    <row r="1535" spans="1:9" x14ac:dyDescent="0.15">
      <c r="A1535" s="6">
        <v>1534</v>
      </c>
      <c r="B1535" s="7" t="s">
        <v>9</v>
      </c>
      <c r="C1535" s="8">
        <v>1889</v>
      </c>
      <c r="D1535" s="9">
        <v>45439</v>
      </c>
      <c r="E1535" s="13" t="str">
        <f>+HYPERLINK("http://trademark.i-assist.jp/data/china/image_1889th/77270042.pdf","77270042")</f>
        <v>77270042</v>
      </c>
      <c r="F1535" s="7" t="s">
        <v>4287</v>
      </c>
      <c r="G1535" s="7" t="s">
        <v>4288</v>
      </c>
      <c r="H1535" s="7" t="s">
        <v>4289</v>
      </c>
      <c r="I1535" s="9">
        <v>45364</v>
      </c>
    </row>
    <row r="1536" spans="1:9" x14ac:dyDescent="0.15">
      <c r="A1536" s="6">
        <v>1535</v>
      </c>
      <c r="B1536" s="7" t="s">
        <v>9</v>
      </c>
      <c r="C1536" s="8">
        <v>1889</v>
      </c>
      <c r="D1536" s="9">
        <v>45439</v>
      </c>
      <c r="E1536" s="13" t="str">
        <f>+HYPERLINK("http://trademark.i-assist.jp/data/china/image_1889th/77270067.pdf","77270067")</f>
        <v>77270067</v>
      </c>
      <c r="F1536" s="7" t="s">
        <v>4290</v>
      </c>
      <c r="G1536" s="7" t="s">
        <v>4291</v>
      </c>
      <c r="H1536" s="7" t="s">
        <v>4292</v>
      </c>
      <c r="I1536" s="9">
        <v>45364</v>
      </c>
    </row>
    <row r="1537" spans="1:9" x14ac:dyDescent="0.15">
      <c r="A1537" s="6">
        <v>1536</v>
      </c>
      <c r="B1537" s="7" t="s">
        <v>9</v>
      </c>
      <c r="C1537" s="8">
        <v>1889</v>
      </c>
      <c r="D1537" s="9">
        <v>45439</v>
      </c>
      <c r="E1537" s="13" t="str">
        <f>+HYPERLINK("http://trademark.i-assist.jp/data/china/image_1889th/77270095.pdf","77270095")</f>
        <v>77270095</v>
      </c>
      <c r="F1537" s="7" t="s">
        <v>4293</v>
      </c>
      <c r="G1537" s="7" t="s">
        <v>4294</v>
      </c>
      <c r="H1537" s="7" t="s">
        <v>4295</v>
      </c>
      <c r="I1537" s="9">
        <v>45364</v>
      </c>
    </row>
    <row r="1538" spans="1:9" x14ac:dyDescent="0.15">
      <c r="A1538" s="6">
        <v>1537</v>
      </c>
      <c r="B1538" s="7" t="s">
        <v>9</v>
      </c>
      <c r="C1538" s="8">
        <v>1889</v>
      </c>
      <c r="D1538" s="9">
        <v>45439</v>
      </c>
      <c r="E1538" s="13" t="str">
        <f>+HYPERLINK("http://trademark.i-assist.jp/data/china/image_1889th/77270171.pdf","77270171")</f>
        <v>77270171</v>
      </c>
      <c r="F1538" s="7" t="s">
        <v>4296</v>
      </c>
      <c r="G1538" s="7" t="s">
        <v>4297</v>
      </c>
      <c r="H1538" s="7" t="s">
        <v>4298</v>
      </c>
      <c r="I1538" s="9">
        <v>45364</v>
      </c>
    </row>
    <row r="1539" spans="1:9" x14ac:dyDescent="0.15">
      <c r="A1539" s="6">
        <v>1538</v>
      </c>
      <c r="B1539" s="7" t="s">
        <v>9</v>
      </c>
      <c r="C1539" s="8">
        <v>1889</v>
      </c>
      <c r="D1539" s="9">
        <v>45439</v>
      </c>
      <c r="E1539" s="13" t="str">
        <f>+HYPERLINK("http://trademark.i-assist.jp/data/china/image_1889th/77270201.pdf","77270201")</f>
        <v>77270201</v>
      </c>
      <c r="F1539" s="7" t="s">
        <v>4299</v>
      </c>
      <c r="G1539" s="7" t="s">
        <v>4300</v>
      </c>
      <c r="H1539" s="7" t="s">
        <v>4301</v>
      </c>
      <c r="I1539" s="9">
        <v>45364</v>
      </c>
    </row>
    <row r="1540" spans="1:9" x14ac:dyDescent="0.15">
      <c r="A1540" s="6">
        <v>1539</v>
      </c>
      <c r="B1540" s="7" t="s">
        <v>9</v>
      </c>
      <c r="C1540" s="8">
        <v>1889</v>
      </c>
      <c r="D1540" s="9">
        <v>45439</v>
      </c>
      <c r="E1540" s="13" t="str">
        <f>+HYPERLINK("http://trademark.i-assist.jp/data/china/image_1889th/77270235.pdf","77270235")</f>
        <v>77270235</v>
      </c>
      <c r="F1540" s="7" t="s">
        <v>4302</v>
      </c>
      <c r="G1540" s="7" t="s">
        <v>4303</v>
      </c>
      <c r="H1540" s="7" t="s">
        <v>4304</v>
      </c>
      <c r="I1540" s="9">
        <v>45364</v>
      </c>
    </row>
    <row r="1541" spans="1:9" x14ac:dyDescent="0.15">
      <c r="A1541" s="6">
        <v>1540</v>
      </c>
      <c r="B1541" s="7" t="s">
        <v>9</v>
      </c>
      <c r="C1541" s="8">
        <v>1889</v>
      </c>
      <c r="D1541" s="9">
        <v>45439</v>
      </c>
      <c r="E1541" s="13" t="str">
        <f>+HYPERLINK("http://trademark.i-assist.jp/data/china/image_1889th/77270251.pdf","77270251")</f>
        <v>77270251</v>
      </c>
      <c r="F1541" s="7" t="s">
        <v>134</v>
      </c>
      <c r="G1541" s="7" t="s">
        <v>4305</v>
      </c>
      <c r="H1541" s="7" t="s">
        <v>4306</v>
      </c>
      <c r="I1541" s="9">
        <v>45364</v>
      </c>
    </row>
    <row r="1542" spans="1:9" x14ac:dyDescent="0.15">
      <c r="A1542" s="6">
        <v>1541</v>
      </c>
      <c r="B1542" s="7" t="s">
        <v>9</v>
      </c>
      <c r="C1542" s="8">
        <v>1889</v>
      </c>
      <c r="D1542" s="9">
        <v>45439</v>
      </c>
      <c r="E1542" s="13" t="str">
        <f>+HYPERLINK("http://trademark.i-assist.jp/data/china/image_1889th/77270263.pdf","77270263")</f>
        <v>77270263</v>
      </c>
      <c r="F1542" s="7" t="s">
        <v>4307</v>
      </c>
      <c r="G1542" s="7" t="s">
        <v>4308</v>
      </c>
      <c r="H1542" s="7" t="s">
        <v>4309</v>
      </c>
      <c r="I1542" s="9">
        <v>45364</v>
      </c>
    </row>
    <row r="1543" spans="1:9" x14ac:dyDescent="0.15">
      <c r="A1543" s="6">
        <v>1542</v>
      </c>
      <c r="B1543" s="7" t="s">
        <v>9</v>
      </c>
      <c r="C1543" s="8">
        <v>1889</v>
      </c>
      <c r="D1543" s="9">
        <v>45439</v>
      </c>
      <c r="E1543" s="13" t="str">
        <f>+HYPERLINK("http://trademark.i-assist.jp/data/china/image_1889th/77270316.pdf","77270316")</f>
        <v>77270316</v>
      </c>
      <c r="F1543" s="7" t="s">
        <v>4310</v>
      </c>
      <c r="G1543" s="7" t="s">
        <v>4311</v>
      </c>
      <c r="H1543" s="7" t="s">
        <v>4312</v>
      </c>
      <c r="I1543" s="9">
        <v>45364</v>
      </c>
    </row>
    <row r="1544" spans="1:9" x14ac:dyDescent="0.15">
      <c r="A1544" s="6">
        <v>1543</v>
      </c>
      <c r="B1544" s="7" t="s">
        <v>9</v>
      </c>
      <c r="C1544" s="8">
        <v>1889</v>
      </c>
      <c r="D1544" s="9">
        <v>45439</v>
      </c>
      <c r="E1544" s="13" t="str">
        <f>+HYPERLINK("http://trademark.i-assist.jp/data/china/image_1889th/77270525.pdf","77270525")</f>
        <v>77270525</v>
      </c>
      <c r="F1544" s="7" t="s">
        <v>4313</v>
      </c>
      <c r="G1544" s="7" t="s">
        <v>4314</v>
      </c>
      <c r="H1544" s="7" t="s">
        <v>4315</v>
      </c>
      <c r="I1544" s="9">
        <v>45364</v>
      </c>
    </row>
    <row r="1545" spans="1:9" x14ac:dyDescent="0.15">
      <c r="A1545" s="6">
        <v>1544</v>
      </c>
      <c r="B1545" s="7" t="s">
        <v>9</v>
      </c>
      <c r="C1545" s="8">
        <v>1889</v>
      </c>
      <c r="D1545" s="9">
        <v>45439</v>
      </c>
      <c r="E1545" s="13" t="str">
        <f>+HYPERLINK("http://trademark.i-assist.jp/data/china/image_1889th/77270875.pdf","77270875")</f>
        <v>77270875</v>
      </c>
      <c r="F1545" s="7" t="s">
        <v>4316</v>
      </c>
      <c r="G1545" s="7" t="s">
        <v>4317</v>
      </c>
      <c r="H1545" s="7" t="s">
        <v>4318</v>
      </c>
      <c r="I1545" s="9">
        <v>45364</v>
      </c>
    </row>
    <row r="1546" spans="1:9" x14ac:dyDescent="0.15">
      <c r="A1546" s="6">
        <v>1545</v>
      </c>
      <c r="B1546" s="7" t="s">
        <v>9</v>
      </c>
      <c r="C1546" s="8">
        <v>1889</v>
      </c>
      <c r="D1546" s="9">
        <v>45439</v>
      </c>
      <c r="E1546" s="13" t="str">
        <f>+HYPERLINK("http://trademark.i-assist.jp/data/china/image_1889th/77271162.pdf","77271162")</f>
        <v>77271162</v>
      </c>
      <c r="F1546" s="7" t="s">
        <v>4319</v>
      </c>
      <c r="G1546" s="7" t="s">
        <v>4320</v>
      </c>
      <c r="H1546" s="7" t="s">
        <v>4321</v>
      </c>
      <c r="I1546" s="9">
        <v>45364</v>
      </c>
    </row>
    <row r="1547" spans="1:9" x14ac:dyDescent="0.15">
      <c r="A1547" s="6">
        <v>1546</v>
      </c>
      <c r="B1547" s="7" t="s">
        <v>9</v>
      </c>
      <c r="C1547" s="8">
        <v>1889</v>
      </c>
      <c r="D1547" s="9">
        <v>45439</v>
      </c>
      <c r="E1547" s="13" t="str">
        <f>+HYPERLINK("http://trademark.i-assist.jp/data/china/image_1889th/77271202.pdf","77271202")</f>
        <v>77271202</v>
      </c>
      <c r="F1547" s="7" t="s">
        <v>4322</v>
      </c>
      <c r="G1547" s="7" t="s">
        <v>4297</v>
      </c>
      <c r="H1547" s="7" t="s">
        <v>4323</v>
      </c>
      <c r="I1547" s="9">
        <v>45364</v>
      </c>
    </row>
    <row r="1548" spans="1:9" x14ac:dyDescent="0.15">
      <c r="A1548" s="6">
        <v>1547</v>
      </c>
      <c r="B1548" s="7" t="s">
        <v>9</v>
      </c>
      <c r="C1548" s="8">
        <v>1889</v>
      </c>
      <c r="D1548" s="9">
        <v>45439</v>
      </c>
      <c r="E1548" s="13" t="str">
        <f>+HYPERLINK("http://trademark.i-assist.jp/data/china/image_1889th/77271220.pdf","77271220")</f>
        <v>77271220</v>
      </c>
      <c r="F1548" s="7" t="s">
        <v>4324</v>
      </c>
      <c r="G1548" s="7" t="s">
        <v>4239</v>
      </c>
      <c r="H1548" s="7" t="s">
        <v>4325</v>
      </c>
      <c r="I1548" s="9">
        <v>45364</v>
      </c>
    </row>
    <row r="1549" spans="1:9" x14ac:dyDescent="0.15">
      <c r="A1549" s="6">
        <v>1548</v>
      </c>
      <c r="B1549" s="7" t="s">
        <v>9</v>
      </c>
      <c r="C1549" s="8">
        <v>1889</v>
      </c>
      <c r="D1549" s="9">
        <v>45439</v>
      </c>
      <c r="E1549" s="13" t="str">
        <f>+HYPERLINK("http://trademark.i-assist.jp/data/china/image_1889th/77271576.pdf","77271576")</f>
        <v>77271576</v>
      </c>
      <c r="F1549" s="7" t="s">
        <v>4326</v>
      </c>
      <c r="G1549" s="7" t="s">
        <v>4327</v>
      </c>
      <c r="H1549" s="7" t="s">
        <v>4328</v>
      </c>
      <c r="I1549" s="9">
        <v>45364</v>
      </c>
    </row>
    <row r="1550" spans="1:9" ht="27" x14ac:dyDescent="0.15">
      <c r="A1550" s="6">
        <v>1549</v>
      </c>
      <c r="B1550" s="7" t="s">
        <v>9</v>
      </c>
      <c r="C1550" s="8">
        <v>1889</v>
      </c>
      <c r="D1550" s="9">
        <v>45439</v>
      </c>
      <c r="E1550" s="13" t="str">
        <f>+HYPERLINK("http://trademark.i-assist.jp/data/china/image_1889th/77271604.pdf","77271604")</f>
        <v>77271604</v>
      </c>
      <c r="F1550" s="7" t="s">
        <v>4329</v>
      </c>
      <c r="G1550" s="7" t="s">
        <v>4330</v>
      </c>
      <c r="H1550" s="7" t="s">
        <v>4331</v>
      </c>
      <c r="I1550" s="9">
        <v>45364</v>
      </c>
    </row>
    <row r="1551" spans="1:9" ht="27" x14ac:dyDescent="0.15">
      <c r="A1551" s="6">
        <v>1550</v>
      </c>
      <c r="B1551" s="7" t="s">
        <v>9</v>
      </c>
      <c r="C1551" s="8">
        <v>1889</v>
      </c>
      <c r="D1551" s="9">
        <v>45439</v>
      </c>
      <c r="E1551" s="13" t="str">
        <f>+HYPERLINK("http://trademark.i-assist.jp/data/china/image_1889th/77271672.pdf","77271672")</f>
        <v>77271672</v>
      </c>
      <c r="F1551" s="7" t="s">
        <v>4332</v>
      </c>
      <c r="G1551" s="7" t="s">
        <v>4333</v>
      </c>
      <c r="H1551" s="7" t="s">
        <v>4334</v>
      </c>
      <c r="I1551" s="9">
        <v>45364</v>
      </c>
    </row>
    <row r="1552" spans="1:9" x14ac:dyDescent="0.15">
      <c r="A1552" s="6">
        <v>1551</v>
      </c>
      <c r="B1552" s="7" t="s">
        <v>9</v>
      </c>
      <c r="C1552" s="8">
        <v>1889</v>
      </c>
      <c r="D1552" s="9">
        <v>45439</v>
      </c>
      <c r="E1552" s="13" t="str">
        <f>+HYPERLINK("http://trademark.i-assist.jp/data/china/image_1889th/77271822.pdf","77271822")</f>
        <v>77271822</v>
      </c>
      <c r="F1552" s="7" t="s">
        <v>4335</v>
      </c>
      <c r="G1552" s="7" t="s">
        <v>4336</v>
      </c>
      <c r="H1552" s="7" t="s">
        <v>4337</v>
      </c>
      <c r="I1552" s="9">
        <v>45364</v>
      </c>
    </row>
    <row r="1553" spans="1:9" x14ac:dyDescent="0.15">
      <c r="A1553" s="6">
        <v>1552</v>
      </c>
      <c r="B1553" s="7" t="s">
        <v>9</v>
      </c>
      <c r="C1553" s="8">
        <v>1889</v>
      </c>
      <c r="D1553" s="9">
        <v>45439</v>
      </c>
      <c r="E1553" s="13" t="str">
        <f>+HYPERLINK("http://trademark.i-assist.jp/data/china/image_1889th/77271872.pdf","77271872")</f>
        <v>77271872</v>
      </c>
      <c r="F1553" s="7" t="s">
        <v>134</v>
      </c>
      <c r="G1553" s="7" t="s">
        <v>2890</v>
      </c>
      <c r="H1553" s="7" t="s">
        <v>4338</v>
      </c>
      <c r="I1553" s="9">
        <v>45364</v>
      </c>
    </row>
    <row r="1554" spans="1:9" ht="27" x14ac:dyDescent="0.15">
      <c r="A1554" s="6">
        <v>1553</v>
      </c>
      <c r="B1554" s="7" t="s">
        <v>9</v>
      </c>
      <c r="C1554" s="8">
        <v>1889</v>
      </c>
      <c r="D1554" s="9">
        <v>45439</v>
      </c>
      <c r="E1554" s="13" t="str">
        <f>+HYPERLINK("http://trademark.i-assist.jp/data/china/image_1889th/77272126.pdf","77272126")</f>
        <v>77272126</v>
      </c>
      <c r="F1554" s="7" t="s">
        <v>4339</v>
      </c>
      <c r="G1554" s="7" t="s">
        <v>4340</v>
      </c>
      <c r="H1554" s="7" t="s">
        <v>4341</v>
      </c>
      <c r="I1554" s="9">
        <v>45364</v>
      </c>
    </row>
    <row r="1555" spans="1:9" ht="27" x14ac:dyDescent="0.15">
      <c r="A1555" s="6">
        <v>1554</v>
      </c>
      <c r="B1555" s="7" t="s">
        <v>9</v>
      </c>
      <c r="C1555" s="8">
        <v>1889</v>
      </c>
      <c r="D1555" s="9">
        <v>45439</v>
      </c>
      <c r="E1555" s="13" t="str">
        <f>+HYPERLINK("http://trademark.i-assist.jp/data/china/image_1889th/77272186.pdf","77272186")</f>
        <v>77272186</v>
      </c>
      <c r="F1555" s="7" t="s">
        <v>4342</v>
      </c>
      <c r="G1555" s="7" t="s">
        <v>4267</v>
      </c>
      <c r="H1555" s="7" t="s">
        <v>4343</v>
      </c>
      <c r="I1555" s="9">
        <v>45364</v>
      </c>
    </row>
    <row r="1556" spans="1:9" x14ac:dyDescent="0.15">
      <c r="A1556" s="6">
        <v>1555</v>
      </c>
      <c r="B1556" s="7" t="s">
        <v>9</v>
      </c>
      <c r="C1556" s="8">
        <v>1889</v>
      </c>
      <c r="D1556" s="9">
        <v>45439</v>
      </c>
      <c r="E1556" s="13" t="str">
        <f>+HYPERLINK("http://trademark.i-assist.jp/data/china/image_1889th/77272196.pdf","77272196")</f>
        <v>77272196</v>
      </c>
      <c r="F1556" s="7" t="s">
        <v>4344</v>
      </c>
      <c r="G1556" s="7" t="s">
        <v>4345</v>
      </c>
      <c r="H1556" s="7" t="s">
        <v>4346</v>
      </c>
      <c r="I1556" s="9">
        <v>45364</v>
      </c>
    </row>
    <row r="1557" spans="1:9" x14ac:dyDescent="0.15">
      <c r="A1557" s="6">
        <v>1556</v>
      </c>
      <c r="B1557" s="7" t="s">
        <v>9</v>
      </c>
      <c r="C1557" s="8">
        <v>1889</v>
      </c>
      <c r="D1557" s="9">
        <v>45439</v>
      </c>
      <c r="E1557" s="13" t="str">
        <f>+HYPERLINK("http://trademark.i-assist.jp/data/china/image_1889th/77272289.pdf","77272289")</f>
        <v>77272289</v>
      </c>
      <c r="F1557" s="7" t="s">
        <v>4347</v>
      </c>
      <c r="G1557" s="7" t="s">
        <v>4348</v>
      </c>
      <c r="H1557" s="7" t="s">
        <v>4349</v>
      </c>
      <c r="I1557" s="9">
        <v>45364</v>
      </c>
    </row>
    <row r="1558" spans="1:9" ht="27" x14ac:dyDescent="0.15">
      <c r="A1558" s="6">
        <v>1557</v>
      </c>
      <c r="B1558" s="7" t="s">
        <v>9</v>
      </c>
      <c r="C1558" s="8">
        <v>1889</v>
      </c>
      <c r="D1558" s="9">
        <v>45439</v>
      </c>
      <c r="E1558" s="13" t="str">
        <f>+HYPERLINK("http://trademark.i-assist.jp/data/china/image_1889th/77272469.pdf","77272469")</f>
        <v>77272469</v>
      </c>
      <c r="F1558" s="7" t="s">
        <v>4350</v>
      </c>
      <c r="G1558" s="7" t="s">
        <v>321</v>
      </c>
      <c r="H1558" s="7" t="s">
        <v>4351</v>
      </c>
      <c r="I1558" s="9">
        <v>45364</v>
      </c>
    </row>
    <row r="1559" spans="1:9" ht="27" x14ac:dyDescent="0.15">
      <c r="A1559" s="6">
        <v>1558</v>
      </c>
      <c r="B1559" s="7" t="s">
        <v>9</v>
      </c>
      <c r="C1559" s="8">
        <v>1889</v>
      </c>
      <c r="D1559" s="9">
        <v>45439</v>
      </c>
      <c r="E1559" s="13" t="str">
        <f>+HYPERLINK("http://trademark.i-assist.jp/data/china/image_1889th/77272619.pdf","77272619")</f>
        <v>77272619</v>
      </c>
      <c r="F1559" s="7" t="s">
        <v>4352</v>
      </c>
      <c r="G1559" s="7" t="s">
        <v>4353</v>
      </c>
      <c r="H1559" s="7" t="s">
        <v>4354</v>
      </c>
      <c r="I1559" s="9">
        <v>45364</v>
      </c>
    </row>
    <row r="1560" spans="1:9" x14ac:dyDescent="0.15">
      <c r="A1560" s="6">
        <v>1559</v>
      </c>
      <c r="B1560" s="7" t="s">
        <v>9</v>
      </c>
      <c r="C1560" s="8">
        <v>1889</v>
      </c>
      <c r="D1560" s="9">
        <v>45439</v>
      </c>
      <c r="E1560" s="13" t="str">
        <f>+HYPERLINK("http://trademark.i-assist.jp/data/china/image_1889th/77272665.pdf","77272665")</f>
        <v>77272665</v>
      </c>
      <c r="F1560" s="7" t="s">
        <v>4355</v>
      </c>
      <c r="G1560" s="7" t="s">
        <v>4356</v>
      </c>
      <c r="H1560" s="7" t="s">
        <v>4357</v>
      </c>
      <c r="I1560" s="9">
        <v>45364</v>
      </c>
    </row>
    <row r="1561" spans="1:9" x14ac:dyDescent="0.15">
      <c r="A1561" s="6">
        <v>1560</v>
      </c>
      <c r="B1561" s="7" t="s">
        <v>9</v>
      </c>
      <c r="C1561" s="8">
        <v>1889</v>
      </c>
      <c r="D1561" s="9">
        <v>45439</v>
      </c>
      <c r="E1561" s="13" t="str">
        <f>+HYPERLINK("http://trademark.i-assist.jp/data/china/image_1889th/77273061.pdf","77273061")</f>
        <v>77273061</v>
      </c>
      <c r="F1561" s="7" t="s">
        <v>4358</v>
      </c>
      <c r="G1561" s="7" t="s">
        <v>4359</v>
      </c>
      <c r="H1561" s="7" t="s">
        <v>4360</v>
      </c>
      <c r="I1561" s="9">
        <v>45364</v>
      </c>
    </row>
    <row r="1562" spans="1:9" x14ac:dyDescent="0.15">
      <c r="A1562" s="6">
        <v>1561</v>
      </c>
      <c r="B1562" s="7" t="s">
        <v>9</v>
      </c>
      <c r="C1562" s="8">
        <v>1889</v>
      </c>
      <c r="D1562" s="9">
        <v>45439</v>
      </c>
      <c r="E1562" s="13" t="str">
        <f>+HYPERLINK("http://trademark.i-assist.jp/data/china/image_1889th/77273065.pdf","77273065")</f>
        <v>77273065</v>
      </c>
      <c r="F1562" s="7" t="s">
        <v>4361</v>
      </c>
      <c r="G1562" s="7" t="s">
        <v>4362</v>
      </c>
      <c r="H1562" s="7" t="s">
        <v>4363</v>
      </c>
      <c r="I1562" s="9">
        <v>45364</v>
      </c>
    </row>
    <row r="1563" spans="1:9" x14ac:dyDescent="0.15">
      <c r="A1563" s="6">
        <v>1562</v>
      </c>
      <c r="B1563" s="7" t="s">
        <v>9</v>
      </c>
      <c r="C1563" s="8">
        <v>1889</v>
      </c>
      <c r="D1563" s="9">
        <v>45439</v>
      </c>
      <c r="E1563" s="13" t="str">
        <f>+HYPERLINK("http://trademark.i-assist.jp/data/china/image_1889th/77273336.pdf","77273336")</f>
        <v>77273336</v>
      </c>
      <c r="F1563" s="7" t="s">
        <v>4364</v>
      </c>
      <c r="G1563" s="7" t="s">
        <v>4365</v>
      </c>
      <c r="H1563" s="7" t="s">
        <v>4366</v>
      </c>
      <c r="I1563" s="9">
        <v>45364</v>
      </c>
    </row>
    <row r="1564" spans="1:9" x14ac:dyDescent="0.15">
      <c r="A1564" s="6">
        <v>1563</v>
      </c>
      <c r="B1564" s="7" t="s">
        <v>9</v>
      </c>
      <c r="C1564" s="8">
        <v>1889</v>
      </c>
      <c r="D1564" s="9">
        <v>45439</v>
      </c>
      <c r="E1564" s="13" t="str">
        <f>+HYPERLINK("http://trademark.i-assist.jp/data/china/image_1889th/77273518.pdf","77273518")</f>
        <v>77273518</v>
      </c>
      <c r="F1564" s="7" t="s">
        <v>4367</v>
      </c>
      <c r="G1564" s="7" t="s">
        <v>4368</v>
      </c>
      <c r="H1564" s="7" t="s">
        <v>4369</v>
      </c>
      <c r="I1564" s="9">
        <v>45364</v>
      </c>
    </row>
    <row r="1565" spans="1:9" x14ac:dyDescent="0.15">
      <c r="A1565" s="6">
        <v>1564</v>
      </c>
      <c r="B1565" s="7" t="s">
        <v>9</v>
      </c>
      <c r="C1565" s="8">
        <v>1889</v>
      </c>
      <c r="D1565" s="9">
        <v>45439</v>
      </c>
      <c r="E1565" s="13" t="str">
        <f>+HYPERLINK("http://trademark.i-assist.jp/data/china/image_1889th/77273662.pdf","77273662")</f>
        <v>77273662</v>
      </c>
      <c r="F1565" s="7" t="s">
        <v>134</v>
      </c>
      <c r="G1565" s="7" t="s">
        <v>4370</v>
      </c>
      <c r="H1565" s="7" t="s">
        <v>4371</v>
      </c>
      <c r="I1565" s="9">
        <v>45364</v>
      </c>
    </row>
    <row r="1566" spans="1:9" x14ac:dyDescent="0.15">
      <c r="A1566" s="6">
        <v>1565</v>
      </c>
      <c r="B1566" s="7" t="s">
        <v>9</v>
      </c>
      <c r="C1566" s="8">
        <v>1889</v>
      </c>
      <c r="D1566" s="9">
        <v>45439</v>
      </c>
      <c r="E1566" s="13" t="str">
        <f>+HYPERLINK("http://trademark.i-assist.jp/data/china/image_1889th/77273695.pdf","77273695")</f>
        <v>77273695</v>
      </c>
      <c r="F1566" s="7" t="s">
        <v>4372</v>
      </c>
      <c r="G1566" s="7" t="s">
        <v>4373</v>
      </c>
      <c r="H1566" s="7" t="s">
        <v>4374</v>
      </c>
      <c r="I1566" s="9">
        <v>45364</v>
      </c>
    </row>
    <row r="1567" spans="1:9" x14ac:dyDescent="0.15">
      <c r="A1567" s="6">
        <v>1566</v>
      </c>
      <c r="B1567" s="7" t="s">
        <v>9</v>
      </c>
      <c r="C1567" s="8">
        <v>1889</v>
      </c>
      <c r="D1567" s="9">
        <v>45439</v>
      </c>
      <c r="E1567" s="13" t="str">
        <f>+HYPERLINK("http://trademark.i-assist.jp/data/china/image_1889th/77273850.pdf","77273850")</f>
        <v>77273850</v>
      </c>
      <c r="F1567" s="7" t="s">
        <v>4375</v>
      </c>
      <c r="G1567" s="7" t="s">
        <v>4376</v>
      </c>
      <c r="H1567" s="7" t="s">
        <v>4377</v>
      </c>
      <c r="I1567" s="9">
        <v>45364</v>
      </c>
    </row>
    <row r="1568" spans="1:9" x14ac:dyDescent="0.15">
      <c r="A1568" s="6">
        <v>1567</v>
      </c>
      <c r="B1568" s="7" t="s">
        <v>9</v>
      </c>
      <c r="C1568" s="8">
        <v>1889</v>
      </c>
      <c r="D1568" s="9">
        <v>45439</v>
      </c>
      <c r="E1568" s="13" t="str">
        <f>+HYPERLINK("http://trademark.i-assist.jp/data/china/image_1889th/77274156.pdf","77274156")</f>
        <v>77274156</v>
      </c>
      <c r="F1568" s="7" t="s">
        <v>4378</v>
      </c>
      <c r="G1568" s="7" t="s">
        <v>4379</v>
      </c>
      <c r="H1568" s="7" t="s">
        <v>4380</v>
      </c>
      <c r="I1568" s="9">
        <v>45364</v>
      </c>
    </row>
    <row r="1569" spans="1:9" x14ac:dyDescent="0.15">
      <c r="A1569" s="6">
        <v>1568</v>
      </c>
      <c r="B1569" s="7" t="s">
        <v>9</v>
      </c>
      <c r="C1569" s="8">
        <v>1889</v>
      </c>
      <c r="D1569" s="9">
        <v>45439</v>
      </c>
      <c r="E1569" s="13" t="str">
        <f>+HYPERLINK("http://trademark.i-assist.jp/data/china/image_1889th/77274420.pdf","77274420")</f>
        <v>77274420</v>
      </c>
      <c r="F1569" s="7" t="s">
        <v>4381</v>
      </c>
      <c r="G1569" s="7" t="s">
        <v>4382</v>
      </c>
      <c r="H1569" s="7" t="s">
        <v>4383</v>
      </c>
      <c r="I1569" s="9">
        <v>45364</v>
      </c>
    </row>
    <row r="1570" spans="1:9" ht="27" x14ac:dyDescent="0.15">
      <c r="A1570" s="6">
        <v>1569</v>
      </c>
      <c r="B1570" s="7" t="s">
        <v>9</v>
      </c>
      <c r="C1570" s="8">
        <v>1889</v>
      </c>
      <c r="D1570" s="9">
        <v>45439</v>
      </c>
      <c r="E1570" s="13" t="str">
        <f>+HYPERLINK("http://trademark.i-assist.jp/data/china/image_1889th/77274522.pdf","77274522")</f>
        <v>77274522</v>
      </c>
      <c r="F1570" s="7" t="s">
        <v>4384</v>
      </c>
      <c r="G1570" s="7" t="s">
        <v>4267</v>
      </c>
      <c r="H1570" s="7" t="s">
        <v>4385</v>
      </c>
      <c r="I1570" s="9">
        <v>45364</v>
      </c>
    </row>
    <row r="1571" spans="1:9" x14ac:dyDescent="0.15">
      <c r="A1571" s="6">
        <v>1570</v>
      </c>
      <c r="B1571" s="7" t="s">
        <v>9</v>
      </c>
      <c r="C1571" s="8">
        <v>1889</v>
      </c>
      <c r="D1571" s="9">
        <v>45439</v>
      </c>
      <c r="E1571" s="13" t="str">
        <f>+HYPERLINK("http://trademark.i-assist.jp/data/china/image_1889th/77274545.pdf","77274545")</f>
        <v>77274545</v>
      </c>
      <c r="F1571" s="7" t="s">
        <v>4386</v>
      </c>
      <c r="G1571" s="7" t="s">
        <v>4387</v>
      </c>
      <c r="H1571" s="7" t="s">
        <v>4388</v>
      </c>
      <c r="I1571" s="9">
        <v>45364</v>
      </c>
    </row>
    <row r="1572" spans="1:9" ht="27" x14ac:dyDescent="0.15">
      <c r="A1572" s="6">
        <v>1571</v>
      </c>
      <c r="B1572" s="7" t="s">
        <v>9</v>
      </c>
      <c r="C1572" s="8">
        <v>1889</v>
      </c>
      <c r="D1572" s="9">
        <v>45439</v>
      </c>
      <c r="E1572" s="13" t="str">
        <f>+HYPERLINK("http://trademark.i-assist.jp/data/china/image_1889th/77274720.pdf","77274720")</f>
        <v>77274720</v>
      </c>
      <c r="F1572" s="7" t="s">
        <v>4389</v>
      </c>
      <c r="G1572" s="7" t="s">
        <v>4340</v>
      </c>
      <c r="H1572" s="7" t="s">
        <v>4390</v>
      </c>
      <c r="I1572" s="9">
        <v>45364</v>
      </c>
    </row>
    <row r="1573" spans="1:9" ht="27" x14ac:dyDescent="0.15">
      <c r="A1573" s="6">
        <v>1572</v>
      </c>
      <c r="B1573" s="7" t="s">
        <v>9</v>
      </c>
      <c r="C1573" s="8">
        <v>1889</v>
      </c>
      <c r="D1573" s="9">
        <v>45439</v>
      </c>
      <c r="E1573" s="13" t="str">
        <f>+HYPERLINK("http://trademark.i-assist.jp/data/china/image_1889th/77275002.pdf","77275002")</f>
        <v>77275002</v>
      </c>
      <c r="F1573" s="7" t="s">
        <v>4391</v>
      </c>
      <c r="G1573" s="7" t="s">
        <v>4212</v>
      </c>
      <c r="H1573" s="7" t="s">
        <v>4392</v>
      </c>
      <c r="I1573" s="9">
        <v>45364</v>
      </c>
    </row>
    <row r="1574" spans="1:9" x14ac:dyDescent="0.15">
      <c r="A1574" s="6">
        <v>1573</v>
      </c>
      <c r="B1574" s="7" t="s">
        <v>9</v>
      </c>
      <c r="C1574" s="8">
        <v>1889</v>
      </c>
      <c r="D1574" s="9">
        <v>45439</v>
      </c>
      <c r="E1574" s="13" t="str">
        <f>+HYPERLINK("http://trademark.i-assist.jp/data/china/image_1889th/77275004.pdf","77275004")</f>
        <v>77275004</v>
      </c>
      <c r="F1574" s="7" t="s">
        <v>4393</v>
      </c>
      <c r="G1574" s="7" t="s">
        <v>4215</v>
      </c>
      <c r="H1574" s="7" t="s">
        <v>4394</v>
      </c>
      <c r="I1574" s="9">
        <v>45364</v>
      </c>
    </row>
    <row r="1575" spans="1:9" x14ac:dyDescent="0.15">
      <c r="A1575" s="6">
        <v>1574</v>
      </c>
      <c r="B1575" s="7" t="s">
        <v>9</v>
      </c>
      <c r="C1575" s="8">
        <v>1889</v>
      </c>
      <c r="D1575" s="9">
        <v>45439</v>
      </c>
      <c r="E1575" s="13" t="str">
        <f>+HYPERLINK("http://trademark.i-assist.jp/data/china/image_1889th/77275020.pdf","77275020")</f>
        <v>77275020</v>
      </c>
      <c r="F1575" s="7" t="s">
        <v>4395</v>
      </c>
      <c r="G1575" s="7" t="s">
        <v>4396</v>
      </c>
      <c r="H1575" s="7" t="s">
        <v>4397</v>
      </c>
      <c r="I1575" s="9">
        <v>45364</v>
      </c>
    </row>
    <row r="1576" spans="1:9" ht="27" x14ac:dyDescent="0.15">
      <c r="A1576" s="6">
        <v>1575</v>
      </c>
      <c r="B1576" s="7" t="s">
        <v>9</v>
      </c>
      <c r="C1576" s="8">
        <v>1889</v>
      </c>
      <c r="D1576" s="9">
        <v>45439</v>
      </c>
      <c r="E1576" s="13" t="str">
        <f>+HYPERLINK("http://trademark.i-assist.jp/data/china/image_1889th/77275374.pdf","77275374")</f>
        <v>77275374</v>
      </c>
      <c r="F1576" s="7" t="s">
        <v>4398</v>
      </c>
      <c r="G1576" s="7" t="s">
        <v>4399</v>
      </c>
      <c r="H1576" s="7" t="s">
        <v>4400</v>
      </c>
      <c r="I1576" s="9">
        <v>45364</v>
      </c>
    </row>
    <row r="1577" spans="1:9" ht="27" x14ac:dyDescent="0.15">
      <c r="A1577" s="6">
        <v>1576</v>
      </c>
      <c r="B1577" s="7" t="s">
        <v>9</v>
      </c>
      <c r="C1577" s="8">
        <v>1889</v>
      </c>
      <c r="D1577" s="9">
        <v>45439</v>
      </c>
      <c r="E1577" s="13" t="str">
        <f>+HYPERLINK("http://trademark.i-assist.jp/data/china/image_1889th/77275466.pdf","77275466")</f>
        <v>77275466</v>
      </c>
      <c r="F1577" s="7" t="s">
        <v>4401</v>
      </c>
      <c r="G1577" s="7" t="s">
        <v>4204</v>
      </c>
      <c r="H1577" s="7" t="s">
        <v>4402</v>
      </c>
      <c r="I1577" s="9">
        <v>45364</v>
      </c>
    </row>
    <row r="1578" spans="1:9" x14ac:dyDescent="0.15">
      <c r="A1578" s="6">
        <v>1577</v>
      </c>
      <c r="B1578" s="7" t="s">
        <v>9</v>
      </c>
      <c r="C1578" s="8">
        <v>1889</v>
      </c>
      <c r="D1578" s="9">
        <v>45439</v>
      </c>
      <c r="E1578" s="13" t="str">
        <f>+HYPERLINK("http://trademark.i-assist.jp/data/china/image_1889th/77275582.pdf","77275582")</f>
        <v>77275582</v>
      </c>
      <c r="F1578" s="7" t="s">
        <v>4403</v>
      </c>
      <c r="G1578" s="7" t="s">
        <v>4404</v>
      </c>
      <c r="H1578" s="7" t="s">
        <v>4405</v>
      </c>
      <c r="I1578" s="9">
        <v>45364</v>
      </c>
    </row>
    <row r="1579" spans="1:9" x14ac:dyDescent="0.15">
      <c r="A1579" s="6">
        <v>1578</v>
      </c>
      <c r="B1579" s="7" t="s">
        <v>9</v>
      </c>
      <c r="C1579" s="8">
        <v>1889</v>
      </c>
      <c r="D1579" s="9">
        <v>45439</v>
      </c>
      <c r="E1579" s="13" t="str">
        <f>+HYPERLINK("http://trademark.i-assist.jp/data/china/image_1889th/77275812.pdf","77275812")</f>
        <v>77275812</v>
      </c>
      <c r="F1579" s="7" t="s">
        <v>4406</v>
      </c>
      <c r="G1579" s="7" t="s">
        <v>4239</v>
      </c>
      <c r="H1579" s="7" t="s">
        <v>4407</v>
      </c>
      <c r="I1579" s="9">
        <v>45364</v>
      </c>
    </row>
    <row r="1580" spans="1:9" x14ac:dyDescent="0.15">
      <c r="A1580" s="6">
        <v>1579</v>
      </c>
      <c r="B1580" s="7" t="s">
        <v>9</v>
      </c>
      <c r="C1580" s="8">
        <v>1889</v>
      </c>
      <c r="D1580" s="9">
        <v>45439</v>
      </c>
      <c r="E1580" s="13" t="str">
        <f>+HYPERLINK("http://trademark.i-assist.jp/data/china/image_1889th/77275818.pdf","77275818")</f>
        <v>77275818</v>
      </c>
      <c r="F1580" s="7" t="s">
        <v>4408</v>
      </c>
      <c r="G1580" s="7" t="s">
        <v>4409</v>
      </c>
      <c r="H1580" s="7" t="s">
        <v>4410</v>
      </c>
      <c r="I1580" s="9">
        <v>45364</v>
      </c>
    </row>
    <row r="1581" spans="1:9" x14ac:dyDescent="0.15">
      <c r="A1581" s="6">
        <v>1580</v>
      </c>
      <c r="B1581" s="7" t="s">
        <v>9</v>
      </c>
      <c r="C1581" s="8">
        <v>1889</v>
      </c>
      <c r="D1581" s="9">
        <v>45439</v>
      </c>
      <c r="E1581" s="13" t="str">
        <f>+HYPERLINK("http://trademark.i-assist.jp/data/china/image_1889th/77275945.pdf","77275945")</f>
        <v>77275945</v>
      </c>
      <c r="F1581" s="7" t="s">
        <v>4411</v>
      </c>
      <c r="G1581" s="7" t="s">
        <v>4155</v>
      </c>
      <c r="H1581" s="7" t="s">
        <v>4412</v>
      </c>
      <c r="I1581" s="9">
        <v>45364</v>
      </c>
    </row>
    <row r="1582" spans="1:9" x14ac:dyDescent="0.15">
      <c r="A1582" s="6">
        <v>1581</v>
      </c>
      <c r="B1582" s="7" t="s">
        <v>9</v>
      </c>
      <c r="C1582" s="8">
        <v>1889</v>
      </c>
      <c r="D1582" s="9">
        <v>45439</v>
      </c>
      <c r="E1582" s="13" t="str">
        <f>+HYPERLINK("http://trademark.i-assist.jp/data/china/image_1889th/77275949.pdf","77275949")</f>
        <v>77275949</v>
      </c>
      <c r="F1582" s="7" t="s">
        <v>4413</v>
      </c>
      <c r="G1582" s="7" t="s">
        <v>4414</v>
      </c>
      <c r="H1582" s="7" t="s">
        <v>4415</v>
      </c>
      <c r="I1582" s="9">
        <v>45364</v>
      </c>
    </row>
    <row r="1583" spans="1:9" x14ac:dyDescent="0.15">
      <c r="A1583" s="6">
        <v>1582</v>
      </c>
      <c r="B1583" s="7" t="s">
        <v>9</v>
      </c>
      <c r="C1583" s="8">
        <v>1889</v>
      </c>
      <c r="D1583" s="9">
        <v>45439</v>
      </c>
      <c r="E1583" s="13" t="str">
        <f>+HYPERLINK("http://trademark.i-assist.jp/data/china/image_1889th/77276064.pdf","77276064")</f>
        <v>77276064</v>
      </c>
      <c r="F1583" s="7" t="s">
        <v>4416</v>
      </c>
      <c r="G1583" s="7" t="s">
        <v>4190</v>
      </c>
      <c r="H1583" s="7" t="s">
        <v>4417</v>
      </c>
      <c r="I1583" s="9">
        <v>45364</v>
      </c>
    </row>
    <row r="1584" spans="1:9" ht="27" x14ac:dyDescent="0.15">
      <c r="A1584" s="6">
        <v>1583</v>
      </c>
      <c r="B1584" s="7" t="s">
        <v>9</v>
      </c>
      <c r="C1584" s="8">
        <v>1889</v>
      </c>
      <c r="D1584" s="9">
        <v>45439</v>
      </c>
      <c r="E1584" s="13" t="str">
        <f>+HYPERLINK("http://trademark.i-assist.jp/data/china/image_1889th/77276182.pdf","77276182")</f>
        <v>77276182</v>
      </c>
      <c r="F1584" s="7" t="s">
        <v>4418</v>
      </c>
      <c r="G1584" s="7" t="s">
        <v>4267</v>
      </c>
      <c r="H1584" s="7" t="s">
        <v>4419</v>
      </c>
      <c r="I1584" s="9">
        <v>45364</v>
      </c>
    </row>
    <row r="1585" spans="1:9" ht="27" x14ac:dyDescent="0.15">
      <c r="A1585" s="6">
        <v>1584</v>
      </c>
      <c r="B1585" s="7" t="s">
        <v>9</v>
      </c>
      <c r="C1585" s="8">
        <v>1889</v>
      </c>
      <c r="D1585" s="9">
        <v>45439</v>
      </c>
      <c r="E1585" s="13" t="str">
        <f>+HYPERLINK("http://trademark.i-assist.jp/data/china/image_1889th/77276221.pdf","77276221")</f>
        <v>77276221</v>
      </c>
      <c r="F1585" s="7" t="s">
        <v>4420</v>
      </c>
      <c r="G1585" s="7" t="s">
        <v>4267</v>
      </c>
      <c r="H1585" s="7" t="s">
        <v>4421</v>
      </c>
      <c r="I1585" s="9">
        <v>45364</v>
      </c>
    </row>
    <row r="1586" spans="1:9" x14ac:dyDescent="0.15">
      <c r="A1586" s="6">
        <v>1585</v>
      </c>
      <c r="B1586" s="7" t="s">
        <v>9</v>
      </c>
      <c r="C1586" s="8">
        <v>1889</v>
      </c>
      <c r="D1586" s="9">
        <v>45439</v>
      </c>
      <c r="E1586" s="13" t="str">
        <f>+HYPERLINK("http://trademark.i-assist.jp/data/china/image_1889th/77277131.pdf","77277131")</f>
        <v>77277131</v>
      </c>
      <c r="F1586" s="7" t="s">
        <v>4422</v>
      </c>
      <c r="G1586" s="7" t="s">
        <v>4423</v>
      </c>
      <c r="H1586" s="7" t="s">
        <v>4424</v>
      </c>
      <c r="I1586" s="9">
        <v>45364</v>
      </c>
    </row>
    <row r="1587" spans="1:9" x14ac:dyDescent="0.15">
      <c r="A1587" s="6">
        <v>1586</v>
      </c>
      <c r="B1587" s="7" t="s">
        <v>9</v>
      </c>
      <c r="C1587" s="8">
        <v>1889</v>
      </c>
      <c r="D1587" s="9">
        <v>45439</v>
      </c>
      <c r="E1587" s="13" t="str">
        <f>+HYPERLINK("http://trademark.i-assist.jp/data/china/image_1889th/77277194.pdf","77277194")</f>
        <v>77277194</v>
      </c>
      <c r="F1587" s="7" t="s">
        <v>4425</v>
      </c>
      <c r="G1587" s="7" t="s">
        <v>4305</v>
      </c>
      <c r="H1587" s="7" t="s">
        <v>4426</v>
      </c>
      <c r="I1587" s="9">
        <v>45364</v>
      </c>
    </row>
    <row r="1588" spans="1:9" x14ac:dyDescent="0.15">
      <c r="A1588" s="6">
        <v>1587</v>
      </c>
      <c r="B1588" s="7" t="s">
        <v>9</v>
      </c>
      <c r="C1588" s="8">
        <v>1889</v>
      </c>
      <c r="D1588" s="9">
        <v>45439</v>
      </c>
      <c r="E1588" s="13" t="str">
        <f>+HYPERLINK("http://trademark.i-assist.jp/data/china/image_1889th/77277563.pdf","77277563")</f>
        <v>77277563</v>
      </c>
      <c r="F1588" s="7" t="s">
        <v>4427</v>
      </c>
      <c r="G1588" s="7" t="s">
        <v>4428</v>
      </c>
      <c r="H1588" s="7" t="s">
        <v>4429</v>
      </c>
      <c r="I1588" s="9">
        <v>45364</v>
      </c>
    </row>
    <row r="1589" spans="1:9" x14ac:dyDescent="0.15">
      <c r="A1589" s="6">
        <v>1588</v>
      </c>
      <c r="B1589" s="7" t="s">
        <v>9</v>
      </c>
      <c r="C1589" s="8">
        <v>1889</v>
      </c>
      <c r="D1589" s="9">
        <v>45439</v>
      </c>
      <c r="E1589" s="13" t="str">
        <f>+HYPERLINK("http://trademark.i-assist.jp/data/china/image_1889th/77277847.pdf","77277847")</f>
        <v>77277847</v>
      </c>
      <c r="F1589" s="7" t="s">
        <v>4430</v>
      </c>
      <c r="G1589" s="7" t="s">
        <v>4431</v>
      </c>
      <c r="H1589" s="7" t="s">
        <v>4432</v>
      </c>
      <c r="I1589" s="9">
        <v>45364</v>
      </c>
    </row>
    <row r="1590" spans="1:9" ht="27" x14ac:dyDescent="0.15">
      <c r="A1590" s="6">
        <v>1589</v>
      </c>
      <c r="B1590" s="7" t="s">
        <v>9</v>
      </c>
      <c r="C1590" s="8">
        <v>1889</v>
      </c>
      <c r="D1590" s="9">
        <v>45439</v>
      </c>
      <c r="E1590" s="13" t="str">
        <f>+HYPERLINK("http://trademark.i-assist.jp/data/china/image_1889th/77278094.pdf","77278094")</f>
        <v>77278094</v>
      </c>
      <c r="F1590" s="7" t="s">
        <v>4433</v>
      </c>
      <c r="G1590" s="7" t="s">
        <v>4178</v>
      </c>
      <c r="H1590" s="7" t="s">
        <v>4434</v>
      </c>
      <c r="I1590" s="9">
        <v>45364</v>
      </c>
    </row>
    <row r="1591" spans="1:9" x14ac:dyDescent="0.15">
      <c r="A1591" s="6">
        <v>1590</v>
      </c>
      <c r="B1591" s="7" t="s">
        <v>9</v>
      </c>
      <c r="C1591" s="8">
        <v>1889</v>
      </c>
      <c r="D1591" s="9">
        <v>45439</v>
      </c>
      <c r="E1591" s="13" t="str">
        <f>+HYPERLINK("http://trademark.i-assist.jp/data/china/image_1889th/77278246.pdf","77278246")</f>
        <v>77278246</v>
      </c>
      <c r="F1591" s="7" t="s">
        <v>4435</v>
      </c>
      <c r="G1591" s="7" t="s">
        <v>4436</v>
      </c>
      <c r="H1591" s="7" t="s">
        <v>4437</v>
      </c>
      <c r="I1591" s="9">
        <v>45364</v>
      </c>
    </row>
    <row r="1592" spans="1:9" x14ac:dyDescent="0.15">
      <c r="A1592" s="6">
        <v>1591</v>
      </c>
      <c r="B1592" s="7" t="s">
        <v>9</v>
      </c>
      <c r="C1592" s="8">
        <v>1889</v>
      </c>
      <c r="D1592" s="9">
        <v>45439</v>
      </c>
      <c r="E1592" s="13" t="str">
        <f>+HYPERLINK("http://trademark.i-assist.jp/data/china/image_1889th/77278360.pdf","77278360")</f>
        <v>77278360</v>
      </c>
      <c r="F1592" s="7" t="s">
        <v>4438</v>
      </c>
      <c r="G1592" s="7" t="s">
        <v>4439</v>
      </c>
      <c r="H1592" s="7" t="s">
        <v>4440</v>
      </c>
      <c r="I1592" s="9">
        <v>45364</v>
      </c>
    </row>
    <row r="1593" spans="1:9" x14ac:dyDescent="0.15">
      <c r="A1593" s="6">
        <v>1592</v>
      </c>
      <c r="B1593" s="7" t="s">
        <v>9</v>
      </c>
      <c r="C1593" s="8">
        <v>1889</v>
      </c>
      <c r="D1593" s="9">
        <v>45439</v>
      </c>
      <c r="E1593" s="13" t="str">
        <f>+HYPERLINK("http://trademark.i-assist.jp/data/china/image_1889th/77278470.pdf","77278470")</f>
        <v>77278470</v>
      </c>
      <c r="F1593" s="7" t="s">
        <v>4441</v>
      </c>
      <c r="G1593" s="7" t="s">
        <v>4442</v>
      </c>
      <c r="H1593" s="7" t="s">
        <v>4443</v>
      </c>
      <c r="I1593" s="9">
        <v>45364</v>
      </c>
    </row>
    <row r="1594" spans="1:9" x14ac:dyDescent="0.15">
      <c r="A1594" s="6">
        <v>1593</v>
      </c>
      <c r="B1594" s="7" t="s">
        <v>9</v>
      </c>
      <c r="C1594" s="8">
        <v>1889</v>
      </c>
      <c r="D1594" s="9">
        <v>45439</v>
      </c>
      <c r="E1594" s="13" t="str">
        <f>+HYPERLINK("http://trademark.i-assist.jp/data/china/image_1889th/77278588.pdf","77278588")</f>
        <v>77278588</v>
      </c>
      <c r="F1594" s="7" t="s">
        <v>4444</v>
      </c>
      <c r="G1594" s="7" t="s">
        <v>4445</v>
      </c>
      <c r="H1594" s="7" t="s">
        <v>4446</v>
      </c>
      <c r="I1594" s="9">
        <v>45364</v>
      </c>
    </row>
    <row r="1595" spans="1:9" x14ac:dyDescent="0.15">
      <c r="A1595" s="6">
        <v>1594</v>
      </c>
      <c r="B1595" s="7" t="s">
        <v>9</v>
      </c>
      <c r="C1595" s="8">
        <v>1889</v>
      </c>
      <c r="D1595" s="9">
        <v>45439</v>
      </c>
      <c r="E1595" s="13" t="str">
        <f>+HYPERLINK("http://trademark.i-assist.jp/data/china/image_1889th/77278829.pdf","77278829")</f>
        <v>77278829</v>
      </c>
      <c r="F1595" s="7" t="s">
        <v>134</v>
      </c>
      <c r="G1595" s="7" t="s">
        <v>4447</v>
      </c>
      <c r="H1595" s="7" t="s">
        <v>4448</v>
      </c>
      <c r="I1595" s="9">
        <v>45364</v>
      </c>
    </row>
    <row r="1596" spans="1:9" x14ac:dyDescent="0.15">
      <c r="A1596" s="6">
        <v>1595</v>
      </c>
      <c r="B1596" s="7" t="s">
        <v>9</v>
      </c>
      <c r="C1596" s="8">
        <v>1889</v>
      </c>
      <c r="D1596" s="9">
        <v>45439</v>
      </c>
      <c r="E1596" s="13" t="str">
        <f>+HYPERLINK("http://trademark.i-assist.jp/data/china/image_1889th/77279181.pdf","77279181")</f>
        <v>77279181</v>
      </c>
      <c r="F1596" s="7" t="s">
        <v>4449</v>
      </c>
      <c r="G1596" s="7" t="s">
        <v>4450</v>
      </c>
      <c r="H1596" s="7" t="s">
        <v>4451</v>
      </c>
      <c r="I1596" s="9">
        <v>45364</v>
      </c>
    </row>
    <row r="1597" spans="1:9" x14ac:dyDescent="0.15">
      <c r="A1597" s="6">
        <v>1596</v>
      </c>
      <c r="B1597" s="7" t="s">
        <v>9</v>
      </c>
      <c r="C1597" s="8">
        <v>1889</v>
      </c>
      <c r="D1597" s="9">
        <v>45439</v>
      </c>
      <c r="E1597" s="13" t="str">
        <f>+HYPERLINK("http://trademark.i-assist.jp/data/china/image_1889th/77279223.pdf","77279223")</f>
        <v>77279223</v>
      </c>
      <c r="F1597" s="7" t="s">
        <v>4151</v>
      </c>
      <c r="G1597" s="7" t="s">
        <v>4152</v>
      </c>
      <c r="H1597" s="7" t="s">
        <v>4452</v>
      </c>
      <c r="I1597" s="9">
        <v>45364</v>
      </c>
    </row>
    <row r="1598" spans="1:9" x14ac:dyDescent="0.15">
      <c r="A1598" s="6">
        <v>1597</v>
      </c>
      <c r="B1598" s="7" t="s">
        <v>9</v>
      </c>
      <c r="C1598" s="8">
        <v>1889</v>
      </c>
      <c r="D1598" s="9">
        <v>45439</v>
      </c>
      <c r="E1598" s="13" t="str">
        <f>+HYPERLINK("http://trademark.i-assist.jp/data/china/image_1889th/77279841.pdf","77279841")</f>
        <v>77279841</v>
      </c>
      <c r="F1598" s="7" t="s">
        <v>4453</v>
      </c>
      <c r="G1598" s="7" t="s">
        <v>4454</v>
      </c>
      <c r="H1598" s="7" t="s">
        <v>4455</v>
      </c>
      <c r="I1598" s="9">
        <v>45364</v>
      </c>
    </row>
    <row r="1599" spans="1:9" x14ac:dyDescent="0.15">
      <c r="A1599" s="6">
        <v>1598</v>
      </c>
      <c r="B1599" s="7" t="s">
        <v>9</v>
      </c>
      <c r="C1599" s="8">
        <v>1889</v>
      </c>
      <c r="D1599" s="9">
        <v>45439</v>
      </c>
      <c r="E1599" s="13" t="str">
        <f>+HYPERLINK("http://trademark.i-assist.jp/data/china/image_1889th/77280152.pdf","77280152")</f>
        <v>77280152</v>
      </c>
      <c r="F1599" s="7" t="s">
        <v>4456</v>
      </c>
      <c r="G1599" s="7" t="s">
        <v>4457</v>
      </c>
      <c r="H1599" s="7" t="s">
        <v>4458</v>
      </c>
      <c r="I1599" s="9">
        <v>45364</v>
      </c>
    </row>
    <row r="1600" spans="1:9" x14ac:dyDescent="0.15">
      <c r="A1600" s="6">
        <v>1599</v>
      </c>
      <c r="B1600" s="7" t="s">
        <v>9</v>
      </c>
      <c r="C1600" s="8">
        <v>1889</v>
      </c>
      <c r="D1600" s="9">
        <v>45439</v>
      </c>
      <c r="E1600" s="13" t="str">
        <f>+HYPERLINK("http://trademark.i-assist.jp/data/china/image_1889th/77280283.pdf","77280283")</f>
        <v>77280283</v>
      </c>
      <c r="F1600" s="7" t="s">
        <v>4459</v>
      </c>
      <c r="G1600" s="7" t="s">
        <v>4460</v>
      </c>
      <c r="H1600" s="7" t="s">
        <v>4461</v>
      </c>
      <c r="I1600" s="9">
        <v>45364</v>
      </c>
    </row>
    <row r="1601" spans="1:9" x14ac:dyDescent="0.15">
      <c r="A1601" s="6">
        <v>1600</v>
      </c>
      <c r="B1601" s="7" t="s">
        <v>9</v>
      </c>
      <c r="C1601" s="8">
        <v>1889</v>
      </c>
      <c r="D1601" s="9">
        <v>45439</v>
      </c>
      <c r="E1601" s="13" t="str">
        <f>+HYPERLINK("http://trademark.i-assist.jp/data/china/image_1889th/77280554.pdf","77280554")</f>
        <v>77280554</v>
      </c>
      <c r="F1601" s="7" t="s">
        <v>4462</v>
      </c>
      <c r="G1601" s="7" t="s">
        <v>4463</v>
      </c>
      <c r="H1601" s="7" t="s">
        <v>4464</v>
      </c>
      <c r="I1601" s="9">
        <v>45364</v>
      </c>
    </row>
    <row r="1602" spans="1:9" ht="27" x14ac:dyDescent="0.15">
      <c r="A1602" s="6">
        <v>1601</v>
      </c>
      <c r="B1602" s="7" t="s">
        <v>9</v>
      </c>
      <c r="C1602" s="8">
        <v>1889</v>
      </c>
      <c r="D1602" s="9">
        <v>45439</v>
      </c>
      <c r="E1602" s="13" t="str">
        <f>+HYPERLINK("http://trademark.i-assist.jp/data/china/image_1889th/77281047.pdf","77281047")</f>
        <v>77281047</v>
      </c>
      <c r="F1602" s="7" t="s">
        <v>4465</v>
      </c>
      <c r="G1602" s="7" t="s">
        <v>4236</v>
      </c>
      <c r="H1602" s="7" t="s">
        <v>4466</v>
      </c>
      <c r="I1602" s="9">
        <v>45364</v>
      </c>
    </row>
    <row r="1603" spans="1:9" ht="27" x14ac:dyDescent="0.15">
      <c r="A1603" s="6">
        <v>1602</v>
      </c>
      <c r="B1603" s="7" t="s">
        <v>9</v>
      </c>
      <c r="C1603" s="8">
        <v>1889</v>
      </c>
      <c r="D1603" s="9">
        <v>45439</v>
      </c>
      <c r="E1603" s="13" t="str">
        <f>+HYPERLINK("http://trademark.i-assist.jp/data/china/image_1889th/77281054.pdf","77281054")</f>
        <v>77281054</v>
      </c>
      <c r="F1603" s="7" t="s">
        <v>4467</v>
      </c>
      <c r="G1603" s="7" t="s">
        <v>4236</v>
      </c>
      <c r="H1603" s="7" t="s">
        <v>4468</v>
      </c>
      <c r="I1603" s="9">
        <v>45364</v>
      </c>
    </row>
    <row r="1604" spans="1:9" x14ac:dyDescent="0.15">
      <c r="A1604" s="6">
        <v>1603</v>
      </c>
      <c r="B1604" s="7" t="s">
        <v>9</v>
      </c>
      <c r="C1604" s="8">
        <v>1889</v>
      </c>
      <c r="D1604" s="9">
        <v>45439</v>
      </c>
      <c r="E1604" s="13" t="str">
        <f>+HYPERLINK("http://trademark.i-assist.jp/data/china/image_1889th/77281113.pdf","77281113")</f>
        <v>77281113</v>
      </c>
      <c r="F1604" s="7" t="s">
        <v>4469</v>
      </c>
      <c r="G1604" s="7" t="s">
        <v>4470</v>
      </c>
      <c r="H1604" s="7" t="s">
        <v>4471</v>
      </c>
      <c r="I1604" s="9">
        <v>45364</v>
      </c>
    </row>
    <row r="1605" spans="1:9" x14ac:dyDescent="0.15">
      <c r="A1605" s="6">
        <v>1604</v>
      </c>
      <c r="B1605" s="7" t="s">
        <v>9</v>
      </c>
      <c r="C1605" s="8">
        <v>1889</v>
      </c>
      <c r="D1605" s="9">
        <v>45439</v>
      </c>
      <c r="E1605" s="13" t="str">
        <f>+HYPERLINK("http://trademark.i-assist.jp/data/china/image_1889th/77281425.pdf","77281425")</f>
        <v>77281425</v>
      </c>
      <c r="F1605" s="7" t="s">
        <v>4472</v>
      </c>
      <c r="G1605" s="7" t="s">
        <v>4233</v>
      </c>
      <c r="H1605" s="7" t="s">
        <v>4473</v>
      </c>
      <c r="I1605" s="9">
        <v>45364</v>
      </c>
    </row>
    <row r="1606" spans="1:9" x14ac:dyDescent="0.15">
      <c r="A1606" s="6">
        <v>1605</v>
      </c>
      <c r="B1606" s="7" t="s">
        <v>9</v>
      </c>
      <c r="C1606" s="8">
        <v>1889</v>
      </c>
      <c r="D1606" s="9">
        <v>45439</v>
      </c>
      <c r="E1606" s="13" t="str">
        <f>+HYPERLINK("http://trademark.i-assist.jp/data/china/image_1889th/77281444.pdf","77281444")</f>
        <v>77281444</v>
      </c>
      <c r="F1606" s="7" t="s">
        <v>4474</v>
      </c>
      <c r="G1606" s="7" t="s">
        <v>4475</v>
      </c>
      <c r="H1606" s="7" t="s">
        <v>4476</v>
      </c>
      <c r="I1606" s="9">
        <v>45364</v>
      </c>
    </row>
    <row r="1607" spans="1:9" x14ac:dyDescent="0.15">
      <c r="A1607" s="6">
        <v>1606</v>
      </c>
      <c r="B1607" s="7" t="s">
        <v>9</v>
      </c>
      <c r="C1607" s="8">
        <v>1889</v>
      </c>
      <c r="D1607" s="9">
        <v>45439</v>
      </c>
      <c r="E1607" s="13" t="str">
        <f>+HYPERLINK("http://trademark.i-assist.jp/data/china/image_1889th/77281516.pdf","77281516")</f>
        <v>77281516</v>
      </c>
      <c r="F1607" s="7" t="s">
        <v>4477</v>
      </c>
      <c r="G1607" s="7" t="s">
        <v>4478</v>
      </c>
      <c r="H1607" s="7" t="s">
        <v>4479</v>
      </c>
      <c r="I1607" s="9">
        <v>45364</v>
      </c>
    </row>
    <row r="1608" spans="1:9" x14ac:dyDescent="0.15">
      <c r="A1608" s="6">
        <v>1607</v>
      </c>
      <c r="B1608" s="7" t="s">
        <v>9</v>
      </c>
      <c r="C1608" s="8">
        <v>1889</v>
      </c>
      <c r="D1608" s="9">
        <v>45439</v>
      </c>
      <c r="E1608" s="13" t="str">
        <f>+HYPERLINK("http://trademark.i-assist.jp/data/china/image_1889th/77281748.pdf","77281748")</f>
        <v>77281748</v>
      </c>
      <c r="F1608" s="7" t="s">
        <v>4480</v>
      </c>
      <c r="G1608" s="7" t="s">
        <v>4155</v>
      </c>
      <c r="H1608" s="7" t="s">
        <v>4481</v>
      </c>
      <c r="I1608" s="9">
        <v>45364</v>
      </c>
    </row>
    <row r="1609" spans="1:9" x14ac:dyDescent="0.15">
      <c r="A1609" s="6">
        <v>1608</v>
      </c>
      <c r="B1609" s="7" t="s">
        <v>9</v>
      </c>
      <c r="C1609" s="8">
        <v>1889</v>
      </c>
      <c r="D1609" s="9">
        <v>45439</v>
      </c>
      <c r="E1609" s="13" t="str">
        <f>+HYPERLINK("http://trademark.i-assist.jp/data/china/image_1889th/77281782.pdf","77281782")</f>
        <v>77281782</v>
      </c>
      <c r="F1609" s="7" t="s">
        <v>4482</v>
      </c>
      <c r="G1609" s="7" t="s">
        <v>4414</v>
      </c>
      <c r="H1609" s="7" t="s">
        <v>4483</v>
      </c>
      <c r="I1609" s="9">
        <v>45364</v>
      </c>
    </row>
    <row r="1610" spans="1:9" x14ac:dyDescent="0.15">
      <c r="A1610" s="6">
        <v>1609</v>
      </c>
      <c r="B1610" s="7" t="s">
        <v>9</v>
      </c>
      <c r="C1610" s="8">
        <v>1889</v>
      </c>
      <c r="D1610" s="9">
        <v>45439</v>
      </c>
      <c r="E1610" s="13" t="str">
        <f>+HYPERLINK("http://trademark.i-assist.jp/data/china/image_1889th/77282034.pdf","77282034")</f>
        <v>77282034</v>
      </c>
      <c r="F1610" s="7" t="s">
        <v>4484</v>
      </c>
      <c r="G1610" s="7" t="s">
        <v>4485</v>
      </c>
      <c r="H1610" s="7" t="s">
        <v>4486</v>
      </c>
      <c r="I1610" s="9">
        <v>45364</v>
      </c>
    </row>
    <row r="1611" spans="1:9" x14ac:dyDescent="0.15">
      <c r="A1611" s="6">
        <v>1610</v>
      </c>
      <c r="B1611" s="7" t="s">
        <v>9</v>
      </c>
      <c r="C1611" s="8">
        <v>1889</v>
      </c>
      <c r="D1611" s="9">
        <v>45439</v>
      </c>
      <c r="E1611" s="13" t="str">
        <f>+HYPERLINK("http://trademark.i-assist.jp/data/china/image_1889th/77282325.pdf","77282325")</f>
        <v>77282325</v>
      </c>
      <c r="F1611" s="7" t="s">
        <v>4487</v>
      </c>
      <c r="G1611" s="7" t="s">
        <v>4488</v>
      </c>
      <c r="H1611" s="7" t="s">
        <v>4489</v>
      </c>
      <c r="I1611" s="9">
        <v>45364</v>
      </c>
    </row>
    <row r="1612" spans="1:9" x14ac:dyDescent="0.15">
      <c r="A1612" s="6">
        <v>1611</v>
      </c>
      <c r="B1612" s="7" t="s">
        <v>9</v>
      </c>
      <c r="C1612" s="8">
        <v>1889</v>
      </c>
      <c r="D1612" s="9">
        <v>45439</v>
      </c>
      <c r="E1612" s="13" t="str">
        <f>+HYPERLINK("http://trademark.i-assist.jp/data/china/image_1889th/77282424.pdf","77282424")</f>
        <v>77282424</v>
      </c>
      <c r="F1612" s="7" t="s">
        <v>4490</v>
      </c>
      <c r="G1612" s="7" t="s">
        <v>4491</v>
      </c>
      <c r="H1612" s="7" t="s">
        <v>4492</v>
      </c>
      <c r="I1612" s="9">
        <v>45364</v>
      </c>
    </row>
    <row r="1613" spans="1:9" x14ac:dyDescent="0.15">
      <c r="A1613" s="6">
        <v>1612</v>
      </c>
      <c r="B1613" s="7" t="s">
        <v>9</v>
      </c>
      <c r="C1613" s="8">
        <v>1889</v>
      </c>
      <c r="D1613" s="9">
        <v>45439</v>
      </c>
      <c r="E1613" s="13" t="str">
        <f>+HYPERLINK("http://trademark.i-assist.jp/data/china/image_1889th/77282722.pdf","77282722")</f>
        <v>77282722</v>
      </c>
      <c r="F1613" s="7" t="s">
        <v>4493</v>
      </c>
      <c r="G1613" s="7" t="s">
        <v>4494</v>
      </c>
      <c r="H1613" s="7" t="s">
        <v>4495</v>
      </c>
      <c r="I1613" s="9">
        <v>45364</v>
      </c>
    </row>
    <row r="1614" spans="1:9" x14ac:dyDescent="0.15">
      <c r="A1614" s="6">
        <v>1613</v>
      </c>
      <c r="B1614" s="7" t="s">
        <v>9</v>
      </c>
      <c r="C1614" s="8">
        <v>1889</v>
      </c>
      <c r="D1614" s="9">
        <v>45439</v>
      </c>
      <c r="E1614" s="13" t="str">
        <f>+HYPERLINK("http://trademark.i-assist.jp/data/china/image_1889th/77282794.pdf","77282794")</f>
        <v>77282794</v>
      </c>
      <c r="F1614" s="7" t="s">
        <v>4496</v>
      </c>
      <c r="G1614" s="7" t="s">
        <v>4497</v>
      </c>
      <c r="H1614" s="7" t="s">
        <v>4498</v>
      </c>
      <c r="I1614" s="9">
        <v>45364</v>
      </c>
    </row>
    <row r="1615" spans="1:9" x14ac:dyDescent="0.15">
      <c r="A1615" s="6">
        <v>1614</v>
      </c>
      <c r="B1615" s="7" t="s">
        <v>9</v>
      </c>
      <c r="C1615" s="8">
        <v>1889</v>
      </c>
      <c r="D1615" s="9">
        <v>45439</v>
      </c>
      <c r="E1615" s="13" t="str">
        <f>+HYPERLINK("http://trademark.i-assist.jp/data/china/image_1889th/77282961.pdf","77282961")</f>
        <v>77282961</v>
      </c>
      <c r="F1615" s="7" t="s">
        <v>4499</v>
      </c>
      <c r="G1615" s="7" t="s">
        <v>4297</v>
      </c>
      <c r="H1615" s="7" t="s">
        <v>4500</v>
      </c>
      <c r="I1615" s="9">
        <v>45364</v>
      </c>
    </row>
    <row r="1616" spans="1:9" ht="27" x14ac:dyDescent="0.15">
      <c r="A1616" s="6">
        <v>1615</v>
      </c>
      <c r="B1616" s="7" t="s">
        <v>9</v>
      </c>
      <c r="C1616" s="8">
        <v>1889</v>
      </c>
      <c r="D1616" s="9">
        <v>45439</v>
      </c>
      <c r="E1616" s="13" t="str">
        <f>+HYPERLINK("http://trademark.i-assist.jp/data/china/image_1889th/77283052.pdf","77283052")</f>
        <v>77283052</v>
      </c>
      <c r="F1616" s="7" t="s">
        <v>4501</v>
      </c>
      <c r="G1616" s="7" t="s">
        <v>4502</v>
      </c>
      <c r="H1616" s="7" t="s">
        <v>4503</v>
      </c>
      <c r="I1616" s="9">
        <v>45364</v>
      </c>
    </row>
    <row r="1617" spans="1:9" ht="27" x14ac:dyDescent="0.15">
      <c r="A1617" s="6">
        <v>1616</v>
      </c>
      <c r="B1617" s="7" t="s">
        <v>9</v>
      </c>
      <c r="C1617" s="8">
        <v>1889</v>
      </c>
      <c r="D1617" s="9">
        <v>45439</v>
      </c>
      <c r="E1617" s="13" t="str">
        <f>+HYPERLINK("http://trademark.i-assist.jp/data/china/image_1889th/77283206.pdf","77283206")</f>
        <v>77283206</v>
      </c>
      <c r="F1617" s="7" t="s">
        <v>4504</v>
      </c>
      <c r="G1617" s="7" t="s">
        <v>4505</v>
      </c>
      <c r="H1617" s="7" t="s">
        <v>4506</v>
      </c>
      <c r="I1617" s="9">
        <v>45364</v>
      </c>
    </row>
    <row r="1618" spans="1:9" x14ac:dyDescent="0.15">
      <c r="A1618" s="6">
        <v>1617</v>
      </c>
      <c r="B1618" s="7" t="s">
        <v>9</v>
      </c>
      <c r="C1618" s="8">
        <v>1889</v>
      </c>
      <c r="D1618" s="9">
        <v>45439</v>
      </c>
      <c r="E1618" s="13" t="str">
        <f>+HYPERLINK("http://trademark.i-assist.jp/data/china/image_1889th/77283316.pdf","77283316")</f>
        <v>77283316</v>
      </c>
      <c r="F1618" s="7" t="s">
        <v>4507</v>
      </c>
      <c r="G1618" s="7" t="s">
        <v>4508</v>
      </c>
      <c r="H1618" s="7" t="s">
        <v>4509</v>
      </c>
      <c r="I1618" s="9">
        <v>45364</v>
      </c>
    </row>
    <row r="1619" spans="1:9" x14ac:dyDescent="0.15">
      <c r="A1619" s="6">
        <v>1618</v>
      </c>
      <c r="B1619" s="7" t="s">
        <v>9</v>
      </c>
      <c r="C1619" s="8">
        <v>1889</v>
      </c>
      <c r="D1619" s="9">
        <v>45439</v>
      </c>
      <c r="E1619" s="13" t="str">
        <f>+HYPERLINK("http://trademark.i-assist.jp/data/china/image_1889th/77283570.pdf","77283570")</f>
        <v>77283570</v>
      </c>
      <c r="F1619" s="7" t="s">
        <v>4510</v>
      </c>
      <c r="G1619" s="7" t="s">
        <v>4511</v>
      </c>
      <c r="H1619" s="7" t="s">
        <v>4512</v>
      </c>
      <c r="I1619" s="9">
        <v>45364</v>
      </c>
    </row>
    <row r="1620" spans="1:9" ht="27" x14ac:dyDescent="0.15">
      <c r="A1620" s="6">
        <v>1619</v>
      </c>
      <c r="B1620" s="7" t="s">
        <v>9</v>
      </c>
      <c r="C1620" s="8">
        <v>1889</v>
      </c>
      <c r="D1620" s="9">
        <v>45439</v>
      </c>
      <c r="E1620" s="13" t="str">
        <f>+HYPERLINK("http://trademark.i-assist.jp/data/china/image_1889th/77283851.pdf","77283851")</f>
        <v>77283851</v>
      </c>
      <c r="F1620" s="7" t="s">
        <v>4513</v>
      </c>
      <c r="G1620" s="7" t="s">
        <v>4399</v>
      </c>
      <c r="H1620" s="7" t="s">
        <v>4514</v>
      </c>
      <c r="I1620" s="9">
        <v>45364</v>
      </c>
    </row>
    <row r="1621" spans="1:9" x14ac:dyDescent="0.15">
      <c r="A1621" s="6">
        <v>1620</v>
      </c>
      <c r="B1621" s="7" t="s">
        <v>9</v>
      </c>
      <c r="C1621" s="8">
        <v>1889</v>
      </c>
      <c r="D1621" s="9">
        <v>45439</v>
      </c>
      <c r="E1621" s="13" t="str">
        <f>+HYPERLINK("http://trademark.i-assist.jp/data/china/image_1889th/77285018.pdf","77285018")</f>
        <v>77285018</v>
      </c>
      <c r="F1621" s="7" t="s">
        <v>4515</v>
      </c>
      <c r="G1621" s="7" t="s">
        <v>4516</v>
      </c>
      <c r="H1621" s="7" t="s">
        <v>4517</v>
      </c>
      <c r="I1621" s="9">
        <v>45364</v>
      </c>
    </row>
    <row r="1622" spans="1:9" x14ac:dyDescent="0.15">
      <c r="A1622" s="6">
        <v>1621</v>
      </c>
      <c r="B1622" s="7" t="s">
        <v>9</v>
      </c>
      <c r="C1622" s="8">
        <v>1889</v>
      </c>
      <c r="D1622" s="9">
        <v>45439</v>
      </c>
      <c r="E1622" s="13" t="str">
        <f>+HYPERLINK("http://trademark.i-assist.jp/data/china/image_1889th/77285056.pdf","77285056")</f>
        <v>77285056</v>
      </c>
      <c r="F1622" s="7" t="s">
        <v>134</v>
      </c>
      <c r="G1622" s="7" t="s">
        <v>4518</v>
      </c>
      <c r="H1622" s="7" t="s">
        <v>4519</v>
      </c>
      <c r="I1622" s="9">
        <v>45364</v>
      </c>
    </row>
    <row r="1623" spans="1:9" ht="27" x14ac:dyDescent="0.15">
      <c r="A1623" s="6">
        <v>1622</v>
      </c>
      <c r="B1623" s="7" t="s">
        <v>9</v>
      </c>
      <c r="C1623" s="8">
        <v>1889</v>
      </c>
      <c r="D1623" s="9">
        <v>45439</v>
      </c>
      <c r="E1623" s="13" t="str">
        <f>+HYPERLINK("http://trademark.i-assist.jp/data/china/image_1889th/77285687.pdf","77285687")</f>
        <v>77285687</v>
      </c>
      <c r="F1623" s="7" t="s">
        <v>4520</v>
      </c>
      <c r="G1623" s="7" t="s">
        <v>4521</v>
      </c>
      <c r="H1623" s="7" t="s">
        <v>4522</v>
      </c>
      <c r="I1623" s="9">
        <v>45364</v>
      </c>
    </row>
    <row r="1624" spans="1:9" x14ac:dyDescent="0.15">
      <c r="A1624" s="6">
        <v>1623</v>
      </c>
      <c r="B1624" s="7" t="s">
        <v>9</v>
      </c>
      <c r="C1624" s="8">
        <v>1889</v>
      </c>
      <c r="D1624" s="9">
        <v>45439</v>
      </c>
      <c r="E1624" s="13" t="str">
        <f>+HYPERLINK("http://trademark.i-assist.jp/data/china/image_1889th/77285902.pdf","77285902")</f>
        <v>77285902</v>
      </c>
      <c r="F1624" s="7" t="s">
        <v>4523</v>
      </c>
      <c r="G1624" s="7" t="s">
        <v>4524</v>
      </c>
      <c r="H1624" s="7" t="s">
        <v>4525</v>
      </c>
      <c r="I1624" s="9">
        <v>45364</v>
      </c>
    </row>
    <row r="1625" spans="1:9" x14ac:dyDescent="0.15">
      <c r="A1625" s="6">
        <v>1624</v>
      </c>
      <c r="B1625" s="7" t="s">
        <v>9</v>
      </c>
      <c r="C1625" s="8">
        <v>1889</v>
      </c>
      <c r="D1625" s="9">
        <v>45439</v>
      </c>
      <c r="E1625" s="13" t="str">
        <f>+HYPERLINK("http://trademark.i-assist.jp/data/china/image_1889th/77286087.pdf","77286087")</f>
        <v>77286087</v>
      </c>
      <c r="F1625" s="7" t="s">
        <v>4526</v>
      </c>
      <c r="G1625" s="7" t="s">
        <v>4485</v>
      </c>
      <c r="H1625" s="7" t="s">
        <v>4527</v>
      </c>
      <c r="I1625" s="9">
        <v>45364</v>
      </c>
    </row>
    <row r="1626" spans="1:9" ht="27" x14ac:dyDescent="0.15">
      <c r="A1626" s="6">
        <v>1625</v>
      </c>
      <c r="B1626" s="7" t="s">
        <v>9</v>
      </c>
      <c r="C1626" s="8">
        <v>1889</v>
      </c>
      <c r="D1626" s="9">
        <v>45439</v>
      </c>
      <c r="E1626" s="13" t="str">
        <f>+HYPERLINK("http://trademark.i-assist.jp/data/china/image_1889th/77286471.pdf","77286471")</f>
        <v>77286471</v>
      </c>
      <c r="F1626" s="7" t="s">
        <v>4528</v>
      </c>
      <c r="G1626" s="7" t="s">
        <v>4529</v>
      </c>
      <c r="H1626" s="7" t="s">
        <v>4530</v>
      </c>
      <c r="I1626" s="9">
        <v>45364</v>
      </c>
    </row>
    <row r="1627" spans="1:9" x14ac:dyDescent="0.15">
      <c r="A1627" s="6">
        <v>1626</v>
      </c>
      <c r="B1627" s="7" t="s">
        <v>9</v>
      </c>
      <c r="C1627" s="8">
        <v>1889</v>
      </c>
      <c r="D1627" s="9">
        <v>45439</v>
      </c>
      <c r="E1627" s="13" t="str">
        <f>+HYPERLINK("http://trademark.i-assist.jp/data/china/image_1889th/77287349.pdf","77287349")</f>
        <v>77287349</v>
      </c>
      <c r="F1627" s="7" t="s">
        <v>4531</v>
      </c>
      <c r="G1627" s="7" t="s">
        <v>4532</v>
      </c>
      <c r="H1627" s="7" t="s">
        <v>4533</v>
      </c>
      <c r="I1627" s="9">
        <v>45364</v>
      </c>
    </row>
    <row r="1628" spans="1:9" x14ac:dyDescent="0.15">
      <c r="A1628" s="6">
        <v>1627</v>
      </c>
      <c r="B1628" s="7" t="s">
        <v>9</v>
      </c>
      <c r="C1628" s="8">
        <v>1889</v>
      </c>
      <c r="D1628" s="9">
        <v>45439</v>
      </c>
      <c r="E1628" s="13" t="str">
        <f>+HYPERLINK("http://trademark.i-assist.jp/data/china/image_1889th/77287546.pdf","77287546")</f>
        <v>77287546</v>
      </c>
      <c r="F1628" s="7" t="s">
        <v>4534</v>
      </c>
      <c r="G1628" s="7" t="s">
        <v>4535</v>
      </c>
      <c r="H1628" s="7" t="s">
        <v>4536</v>
      </c>
      <c r="I1628" s="9">
        <v>45364</v>
      </c>
    </row>
    <row r="1629" spans="1:9" x14ac:dyDescent="0.15">
      <c r="A1629" s="6">
        <v>1628</v>
      </c>
      <c r="B1629" s="7" t="s">
        <v>9</v>
      </c>
      <c r="C1629" s="8">
        <v>1889</v>
      </c>
      <c r="D1629" s="9">
        <v>45439</v>
      </c>
      <c r="E1629" s="13" t="str">
        <f>+HYPERLINK("http://trademark.i-assist.jp/data/china/image_1889th/77287813.pdf","77287813")</f>
        <v>77287813</v>
      </c>
      <c r="F1629" s="7" t="s">
        <v>4537</v>
      </c>
      <c r="G1629" s="7" t="s">
        <v>4158</v>
      </c>
      <c r="H1629" s="7" t="s">
        <v>4538</v>
      </c>
      <c r="I1629" s="9">
        <v>45364</v>
      </c>
    </row>
    <row r="1630" spans="1:9" ht="27" x14ac:dyDescent="0.15">
      <c r="A1630" s="6">
        <v>1629</v>
      </c>
      <c r="B1630" s="7" t="s">
        <v>9</v>
      </c>
      <c r="C1630" s="8">
        <v>1889</v>
      </c>
      <c r="D1630" s="9">
        <v>45439</v>
      </c>
      <c r="E1630" s="13" t="str">
        <f>+HYPERLINK("http://trademark.i-assist.jp/data/china/image_1889th/77288247.pdf","77288247")</f>
        <v>77288247</v>
      </c>
      <c r="F1630" s="7" t="s">
        <v>4539</v>
      </c>
      <c r="G1630" s="7" t="s">
        <v>4267</v>
      </c>
      <c r="H1630" s="7" t="s">
        <v>4540</v>
      </c>
      <c r="I1630" s="9">
        <v>45364</v>
      </c>
    </row>
    <row r="1631" spans="1:9" x14ac:dyDescent="0.15">
      <c r="A1631" s="6">
        <v>1630</v>
      </c>
      <c r="B1631" s="7" t="s">
        <v>9</v>
      </c>
      <c r="C1631" s="8">
        <v>1889</v>
      </c>
      <c r="D1631" s="9">
        <v>45439</v>
      </c>
      <c r="E1631" s="13" t="str">
        <f>+HYPERLINK("http://trademark.i-assist.jp/data/china/image_1889th/77288271.pdf","77288271")</f>
        <v>77288271</v>
      </c>
      <c r="F1631" s="7" t="s">
        <v>4541</v>
      </c>
      <c r="G1631" s="7" t="s">
        <v>4149</v>
      </c>
      <c r="H1631" s="7" t="s">
        <v>4542</v>
      </c>
      <c r="I1631" s="9">
        <v>45364</v>
      </c>
    </row>
    <row r="1632" spans="1:9" ht="27" x14ac:dyDescent="0.15">
      <c r="A1632" s="6">
        <v>1631</v>
      </c>
      <c r="B1632" s="7" t="s">
        <v>9</v>
      </c>
      <c r="C1632" s="8">
        <v>1889</v>
      </c>
      <c r="D1632" s="9">
        <v>45439</v>
      </c>
      <c r="E1632" s="13" t="str">
        <f>+HYPERLINK("http://trademark.i-assist.jp/data/china/image_1889th/77288713.pdf","77288713")</f>
        <v>77288713</v>
      </c>
      <c r="F1632" s="7" t="s">
        <v>134</v>
      </c>
      <c r="G1632" s="7" t="s">
        <v>4543</v>
      </c>
      <c r="H1632" s="7" t="s">
        <v>4544</v>
      </c>
      <c r="I1632" s="9">
        <v>45364</v>
      </c>
    </row>
    <row r="1633" spans="1:9" ht="27" x14ac:dyDescent="0.15">
      <c r="A1633" s="6">
        <v>1632</v>
      </c>
      <c r="B1633" s="7" t="s">
        <v>9</v>
      </c>
      <c r="C1633" s="8">
        <v>1889</v>
      </c>
      <c r="D1633" s="9">
        <v>45439</v>
      </c>
      <c r="E1633" s="13" t="str">
        <f>+HYPERLINK("http://trademark.i-assist.jp/data/china/image_1889th/77288732.pdf","77288732")</f>
        <v>77288732</v>
      </c>
      <c r="F1633" s="7" t="s">
        <v>4545</v>
      </c>
      <c r="G1633" s="7" t="s">
        <v>4543</v>
      </c>
      <c r="H1633" s="7" t="s">
        <v>4546</v>
      </c>
      <c r="I1633" s="9">
        <v>45364</v>
      </c>
    </row>
    <row r="1634" spans="1:9" x14ac:dyDescent="0.15">
      <c r="A1634" s="6">
        <v>1633</v>
      </c>
      <c r="B1634" s="7" t="s">
        <v>9</v>
      </c>
      <c r="C1634" s="8">
        <v>1889</v>
      </c>
      <c r="D1634" s="9">
        <v>45439</v>
      </c>
      <c r="E1634" s="13" t="str">
        <f>+HYPERLINK("http://trademark.i-assist.jp/data/china/image_1889th/77288980.pdf","77288980")</f>
        <v>77288980</v>
      </c>
      <c r="F1634" s="7" t="s">
        <v>4547</v>
      </c>
      <c r="G1634" s="7" t="s">
        <v>4548</v>
      </c>
      <c r="H1634" s="7" t="s">
        <v>4549</v>
      </c>
      <c r="I1634" s="9">
        <v>45364</v>
      </c>
    </row>
    <row r="1635" spans="1:9" ht="27" x14ac:dyDescent="0.15">
      <c r="A1635" s="6">
        <v>1634</v>
      </c>
      <c r="B1635" s="7" t="s">
        <v>9</v>
      </c>
      <c r="C1635" s="8">
        <v>1889</v>
      </c>
      <c r="D1635" s="9">
        <v>45439</v>
      </c>
      <c r="E1635" s="13" t="str">
        <f>+HYPERLINK("http://trademark.i-assist.jp/data/china/image_1889th/77289751.pdf","77289751")</f>
        <v>77289751</v>
      </c>
      <c r="F1635" s="7" t="s">
        <v>4550</v>
      </c>
      <c r="G1635" s="7" t="s">
        <v>4236</v>
      </c>
      <c r="H1635" s="7" t="s">
        <v>4551</v>
      </c>
      <c r="I1635" s="9">
        <v>45364</v>
      </c>
    </row>
    <row r="1636" spans="1:9" x14ac:dyDescent="0.15">
      <c r="A1636" s="6">
        <v>1635</v>
      </c>
      <c r="B1636" s="7" t="s">
        <v>9</v>
      </c>
      <c r="C1636" s="8">
        <v>1889</v>
      </c>
      <c r="D1636" s="9">
        <v>45439</v>
      </c>
      <c r="E1636" s="13" t="str">
        <f>+HYPERLINK("http://trademark.i-assist.jp/data/china/image_1889th/77289904.pdf","77289904")</f>
        <v>77289904</v>
      </c>
      <c r="F1636" s="7" t="s">
        <v>134</v>
      </c>
      <c r="G1636" s="7" t="s">
        <v>4552</v>
      </c>
      <c r="H1636" s="7" t="s">
        <v>4553</v>
      </c>
      <c r="I1636" s="9">
        <v>45364</v>
      </c>
    </row>
    <row r="1637" spans="1:9" ht="27" x14ac:dyDescent="0.15">
      <c r="A1637" s="6">
        <v>1636</v>
      </c>
      <c r="B1637" s="7" t="s">
        <v>9</v>
      </c>
      <c r="C1637" s="8">
        <v>1889</v>
      </c>
      <c r="D1637" s="9">
        <v>45439</v>
      </c>
      <c r="E1637" s="13" t="str">
        <f>+HYPERLINK("http://trademark.i-assist.jp/data/china/image_1889th/77290465.pdf","77290465")</f>
        <v>77290465</v>
      </c>
      <c r="F1637" s="7" t="s">
        <v>4554</v>
      </c>
      <c r="G1637" s="7" t="s">
        <v>4555</v>
      </c>
      <c r="H1637" s="7" t="s">
        <v>4556</v>
      </c>
      <c r="I1637" s="9">
        <v>45365</v>
      </c>
    </row>
    <row r="1638" spans="1:9" x14ac:dyDescent="0.15">
      <c r="A1638" s="6">
        <v>1637</v>
      </c>
      <c r="B1638" s="7" t="s">
        <v>9</v>
      </c>
      <c r="C1638" s="8">
        <v>1889</v>
      </c>
      <c r="D1638" s="9">
        <v>45439</v>
      </c>
      <c r="E1638" s="13" t="str">
        <f>+HYPERLINK("http://trademark.i-assist.jp/data/china/image_1889th/77290598.pdf","77290598")</f>
        <v>77290598</v>
      </c>
      <c r="F1638" s="7" t="s">
        <v>134</v>
      </c>
      <c r="G1638" s="7" t="s">
        <v>4557</v>
      </c>
      <c r="H1638" s="7" t="s">
        <v>4558</v>
      </c>
      <c r="I1638" s="9">
        <v>45365</v>
      </c>
    </row>
    <row r="1639" spans="1:9" x14ac:dyDescent="0.15">
      <c r="A1639" s="6">
        <v>1638</v>
      </c>
      <c r="B1639" s="7" t="s">
        <v>9</v>
      </c>
      <c r="C1639" s="8">
        <v>1889</v>
      </c>
      <c r="D1639" s="9">
        <v>45439</v>
      </c>
      <c r="E1639" s="13" t="str">
        <f>+HYPERLINK("http://trademark.i-assist.jp/data/china/image_1889th/77291040.pdf","77291040")</f>
        <v>77291040</v>
      </c>
      <c r="F1639" s="7" t="s">
        <v>4559</v>
      </c>
      <c r="G1639" s="7" t="s">
        <v>4560</v>
      </c>
      <c r="H1639" s="7" t="s">
        <v>4561</v>
      </c>
      <c r="I1639" s="9">
        <v>45365</v>
      </c>
    </row>
    <row r="1640" spans="1:9" x14ac:dyDescent="0.15">
      <c r="A1640" s="6">
        <v>1639</v>
      </c>
      <c r="B1640" s="7" t="s">
        <v>9</v>
      </c>
      <c r="C1640" s="8">
        <v>1889</v>
      </c>
      <c r="D1640" s="9">
        <v>45439</v>
      </c>
      <c r="E1640" s="13" t="str">
        <f>+HYPERLINK("http://trademark.i-assist.jp/data/china/image_1889th/77291165.pdf","77291165")</f>
        <v>77291165</v>
      </c>
      <c r="F1640" s="7" t="s">
        <v>4562</v>
      </c>
      <c r="G1640" s="7" t="s">
        <v>4563</v>
      </c>
      <c r="H1640" s="7" t="s">
        <v>4564</v>
      </c>
      <c r="I1640" s="9">
        <v>45365</v>
      </c>
    </row>
    <row r="1641" spans="1:9" x14ac:dyDescent="0.15">
      <c r="A1641" s="6">
        <v>1640</v>
      </c>
      <c r="B1641" s="7" t="s">
        <v>9</v>
      </c>
      <c r="C1641" s="8">
        <v>1889</v>
      </c>
      <c r="D1641" s="9">
        <v>45439</v>
      </c>
      <c r="E1641" s="13" t="str">
        <f>+HYPERLINK("http://trademark.i-assist.jp/data/china/image_1889th/77291526.pdf","77291526")</f>
        <v>77291526</v>
      </c>
      <c r="F1641" s="7" t="s">
        <v>4565</v>
      </c>
      <c r="G1641" s="7" t="s">
        <v>4566</v>
      </c>
      <c r="H1641" s="7" t="s">
        <v>4567</v>
      </c>
      <c r="I1641" s="9">
        <v>45365</v>
      </c>
    </row>
    <row r="1642" spans="1:9" x14ac:dyDescent="0.15">
      <c r="A1642" s="6">
        <v>1641</v>
      </c>
      <c r="B1642" s="7" t="s">
        <v>9</v>
      </c>
      <c r="C1642" s="8">
        <v>1889</v>
      </c>
      <c r="D1642" s="9">
        <v>45439</v>
      </c>
      <c r="E1642" s="13" t="str">
        <f>+HYPERLINK("http://trademark.i-assist.jp/data/china/image_1889th/77292015.pdf","77292015")</f>
        <v>77292015</v>
      </c>
      <c r="F1642" s="7" t="s">
        <v>4568</v>
      </c>
      <c r="G1642" s="7" t="s">
        <v>4569</v>
      </c>
      <c r="H1642" s="7" t="s">
        <v>4570</v>
      </c>
      <c r="I1642" s="9">
        <v>45365</v>
      </c>
    </row>
    <row r="1643" spans="1:9" x14ac:dyDescent="0.15">
      <c r="A1643" s="6">
        <v>1642</v>
      </c>
      <c r="B1643" s="7" t="s">
        <v>9</v>
      </c>
      <c r="C1643" s="8">
        <v>1889</v>
      </c>
      <c r="D1643" s="9">
        <v>45439</v>
      </c>
      <c r="E1643" s="13" t="str">
        <f>+HYPERLINK("http://trademark.i-assist.jp/data/china/image_1889th/77292030.pdf","77292030")</f>
        <v>77292030</v>
      </c>
      <c r="F1643" s="7" t="s">
        <v>4571</v>
      </c>
      <c r="G1643" s="7" t="s">
        <v>4572</v>
      </c>
      <c r="H1643" s="7" t="s">
        <v>4573</v>
      </c>
      <c r="I1643" s="9">
        <v>45365</v>
      </c>
    </row>
    <row r="1644" spans="1:9" x14ac:dyDescent="0.15">
      <c r="A1644" s="6">
        <v>1643</v>
      </c>
      <c r="B1644" s="7" t="s">
        <v>9</v>
      </c>
      <c r="C1644" s="8">
        <v>1889</v>
      </c>
      <c r="D1644" s="9">
        <v>45439</v>
      </c>
      <c r="E1644" s="13" t="str">
        <f>+HYPERLINK("http://trademark.i-assist.jp/data/china/image_1889th/77292061.pdf","77292061")</f>
        <v>77292061</v>
      </c>
      <c r="F1644" s="7" t="s">
        <v>4574</v>
      </c>
      <c r="G1644" s="7" t="s">
        <v>4575</v>
      </c>
      <c r="H1644" s="7" t="s">
        <v>4576</v>
      </c>
      <c r="I1644" s="9">
        <v>45365</v>
      </c>
    </row>
    <row r="1645" spans="1:9" ht="27" x14ac:dyDescent="0.15">
      <c r="A1645" s="6">
        <v>1644</v>
      </c>
      <c r="B1645" s="7" t="s">
        <v>9</v>
      </c>
      <c r="C1645" s="8">
        <v>1889</v>
      </c>
      <c r="D1645" s="9">
        <v>45439</v>
      </c>
      <c r="E1645" s="13" t="str">
        <f>+HYPERLINK("http://trademark.i-assist.jp/data/china/image_1889th/77292321.pdf","77292321")</f>
        <v>77292321</v>
      </c>
      <c r="F1645" s="7" t="s">
        <v>4577</v>
      </c>
      <c r="G1645" s="7" t="s">
        <v>4578</v>
      </c>
      <c r="H1645" s="7" t="s">
        <v>4579</v>
      </c>
      <c r="I1645" s="9">
        <v>45365</v>
      </c>
    </row>
    <row r="1646" spans="1:9" x14ac:dyDescent="0.15">
      <c r="A1646" s="6">
        <v>1645</v>
      </c>
      <c r="B1646" s="7" t="s">
        <v>9</v>
      </c>
      <c r="C1646" s="8">
        <v>1889</v>
      </c>
      <c r="D1646" s="9">
        <v>45439</v>
      </c>
      <c r="E1646" s="13" t="str">
        <f>+HYPERLINK("http://trademark.i-assist.jp/data/china/image_1889th/77292323.pdf","77292323")</f>
        <v>77292323</v>
      </c>
      <c r="F1646" s="7" t="s">
        <v>4580</v>
      </c>
      <c r="G1646" s="7" t="s">
        <v>4581</v>
      </c>
      <c r="H1646" s="7" t="s">
        <v>4582</v>
      </c>
      <c r="I1646" s="9">
        <v>45365</v>
      </c>
    </row>
    <row r="1647" spans="1:9" x14ac:dyDescent="0.15">
      <c r="A1647" s="6">
        <v>1646</v>
      </c>
      <c r="B1647" s="7" t="s">
        <v>9</v>
      </c>
      <c r="C1647" s="8">
        <v>1889</v>
      </c>
      <c r="D1647" s="9">
        <v>45439</v>
      </c>
      <c r="E1647" s="13" t="str">
        <f>+HYPERLINK("http://trademark.i-assist.jp/data/china/image_1889th/77292407.pdf","77292407")</f>
        <v>77292407</v>
      </c>
      <c r="F1647" s="7" t="s">
        <v>4583</v>
      </c>
      <c r="G1647" s="7" t="s">
        <v>144</v>
      </c>
      <c r="H1647" s="7" t="s">
        <v>4584</v>
      </c>
      <c r="I1647" s="9">
        <v>45365</v>
      </c>
    </row>
    <row r="1648" spans="1:9" ht="27" x14ac:dyDescent="0.15">
      <c r="A1648" s="6">
        <v>1647</v>
      </c>
      <c r="B1648" s="7" t="s">
        <v>9</v>
      </c>
      <c r="C1648" s="8">
        <v>1889</v>
      </c>
      <c r="D1648" s="9">
        <v>45439</v>
      </c>
      <c r="E1648" s="13" t="str">
        <f>+HYPERLINK("http://trademark.i-assist.jp/data/china/image_1889th/77292512.pdf","77292512")</f>
        <v>77292512</v>
      </c>
      <c r="F1648" s="7" t="s">
        <v>4585</v>
      </c>
      <c r="G1648" s="7" t="s">
        <v>4586</v>
      </c>
      <c r="H1648" s="7" t="s">
        <v>4587</v>
      </c>
      <c r="I1648" s="9">
        <v>45365</v>
      </c>
    </row>
    <row r="1649" spans="1:9" x14ac:dyDescent="0.15">
      <c r="A1649" s="6">
        <v>1648</v>
      </c>
      <c r="B1649" s="7" t="s">
        <v>9</v>
      </c>
      <c r="C1649" s="8">
        <v>1889</v>
      </c>
      <c r="D1649" s="9">
        <v>45439</v>
      </c>
      <c r="E1649" s="13" t="str">
        <f>+HYPERLINK("http://trademark.i-assist.jp/data/china/image_1889th/77293165.pdf","77293165")</f>
        <v>77293165</v>
      </c>
      <c r="F1649" s="7" t="s">
        <v>4588</v>
      </c>
      <c r="G1649" s="7" t="s">
        <v>4589</v>
      </c>
      <c r="H1649" s="7" t="s">
        <v>4590</v>
      </c>
      <c r="I1649" s="9">
        <v>45365</v>
      </c>
    </row>
    <row r="1650" spans="1:9" x14ac:dyDescent="0.15">
      <c r="A1650" s="6">
        <v>1649</v>
      </c>
      <c r="B1650" s="7" t="s">
        <v>9</v>
      </c>
      <c r="C1650" s="8">
        <v>1889</v>
      </c>
      <c r="D1650" s="9">
        <v>45439</v>
      </c>
      <c r="E1650" s="13" t="str">
        <f>+HYPERLINK("http://trademark.i-assist.jp/data/china/image_1889th/77293172.pdf","77293172")</f>
        <v>77293172</v>
      </c>
      <c r="F1650" s="7" t="s">
        <v>4591</v>
      </c>
      <c r="G1650" s="7" t="s">
        <v>4592</v>
      </c>
      <c r="H1650" s="7" t="s">
        <v>4593</v>
      </c>
      <c r="I1650" s="9">
        <v>45365</v>
      </c>
    </row>
    <row r="1651" spans="1:9" x14ac:dyDescent="0.15">
      <c r="A1651" s="6">
        <v>1650</v>
      </c>
      <c r="B1651" s="7" t="s">
        <v>9</v>
      </c>
      <c r="C1651" s="8">
        <v>1889</v>
      </c>
      <c r="D1651" s="9">
        <v>45439</v>
      </c>
      <c r="E1651" s="13" t="str">
        <f>+HYPERLINK("http://trademark.i-assist.jp/data/china/image_1889th/77293232.pdf","77293232")</f>
        <v>77293232</v>
      </c>
      <c r="F1651" s="7" t="s">
        <v>4594</v>
      </c>
      <c r="G1651" s="7" t="s">
        <v>4595</v>
      </c>
      <c r="H1651" s="7" t="s">
        <v>4596</v>
      </c>
      <c r="I1651" s="9">
        <v>45365</v>
      </c>
    </row>
    <row r="1652" spans="1:9" x14ac:dyDescent="0.15">
      <c r="A1652" s="6">
        <v>1651</v>
      </c>
      <c r="B1652" s="7" t="s">
        <v>9</v>
      </c>
      <c r="C1652" s="8">
        <v>1889</v>
      </c>
      <c r="D1652" s="9">
        <v>45439</v>
      </c>
      <c r="E1652" s="13" t="str">
        <f>+HYPERLINK("http://trademark.i-assist.jp/data/china/image_1889th/77293424.pdf","77293424")</f>
        <v>77293424</v>
      </c>
      <c r="F1652" s="7" t="s">
        <v>4597</v>
      </c>
      <c r="G1652" s="7" t="s">
        <v>4598</v>
      </c>
      <c r="H1652" s="7" t="s">
        <v>4599</v>
      </c>
      <c r="I1652" s="9">
        <v>45365</v>
      </c>
    </row>
    <row r="1653" spans="1:9" ht="27" x14ac:dyDescent="0.15">
      <c r="A1653" s="6">
        <v>1652</v>
      </c>
      <c r="B1653" s="7" t="s">
        <v>9</v>
      </c>
      <c r="C1653" s="8">
        <v>1889</v>
      </c>
      <c r="D1653" s="9">
        <v>45439</v>
      </c>
      <c r="E1653" s="13" t="str">
        <f>+HYPERLINK("http://trademark.i-assist.jp/data/china/image_1889th/77294074.pdf","77294074")</f>
        <v>77294074</v>
      </c>
      <c r="F1653" s="7" t="s">
        <v>4600</v>
      </c>
      <c r="G1653" s="7" t="s">
        <v>4601</v>
      </c>
      <c r="H1653" s="7" t="s">
        <v>4602</v>
      </c>
      <c r="I1653" s="9">
        <v>45365</v>
      </c>
    </row>
    <row r="1654" spans="1:9" x14ac:dyDescent="0.15">
      <c r="A1654" s="6">
        <v>1653</v>
      </c>
      <c r="B1654" s="7" t="s">
        <v>9</v>
      </c>
      <c r="C1654" s="8">
        <v>1889</v>
      </c>
      <c r="D1654" s="9">
        <v>45439</v>
      </c>
      <c r="E1654" s="13" t="str">
        <f>+HYPERLINK("http://trademark.i-assist.jp/data/china/image_1889th/77294141.pdf","77294141")</f>
        <v>77294141</v>
      </c>
      <c r="F1654" s="7" t="s">
        <v>4603</v>
      </c>
      <c r="G1654" s="7" t="s">
        <v>4604</v>
      </c>
      <c r="H1654" s="7" t="s">
        <v>4605</v>
      </c>
      <c r="I1654" s="9">
        <v>45365</v>
      </c>
    </row>
    <row r="1655" spans="1:9" x14ac:dyDescent="0.15">
      <c r="A1655" s="6">
        <v>1654</v>
      </c>
      <c r="B1655" s="7" t="s">
        <v>9</v>
      </c>
      <c r="C1655" s="8">
        <v>1889</v>
      </c>
      <c r="D1655" s="9">
        <v>45439</v>
      </c>
      <c r="E1655" s="13" t="str">
        <f>+HYPERLINK("http://trademark.i-assist.jp/data/china/image_1889th/77294168.pdf","77294168")</f>
        <v>77294168</v>
      </c>
      <c r="F1655" s="7" t="s">
        <v>4606</v>
      </c>
      <c r="G1655" s="7" t="s">
        <v>4607</v>
      </c>
      <c r="H1655" s="7" t="s">
        <v>4608</v>
      </c>
      <c r="I1655" s="9">
        <v>45365</v>
      </c>
    </row>
    <row r="1656" spans="1:9" x14ac:dyDescent="0.15">
      <c r="A1656" s="6">
        <v>1655</v>
      </c>
      <c r="B1656" s="7" t="s">
        <v>9</v>
      </c>
      <c r="C1656" s="8">
        <v>1889</v>
      </c>
      <c r="D1656" s="9">
        <v>45439</v>
      </c>
      <c r="E1656" s="13" t="str">
        <f>+HYPERLINK("http://trademark.i-assist.jp/data/china/image_1889th/77294398.pdf","77294398")</f>
        <v>77294398</v>
      </c>
      <c r="F1656" s="7" t="s">
        <v>4609</v>
      </c>
      <c r="G1656" s="7" t="s">
        <v>4610</v>
      </c>
      <c r="H1656" s="7" t="s">
        <v>4611</v>
      </c>
      <c r="I1656" s="9">
        <v>45365</v>
      </c>
    </row>
    <row r="1657" spans="1:9" x14ac:dyDescent="0.15">
      <c r="A1657" s="6">
        <v>1656</v>
      </c>
      <c r="B1657" s="7" t="s">
        <v>9</v>
      </c>
      <c r="C1657" s="8">
        <v>1889</v>
      </c>
      <c r="D1657" s="9">
        <v>45439</v>
      </c>
      <c r="E1657" s="13" t="str">
        <f>+HYPERLINK("http://trademark.i-assist.jp/data/china/image_1889th/77294488.pdf","77294488")</f>
        <v>77294488</v>
      </c>
      <c r="F1657" s="7" t="s">
        <v>4612</v>
      </c>
      <c r="G1657" s="7" t="s">
        <v>4613</v>
      </c>
      <c r="H1657" s="7" t="s">
        <v>4614</v>
      </c>
      <c r="I1657" s="9">
        <v>45365</v>
      </c>
    </row>
    <row r="1658" spans="1:9" x14ac:dyDescent="0.15">
      <c r="A1658" s="6">
        <v>1657</v>
      </c>
      <c r="B1658" s="7" t="s">
        <v>9</v>
      </c>
      <c r="C1658" s="8">
        <v>1889</v>
      </c>
      <c r="D1658" s="9">
        <v>45439</v>
      </c>
      <c r="E1658" s="13" t="str">
        <f>+HYPERLINK("http://trademark.i-assist.jp/data/china/image_1889th/77294562.pdf","77294562")</f>
        <v>77294562</v>
      </c>
      <c r="F1658" s="7" t="s">
        <v>4615</v>
      </c>
      <c r="G1658" s="7" t="s">
        <v>4616</v>
      </c>
      <c r="H1658" s="7" t="s">
        <v>4617</v>
      </c>
      <c r="I1658" s="9">
        <v>45365</v>
      </c>
    </row>
    <row r="1659" spans="1:9" x14ac:dyDescent="0.15">
      <c r="A1659" s="6">
        <v>1658</v>
      </c>
      <c r="B1659" s="7" t="s">
        <v>9</v>
      </c>
      <c r="C1659" s="8">
        <v>1889</v>
      </c>
      <c r="D1659" s="9">
        <v>45439</v>
      </c>
      <c r="E1659" s="13" t="str">
        <f>+HYPERLINK("http://trademark.i-assist.jp/data/china/image_1889th/77294600.pdf","77294600")</f>
        <v>77294600</v>
      </c>
      <c r="F1659" s="7" t="s">
        <v>4618</v>
      </c>
      <c r="G1659" s="7" t="s">
        <v>4619</v>
      </c>
      <c r="H1659" s="7" t="s">
        <v>4620</v>
      </c>
      <c r="I1659" s="9">
        <v>45365</v>
      </c>
    </row>
    <row r="1660" spans="1:9" x14ac:dyDescent="0.15">
      <c r="A1660" s="6">
        <v>1659</v>
      </c>
      <c r="B1660" s="7" t="s">
        <v>9</v>
      </c>
      <c r="C1660" s="8">
        <v>1889</v>
      </c>
      <c r="D1660" s="9">
        <v>45439</v>
      </c>
      <c r="E1660" s="13" t="str">
        <f>+HYPERLINK("http://trademark.i-assist.jp/data/china/image_1889th/77294606.pdf","77294606")</f>
        <v>77294606</v>
      </c>
      <c r="F1660" s="7" t="s">
        <v>4621</v>
      </c>
      <c r="G1660" s="7" t="s">
        <v>4619</v>
      </c>
      <c r="H1660" s="7" t="s">
        <v>4622</v>
      </c>
      <c r="I1660" s="9">
        <v>45365</v>
      </c>
    </row>
    <row r="1661" spans="1:9" ht="27" x14ac:dyDescent="0.15">
      <c r="A1661" s="6">
        <v>1660</v>
      </c>
      <c r="B1661" s="7" t="s">
        <v>9</v>
      </c>
      <c r="C1661" s="8">
        <v>1889</v>
      </c>
      <c r="D1661" s="9">
        <v>45439</v>
      </c>
      <c r="E1661" s="13" t="str">
        <f>+HYPERLINK("http://trademark.i-assist.jp/data/china/image_1889th/77294646.pdf","77294646")</f>
        <v>77294646</v>
      </c>
      <c r="F1661" s="7" t="s">
        <v>4623</v>
      </c>
      <c r="G1661" s="7" t="s">
        <v>4624</v>
      </c>
      <c r="H1661" s="7" t="s">
        <v>4625</v>
      </c>
      <c r="I1661" s="9">
        <v>45365</v>
      </c>
    </row>
    <row r="1662" spans="1:9" x14ac:dyDescent="0.15">
      <c r="A1662" s="6">
        <v>1661</v>
      </c>
      <c r="B1662" s="7" t="s">
        <v>9</v>
      </c>
      <c r="C1662" s="8">
        <v>1889</v>
      </c>
      <c r="D1662" s="9">
        <v>45439</v>
      </c>
      <c r="E1662" s="13" t="str">
        <f>+HYPERLINK("http://trademark.i-assist.jp/data/china/image_1889th/77294954.pdf","77294954")</f>
        <v>77294954</v>
      </c>
      <c r="F1662" s="7" t="s">
        <v>4626</v>
      </c>
      <c r="G1662" s="7" t="s">
        <v>4627</v>
      </c>
      <c r="H1662" s="7" t="s">
        <v>4628</v>
      </c>
      <c r="I1662" s="9">
        <v>45365</v>
      </c>
    </row>
    <row r="1663" spans="1:9" x14ac:dyDescent="0.15">
      <c r="A1663" s="6">
        <v>1662</v>
      </c>
      <c r="B1663" s="7" t="s">
        <v>9</v>
      </c>
      <c r="C1663" s="8">
        <v>1889</v>
      </c>
      <c r="D1663" s="9">
        <v>45439</v>
      </c>
      <c r="E1663" s="13" t="str">
        <f>+HYPERLINK("http://trademark.i-assist.jp/data/china/image_1889th/77295155.pdf","77295155")</f>
        <v>77295155</v>
      </c>
      <c r="F1663" s="7" t="s">
        <v>4629</v>
      </c>
      <c r="G1663" s="7" t="s">
        <v>4630</v>
      </c>
      <c r="H1663" s="7" t="s">
        <v>4631</v>
      </c>
      <c r="I1663" s="9">
        <v>45365</v>
      </c>
    </row>
    <row r="1664" spans="1:9" ht="27" x14ac:dyDescent="0.15">
      <c r="A1664" s="6">
        <v>1663</v>
      </c>
      <c r="B1664" s="7" t="s">
        <v>9</v>
      </c>
      <c r="C1664" s="8">
        <v>1889</v>
      </c>
      <c r="D1664" s="9">
        <v>45439</v>
      </c>
      <c r="E1664" s="13" t="str">
        <f>+HYPERLINK("http://trademark.i-assist.jp/data/china/image_1889th/77295186.pdf","77295186")</f>
        <v>77295186</v>
      </c>
      <c r="F1664" s="7" t="s">
        <v>4632</v>
      </c>
      <c r="G1664" s="7" t="s">
        <v>4633</v>
      </c>
      <c r="H1664" s="7" t="s">
        <v>4634</v>
      </c>
      <c r="I1664" s="9">
        <v>45365</v>
      </c>
    </row>
    <row r="1665" spans="1:9" x14ac:dyDescent="0.15">
      <c r="A1665" s="6">
        <v>1664</v>
      </c>
      <c r="B1665" s="7" t="s">
        <v>9</v>
      </c>
      <c r="C1665" s="8">
        <v>1889</v>
      </c>
      <c r="D1665" s="9">
        <v>45439</v>
      </c>
      <c r="E1665" s="13" t="str">
        <f>+HYPERLINK("http://trademark.i-assist.jp/data/china/image_1889th/77295249.pdf","77295249")</f>
        <v>77295249</v>
      </c>
      <c r="F1665" s="7" t="s">
        <v>4635</v>
      </c>
      <c r="G1665" s="7" t="s">
        <v>1873</v>
      </c>
      <c r="H1665" s="7" t="s">
        <v>4636</v>
      </c>
      <c r="I1665" s="9">
        <v>45365</v>
      </c>
    </row>
    <row r="1666" spans="1:9" ht="27" x14ac:dyDescent="0.15">
      <c r="A1666" s="6">
        <v>1665</v>
      </c>
      <c r="B1666" s="7" t="s">
        <v>9</v>
      </c>
      <c r="C1666" s="8">
        <v>1889</v>
      </c>
      <c r="D1666" s="9">
        <v>45439</v>
      </c>
      <c r="E1666" s="13" t="str">
        <f>+HYPERLINK("http://trademark.i-assist.jp/data/china/image_1889th/77295407.pdf","77295407")</f>
        <v>77295407</v>
      </c>
      <c r="F1666" s="7" t="s">
        <v>4637</v>
      </c>
      <c r="G1666" s="7" t="s">
        <v>4638</v>
      </c>
      <c r="H1666" s="7" t="s">
        <v>4639</v>
      </c>
      <c r="I1666" s="9">
        <v>45365</v>
      </c>
    </row>
    <row r="1667" spans="1:9" x14ac:dyDescent="0.15">
      <c r="A1667" s="6">
        <v>1666</v>
      </c>
      <c r="B1667" s="7" t="s">
        <v>9</v>
      </c>
      <c r="C1667" s="8">
        <v>1889</v>
      </c>
      <c r="D1667" s="9">
        <v>45439</v>
      </c>
      <c r="E1667" s="13" t="str">
        <f>+HYPERLINK("http://trademark.i-assist.jp/data/china/image_1889th/77295428.pdf","77295428")</f>
        <v>77295428</v>
      </c>
      <c r="F1667" s="7" t="s">
        <v>4640</v>
      </c>
      <c r="G1667" s="7" t="s">
        <v>4641</v>
      </c>
      <c r="H1667" s="7" t="s">
        <v>4642</v>
      </c>
      <c r="I1667" s="9">
        <v>45365</v>
      </c>
    </row>
    <row r="1668" spans="1:9" x14ac:dyDescent="0.15">
      <c r="A1668" s="6">
        <v>1667</v>
      </c>
      <c r="B1668" s="7" t="s">
        <v>9</v>
      </c>
      <c r="C1668" s="8">
        <v>1889</v>
      </c>
      <c r="D1668" s="9">
        <v>45439</v>
      </c>
      <c r="E1668" s="13" t="str">
        <f>+HYPERLINK("http://trademark.i-assist.jp/data/china/image_1889th/77295562.pdf","77295562")</f>
        <v>77295562</v>
      </c>
      <c r="F1668" s="7" t="s">
        <v>4643</v>
      </c>
      <c r="G1668" s="7" t="s">
        <v>4644</v>
      </c>
      <c r="H1668" s="7" t="s">
        <v>4645</v>
      </c>
      <c r="I1668" s="9">
        <v>45365</v>
      </c>
    </row>
    <row r="1669" spans="1:9" x14ac:dyDescent="0.15">
      <c r="A1669" s="6">
        <v>1668</v>
      </c>
      <c r="B1669" s="7" t="s">
        <v>9</v>
      </c>
      <c r="C1669" s="8">
        <v>1889</v>
      </c>
      <c r="D1669" s="9">
        <v>45439</v>
      </c>
      <c r="E1669" s="13" t="str">
        <f>+HYPERLINK("http://trademark.i-assist.jp/data/china/image_1889th/77295695.pdf","77295695")</f>
        <v>77295695</v>
      </c>
      <c r="F1669" s="7" t="s">
        <v>4646</v>
      </c>
      <c r="G1669" s="7" t="s">
        <v>2787</v>
      </c>
      <c r="H1669" s="7" t="s">
        <v>4647</v>
      </c>
      <c r="I1669" s="9">
        <v>45365</v>
      </c>
    </row>
    <row r="1670" spans="1:9" x14ac:dyDescent="0.15">
      <c r="A1670" s="6">
        <v>1669</v>
      </c>
      <c r="B1670" s="7" t="s">
        <v>9</v>
      </c>
      <c r="C1670" s="8">
        <v>1889</v>
      </c>
      <c r="D1670" s="9">
        <v>45439</v>
      </c>
      <c r="E1670" s="13" t="str">
        <f>+HYPERLINK("http://trademark.i-assist.jp/data/china/image_1889th/77295777.pdf","77295777")</f>
        <v>77295777</v>
      </c>
      <c r="F1670" s="7" t="s">
        <v>4648</v>
      </c>
      <c r="G1670" s="7" t="s">
        <v>4649</v>
      </c>
      <c r="H1670" s="7" t="s">
        <v>4650</v>
      </c>
      <c r="I1670" s="9">
        <v>45365</v>
      </c>
    </row>
    <row r="1671" spans="1:9" ht="27" x14ac:dyDescent="0.15">
      <c r="A1671" s="6">
        <v>1670</v>
      </c>
      <c r="B1671" s="7" t="s">
        <v>9</v>
      </c>
      <c r="C1671" s="8">
        <v>1889</v>
      </c>
      <c r="D1671" s="9">
        <v>45439</v>
      </c>
      <c r="E1671" s="13" t="str">
        <f>+HYPERLINK("http://trademark.i-assist.jp/data/china/image_1889th/77295894.pdf","77295894")</f>
        <v>77295894</v>
      </c>
      <c r="F1671" s="7" t="s">
        <v>4651</v>
      </c>
      <c r="G1671" s="7" t="s">
        <v>4652</v>
      </c>
      <c r="H1671" s="7" t="s">
        <v>4653</v>
      </c>
      <c r="I1671" s="9">
        <v>45365</v>
      </c>
    </row>
    <row r="1672" spans="1:9" ht="27" x14ac:dyDescent="0.15">
      <c r="A1672" s="6">
        <v>1671</v>
      </c>
      <c r="B1672" s="7" t="s">
        <v>9</v>
      </c>
      <c r="C1672" s="8">
        <v>1889</v>
      </c>
      <c r="D1672" s="9">
        <v>45439</v>
      </c>
      <c r="E1672" s="13" t="str">
        <f>+HYPERLINK("http://trademark.i-assist.jp/data/china/image_1889th/77295901.pdf","77295901")</f>
        <v>77295901</v>
      </c>
      <c r="F1672" s="7" t="s">
        <v>4654</v>
      </c>
      <c r="G1672" s="7" t="s">
        <v>4652</v>
      </c>
      <c r="H1672" s="7" t="s">
        <v>4655</v>
      </c>
      <c r="I1672" s="9">
        <v>45365</v>
      </c>
    </row>
    <row r="1673" spans="1:9" ht="27" x14ac:dyDescent="0.15">
      <c r="A1673" s="6">
        <v>1672</v>
      </c>
      <c r="B1673" s="7" t="s">
        <v>9</v>
      </c>
      <c r="C1673" s="8">
        <v>1889</v>
      </c>
      <c r="D1673" s="9">
        <v>45439</v>
      </c>
      <c r="E1673" s="13" t="str">
        <f>+HYPERLINK("http://trademark.i-assist.jp/data/china/image_1889th/77296220.pdf","77296220")</f>
        <v>77296220</v>
      </c>
      <c r="F1673" s="7" t="s">
        <v>4656</v>
      </c>
      <c r="G1673" s="7" t="s">
        <v>4657</v>
      </c>
      <c r="H1673" s="7" t="s">
        <v>4658</v>
      </c>
      <c r="I1673" s="9">
        <v>45365</v>
      </c>
    </row>
    <row r="1674" spans="1:9" x14ac:dyDescent="0.15">
      <c r="A1674" s="6">
        <v>1673</v>
      </c>
      <c r="B1674" s="7" t="s">
        <v>9</v>
      </c>
      <c r="C1674" s="8">
        <v>1889</v>
      </c>
      <c r="D1674" s="9">
        <v>45439</v>
      </c>
      <c r="E1674" s="13" t="str">
        <f>+HYPERLINK("http://trademark.i-assist.jp/data/china/image_1889th/77296313.pdf","77296313")</f>
        <v>77296313</v>
      </c>
      <c r="F1674" s="7" t="s">
        <v>4659</v>
      </c>
      <c r="G1674" s="7" t="s">
        <v>4660</v>
      </c>
      <c r="H1674" s="7" t="s">
        <v>4661</v>
      </c>
      <c r="I1674" s="9">
        <v>45365</v>
      </c>
    </row>
    <row r="1675" spans="1:9" x14ac:dyDescent="0.15">
      <c r="A1675" s="6">
        <v>1674</v>
      </c>
      <c r="B1675" s="7" t="s">
        <v>9</v>
      </c>
      <c r="C1675" s="8">
        <v>1889</v>
      </c>
      <c r="D1675" s="9">
        <v>45439</v>
      </c>
      <c r="E1675" s="13" t="str">
        <f>+HYPERLINK("http://trademark.i-assist.jp/data/china/image_1889th/77296342.pdf","77296342")</f>
        <v>77296342</v>
      </c>
      <c r="F1675" s="7" t="s">
        <v>4662</v>
      </c>
      <c r="G1675" s="7" t="s">
        <v>4663</v>
      </c>
      <c r="H1675" s="7" t="s">
        <v>4664</v>
      </c>
      <c r="I1675" s="9">
        <v>45365</v>
      </c>
    </row>
    <row r="1676" spans="1:9" x14ac:dyDescent="0.15">
      <c r="A1676" s="6">
        <v>1675</v>
      </c>
      <c r="B1676" s="7" t="s">
        <v>9</v>
      </c>
      <c r="C1676" s="8">
        <v>1889</v>
      </c>
      <c r="D1676" s="9">
        <v>45439</v>
      </c>
      <c r="E1676" s="13" t="str">
        <f>+HYPERLINK("http://trademark.i-assist.jp/data/china/image_1889th/77296575.pdf","77296575")</f>
        <v>77296575</v>
      </c>
      <c r="F1676" s="7" t="s">
        <v>4665</v>
      </c>
      <c r="G1676" s="7" t="s">
        <v>4666</v>
      </c>
      <c r="H1676" s="7" t="s">
        <v>4667</v>
      </c>
      <c r="I1676" s="9">
        <v>45365</v>
      </c>
    </row>
    <row r="1677" spans="1:9" x14ac:dyDescent="0.15">
      <c r="A1677" s="6">
        <v>1676</v>
      </c>
      <c r="B1677" s="7" t="s">
        <v>9</v>
      </c>
      <c r="C1677" s="8">
        <v>1889</v>
      </c>
      <c r="D1677" s="9">
        <v>45439</v>
      </c>
      <c r="E1677" s="13" t="str">
        <f>+HYPERLINK("http://trademark.i-assist.jp/data/china/image_1889th/77296638.pdf","77296638")</f>
        <v>77296638</v>
      </c>
      <c r="F1677" s="7" t="s">
        <v>4668</v>
      </c>
      <c r="G1677" s="7" t="s">
        <v>4669</v>
      </c>
      <c r="H1677" s="7" t="s">
        <v>4670</v>
      </c>
      <c r="I1677" s="9">
        <v>45365</v>
      </c>
    </row>
    <row r="1678" spans="1:9" ht="27" x14ac:dyDescent="0.15">
      <c r="A1678" s="6">
        <v>1677</v>
      </c>
      <c r="B1678" s="7" t="s">
        <v>9</v>
      </c>
      <c r="C1678" s="8">
        <v>1889</v>
      </c>
      <c r="D1678" s="9">
        <v>45439</v>
      </c>
      <c r="E1678" s="13" t="str">
        <f>+HYPERLINK("http://trademark.i-assist.jp/data/china/image_1889th/77296694.pdf","77296694")</f>
        <v>77296694</v>
      </c>
      <c r="F1678" s="7" t="s">
        <v>4671</v>
      </c>
      <c r="G1678" s="7" t="s">
        <v>4672</v>
      </c>
      <c r="H1678" s="7" t="s">
        <v>4673</v>
      </c>
      <c r="I1678" s="9">
        <v>45365</v>
      </c>
    </row>
    <row r="1679" spans="1:9" x14ac:dyDescent="0.15">
      <c r="A1679" s="6">
        <v>1678</v>
      </c>
      <c r="B1679" s="7" t="s">
        <v>9</v>
      </c>
      <c r="C1679" s="8">
        <v>1889</v>
      </c>
      <c r="D1679" s="9">
        <v>45439</v>
      </c>
      <c r="E1679" s="13" t="str">
        <f>+HYPERLINK("http://trademark.i-assist.jp/data/china/image_1889th/77296719.pdf","77296719")</f>
        <v>77296719</v>
      </c>
      <c r="F1679" s="7" t="s">
        <v>4674</v>
      </c>
      <c r="G1679" s="7" t="s">
        <v>4675</v>
      </c>
      <c r="H1679" s="7" t="s">
        <v>4676</v>
      </c>
      <c r="I1679" s="9">
        <v>45365</v>
      </c>
    </row>
    <row r="1680" spans="1:9" x14ac:dyDescent="0.15">
      <c r="A1680" s="6">
        <v>1679</v>
      </c>
      <c r="B1680" s="7" t="s">
        <v>9</v>
      </c>
      <c r="C1680" s="8">
        <v>1889</v>
      </c>
      <c r="D1680" s="9">
        <v>45439</v>
      </c>
      <c r="E1680" s="13" t="str">
        <f>+HYPERLINK("http://trademark.i-assist.jp/data/china/image_1889th/77296853.pdf","77296853")</f>
        <v>77296853</v>
      </c>
      <c r="F1680" s="7" t="s">
        <v>4677</v>
      </c>
      <c r="G1680" s="7" t="s">
        <v>4678</v>
      </c>
      <c r="H1680" s="7" t="s">
        <v>4679</v>
      </c>
      <c r="I1680" s="9">
        <v>45365</v>
      </c>
    </row>
    <row r="1681" spans="1:9" ht="27" x14ac:dyDescent="0.15">
      <c r="A1681" s="6">
        <v>1680</v>
      </c>
      <c r="B1681" s="7" t="s">
        <v>9</v>
      </c>
      <c r="C1681" s="8">
        <v>1889</v>
      </c>
      <c r="D1681" s="9">
        <v>45439</v>
      </c>
      <c r="E1681" s="13" t="str">
        <f>+HYPERLINK("http://trademark.i-assist.jp/data/china/image_1889th/77296984.pdf","77296984")</f>
        <v>77296984</v>
      </c>
      <c r="F1681" s="7" t="s">
        <v>4680</v>
      </c>
      <c r="G1681" s="7" t="s">
        <v>4681</v>
      </c>
      <c r="H1681" s="7" t="s">
        <v>4682</v>
      </c>
      <c r="I1681" s="9">
        <v>45365</v>
      </c>
    </row>
    <row r="1682" spans="1:9" x14ac:dyDescent="0.15">
      <c r="A1682" s="6">
        <v>1681</v>
      </c>
      <c r="B1682" s="7" t="s">
        <v>9</v>
      </c>
      <c r="C1682" s="8">
        <v>1889</v>
      </c>
      <c r="D1682" s="9">
        <v>45439</v>
      </c>
      <c r="E1682" s="13" t="str">
        <f>+HYPERLINK("http://trademark.i-assist.jp/data/china/image_1889th/77297079.pdf","77297079")</f>
        <v>77297079</v>
      </c>
      <c r="F1682" s="7" t="s">
        <v>4683</v>
      </c>
      <c r="G1682" s="7" t="s">
        <v>4684</v>
      </c>
      <c r="H1682" s="7" t="s">
        <v>4685</v>
      </c>
      <c r="I1682" s="9">
        <v>45365</v>
      </c>
    </row>
    <row r="1683" spans="1:9" x14ac:dyDescent="0.15">
      <c r="A1683" s="6">
        <v>1682</v>
      </c>
      <c r="B1683" s="7" t="s">
        <v>9</v>
      </c>
      <c r="C1683" s="8">
        <v>1889</v>
      </c>
      <c r="D1683" s="9">
        <v>45439</v>
      </c>
      <c r="E1683" s="13" t="str">
        <f>+HYPERLINK("http://trademark.i-assist.jp/data/china/image_1889th/77297126.pdf","77297126")</f>
        <v>77297126</v>
      </c>
      <c r="F1683" s="7" t="s">
        <v>4686</v>
      </c>
      <c r="G1683" s="7" t="s">
        <v>4687</v>
      </c>
      <c r="H1683" s="7" t="s">
        <v>4688</v>
      </c>
      <c r="I1683" s="9">
        <v>45365</v>
      </c>
    </row>
    <row r="1684" spans="1:9" x14ac:dyDescent="0.15">
      <c r="A1684" s="6">
        <v>1683</v>
      </c>
      <c r="B1684" s="7" t="s">
        <v>9</v>
      </c>
      <c r="C1684" s="8">
        <v>1889</v>
      </c>
      <c r="D1684" s="9">
        <v>45439</v>
      </c>
      <c r="E1684" s="13" t="str">
        <f>+HYPERLINK("http://trademark.i-assist.jp/data/china/image_1889th/77297201.pdf","77297201")</f>
        <v>77297201</v>
      </c>
      <c r="F1684" s="7" t="s">
        <v>4689</v>
      </c>
      <c r="G1684" s="7" t="s">
        <v>4630</v>
      </c>
      <c r="H1684" s="7" t="s">
        <v>4690</v>
      </c>
      <c r="I1684" s="9">
        <v>45365</v>
      </c>
    </row>
    <row r="1685" spans="1:9" x14ac:dyDescent="0.15">
      <c r="A1685" s="6">
        <v>1684</v>
      </c>
      <c r="B1685" s="7" t="s">
        <v>9</v>
      </c>
      <c r="C1685" s="8">
        <v>1889</v>
      </c>
      <c r="D1685" s="9">
        <v>45439</v>
      </c>
      <c r="E1685" s="13" t="str">
        <f>+HYPERLINK("http://trademark.i-assist.jp/data/china/image_1889th/77297315.pdf","77297315")</f>
        <v>77297315</v>
      </c>
      <c r="F1685" s="7" t="s">
        <v>4691</v>
      </c>
      <c r="G1685" s="7" t="s">
        <v>4692</v>
      </c>
      <c r="H1685" s="7" t="s">
        <v>4693</v>
      </c>
      <c r="I1685" s="9">
        <v>45365</v>
      </c>
    </row>
    <row r="1686" spans="1:9" ht="27" x14ac:dyDescent="0.15">
      <c r="A1686" s="6">
        <v>1685</v>
      </c>
      <c r="B1686" s="7" t="s">
        <v>9</v>
      </c>
      <c r="C1686" s="8">
        <v>1889</v>
      </c>
      <c r="D1686" s="9">
        <v>45439</v>
      </c>
      <c r="E1686" s="13" t="str">
        <f>+HYPERLINK("http://trademark.i-assist.jp/data/china/image_1889th/77297915.pdf","77297915")</f>
        <v>77297915</v>
      </c>
      <c r="F1686" s="7" t="s">
        <v>4694</v>
      </c>
      <c r="G1686" s="7" t="s">
        <v>4695</v>
      </c>
      <c r="H1686" s="7" t="s">
        <v>4696</v>
      </c>
      <c r="I1686" s="9">
        <v>45365</v>
      </c>
    </row>
    <row r="1687" spans="1:9" x14ac:dyDescent="0.15">
      <c r="A1687" s="6">
        <v>1686</v>
      </c>
      <c r="B1687" s="7" t="s">
        <v>9</v>
      </c>
      <c r="C1687" s="8">
        <v>1889</v>
      </c>
      <c r="D1687" s="9">
        <v>45439</v>
      </c>
      <c r="E1687" s="13" t="str">
        <f>+HYPERLINK("http://trademark.i-assist.jp/data/china/image_1889th/77298058.pdf","77298058")</f>
        <v>77298058</v>
      </c>
      <c r="F1687" s="7" t="s">
        <v>4697</v>
      </c>
      <c r="G1687" s="7" t="s">
        <v>4698</v>
      </c>
      <c r="H1687" s="7" t="s">
        <v>4699</v>
      </c>
      <c r="I1687" s="9">
        <v>45365</v>
      </c>
    </row>
    <row r="1688" spans="1:9" x14ac:dyDescent="0.15">
      <c r="A1688" s="6">
        <v>1687</v>
      </c>
      <c r="B1688" s="7" t="s">
        <v>9</v>
      </c>
      <c r="C1688" s="8">
        <v>1889</v>
      </c>
      <c r="D1688" s="9">
        <v>45439</v>
      </c>
      <c r="E1688" s="13" t="str">
        <f>+HYPERLINK("http://trademark.i-assist.jp/data/china/image_1889th/77298210.pdf","77298210")</f>
        <v>77298210</v>
      </c>
      <c r="F1688" s="7" t="s">
        <v>4700</v>
      </c>
      <c r="G1688" s="7" t="s">
        <v>4701</v>
      </c>
      <c r="H1688" s="7" t="s">
        <v>4702</v>
      </c>
      <c r="I1688" s="9">
        <v>45365</v>
      </c>
    </row>
    <row r="1689" spans="1:9" x14ac:dyDescent="0.15">
      <c r="A1689" s="6">
        <v>1688</v>
      </c>
      <c r="B1689" s="7" t="s">
        <v>9</v>
      </c>
      <c r="C1689" s="8">
        <v>1889</v>
      </c>
      <c r="D1689" s="9">
        <v>45439</v>
      </c>
      <c r="E1689" s="13" t="str">
        <f>+HYPERLINK("http://trademark.i-assist.jp/data/china/image_1889th/77298216.pdf","77298216")</f>
        <v>77298216</v>
      </c>
      <c r="F1689" s="7" t="s">
        <v>4703</v>
      </c>
      <c r="G1689" s="7" t="s">
        <v>4704</v>
      </c>
      <c r="H1689" s="7" t="s">
        <v>4705</v>
      </c>
      <c r="I1689" s="9">
        <v>45365</v>
      </c>
    </row>
    <row r="1690" spans="1:9" x14ac:dyDescent="0.15">
      <c r="A1690" s="6">
        <v>1689</v>
      </c>
      <c r="B1690" s="7" t="s">
        <v>9</v>
      </c>
      <c r="C1690" s="8">
        <v>1889</v>
      </c>
      <c r="D1690" s="9">
        <v>45439</v>
      </c>
      <c r="E1690" s="13" t="str">
        <f>+HYPERLINK("http://trademark.i-assist.jp/data/china/image_1889th/77298441.pdf","77298441")</f>
        <v>77298441</v>
      </c>
      <c r="F1690" s="7" t="s">
        <v>4706</v>
      </c>
      <c r="G1690" s="7" t="s">
        <v>4707</v>
      </c>
      <c r="H1690" s="7" t="s">
        <v>4708</v>
      </c>
      <c r="I1690" s="9">
        <v>45365</v>
      </c>
    </row>
    <row r="1691" spans="1:9" x14ac:dyDescent="0.15">
      <c r="A1691" s="6">
        <v>1690</v>
      </c>
      <c r="B1691" s="7" t="s">
        <v>9</v>
      </c>
      <c r="C1691" s="8">
        <v>1889</v>
      </c>
      <c r="D1691" s="9">
        <v>45439</v>
      </c>
      <c r="E1691" s="13" t="str">
        <f>+HYPERLINK("http://trademark.i-assist.jp/data/china/image_1889th/77298490.pdf","77298490")</f>
        <v>77298490</v>
      </c>
      <c r="F1691" s="7" t="s">
        <v>4709</v>
      </c>
      <c r="G1691" s="7" t="s">
        <v>4710</v>
      </c>
      <c r="H1691" s="7" t="s">
        <v>4711</v>
      </c>
      <c r="I1691" s="9">
        <v>45365</v>
      </c>
    </row>
    <row r="1692" spans="1:9" ht="27" x14ac:dyDescent="0.15">
      <c r="A1692" s="6">
        <v>1691</v>
      </c>
      <c r="B1692" s="7" t="s">
        <v>9</v>
      </c>
      <c r="C1692" s="8">
        <v>1889</v>
      </c>
      <c r="D1692" s="9">
        <v>45439</v>
      </c>
      <c r="E1692" s="13" t="str">
        <f>+HYPERLINK("http://trademark.i-assist.jp/data/china/image_1889th/77298543.pdf","77298543")</f>
        <v>77298543</v>
      </c>
      <c r="F1692" s="7" t="s">
        <v>4712</v>
      </c>
      <c r="G1692" s="7" t="s">
        <v>4578</v>
      </c>
      <c r="H1692" s="7" t="s">
        <v>4713</v>
      </c>
      <c r="I1692" s="9">
        <v>45365</v>
      </c>
    </row>
    <row r="1693" spans="1:9" ht="27" x14ac:dyDescent="0.15">
      <c r="A1693" s="6">
        <v>1692</v>
      </c>
      <c r="B1693" s="7" t="s">
        <v>9</v>
      </c>
      <c r="C1693" s="8">
        <v>1889</v>
      </c>
      <c r="D1693" s="9">
        <v>45439</v>
      </c>
      <c r="E1693" s="13" t="str">
        <f>+HYPERLINK("http://trademark.i-assist.jp/data/china/image_1889th/77298577.pdf","77298577")</f>
        <v>77298577</v>
      </c>
      <c r="F1693" s="7" t="s">
        <v>4714</v>
      </c>
      <c r="G1693" s="7" t="s">
        <v>4578</v>
      </c>
      <c r="H1693" s="7" t="s">
        <v>4715</v>
      </c>
      <c r="I1693" s="9">
        <v>45365</v>
      </c>
    </row>
    <row r="1694" spans="1:9" x14ac:dyDescent="0.15">
      <c r="A1694" s="6">
        <v>1693</v>
      </c>
      <c r="B1694" s="7" t="s">
        <v>9</v>
      </c>
      <c r="C1694" s="8">
        <v>1889</v>
      </c>
      <c r="D1694" s="9">
        <v>45439</v>
      </c>
      <c r="E1694" s="13" t="str">
        <f>+HYPERLINK("http://trademark.i-assist.jp/data/china/image_1889th/77298731.pdf","77298731")</f>
        <v>77298731</v>
      </c>
      <c r="F1694" s="7" t="s">
        <v>4716</v>
      </c>
      <c r="G1694" s="7" t="s">
        <v>4717</v>
      </c>
      <c r="H1694" s="7" t="s">
        <v>4718</v>
      </c>
      <c r="I1694" s="9">
        <v>45365</v>
      </c>
    </row>
    <row r="1695" spans="1:9" x14ac:dyDescent="0.15">
      <c r="A1695" s="6">
        <v>1694</v>
      </c>
      <c r="B1695" s="7" t="s">
        <v>9</v>
      </c>
      <c r="C1695" s="8">
        <v>1889</v>
      </c>
      <c r="D1695" s="9">
        <v>45439</v>
      </c>
      <c r="E1695" s="13" t="str">
        <f>+HYPERLINK("http://trademark.i-assist.jp/data/china/image_1889th/77298973.pdf","77298973")</f>
        <v>77298973</v>
      </c>
      <c r="F1695" s="7" t="s">
        <v>4719</v>
      </c>
      <c r="G1695" s="7" t="s">
        <v>4720</v>
      </c>
      <c r="H1695" s="7" t="s">
        <v>4721</v>
      </c>
      <c r="I1695" s="9">
        <v>45365</v>
      </c>
    </row>
    <row r="1696" spans="1:9" x14ac:dyDescent="0.15">
      <c r="A1696" s="6">
        <v>1695</v>
      </c>
      <c r="B1696" s="7" t="s">
        <v>9</v>
      </c>
      <c r="C1696" s="8">
        <v>1889</v>
      </c>
      <c r="D1696" s="9">
        <v>45439</v>
      </c>
      <c r="E1696" s="13" t="str">
        <f>+HYPERLINK("http://trademark.i-assist.jp/data/china/image_1889th/77299015.pdf","77299015")</f>
        <v>77299015</v>
      </c>
      <c r="F1696" s="7" t="s">
        <v>4722</v>
      </c>
      <c r="G1696" s="7" t="s">
        <v>4723</v>
      </c>
      <c r="H1696" s="7" t="s">
        <v>4724</v>
      </c>
      <c r="I1696" s="9">
        <v>45365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1889th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2024-12-04T07:01:50Z</dcterms:modified>
</cp:coreProperties>
</file>